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23"/>
  <workbookPr date1904="1" showInkAnnotation="0" codeName="ThisWorkbook" autoCompressPictures="0"/>
  <mc:AlternateContent xmlns:mc="http://schemas.openxmlformats.org/markup-compatibility/2006">
    <mc:Choice Requires="x15">
      <x15ac:absPath xmlns:x15ac="http://schemas.microsoft.com/office/spreadsheetml/2010/11/ac" url="/Users/simona 1 2/Desktop/DalVecchioPC/A-CLIMFOOT/C2.2Databse/calculator-IFC/"/>
    </mc:Choice>
  </mc:AlternateContent>
  <xr:revisionPtr revIDLastSave="0" documentId="13_ncr:1_{C8B04088-A7E6-D647-ABD9-DA695361D35B}" xr6:coauthVersionLast="46" xr6:coauthVersionMax="46" xr10:uidLastSave="{00000000-0000-0000-0000-000000000000}"/>
  <bookViews>
    <workbookView xWindow="0" yWindow="500" windowWidth="32000" windowHeight="16260" tabRatio="813" firstSheet="1" activeTab="11" xr2:uid="{00000000-000D-0000-FFFF-FFFF00000000}"/>
  </bookViews>
  <sheets>
    <sheet name="Description" sheetId="62908" r:id="rId1"/>
    <sheet name="Energia" sheetId="1" r:id="rId2"/>
    <sheet name="Non-energetici" sheetId="3" r:id="rId3"/>
    <sheet name="Input" sheetId="7" r:id="rId4"/>
    <sheet name="Imballaggi" sheetId="11" r:id="rId5"/>
    <sheet name="Trasporti merci" sheetId="5" r:id="rId6"/>
    <sheet name="Trasporto persone" sheetId="62898" r:id="rId7"/>
    <sheet name="Rifiuti di processo" sheetId="2" r:id="rId8"/>
    <sheet name="Beni durevoli" sheetId="9" r:id="rId9"/>
    <sheet name="Fase d'uso" sheetId="62904" r:id="rId10"/>
    <sheet name="Fine vita" sheetId="62905" r:id="rId11"/>
    <sheet name="Emissions factors" sheetId="62906" r:id="rId12"/>
    <sheet name="Info utili" sheetId="62911" r:id="rId13"/>
    <sheet name="CO2e overview" sheetId="62892" r:id="rId14"/>
    <sheet name="GHG Protocol" sheetId="62914" r:id="rId15"/>
    <sheet name="ISO 14069" sheetId="62915" r:id="rId16"/>
    <sheet name="Graphs" sheetId="62913" r:id="rId17"/>
  </sheets>
  <externalReferences>
    <externalReference r:id="rId18"/>
  </externalReferences>
  <definedNames>
    <definedName name="agricole">'Emissions factors'!$B$1914:$B$2125</definedName>
    <definedName name="Agriculture">'Emissions factors'!$B$1002:$J$1103</definedName>
    <definedName name="AGRICULTURE_ET_PECHE">'Emissions factors'!$B$1002:$K$1081</definedName>
    <definedName name="animaux">'Emissions factors'!$B$1059:$B$1102</definedName>
    <definedName name="animaux_ferme">'Emissions factors'!$B$1915:$B$1992</definedName>
    <definedName name="Approche_retenue">'Info utili'!$B$527:$B$529</definedName>
    <definedName name="_xlnm.Print_Area" localSheetId="8">'Beni durevoli'!$B$2:$G$269</definedName>
    <definedName name="_xlnm.Print_Area" localSheetId="13">'CO2e overview'!$B$5:$K$243</definedName>
    <definedName name="_xlnm.Print_Area" localSheetId="1">Energia!$B$2:$L$149</definedName>
    <definedName name="_xlnm.Print_Area" localSheetId="4">Imballaggi!$B$2:$L$61</definedName>
    <definedName name="_xlnm.Print_Area" localSheetId="3">Input!$B$2:$F$214</definedName>
    <definedName name="_xlnm.Print_Area" localSheetId="2">'Non-energetici'!$B$2:$F$91</definedName>
    <definedName name="_xlnm.Print_Area" localSheetId="7">'Rifiuti di processo'!$B$2:$I$183</definedName>
    <definedName name="_xlnm.Print_Area" localSheetId="5">'Trasporti merci'!$B$2:$J$642</definedName>
    <definedName name="autres_achats">'Emissions factors'!$B$1877:$B$1891</definedName>
    <definedName name="avion">'Emissions factors'!$B$1290:$B$1328</definedName>
    <definedName name="avion_fret">'Emissions factors'!$B$1290:$B$1328</definedName>
    <definedName name="avion_passagers">'Emissions factors'!$B$1624:$B$1666</definedName>
    <definedName name="bassins">'Emissions factors'!$B$1390:$B$1400</definedName>
    <definedName name="bateau_passagers">'Emissions factors'!$B$1674:$B$1682</definedName>
    <definedName name="batiments">'Emissions factors'!$B$2354:$B$2373</definedName>
    <definedName name="biocombustibles">'Emissions factors'!$B$152:$B$165</definedName>
    <definedName name="biologique">'Emissions factors'!$B$2265:$B$2269</definedName>
    <definedName name="bus">'Emissions factors'!$B$1528:$B$1542</definedName>
    <definedName name="bus_domW">'Emissions factors'!$B$1547:$B$1561</definedName>
    <definedName name="calculette_UTFC">'Info utili'!$B$32:$O$65</definedName>
    <definedName name="cargos">'Emissions factors'!$B$1366:$B$1371</definedName>
    <definedName name="chimie">'Emissions factors'!$B$1822:$B$1873</definedName>
    <definedName name="combustibles">'Emissions factors'!$B$84:$B$147</definedName>
    <definedName name="Convertisseurs">'Info utili'!$B$6:$J$26</definedName>
    <definedName name="culture_vers">'Emissions factors'!$B$1144:$B$1148</definedName>
    <definedName name="CV_diesel">'Emissions factors'!$B$1431:$B$1476</definedName>
    <definedName name="CV_essence">'Emissions factors'!$B$1413:$B$1426</definedName>
    <definedName name="cycles">'Emissions factors'!$B$1566:$B$1580</definedName>
    <definedName name="decharge">'Emissions factors'!$B$2182:$B$2190</definedName>
    <definedName name="DECHETS">'Emissions factors'!$B$2153:$K$2278</definedName>
    <definedName name="Déchets">'Emissions factors'!$B$2151:$L$2348</definedName>
    <definedName name="dechets_eaux">'Rifiuti di processo'!$B$137:$J$159</definedName>
    <definedName name="dechets_haut">'Rifiuti di processo'!$B$10:$Q$97</definedName>
    <definedName name="dechets_non_banals">'Rifiuti di processo'!$B$99:$J$132</definedName>
    <definedName name="dechets_recap">'Rifiuti di processo'!$B$163:$L$184</definedName>
    <definedName name="dechetsdirects_GHGProtocol">'Rifiuti di processo'!$B$185:$O$216</definedName>
    <definedName name="dechetsdirects_ISO14069">'Rifiuti di processo'!$B$219:$O$248</definedName>
    <definedName name="Déplacements">'Emissions factors'!$B$1403:$N$1683</definedName>
    <definedName name="DEPLACEMENTS_DE_PERSONNES">'Emissions factors'!$B$1408:$K$1477</definedName>
    <definedName name="deplacements_domicile_travail">'Trasporto persone'!$B$10:$J$35</definedName>
    <definedName name="deplacements_GHGProtocol">'Trasporto persone'!$B$411:$O$442</definedName>
    <definedName name="deplacements_ISO14069">'Trasporto persone'!$B$445:$O$474</definedName>
    <definedName name="deplacements_recap">'Trasporto persone'!$B$389:$L$410</definedName>
    <definedName name="deplacements_salaries_autre_route">'Trasporto persone'!$B$166:$J$197</definedName>
    <definedName name="deplacements_salaries_avion">'Trasporto persone'!$B$228:$J$260</definedName>
    <definedName name="deplacements_salaries_bateau">'Trasporto persone'!$B$263:$J$287</definedName>
    <definedName name="deplacements_salaries_train">'Trasporto persone'!$B$199:$K$226</definedName>
    <definedName name="deplacements_salaries_voiture">'Trasporto persone'!$B$120:$J$152</definedName>
    <definedName name="deplacements_visiteurs">'Trasporto persone'!$B$290:$J$319</definedName>
    <definedName name="DIS">'Emissions factors'!$B$2317:$B$2322</definedName>
    <definedName name="divers_mix">'Emissions factors'!$B$2299:$B$2310</definedName>
    <definedName name="Documents">'Info utili'!$B$515:$O$521</definedName>
    <definedName name="Données_statistiques">'Info utili'!$B$69:$O$434</definedName>
    <definedName name="Eau">'Emissions factors'!$B$2147:$B$2148</definedName>
    <definedName name="eaux_usees">'Emissions factors'!$B$2329:$B$2347</definedName>
    <definedName name="EDF_saison">'Emissions factors'!$B$917:$B$968</definedName>
    <definedName name="Electricite_France">'Emissions factors'!$B$688:$B$717</definedName>
    <definedName name="Electricité_France">'Emissions factors'!$B$688:$B$717</definedName>
    <definedName name="electricite_monde">'Emissions factors'!$B$721:$B$873</definedName>
    <definedName name="electricite_producteur">'Emissions factors'!$B$877:$B$913</definedName>
    <definedName name="electricite_usage_france">'Emissions factors'!$B$615:$B$684</definedName>
    <definedName name="emballage_Verre">Imballaggi!$B$35:$I$46</definedName>
    <definedName name="emballages_agromateriaux">Imballaggi!$B$76:$I$86</definedName>
    <definedName name="emballages_chimie">Imballaggi!$B$62:$I$73</definedName>
    <definedName name="emballages_metaux">Imballaggi!$B$7:$I$18</definedName>
    <definedName name="emballages_papiers">Imballaggi!$B$49:$I$59</definedName>
    <definedName name="emballages_plastiques">Imballaggi!$B$21:$I$32</definedName>
    <definedName name="emballages_ratios">Imballaggi!#REF!</definedName>
    <definedName name="emballages_recap">Imballaggi!$B$90:$L$113</definedName>
    <definedName name="Energie">'Emissions factors'!$B$77:$J$969</definedName>
    <definedName name="energie1_combustibles">Energia!$B$7:$J$42</definedName>
    <definedName name="energie1_électricité">Energia!$B$67:$J$133</definedName>
    <definedName name="energie1_GHGProtocol">Energia!$B$150:$O$181</definedName>
    <definedName name="energie1_ISO14069">Energia!$B$184:$O$213</definedName>
    <definedName name="energie1_total">Energia!$B$137:$L$149</definedName>
    <definedName name="energie1_vapeur">Energia!$B$44:$J$65</definedName>
    <definedName name="engrais">'Emissions factors'!$B$1009:$B$1039</definedName>
    <definedName name="evp">'Emissions factors'!$B$1336:$B$1341</definedName>
    <definedName name="Facteurs_d_émission_de_l_électricité">'Emissions factors'!$B$611:$I$873</definedName>
    <definedName name="facteurs_d_émission_des_combustibles">'Emissions factors'!$B$81:$J$165</definedName>
    <definedName name="FE">'Emissions factors'!$B$2</definedName>
    <definedName name="fin_de_vie_banals">'Fine vita'!$B$30:$J$84</definedName>
    <definedName name="fin_de_vie_dangereux">'Fine vita'!$B$114:$O$125</definedName>
    <definedName name="fin_de_vie_haut">'Fine vita'!$B$7:$K$28</definedName>
    <definedName name="fin_de_vie_recap">'Fine vita'!$B$129:$L$152</definedName>
    <definedName name="findevie_GHGProtocol">'Fine vita'!$B$153:$O$184</definedName>
    <definedName name="findevie_ISO14069">'Fine vita'!$B$187:$O$216</definedName>
    <definedName name="foret_vers">'Emissions factors'!$B$1149:$B$1153</definedName>
    <definedName name="FRET">'Emissions factors'!$B$1166:$K$1217</definedName>
    <definedName name="fret_aerien_entrant">'Trasporti merci'!$B$82:$J$103</definedName>
    <definedName name="fret_aerien_interne">'Trasporti merci'!$B$284:$K$305</definedName>
    <definedName name="fret_aerien_sortant">'Trasporti merci'!$B$486:$K$507</definedName>
    <definedName name="Fret_FE">'Emissions factors'!$B$1161:$N$1401</definedName>
    <definedName name="fret_ferroviaire">'Emissions factors'!$B$1252:$B$1280</definedName>
    <definedName name="fret_ferroviaire_entrant">'Trasporti merci'!$B$105:$K$124</definedName>
    <definedName name="fret_ferroviaire_interne">'Trasporti merci'!$B$307:$K$343</definedName>
    <definedName name="fret_ferroviaire_sortant">'Trasporti merci'!$B$509:$K$528</definedName>
    <definedName name="fret_fluvial">'Emissions factors'!$B$1376:$B$1385</definedName>
    <definedName name="fret_GHGProtocol">'Trasporti merci'!$B$643:$O$678</definedName>
    <definedName name="fret_ISO14069">'Trasporti merci'!$B$681:$O$714</definedName>
    <definedName name="fret_maritime_entrant">'Trasporti merci'!$B$144:$J$171</definedName>
    <definedName name="fret_maritime_interne">'Trasporti merci'!$B$346:$K$379</definedName>
    <definedName name="fret_maritime_sortant">'Trasporti merci'!$B$548:$J$576</definedName>
    <definedName name="fret_recap">'Trasporti merci'!$B$616:$L$642</definedName>
    <definedName name="fret_route">'Emissions factors'!$B$1171:$B$1216</definedName>
    <definedName name="fret_route_basecarbone">'Emissions factors'!$B$1221:$B$1245</definedName>
    <definedName name="fret_route_sortant">'Trasporti merci'!$B$413:$K$446</definedName>
    <definedName name="fret_routier_entrant">'Trasporti merci'!$B$9:$J$45</definedName>
    <definedName name="fret_routier_interne">'Trasporti merci'!$B$211:$K$243</definedName>
    <definedName name="froid">'Emissions factors'!$B$595:$B$608</definedName>
    <definedName name="fuites_DIS">'Fine vita'!$B$86:$J$112</definedName>
    <definedName name="futursemballages_GHGProtocol">Imballaggi!$B$114:$O$145</definedName>
    <definedName name="futursemballages_ISO14069">Imballaggi!$B$148:$O$177</definedName>
    <definedName name="GHG_Protocol">'GHG Protocol'!$B$2:$O$37</definedName>
    <definedName name="Graphiques">Graphs!$B$2:$L$7</definedName>
    <definedName name="graphiques_DechetsDirects">Graphs!$B$210:$Q$241</definedName>
    <definedName name="graphiques_Déplacements">Graphs!$B$177:$Q$208</definedName>
    <definedName name="graphiques_Energie1">Graphs!$B$8:$Q$39</definedName>
    <definedName name="graphiques_FinDeVie">Graphs!$B$309:$Q$340</definedName>
    <definedName name="graphiques_Fret">Graphs!$B$141:$Q$175</definedName>
    <definedName name="graphiques_FutursEmballages">Graphs!$B$108:$Q$139</definedName>
    <definedName name="graphiques_GHGProtocol">Graphs!$B$383:$Q$424</definedName>
    <definedName name="graphiques_HorsEnergie1">Graphs!$B$42:$Q$73</definedName>
    <definedName name="graphiques_Immobilisations">Graphs!$B$243:$Q$274</definedName>
    <definedName name="graphiques_Intrants">Graphs!$B$75:$Q$106</definedName>
    <definedName name="graphiques_RecapCO2e">Graphs!$B$344:$Q$381</definedName>
    <definedName name="graphiques_Utilisation">Graphs!$B$276:$Q$307</definedName>
    <definedName name="grosse_route">'Emissions factors'!$B$2381:$B$2384</definedName>
    <definedName name="halocarbure_hors_kyoto">'Emissions factors'!$B$47:$B$74</definedName>
    <definedName name="halocarbure_kyoto">'Emissions factors'!$B$18:$B$44</definedName>
    <definedName name="horsenergie1_GHGProtocol">'Non-energetici'!$B$116:$O$147</definedName>
    <definedName name="horsenergie1_ISO14069">'Non-energetici'!$B$150:$O$179</definedName>
    <definedName name="Immobilisations">'Emissions factors'!$B$2350:$K$2409</definedName>
    <definedName name="immobilisations_GHGProtocol">'Beni durevoli'!$B$270:$O$301</definedName>
    <definedName name="immobilisations_ISO14069">'Beni durevoli'!$B$304:$O$333</definedName>
    <definedName name="immos_batiments">'Beni durevoli'!$B$9:$J$40</definedName>
    <definedName name="immos_informatique">'Beni durevoli'!$B$230:$K$251</definedName>
    <definedName name="immos_machines">'Beni durevoli'!$B$170:$L$201</definedName>
    <definedName name="immos_recap">'Beni durevoli'!$B$255:$L$269</definedName>
    <definedName name="immos_voirie">'Beni durevoli'!$B$90:$K$120</definedName>
    <definedName name="incineration">'Emissions factors'!$B$2225:$B$2233</definedName>
    <definedName name="informatique">'Emissions factors'!$B$2388:$B$2397</definedName>
    <definedName name="INIES">'[1]FE des combustibles.xls'!$A$537:$A$550</definedName>
    <definedName name="Intrants">'Emissions factors'!$B$1685:$Q$2149</definedName>
    <definedName name="intrants_chimie">Input!$B$88:$I$101</definedName>
    <definedName name="intrants_GHGProtocol">Input!$B$215:$O$246</definedName>
    <definedName name="intrants_ISO14069">Input!$B$249:$O$278</definedName>
    <definedName name="intrants_Matériaux_de_construction">Input!$B$63:$I$85</definedName>
    <definedName name="intrants_metaux">Input!$B$8:$I$19</definedName>
    <definedName name="intrants_Papiers">Input!$B$50:$I$60</definedName>
    <definedName name="intrants_plastiques">Input!$B$22:$I$33</definedName>
    <definedName name="intrants_Produits_agricoles">Input!$B$102:$I$155</definedName>
    <definedName name="intrants_Puits">Input!$B$183:$F$191</definedName>
    <definedName name="intrants_ratios">Input!$B$157:$I$180</definedName>
    <definedName name="intrants_total">Input!$B$195:$L$214</definedName>
    <definedName name="intrants_Verre">Input!$B$36:$I$47</definedName>
    <definedName name="ISO_14069">'ISO 14069'!$B$2:$O$35</definedName>
    <definedName name="Liste_dechets">'Info utili'!$Q$546:$Q$554</definedName>
    <definedName name="Liste_dechets2">'Info utili'!$S$546:$S$548</definedName>
    <definedName name="Liste_Deplacements">'Info utili'!$I$546:$I$548</definedName>
    <definedName name="Liste_Deplacements_bis">'Info utili'!$I$547:$I$548</definedName>
    <definedName name="Liste_Deplacements_ter">'Info utili'!$I$546</definedName>
    <definedName name="Liste_Energie">'Info utili'!$C$546:$C$548</definedName>
    <definedName name="Liste_Energie_bis">'Info utili'!$C$547:$C$548</definedName>
    <definedName name="Liste_Franchises">'Info utili'!$N$546:$N$547</definedName>
    <definedName name="Liste_Fret">'Info utili'!$G$546:$G$548</definedName>
    <definedName name="Liste_Fret_bis">'Info utili'!$G$547:$G$548</definedName>
    <definedName name="Liste_Fret_ter">'Info utili'!$G$546</definedName>
    <definedName name="Liste_Horsenergie">'Info utili'!$E$546:$E$549</definedName>
    <definedName name="Liste_Immobilisations">'Info utili'!$K$546:$K$547</definedName>
    <definedName name="Liste_Immobilisations2">'Info utili'!$M$546:$M$547</definedName>
    <definedName name="Liste_Utilisation">'Info utili'!$O$546:$O$548</definedName>
    <definedName name="machines">'Emissions factors'!$B$2405:$B$2408</definedName>
    <definedName name="materiaux">'Emissions factors'!$B$1745:$B$1760</definedName>
    <definedName name="MATERIAUX_ENTRANTS">'Emissions factors'!$B$1687:$K$1730</definedName>
    <definedName name="menus_déroulants">'Info utili'!$B$524:$O$550</definedName>
    <definedName name="mer_ferme">'Emissions factors'!$B$1994:$B$2001</definedName>
    <definedName name="metaux">'Emissions factors'!$B$1692:$B$1699</definedName>
    <definedName name="mix_francais">'Emissions factors'!$B$2294:$B$2310</definedName>
    <definedName name="monetaire">'Emissions factors'!$B$1894:$B$1906</definedName>
    <definedName name="papier">'Emissions factors'!$B$1735:$B$1741</definedName>
    <definedName name="parcours">'Emissions factors'!$B$1506:$B$1523</definedName>
    <definedName name="plastiques">'Emissions factors'!$B$1719:$B$1730</definedName>
    <definedName name="poisson">'Emissions factors'!$B$1044:$B$1054</definedName>
    <definedName name="prairie_vers">'Emissions factors'!$B$1154:$B$1158</definedName>
    <definedName name="PRG">'Emissions factors'!$B$8:$J$75</definedName>
    <definedName name="procedes1_CH4">'Non-energetici'!$B$50:$J$73</definedName>
    <definedName name="procedes1_divers">'Non-energetici'!$B$88:$J$99</definedName>
    <definedName name="procedes1_halo">'Non-energetici'!$B$75:$J$86</definedName>
    <definedName name="procedes1_haut">'Non-energetici'!$B$7:$O$16</definedName>
    <definedName name="procedes1_N2O">'Non-energetici'!$B$18:$J$48</definedName>
    <definedName name="procedes1_recap">'Non-energetici'!$B$103:$L$115</definedName>
    <definedName name="Production_de_vapeur_froid">'Emissions factors'!$B$169:$G$591</definedName>
    <definedName name="produits_agro">'Emissions factors'!$B$2083:$B$2125</definedName>
    <definedName name="recap_C_haut">'CO2e overview'!$B$5:$I$5</definedName>
    <definedName name="renouvelables">'Emissions factors'!$B$972:$B$982</definedName>
    <definedName name="repas">'[1]FE des combustibles.xls'!$A$1341:$A$1344</definedName>
    <definedName name="repas_moyen">'Emissions factors'!$B$2129:$B$2137</definedName>
    <definedName name="route">'Emissions factors'!$B$1765:$B$1817</definedName>
    <definedName name="routes">'Emissions factors'!$B$2377:$B$2384</definedName>
    <definedName name="sourcesFE">'Emissions factors'!$B$2412:$J$2418</definedName>
    <definedName name="tertiaire_electricite">'Info utili'!$B$119:$B$173</definedName>
    <definedName name="tertiaire_electricite2">'Info utili'!$B$110:$B$115</definedName>
    <definedName name="tissus_urbain_km">'Emissions factors'!$B$1481:$B$1501</definedName>
    <definedName name="train_personnes">'Emissions factors'!$B$1587:$B$1614</definedName>
    <definedName name="utilisation_electricite">'Fase d''uso'!$B$56:$J$76</definedName>
    <definedName name="utilisation_GHGProtocol">'Fase d''uso'!$B$120:$O$151</definedName>
    <definedName name="utilisation_haut">'Fase d''uso'!$B$7:$K$31</definedName>
    <definedName name="utilisation_hors_nrj">'Fase d''uso'!$B$78:$L$104</definedName>
    <definedName name="utilisation_ISO14069">'Fase d''uso'!$B$154:$O$183</definedName>
    <definedName name="utilisation_recap">'Fase d''uso'!$B$108:$L$119</definedName>
    <definedName name="utilisation_vapeur">'Fase d''uso'!$B$33:$J$54</definedName>
    <definedName name="valo_CET">'Emissions factors'!$B$2172:$B$2177</definedName>
    <definedName name="valo_incineration">'Emissions factors'!$B$2215:$B$2220</definedName>
    <definedName name="vapeur">'Emissions factors'!$B$172:$B$591</definedName>
    <definedName name="végétaux_ferme">'Emissions factors'!$B$2003:$B$2081</definedName>
    <definedName name="verres">'Emissions factors'!$B$1704:$B$1714</definedName>
    <definedName name="vraquier">'Emissions factors'!$B$1346:$B$1361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106" i="62906" l="1"/>
  <c r="C2105" i="62906"/>
  <c r="C2104" i="62906"/>
  <c r="C2103" i="62906"/>
  <c r="C2102" i="62906"/>
  <c r="C2101" i="62906"/>
  <c r="C2100" i="62906"/>
  <c r="C2099" i="62906"/>
  <c r="C2098" i="62906"/>
  <c r="C2097" i="62906"/>
  <c r="C2096" i="62906"/>
  <c r="C2095" i="62906"/>
  <c r="C2094" i="62906"/>
  <c r="C2093" i="62906"/>
  <c r="D2343" i="62906"/>
  <c r="D88" i="62906"/>
  <c r="J88" i="62906"/>
  <c r="G147" i="7"/>
  <c r="H147" i="7" s="1"/>
  <c r="G148" i="7"/>
  <c r="H148" i="7" s="1"/>
  <c r="C2148" i="62906"/>
  <c r="G152" i="7"/>
  <c r="H152" i="7" s="1"/>
  <c r="Y152" i="7" s="1"/>
  <c r="G141" i="7"/>
  <c r="H141" i="7" s="1"/>
  <c r="Y141" i="7" s="1"/>
  <c r="G142" i="7"/>
  <c r="H142" i="7" s="1"/>
  <c r="G143" i="7"/>
  <c r="H143" i="7" s="1"/>
  <c r="Y143" i="7" s="1"/>
  <c r="G143" i="2"/>
  <c r="H143" i="2" s="1"/>
  <c r="D2344" i="62906"/>
  <c r="G144" i="2"/>
  <c r="H144" i="2" s="1"/>
  <c r="O144" i="2"/>
  <c r="S146" i="2"/>
  <c r="U146" i="2"/>
  <c r="X146" i="2"/>
  <c r="Y146" i="2"/>
  <c r="Z146" i="2"/>
  <c r="AA146" i="2"/>
  <c r="K699" i="5"/>
  <c r="K698" i="5" s="1"/>
  <c r="K700" i="5"/>
  <c r="L148" i="7"/>
  <c r="E2201" i="62906"/>
  <c r="B2294" i="62906"/>
  <c r="H91" i="2" s="1"/>
  <c r="I91" i="2" s="1"/>
  <c r="B2295" i="62906"/>
  <c r="B2296" i="62906"/>
  <c r="B2297" i="62906"/>
  <c r="B2195" i="62906"/>
  <c r="B2273" i="62906" s="1"/>
  <c r="C2157" i="62906"/>
  <c r="C2183" i="62906" s="1"/>
  <c r="H2183" i="62906" s="1"/>
  <c r="C2259" i="62906"/>
  <c r="L2273" i="62906"/>
  <c r="D2157" i="62906"/>
  <c r="D2182" i="62906" s="1"/>
  <c r="I2182" i="62906" s="1"/>
  <c r="N2182" i="62906" s="1"/>
  <c r="D2225" i="62906"/>
  <c r="I2225" i="62906" s="1"/>
  <c r="D2238" i="62906" s="1"/>
  <c r="E2182" i="62906"/>
  <c r="J2182" i="62906"/>
  <c r="O2182" i="62906"/>
  <c r="E2225" i="62906"/>
  <c r="J2225" i="62906"/>
  <c r="E2238" i="62906"/>
  <c r="E2259" i="62906"/>
  <c r="F2182" i="62906"/>
  <c r="K2182" i="62906" s="1"/>
  <c r="P2182" i="62906" s="1"/>
  <c r="F2225" i="62906"/>
  <c r="K2225" i="62906" s="1"/>
  <c r="F2238" i="62906" s="1"/>
  <c r="F2259" i="62906"/>
  <c r="G2182" i="62906"/>
  <c r="L2182" i="62906"/>
  <c r="Q2182" i="62906" s="1"/>
  <c r="G2225" i="62906"/>
  <c r="L2225" i="62906" s="1"/>
  <c r="G2238" i="62906" s="1"/>
  <c r="G2259" i="62906"/>
  <c r="H2238" i="62906"/>
  <c r="I2294" i="62906"/>
  <c r="B2196" i="62906"/>
  <c r="B2274" i="62906" s="1"/>
  <c r="C2226" i="62906"/>
  <c r="H2226" i="62906" s="1"/>
  <c r="C2239" i="62906" s="1"/>
  <c r="H2274" i="62906"/>
  <c r="I2274" i="62906"/>
  <c r="E2183" i="62906"/>
  <c r="J2183" i="62906"/>
  <c r="O2183" i="62906" s="1"/>
  <c r="E2226" i="62906"/>
  <c r="J2226" i="62906"/>
  <c r="E2239" i="62906" s="1"/>
  <c r="F2183" i="62906"/>
  <c r="K2183" i="62906" s="1"/>
  <c r="F2226" i="62906"/>
  <c r="K2226" i="62906" s="1"/>
  <c r="F2239" i="62906" s="1"/>
  <c r="G2183" i="62906"/>
  <c r="L2183" i="62906" s="1"/>
  <c r="G2226" i="62906"/>
  <c r="L2226" i="62906"/>
  <c r="G2239" i="62906" s="1"/>
  <c r="T2183" i="62906"/>
  <c r="V2183" i="62906"/>
  <c r="Y2183" i="62906"/>
  <c r="H2239" i="62906"/>
  <c r="I2295" i="62906"/>
  <c r="C2184" i="62906"/>
  <c r="H2184" i="62906" s="1"/>
  <c r="B2197" i="62906"/>
  <c r="B2275" i="62906" s="1"/>
  <c r="C2240" i="62906"/>
  <c r="H2275" i="62906"/>
  <c r="I2275" i="62906"/>
  <c r="D2240" i="62906"/>
  <c r="E2184" i="62906"/>
  <c r="J2184" i="62906" s="1"/>
  <c r="E2240" i="62906"/>
  <c r="F2184" i="62906"/>
  <c r="K2184" i="62906"/>
  <c r="F2240" i="62906"/>
  <c r="G2184" i="62906"/>
  <c r="L2184" i="62906"/>
  <c r="Q2184" i="62906" s="1"/>
  <c r="G2240" i="62906"/>
  <c r="T2184" i="62906"/>
  <c r="V2184" i="62906"/>
  <c r="Y2184" i="62906"/>
  <c r="O2227" i="62906"/>
  <c r="Q2227" i="62906"/>
  <c r="T2227" i="62906"/>
  <c r="I2296" i="62906"/>
  <c r="B2198" i="62906"/>
  <c r="B2276" i="62906" s="1"/>
  <c r="C2241" i="62906"/>
  <c r="D2241" i="62906"/>
  <c r="E2241" i="62906"/>
  <c r="F2241" i="62906"/>
  <c r="G2241" i="62906"/>
  <c r="T2185" i="62906"/>
  <c r="V2185" i="62906"/>
  <c r="Y2185" i="62906"/>
  <c r="O2228" i="62906"/>
  <c r="Q2228" i="62906"/>
  <c r="T2228" i="62906"/>
  <c r="I2297" i="62906"/>
  <c r="B2298" i="62906"/>
  <c r="B2199" i="62906"/>
  <c r="B2277" i="62906"/>
  <c r="J2277" i="62906" s="1"/>
  <c r="C2242" i="62906"/>
  <c r="M2277" i="62906"/>
  <c r="N2277" i="62906"/>
  <c r="D2242" i="62906"/>
  <c r="E2242" i="62906"/>
  <c r="F2242" i="62906"/>
  <c r="G2242" i="62906"/>
  <c r="T2186" i="62906"/>
  <c r="V2186" i="62906"/>
  <c r="Y2186" i="62906"/>
  <c r="O2229" i="62906"/>
  <c r="Q2229" i="62906"/>
  <c r="T2229" i="62906"/>
  <c r="D1740" i="62906"/>
  <c r="I2298" i="62906"/>
  <c r="B2299" i="62906"/>
  <c r="B2200" i="62906"/>
  <c r="B2278" i="62906"/>
  <c r="H2278" i="62906" s="1"/>
  <c r="F2278" i="62906"/>
  <c r="C2249" i="62906"/>
  <c r="J2278" i="62906"/>
  <c r="K2278" i="62906"/>
  <c r="N2278" i="62906"/>
  <c r="D2249" i="62906"/>
  <c r="E2249" i="62906"/>
  <c r="F2249" i="62906"/>
  <c r="G2249" i="62906"/>
  <c r="O2230" i="62906"/>
  <c r="Q2230" i="62906"/>
  <c r="T2230" i="62906"/>
  <c r="C2300" i="62906"/>
  <c r="E2300" i="62906"/>
  <c r="F2300" i="62906"/>
  <c r="C2301" i="62906"/>
  <c r="E2301" i="62906"/>
  <c r="E2302" i="62906"/>
  <c r="C2302" i="62906" s="1"/>
  <c r="E2303" i="62906"/>
  <c r="F2303" i="62906"/>
  <c r="D2303" i="62906"/>
  <c r="E2304" i="62906"/>
  <c r="C2304" i="62906" s="1"/>
  <c r="F2304" i="62906"/>
  <c r="D2304" i="62906"/>
  <c r="E2305" i="62906"/>
  <c r="F2305" i="62906"/>
  <c r="E2306" i="62906"/>
  <c r="F2306" i="62906"/>
  <c r="C2306" i="62906" s="1"/>
  <c r="D2306" i="62906"/>
  <c r="D2307" i="62906"/>
  <c r="F2307" i="62906"/>
  <c r="B2308" i="62906"/>
  <c r="B2207" i="62906"/>
  <c r="B2287" i="62906" s="1"/>
  <c r="E2287" i="62906"/>
  <c r="C2250" i="62906"/>
  <c r="I2287" i="62906"/>
  <c r="J2287" i="62906"/>
  <c r="M2287" i="62906"/>
  <c r="D2250" i="62906"/>
  <c r="E2250" i="62906"/>
  <c r="F2250" i="62906"/>
  <c r="G2250" i="62906"/>
  <c r="T2188" i="62906"/>
  <c r="V2188" i="62906"/>
  <c r="Y2188" i="62906"/>
  <c r="O2231" i="62906"/>
  <c r="Q2231" i="62906"/>
  <c r="T2231" i="62906"/>
  <c r="B2309" i="62906"/>
  <c r="B2208" i="62906"/>
  <c r="B2288" i="62906"/>
  <c r="G2288" i="62906"/>
  <c r="C2232" i="62906"/>
  <c r="H2232" i="62906" s="1"/>
  <c r="C2251" i="62906" s="1"/>
  <c r="D2232" i="62906"/>
  <c r="I2232" i="62906" s="1"/>
  <c r="D2251" i="62906" s="1"/>
  <c r="E2189" i="62906"/>
  <c r="J2189" i="62906" s="1"/>
  <c r="O2189" i="62906" s="1"/>
  <c r="E2232" i="62906"/>
  <c r="J2232" i="62906" s="1"/>
  <c r="E2251" i="62906" s="1"/>
  <c r="F2189" i="62906"/>
  <c r="K2189" i="62906"/>
  <c r="P2189" i="62906" s="1"/>
  <c r="F2232" i="62906"/>
  <c r="K2232" i="62906"/>
  <c r="F2251" i="62906" s="1"/>
  <c r="G2189" i="62906"/>
  <c r="L2189" i="62906" s="1"/>
  <c r="Q2189" i="62906" s="1"/>
  <c r="G2232" i="62906"/>
  <c r="L2232" i="62906" s="1"/>
  <c r="G2251" i="62906" s="1"/>
  <c r="F2206" i="62906"/>
  <c r="D2206" i="62906"/>
  <c r="F2205" i="62906"/>
  <c r="E2205" i="62906"/>
  <c r="C2205" i="62906" s="1"/>
  <c r="D2205" i="62906"/>
  <c r="F2204" i="62906"/>
  <c r="C2204" i="62906" s="1"/>
  <c r="E2204" i="62906"/>
  <c r="F2203" i="62906"/>
  <c r="E2203" i="62906"/>
  <c r="C2203" i="62906" s="1"/>
  <c r="D2203" i="62906"/>
  <c r="F2202" i="62906"/>
  <c r="C2202" i="62906" s="1"/>
  <c r="E2202" i="62906"/>
  <c r="D2202" i="62906"/>
  <c r="C2201" i="62906"/>
  <c r="F2248" i="62906"/>
  <c r="D2248" i="62906"/>
  <c r="F2247" i="62906"/>
  <c r="E2247" i="62906"/>
  <c r="D2247" i="62906"/>
  <c r="C2247" i="62906"/>
  <c r="F2246" i="62906"/>
  <c r="E2246" i="62906"/>
  <c r="C2246" i="62906"/>
  <c r="F2245" i="62906"/>
  <c r="E2245" i="62906"/>
  <c r="D2245" i="62906"/>
  <c r="C2245" i="62906"/>
  <c r="F2244" i="62906"/>
  <c r="E2244" i="62906"/>
  <c r="D2244" i="62906"/>
  <c r="E2243" i="62906"/>
  <c r="C2243" i="62906"/>
  <c r="B2225" i="62906"/>
  <c r="B2238" i="62906"/>
  <c r="B2226" i="62906"/>
  <c r="B2239" i="62906" s="1"/>
  <c r="B2227" i="62906"/>
  <c r="B2240" i="62906" s="1"/>
  <c r="B2228" i="62906"/>
  <c r="B2241" i="62906"/>
  <c r="J2238" i="62906"/>
  <c r="J2239" i="62906"/>
  <c r="J2240" i="62906"/>
  <c r="J2241" i="62906"/>
  <c r="B2229" i="62906"/>
  <c r="B2242" i="62906"/>
  <c r="J2242" i="62906"/>
  <c r="B2230" i="62906"/>
  <c r="B2249" i="62906"/>
  <c r="J2249" i="62906"/>
  <c r="B2231" i="62906"/>
  <c r="B2250" i="62906" s="1"/>
  <c r="J2250" i="62906"/>
  <c r="B2232" i="62906"/>
  <c r="B2251" i="62906" s="1"/>
  <c r="J2251" i="62906"/>
  <c r="D1738" i="62906"/>
  <c r="J81" i="2"/>
  <c r="C2172" i="62906"/>
  <c r="K19" i="2" s="1"/>
  <c r="K18" i="2"/>
  <c r="C2174" i="62906"/>
  <c r="V2187" i="62906"/>
  <c r="K17" i="2" s="1"/>
  <c r="Q1740" i="62906"/>
  <c r="J2195" i="62906"/>
  <c r="J2196" i="62906"/>
  <c r="J2197" i="62906"/>
  <c r="J2198" i="62906"/>
  <c r="J2199" i="62906"/>
  <c r="J2200" i="62906"/>
  <c r="J2208" i="62906"/>
  <c r="J2207" i="62906"/>
  <c r="Q1735" i="62906"/>
  <c r="Q1736" i="62906"/>
  <c r="D1737" i="62906"/>
  <c r="Q1737" i="62906"/>
  <c r="Q1738" i="62906"/>
  <c r="D1739" i="62906"/>
  <c r="Q1739" i="62906"/>
  <c r="K79" i="62905"/>
  <c r="I79" i="62905"/>
  <c r="J79" i="62905" s="1"/>
  <c r="D79" i="62905" s="1"/>
  <c r="H13" i="62905"/>
  <c r="K13" i="62905"/>
  <c r="N13" i="62905"/>
  <c r="Q13" i="62905"/>
  <c r="I13" i="62905"/>
  <c r="T13" i="62905" s="1"/>
  <c r="L13" i="62905"/>
  <c r="O13" i="62905"/>
  <c r="R13" i="62905"/>
  <c r="H14" i="62905"/>
  <c r="K14" i="62905"/>
  <c r="N14" i="62905"/>
  <c r="Q14" i="62905"/>
  <c r="I14" i="62905"/>
  <c r="T14" i="62905" s="1"/>
  <c r="L14" i="62905"/>
  <c r="O14" i="62905"/>
  <c r="R14" i="62905"/>
  <c r="H15" i="62905"/>
  <c r="K15" i="62905"/>
  <c r="N15" i="62905"/>
  <c r="Q15" i="62905"/>
  <c r="I15" i="62905"/>
  <c r="L15" i="62905"/>
  <c r="O15" i="62905"/>
  <c r="R15" i="62905"/>
  <c r="H23" i="62905"/>
  <c r="K23" i="62905"/>
  <c r="S23" i="62905" s="1"/>
  <c r="N23" i="62905"/>
  <c r="Q23" i="62905"/>
  <c r="I23" i="62905"/>
  <c r="L23" i="62905"/>
  <c r="O23" i="62905"/>
  <c r="T23" i="62905" s="1"/>
  <c r="R23" i="62905"/>
  <c r="H24" i="62905"/>
  <c r="K24" i="62905"/>
  <c r="N24" i="62905"/>
  <c r="Q24" i="62905"/>
  <c r="S24" i="62905"/>
  <c r="I24" i="62905"/>
  <c r="L24" i="62905"/>
  <c r="O24" i="62905"/>
  <c r="R24" i="62905"/>
  <c r="H25" i="62905"/>
  <c r="S25" i="62905" s="1"/>
  <c r="K25" i="62905"/>
  <c r="N25" i="62905"/>
  <c r="Q25" i="62905"/>
  <c r="I25" i="62905"/>
  <c r="L25" i="62905"/>
  <c r="O25" i="62905"/>
  <c r="R25" i="62905"/>
  <c r="H93" i="62905"/>
  <c r="I93" i="62905" s="1"/>
  <c r="D93" i="62905"/>
  <c r="H94" i="62905"/>
  <c r="I94" i="62905" s="1"/>
  <c r="D94" i="62905" s="1"/>
  <c r="H95" i="62905"/>
  <c r="I95" i="62905"/>
  <c r="D95" i="62905" s="1"/>
  <c r="H97" i="62905"/>
  <c r="I97" i="62905"/>
  <c r="D97" i="62905" s="1"/>
  <c r="H98" i="62905"/>
  <c r="I98" i="62905"/>
  <c r="D98" i="62905"/>
  <c r="H99" i="62905"/>
  <c r="I99" i="62905"/>
  <c r="D99" i="62905"/>
  <c r="H107" i="62905"/>
  <c r="I107" i="62905"/>
  <c r="D107" i="62905" s="1"/>
  <c r="H108" i="62905"/>
  <c r="I108" i="62905" s="1"/>
  <c r="D108" i="62905" s="1"/>
  <c r="H109" i="62905"/>
  <c r="I109" i="62905" s="1"/>
  <c r="D109" i="62905" s="1"/>
  <c r="E2319" i="62906"/>
  <c r="F2319" i="62906"/>
  <c r="D2319" i="62906"/>
  <c r="C2319" i="62906"/>
  <c r="H120" i="62905" s="1"/>
  <c r="I120" i="62905" s="1"/>
  <c r="D120" i="62905" s="1"/>
  <c r="E2320" i="62906"/>
  <c r="F2320" i="62906"/>
  <c r="D2320" i="62906"/>
  <c r="H122" i="62905"/>
  <c r="I122" i="62905" s="1"/>
  <c r="D122" i="62905" s="1"/>
  <c r="H56" i="11"/>
  <c r="K56" i="11" s="1"/>
  <c r="H55" i="11"/>
  <c r="K55" i="11"/>
  <c r="H57" i="11"/>
  <c r="K57" i="11" s="1"/>
  <c r="H13" i="11"/>
  <c r="K13" i="11"/>
  <c r="H14" i="11"/>
  <c r="K14" i="11"/>
  <c r="H15" i="11"/>
  <c r="K15" i="11"/>
  <c r="H16" i="11"/>
  <c r="K16" i="11"/>
  <c r="H27" i="11"/>
  <c r="K27" i="11" s="1"/>
  <c r="C1721" i="62906"/>
  <c r="H28" i="11" s="1"/>
  <c r="K28" i="11" s="1"/>
  <c r="M28" i="11" s="1"/>
  <c r="J28" i="11"/>
  <c r="L28" i="11" s="1"/>
  <c r="H29" i="11"/>
  <c r="K29" i="11" s="1"/>
  <c r="H30" i="11"/>
  <c r="K30" i="11"/>
  <c r="H41" i="11"/>
  <c r="K41" i="11"/>
  <c r="H42" i="11"/>
  <c r="K42" i="11"/>
  <c r="H43" i="11"/>
  <c r="K43" i="11"/>
  <c r="H44" i="11"/>
  <c r="K44" i="11" s="1"/>
  <c r="C1843" i="62906"/>
  <c r="C1840" i="62906"/>
  <c r="G68" i="11" s="1"/>
  <c r="J68" i="11" s="1"/>
  <c r="L68" i="11" s="1"/>
  <c r="I68" i="11"/>
  <c r="K68" i="11"/>
  <c r="G69" i="11"/>
  <c r="J69" i="11"/>
  <c r="E1846" i="62906"/>
  <c r="E1847" i="62906" s="1"/>
  <c r="E1848" i="62906" s="1"/>
  <c r="E1849" i="62906" s="1"/>
  <c r="E1850" i="62906" s="1"/>
  <c r="E1851" i="62906" s="1"/>
  <c r="E1852" i="62906" s="1"/>
  <c r="E1853" i="62906"/>
  <c r="E1854" i="62906" s="1"/>
  <c r="E1855" i="62906" s="1"/>
  <c r="I69" i="11" s="1"/>
  <c r="K69" i="11" s="1"/>
  <c r="C1837" i="62906"/>
  <c r="G70" i="11"/>
  <c r="J70" i="11" s="1"/>
  <c r="E1828" i="62906"/>
  <c r="E1829" i="62906" s="1"/>
  <c r="I70" i="11"/>
  <c r="K70" i="11"/>
  <c r="L70" i="11" s="1"/>
  <c r="G71" i="11"/>
  <c r="J71" i="11" s="1"/>
  <c r="G82" i="11"/>
  <c r="J82" i="11"/>
  <c r="G83" i="11"/>
  <c r="J83" i="11"/>
  <c r="G84" i="11"/>
  <c r="J84" i="11" s="1"/>
  <c r="H14" i="7"/>
  <c r="J14" i="7" s="1"/>
  <c r="D14" i="7" s="1"/>
  <c r="H15" i="7"/>
  <c r="J15" i="7"/>
  <c r="D15" i="7"/>
  <c r="H16" i="7"/>
  <c r="J16" i="7" s="1"/>
  <c r="D16" i="7" s="1"/>
  <c r="H17" i="7"/>
  <c r="J17" i="7" s="1"/>
  <c r="D17" i="7" s="1"/>
  <c r="H28" i="7"/>
  <c r="J28" i="7" s="1"/>
  <c r="D28" i="7"/>
  <c r="H29" i="7"/>
  <c r="J29" i="7" s="1"/>
  <c r="D29" i="7" s="1"/>
  <c r="H30" i="7"/>
  <c r="J30" i="7"/>
  <c r="D30" i="7" s="1"/>
  <c r="H31" i="7"/>
  <c r="J31" i="7"/>
  <c r="D31" i="7" s="1"/>
  <c r="H42" i="7"/>
  <c r="J42" i="7"/>
  <c r="D42" i="7"/>
  <c r="H43" i="7"/>
  <c r="J43" i="7" s="1"/>
  <c r="D43" i="7" s="1"/>
  <c r="D47" i="7" s="1"/>
  <c r="D201" i="7" s="1"/>
  <c r="C23" i="62892" s="1"/>
  <c r="H44" i="7"/>
  <c r="J44" i="7"/>
  <c r="D44" i="7"/>
  <c r="H45" i="7"/>
  <c r="J45" i="7"/>
  <c r="D45" i="7" s="1"/>
  <c r="H56" i="7"/>
  <c r="J56" i="7"/>
  <c r="D56" i="7"/>
  <c r="H57" i="7"/>
  <c r="J57" i="7" s="1"/>
  <c r="D57" i="7" s="1"/>
  <c r="H58" i="7"/>
  <c r="J58" i="7"/>
  <c r="D58" i="7"/>
  <c r="D60" i="7"/>
  <c r="D202" i="7" s="1"/>
  <c r="C24" i="62892" s="1"/>
  <c r="H69" i="7"/>
  <c r="J69" i="7" s="1"/>
  <c r="D69" i="7" s="1"/>
  <c r="H70" i="7"/>
  <c r="J70" i="7" s="1"/>
  <c r="D70" i="7"/>
  <c r="H71" i="7"/>
  <c r="J71" i="7"/>
  <c r="D71" i="7"/>
  <c r="H72" i="7"/>
  <c r="J72" i="7" s="1"/>
  <c r="D72" i="7" s="1"/>
  <c r="G80" i="7"/>
  <c r="I80" i="7"/>
  <c r="D80" i="7"/>
  <c r="G81" i="7"/>
  <c r="I81" i="7"/>
  <c r="D81" i="7"/>
  <c r="G82" i="7"/>
  <c r="I82" i="7"/>
  <c r="D82" i="7" s="1"/>
  <c r="G83" i="7"/>
  <c r="I83" i="7"/>
  <c r="D83" i="7" s="1"/>
  <c r="C1834" i="62906"/>
  <c r="G94" i="7"/>
  <c r="I94" i="7"/>
  <c r="D94" i="7"/>
  <c r="G95" i="7"/>
  <c r="I95" i="7" s="1"/>
  <c r="D95" i="7" s="1"/>
  <c r="G96" i="7"/>
  <c r="I96" i="7"/>
  <c r="D96" i="7"/>
  <c r="G97" i="7"/>
  <c r="I97" i="7" s="1"/>
  <c r="D97" i="7" s="1"/>
  <c r="G108" i="7"/>
  <c r="I108" i="7"/>
  <c r="D108" i="7" s="1"/>
  <c r="G109" i="7"/>
  <c r="I109" i="7" s="1"/>
  <c r="D109" i="7" s="1"/>
  <c r="G110" i="7"/>
  <c r="I110" i="7" s="1"/>
  <c r="D110" i="7" s="1"/>
  <c r="G111" i="7"/>
  <c r="I111" i="7"/>
  <c r="D111" i="7"/>
  <c r="G112" i="7"/>
  <c r="I112" i="7" s="1"/>
  <c r="D112" i="7" s="1"/>
  <c r="G115" i="7"/>
  <c r="I115" i="7"/>
  <c r="D115" i="7"/>
  <c r="G116" i="7"/>
  <c r="I116" i="7"/>
  <c r="D116" i="7" s="1"/>
  <c r="G117" i="7"/>
  <c r="I117" i="7" s="1"/>
  <c r="D117" i="7" s="1"/>
  <c r="G118" i="7"/>
  <c r="I118" i="7"/>
  <c r="D118" i="7" s="1"/>
  <c r="G119" i="7"/>
  <c r="I119" i="7" s="1"/>
  <c r="D119" i="7" s="1"/>
  <c r="G122" i="7"/>
  <c r="I122" i="7"/>
  <c r="D122" i="7" s="1"/>
  <c r="G123" i="7"/>
  <c r="I123" i="7" s="1"/>
  <c r="D123" i="7" s="1"/>
  <c r="G124" i="7"/>
  <c r="I124" i="7" s="1"/>
  <c r="D124" i="7" s="1"/>
  <c r="G125" i="7"/>
  <c r="I125" i="7" s="1"/>
  <c r="D125" i="7" s="1"/>
  <c r="G126" i="7"/>
  <c r="I126" i="7"/>
  <c r="D126" i="7" s="1"/>
  <c r="G129" i="7"/>
  <c r="I129" i="7" s="1"/>
  <c r="D129" i="7" s="1"/>
  <c r="G130" i="7"/>
  <c r="I130" i="7" s="1"/>
  <c r="D130" i="7" s="1"/>
  <c r="G131" i="7"/>
  <c r="I131" i="7" s="1"/>
  <c r="D131" i="7" s="1"/>
  <c r="G132" i="7"/>
  <c r="I132" i="7" s="1"/>
  <c r="D132" i="7" s="1"/>
  <c r="G133" i="7"/>
  <c r="I133" i="7" s="1"/>
  <c r="D133" i="7" s="1"/>
  <c r="D141" i="7"/>
  <c r="D143" i="7"/>
  <c r="D152" i="7"/>
  <c r="H163" i="7"/>
  <c r="J163" i="7" s="1"/>
  <c r="D163" i="7" s="1"/>
  <c r="H164" i="7"/>
  <c r="J164" i="7" s="1"/>
  <c r="D164" i="7" s="1"/>
  <c r="H165" i="7"/>
  <c r="J165" i="7" s="1"/>
  <c r="D165" i="7" s="1"/>
  <c r="G176" i="7"/>
  <c r="I176" i="7"/>
  <c r="D176" i="7" s="1"/>
  <c r="G177" i="7"/>
  <c r="I177" i="7" s="1"/>
  <c r="D177" i="7" s="1"/>
  <c r="G178" i="7"/>
  <c r="I178" i="7"/>
  <c r="D178" i="7" s="1"/>
  <c r="D91" i="2"/>
  <c r="I17" i="2"/>
  <c r="J17" i="2"/>
  <c r="D17" i="2"/>
  <c r="H28" i="2"/>
  <c r="I28" i="2"/>
  <c r="D28" i="2"/>
  <c r="H29" i="2"/>
  <c r="I29" i="2"/>
  <c r="D29" i="2" s="1"/>
  <c r="H30" i="2"/>
  <c r="I30" i="2" s="1"/>
  <c r="D30" i="2" s="1"/>
  <c r="H31" i="2"/>
  <c r="I31" i="2"/>
  <c r="D31" i="2" s="1"/>
  <c r="C2267" i="62906"/>
  <c r="H40" i="2" s="1"/>
  <c r="I40" i="2"/>
  <c r="D40" i="2" s="1"/>
  <c r="C2266" i="62906"/>
  <c r="H41" i="2" s="1"/>
  <c r="I41" i="2"/>
  <c r="D41" i="2" s="1"/>
  <c r="D43" i="2" s="1"/>
  <c r="H50" i="2"/>
  <c r="I50" i="2" s="1"/>
  <c r="D50" i="2" s="1"/>
  <c r="H52" i="2"/>
  <c r="I52" i="2" s="1"/>
  <c r="D52" i="2" s="1"/>
  <c r="H60" i="2"/>
  <c r="I60" i="2" s="1"/>
  <c r="D60" i="2" s="1"/>
  <c r="H61" i="2"/>
  <c r="I61" i="2" s="1"/>
  <c r="D61" i="2"/>
  <c r="H70" i="2"/>
  <c r="I70" i="2"/>
  <c r="D70" i="2" s="1"/>
  <c r="H72" i="2"/>
  <c r="I72" i="2"/>
  <c r="D72" i="2" s="1"/>
  <c r="H80" i="2"/>
  <c r="I80" i="2" s="1"/>
  <c r="D80" i="2" s="1"/>
  <c r="H81" i="2"/>
  <c r="I81" i="2" s="1"/>
  <c r="D81" i="2"/>
  <c r="G105" i="2"/>
  <c r="H105" i="2" s="1"/>
  <c r="D105" i="2" s="1"/>
  <c r="G107" i="2"/>
  <c r="H107" i="2" s="1"/>
  <c r="D107" i="2"/>
  <c r="G115" i="2"/>
  <c r="H115" i="2"/>
  <c r="D115" i="2" s="1"/>
  <c r="G116" i="2"/>
  <c r="H116" i="2" s="1"/>
  <c r="D116" i="2" s="1"/>
  <c r="G117" i="2"/>
  <c r="H117" i="2" s="1"/>
  <c r="D117" i="2" s="1"/>
  <c r="G118" i="2"/>
  <c r="H118" i="2" s="1"/>
  <c r="D118" i="2" s="1"/>
  <c r="G120" i="2"/>
  <c r="H120" i="2"/>
  <c r="D120" i="2" s="1"/>
  <c r="G121" i="2"/>
  <c r="H121" i="2"/>
  <c r="D121" i="2" s="1"/>
  <c r="G122" i="2"/>
  <c r="H122" i="2"/>
  <c r="D122" i="2" s="1"/>
  <c r="G130" i="2"/>
  <c r="H130" i="2"/>
  <c r="D130" i="2" s="1"/>
  <c r="G131" i="2"/>
  <c r="H131" i="2"/>
  <c r="D131" i="2" s="1"/>
  <c r="G132" i="2"/>
  <c r="H132" i="2" s="1"/>
  <c r="D132" i="2" s="1"/>
  <c r="I152" i="2"/>
  <c r="J152" i="2"/>
  <c r="M152" i="2" s="1"/>
  <c r="D152" i="2" s="1"/>
  <c r="K152" i="2"/>
  <c r="L152" i="2"/>
  <c r="K156" i="2"/>
  <c r="L156" i="2"/>
  <c r="I36" i="9"/>
  <c r="L36" i="9"/>
  <c r="D36" i="9" s="1"/>
  <c r="L37" i="9"/>
  <c r="D37" i="9"/>
  <c r="L38" i="9"/>
  <c r="D38" i="9" s="1"/>
  <c r="K46" i="9"/>
  <c r="D46" i="9"/>
  <c r="D50" i="9" s="1"/>
  <c r="K47" i="9"/>
  <c r="D47" i="9" s="1"/>
  <c r="K48" i="9"/>
  <c r="D48" i="9" s="1"/>
  <c r="L56" i="9"/>
  <c r="D56" i="9"/>
  <c r="L57" i="9"/>
  <c r="D57" i="9" s="1"/>
  <c r="L58" i="9"/>
  <c r="D58" i="9"/>
  <c r="L66" i="9"/>
  <c r="D66" i="9"/>
  <c r="L67" i="9"/>
  <c r="D67" i="9" s="1"/>
  <c r="L68" i="9"/>
  <c r="D68" i="9" s="1"/>
  <c r="L76" i="9"/>
  <c r="D76" i="9" s="1"/>
  <c r="D80" i="9" s="1"/>
  <c r="L77" i="9"/>
  <c r="D77" i="9"/>
  <c r="L78" i="9"/>
  <c r="D78" i="9"/>
  <c r="H15" i="9"/>
  <c r="J15" i="9" s="1"/>
  <c r="D15" i="9" s="1"/>
  <c r="J16" i="9"/>
  <c r="D16" i="9" s="1"/>
  <c r="J17" i="9"/>
  <c r="D17" i="9" s="1"/>
  <c r="J18" i="9"/>
  <c r="D18" i="9"/>
  <c r="U26" i="9"/>
  <c r="V26" i="9"/>
  <c r="U27" i="9"/>
  <c r="V27" i="9"/>
  <c r="U28" i="9"/>
  <c r="D28" i="9" s="1"/>
  <c r="V28" i="9"/>
  <c r="K126" i="9"/>
  <c r="D126" i="9"/>
  <c r="K127" i="9"/>
  <c r="D127" i="9" s="1"/>
  <c r="K128" i="9"/>
  <c r="D128" i="9"/>
  <c r="L136" i="9"/>
  <c r="D136" i="9"/>
  <c r="L137" i="9"/>
  <c r="D137" i="9" s="1"/>
  <c r="L138" i="9"/>
  <c r="D138" i="9" s="1"/>
  <c r="L146" i="9"/>
  <c r="D146" i="9" s="1"/>
  <c r="L147" i="9"/>
  <c r="D147" i="9"/>
  <c r="L148" i="9"/>
  <c r="D148" i="9" s="1"/>
  <c r="L156" i="9"/>
  <c r="D156" i="9"/>
  <c r="D160" i="9" s="1"/>
  <c r="L157" i="9"/>
  <c r="D157" i="9" s="1"/>
  <c r="L158" i="9"/>
  <c r="D158" i="9"/>
  <c r="U96" i="9"/>
  <c r="V96" i="9"/>
  <c r="U97" i="9"/>
  <c r="V97" i="9"/>
  <c r="U98" i="9"/>
  <c r="D98" i="9" s="1"/>
  <c r="E98" i="9" s="1"/>
  <c r="V98" i="9"/>
  <c r="O106" i="9"/>
  <c r="D106" i="9" s="1"/>
  <c r="D110" i="9" s="1"/>
  <c r="O107" i="9"/>
  <c r="D107" i="9" s="1"/>
  <c r="O108" i="9"/>
  <c r="D108" i="9" s="1"/>
  <c r="J116" i="9"/>
  <c r="D116" i="9"/>
  <c r="D120" i="9" s="1"/>
  <c r="J117" i="9"/>
  <c r="D117" i="9"/>
  <c r="J118" i="9"/>
  <c r="D118" i="9" s="1"/>
  <c r="L186" i="9"/>
  <c r="D186" i="9" s="1"/>
  <c r="D190" i="9" s="1"/>
  <c r="L187" i="9"/>
  <c r="D187" i="9"/>
  <c r="L188" i="9"/>
  <c r="D188" i="9" s="1"/>
  <c r="L196" i="9"/>
  <c r="D196" i="9"/>
  <c r="D200" i="9" s="1"/>
  <c r="L197" i="9"/>
  <c r="D197" i="9" s="1"/>
  <c r="L198" i="9"/>
  <c r="D198" i="9"/>
  <c r="L206" i="9"/>
  <c r="D206" i="9"/>
  <c r="L207" i="9"/>
  <c r="D207" i="9"/>
  <c r="L208" i="9"/>
  <c r="D208" i="9" s="1"/>
  <c r="D210" i="9"/>
  <c r="K216" i="9"/>
  <c r="D216" i="9"/>
  <c r="K217" i="9"/>
  <c r="D217" i="9" s="1"/>
  <c r="K218" i="9"/>
  <c r="D218" i="9"/>
  <c r="J176" i="9"/>
  <c r="D176" i="9" s="1"/>
  <c r="D180" i="9" s="1"/>
  <c r="J177" i="9"/>
  <c r="D177" i="9"/>
  <c r="J178" i="9"/>
  <c r="D178" i="9" s="1"/>
  <c r="C2393" i="62906"/>
  <c r="H237" i="9" s="1"/>
  <c r="H236" i="9"/>
  <c r="J236" i="9" s="1"/>
  <c r="D236" i="9" s="1"/>
  <c r="J237" i="9"/>
  <c r="D237" i="9"/>
  <c r="H238" i="9"/>
  <c r="J238" i="9"/>
  <c r="D238" i="9"/>
  <c r="H239" i="9"/>
  <c r="J239" i="9"/>
  <c r="D239" i="9"/>
  <c r="C2390" i="62906"/>
  <c r="H240" i="9"/>
  <c r="J240" i="9"/>
  <c r="D240" i="9"/>
  <c r="H248" i="9"/>
  <c r="J248" i="9" s="1"/>
  <c r="D248" i="9" s="1"/>
  <c r="D250" i="9" s="1"/>
  <c r="C88" i="62906"/>
  <c r="H13" i="1" s="1"/>
  <c r="K13" i="1"/>
  <c r="N13" i="1"/>
  <c r="I13" i="1"/>
  <c r="T13" i="1" s="1"/>
  <c r="L13" i="1"/>
  <c r="O13" i="1"/>
  <c r="R13" i="1"/>
  <c r="H14" i="1"/>
  <c r="K14" i="1"/>
  <c r="S14" i="1" s="1"/>
  <c r="D14" i="1" s="1"/>
  <c r="N14" i="1"/>
  <c r="Q14" i="1"/>
  <c r="D113" i="62906"/>
  <c r="I14" i="1"/>
  <c r="L14" i="1"/>
  <c r="T14" i="1" s="1"/>
  <c r="O14" i="1"/>
  <c r="R14" i="1"/>
  <c r="H15" i="1"/>
  <c r="K15" i="1"/>
  <c r="N15" i="1"/>
  <c r="Q15" i="1"/>
  <c r="I15" i="1"/>
  <c r="L15" i="1"/>
  <c r="T15" i="1" s="1"/>
  <c r="O15" i="1"/>
  <c r="R15" i="1"/>
  <c r="H16" i="1"/>
  <c r="K16" i="1"/>
  <c r="S16" i="1" s="1"/>
  <c r="N16" i="1"/>
  <c r="Q16" i="1"/>
  <c r="I16" i="1"/>
  <c r="T16" i="1" s="1"/>
  <c r="AH16" i="1" s="1"/>
  <c r="L16" i="1"/>
  <c r="O16" i="1"/>
  <c r="R16" i="1"/>
  <c r="H17" i="1"/>
  <c r="S17" i="1" s="1"/>
  <c r="K17" i="1"/>
  <c r="N17" i="1"/>
  <c r="Q17" i="1"/>
  <c r="D136" i="62906"/>
  <c r="I17" i="1" s="1"/>
  <c r="L17" i="1"/>
  <c r="O17" i="1"/>
  <c r="R17" i="1"/>
  <c r="H18" i="1"/>
  <c r="K18" i="1"/>
  <c r="N18" i="1"/>
  <c r="Q18" i="1"/>
  <c r="I18" i="1"/>
  <c r="T18" i="1" s="1"/>
  <c r="L18" i="1"/>
  <c r="O18" i="1"/>
  <c r="R18" i="1"/>
  <c r="H26" i="1"/>
  <c r="K26" i="1"/>
  <c r="N26" i="1"/>
  <c r="Q26" i="1"/>
  <c r="I26" i="1"/>
  <c r="L26" i="1"/>
  <c r="O26" i="1"/>
  <c r="R26" i="1"/>
  <c r="H27" i="1"/>
  <c r="K27" i="1"/>
  <c r="S27" i="1" s="1"/>
  <c r="N27" i="1"/>
  <c r="Q27" i="1"/>
  <c r="I27" i="1"/>
  <c r="L27" i="1"/>
  <c r="O27" i="1"/>
  <c r="R27" i="1"/>
  <c r="H28" i="1"/>
  <c r="K28" i="1"/>
  <c r="S28" i="1" s="1"/>
  <c r="N28" i="1"/>
  <c r="Q28" i="1"/>
  <c r="I28" i="1"/>
  <c r="L28" i="1"/>
  <c r="T28" i="1" s="1"/>
  <c r="O28" i="1"/>
  <c r="R28" i="1"/>
  <c r="I36" i="1"/>
  <c r="J36" i="1" s="1"/>
  <c r="M36" i="1" s="1"/>
  <c r="K36" i="1"/>
  <c r="L36" i="1" s="1"/>
  <c r="N36" i="1" s="1"/>
  <c r="I37" i="1"/>
  <c r="J37" i="1"/>
  <c r="M37" i="1" s="1"/>
  <c r="K37" i="1"/>
  <c r="L37" i="1" s="1"/>
  <c r="N37" i="1" s="1"/>
  <c r="I38" i="1"/>
  <c r="J38" i="1" s="1"/>
  <c r="M38" i="1" s="1"/>
  <c r="K38" i="1"/>
  <c r="L38" i="1" s="1"/>
  <c r="N38" i="1" s="1"/>
  <c r="I39" i="1"/>
  <c r="J39" i="1" s="1"/>
  <c r="M39" i="1" s="1"/>
  <c r="K39" i="1"/>
  <c r="L39" i="1" s="1"/>
  <c r="N39" i="1" s="1"/>
  <c r="H50" i="1"/>
  <c r="D173" i="62906"/>
  <c r="J50" i="1"/>
  <c r="N50" i="1" s="1"/>
  <c r="D50" i="1" s="1"/>
  <c r="L50" i="1"/>
  <c r="M50" i="1"/>
  <c r="H51" i="1"/>
  <c r="N51" i="1" s="1"/>
  <c r="D51" i="1" s="1"/>
  <c r="D174" i="62906"/>
  <c r="J51" i="1" s="1"/>
  <c r="L51" i="1"/>
  <c r="M51" i="1"/>
  <c r="H52" i="1"/>
  <c r="N52" i="1" s="1"/>
  <c r="D52" i="1" s="1"/>
  <c r="D175" i="62906"/>
  <c r="J52" i="1"/>
  <c r="L52" i="1"/>
  <c r="M52" i="1"/>
  <c r="H60" i="1"/>
  <c r="K60" i="1"/>
  <c r="H61" i="1"/>
  <c r="K61" i="1"/>
  <c r="H62" i="1"/>
  <c r="K62" i="1"/>
  <c r="H84" i="1"/>
  <c r="I84" i="1" s="1"/>
  <c r="H85" i="1"/>
  <c r="I85" i="1" s="1"/>
  <c r="D85" i="1" s="1"/>
  <c r="H86" i="1"/>
  <c r="I86" i="1" s="1"/>
  <c r="D86" i="1" s="1"/>
  <c r="H87" i="1"/>
  <c r="I87" i="1" s="1"/>
  <c r="D87" i="1" s="1"/>
  <c r="H95" i="1"/>
  <c r="I95" i="1" s="1"/>
  <c r="H96" i="1"/>
  <c r="I96" i="1" s="1"/>
  <c r="H97" i="1"/>
  <c r="I97" i="1" s="1"/>
  <c r="D97" i="1" s="1"/>
  <c r="H98" i="1"/>
  <c r="I98" i="1" s="1"/>
  <c r="D98" i="1" s="1"/>
  <c r="H99" i="1"/>
  <c r="I99" i="1" s="1"/>
  <c r="I107" i="1"/>
  <c r="K107" i="1" s="1"/>
  <c r="L107" i="1" s="1"/>
  <c r="J107" i="1"/>
  <c r="I108" i="1"/>
  <c r="K108" i="1" s="1"/>
  <c r="L108" i="1" s="1"/>
  <c r="D108" i="1" s="1"/>
  <c r="J108" i="1"/>
  <c r="C764" i="62906"/>
  <c r="I110" i="1" s="1"/>
  <c r="I109" i="1"/>
  <c r="K109" i="1" s="1"/>
  <c r="L109" i="1" s="1"/>
  <c r="D109" i="1" s="1"/>
  <c r="J109" i="1"/>
  <c r="J110" i="1"/>
  <c r="I118" i="1"/>
  <c r="J118" i="1"/>
  <c r="I119" i="1"/>
  <c r="K119" i="1" s="1"/>
  <c r="L119" i="1" s="1"/>
  <c r="D119" i="1" s="1"/>
  <c r="J119" i="1"/>
  <c r="I120" i="1"/>
  <c r="K120" i="1" s="1"/>
  <c r="L120" i="1" s="1"/>
  <c r="J120" i="1"/>
  <c r="I121" i="1"/>
  <c r="K121" i="1" s="1"/>
  <c r="L121" i="1" s="1"/>
  <c r="J121" i="1"/>
  <c r="H73" i="1"/>
  <c r="J73" i="1" s="1"/>
  <c r="H74" i="1"/>
  <c r="J74" i="1" s="1"/>
  <c r="H75" i="1"/>
  <c r="J75" i="1" s="1"/>
  <c r="H76" i="1"/>
  <c r="J76" i="1" s="1"/>
  <c r="I73" i="1"/>
  <c r="K73" i="1" s="1"/>
  <c r="I74" i="1"/>
  <c r="K74" i="1" s="1"/>
  <c r="I75" i="1"/>
  <c r="K75" i="1" s="1"/>
  <c r="I76" i="1"/>
  <c r="K76" i="1" s="1"/>
  <c r="F705" i="62906"/>
  <c r="C993" i="62906" s="1"/>
  <c r="C1004" i="62906"/>
  <c r="H24" i="3"/>
  <c r="J24" i="3" s="1"/>
  <c r="I24" i="3"/>
  <c r="D24" i="3"/>
  <c r="D26" i="3"/>
  <c r="H45" i="3"/>
  <c r="I45" i="3"/>
  <c r="D45" i="3"/>
  <c r="D47" i="3"/>
  <c r="H32" i="3"/>
  <c r="I32" i="3"/>
  <c r="D32" i="3" s="1"/>
  <c r="D39" i="3" s="1"/>
  <c r="H33" i="3"/>
  <c r="I33" i="3" s="1"/>
  <c r="D33" i="3" s="1"/>
  <c r="H34" i="3"/>
  <c r="I34" i="3" s="1"/>
  <c r="D34" i="3" s="1"/>
  <c r="H35" i="3"/>
  <c r="I35" i="3"/>
  <c r="D35" i="3"/>
  <c r="H36" i="3"/>
  <c r="I36" i="3" s="1"/>
  <c r="D36" i="3"/>
  <c r="H37" i="3"/>
  <c r="I37" i="3" s="1"/>
  <c r="D37" i="3" s="1"/>
  <c r="B56" i="3"/>
  <c r="H56" i="3"/>
  <c r="I56" i="3" s="1"/>
  <c r="D56" i="3" s="1"/>
  <c r="G56" i="3"/>
  <c r="B57" i="3"/>
  <c r="H57" i="3" s="1"/>
  <c r="I57" i="3" s="1"/>
  <c r="D57" i="3" s="1"/>
  <c r="G57" i="3"/>
  <c r="B58" i="3"/>
  <c r="H58" i="3" s="1"/>
  <c r="I58" i="3" s="1"/>
  <c r="D58" i="3" s="1"/>
  <c r="G58" i="3"/>
  <c r="B59" i="3"/>
  <c r="H59" i="3"/>
  <c r="G59" i="3"/>
  <c r="I59" i="3"/>
  <c r="D59" i="3"/>
  <c r="B60" i="3"/>
  <c r="H60" i="3"/>
  <c r="G60" i="3"/>
  <c r="B61" i="3"/>
  <c r="H61" i="3" s="1"/>
  <c r="I61" i="3" s="1"/>
  <c r="D61" i="3" s="1"/>
  <c r="G61" i="3"/>
  <c r="H69" i="3"/>
  <c r="I69" i="3" s="1"/>
  <c r="D69" i="3" s="1"/>
  <c r="D72" i="3" s="1"/>
  <c r="H70" i="3"/>
  <c r="I70" i="3"/>
  <c r="D70" i="3"/>
  <c r="H81" i="3"/>
  <c r="I81" i="3"/>
  <c r="D81" i="3"/>
  <c r="D85" i="3" s="1"/>
  <c r="D110" i="3" s="1"/>
  <c r="C17" i="62892" s="1"/>
  <c r="H82" i="3"/>
  <c r="I82" i="3"/>
  <c r="D82" i="3"/>
  <c r="H83" i="3"/>
  <c r="I83" i="3" s="1"/>
  <c r="D83" i="3" s="1"/>
  <c r="H94" i="3"/>
  <c r="I94" i="3"/>
  <c r="D94" i="3" s="1"/>
  <c r="H95" i="3"/>
  <c r="I95" i="3"/>
  <c r="D95" i="3" s="1"/>
  <c r="H96" i="3"/>
  <c r="I96" i="3"/>
  <c r="D96" i="3" s="1"/>
  <c r="I13" i="3"/>
  <c r="D13" i="3"/>
  <c r="D15" i="3"/>
  <c r="D107" i="3"/>
  <c r="C14" i="62892" s="1"/>
  <c r="H15" i="5"/>
  <c r="K15" i="5"/>
  <c r="N15" i="5"/>
  <c r="Q15" i="5"/>
  <c r="I15" i="5"/>
  <c r="T15" i="5" s="1"/>
  <c r="AH15" i="5" s="1"/>
  <c r="L15" i="5"/>
  <c r="O15" i="5"/>
  <c r="R15" i="5"/>
  <c r="H16" i="5"/>
  <c r="K16" i="5"/>
  <c r="N16" i="5"/>
  <c r="Q16" i="5"/>
  <c r="I16" i="5"/>
  <c r="L16" i="5"/>
  <c r="O16" i="5"/>
  <c r="R16" i="5"/>
  <c r="H17" i="5"/>
  <c r="K17" i="5"/>
  <c r="N17" i="5"/>
  <c r="Q17" i="5"/>
  <c r="I17" i="5"/>
  <c r="T17" i="5" s="1"/>
  <c r="L17" i="5"/>
  <c r="O17" i="5"/>
  <c r="R17" i="5"/>
  <c r="H19" i="5"/>
  <c r="K19" i="5"/>
  <c r="N19" i="5"/>
  <c r="Q19" i="5"/>
  <c r="I19" i="5"/>
  <c r="L19" i="5"/>
  <c r="O19" i="5"/>
  <c r="R19" i="5"/>
  <c r="H20" i="5"/>
  <c r="K20" i="5"/>
  <c r="S20" i="5" s="1"/>
  <c r="N20" i="5"/>
  <c r="Q20" i="5"/>
  <c r="I20" i="5"/>
  <c r="L20" i="5"/>
  <c r="O20" i="5"/>
  <c r="R20" i="5"/>
  <c r="T20" i="5" s="1"/>
  <c r="AA20" i="5" s="1"/>
  <c r="G28" i="5"/>
  <c r="R28" i="5" s="1"/>
  <c r="D28" i="5" s="1"/>
  <c r="H28" i="5"/>
  <c r="P28" i="5" s="1"/>
  <c r="S28" i="5" s="1"/>
  <c r="J28" i="5"/>
  <c r="L28" i="5"/>
  <c r="M28" i="5"/>
  <c r="I28" i="5"/>
  <c r="Q28" i="5" s="1"/>
  <c r="T28" i="5" s="1"/>
  <c r="K28" i="5"/>
  <c r="G29" i="5"/>
  <c r="R29" i="5"/>
  <c r="H29" i="5"/>
  <c r="P29" i="5" s="1"/>
  <c r="S29" i="5" s="1"/>
  <c r="J29" i="5"/>
  <c r="L29" i="5"/>
  <c r="M29" i="5"/>
  <c r="I29" i="5"/>
  <c r="K29" i="5"/>
  <c r="G30" i="5"/>
  <c r="R30" i="5"/>
  <c r="H30" i="5"/>
  <c r="P30" i="5" s="1"/>
  <c r="S30" i="5" s="1"/>
  <c r="J30" i="5"/>
  <c r="L30" i="5"/>
  <c r="M30" i="5"/>
  <c r="I30" i="5"/>
  <c r="K30" i="5"/>
  <c r="G31" i="5"/>
  <c r="R31" i="5"/>
  <c r="H31" i="5"/>
  <c r="J31" i="5"/>
  <c r="L31" i="5"/>
  <c r="M31" i="5"/>
  <c r="I31" i="5"/>
  <c r="Q31" i="5" s="1"/>
  <c r="T31" i="5" s="1"/>
  <c r="K31" i="5"/>
  <c r="G32" i="5"/>
  <c r="R32" i="5" s="1"/>
  <c r="D32" i="5" s="1"/>
  <c r="H32" i="5"/>
  <c r="J32" i="5"/>
  <c r="L32" i="5"/>
  <c r="M32" i="5"/>
  <c r="P32" i="5" s="1"/>
  <c r="S32" i="5" s="1"/>
  <c r="I32" i="5"/>
  <c r="Q32" i="5" s="1"/>
  <c r="T32" i="5" s="1"/>
  <c r="K32" i="5"/>
  <c r="G35" i="5"/>
  <c r="R35" i="5"/>
  <c r="P35" i="5"/>
  <c r="S35" i="5" s="1"/>
  <c r="Q35" i="5"/>
  <c r="T35" i="5"/>
  <c r="G36" i="5"/>
  <c r="R36" i="5" s="1"/>
  <c r="D36" i="5" s="1"/>
  <c r="P36" i="5"/>
  <c r="S36" i="5"/>
  <c r="Q36" i="5"/>
  <c r="T36" i="5"/>
  <c r="G37" i="5"/>
  <c r="R37" i="5"/>
  <c r="P37" i="5"/>
  <c r="S37" i="5" s="1"/>
  <c r="D37" i="5" s="1"/>
  <c r="Q37" i="5"/>
  <c r="T37" i="5" s="1"/>
  <c r="G38" i="5"/>
  <c r="R38" i="5"/>
  <c r="P38" i="5"/>
  <c r="S38" i="5"/>
  <c r="Q38" i="5"/>
  <c r="T38" i="5" s="1"/>
  <c r="G39" i="5"/>
  <c r="R39" i="5"/>
  <c r="P39" i="5"/>
  <c r="S39" i="5" s="1"/>
  <c r="Q39" i="5"/>
  <c r="T39" i="5"/>
  <c r="D39" i="5" s="1"/>
  <c r="G47" i="5"/>
  <c r="M47" i="5"/>
  <c r="L47" i="5"/>
  <c r="N47" i="5"/>
  <c r="H47" i="5"/>
  <c r="J47" i="5"/>
  <c r="I47" i="5"/>
  <c r="K47" i="5"/>
  <c r="B48" i="5"/>
  <c r="G48" i="5"/>
  <c r="M48" i="5"/>
  <c r="L48" i="5"/>
  <c r="N48" i="5"/>
  <c r="P48" i="5"/>
  <c r="S48" i="5"/>
  <c r="D48" i="5" s="1"/>
  <c r="H48" i="5"/>
  <c r="J48" i="5"/>
  <c r="Q48" i="5" s="1"/>
  <c r="T48" i="5" s="1"/>
  <c r="I48" i="5"/>
  <c r="R48" i="5" s="1"/>
  <c r="U48" i="5" s="1"/>
  <c r="K48" i="5"/>
  <c r="B49" i="5"/>
  <c r="N49" i="5" s="1"/>
  <c r="H49" i="5"/>
  <c r="J49" i="5"/>
  <c r="I49" i="5"/>
  <c r="B50" i="5"/>
  <c r="J50" i="5" s="1"/>
  <c r="G50" i="5"/>
  <c r="N50" i="5"/>
  <c r="I50" i="5"/>
  <c r="K50" i="5"/>
  <c r="B51" i="5"/>
  <c r="B52" i="5"/>
  <c r="H52" i="5" s="1"/>
  <c r="G52" i="5"/>
  <c r="M52" i="5"/>
  <c r="N52" i="5"/>
  <c r="I52" i="5"/>
  <c r="B53" i="5"/>
  <c r="G53" i="5"/>
  <c r="M53" i="5"/>
  <c r="L53" i="5"/>
  <c r="N53" i="5"/>
  <c r="P53" i="5"/>
  <c r="S53" i="5" s="1"/>
  <c r="D53" i="5" s="1"/>
  <c r="H53" i="5"/>
  <c r="J53" i="5"/>
  <c r="Q53" i="5"/>
  <c r="T53" i="5" s="1"/>
  <c r="I53" i="5"/>
  <c r="K53" i="5"/>
  <c r="R53" i="5"/>
  <c r="U53" i="5" s="1"/>
  <c r="B54" i="5"/>
  <c r="N54" i="5" s="1"/>
  <c r="G54" i="5"/>
  <c r="M54" i="5"/>
  <c r="P54" i="5" s="1"/>
  <c r="S54" i="5" s="1"/>
  <c r="L54" i="5"/>
  <c r="H54" i="5"/>
  <c r="J54" i="5"/>
  <c r="I54" i="5"/>
  <c r="K54" i="5"/>
  <c r="B55" i="5"/>
  <c r="J55" i="5" s="1"/>
  <c r="M55" i="5"/>
  <c r="L55" i="5"/>
  <c r="N55" i="5"/>
  <c r="H55" i="5"/>
  <c r="Q55" i="5" s="1"/>
  <c r="T55" i="5" s="1"/>
  <c r="K55" i="5"/>
  <c r="B56" i="5"/>
  <c r="K56" i="5" s="1"/>
  <c r="M56" i="5"/>
  <c r="L56" i="5"/>
  <c r="H56" i="5"/>
  <c r="B57" i="5"/>
  <c r="I57" i="5" s="1"/>
  <c r="R57" i="5" s="1"/>
  <c r="U57" i="5" s="1"/>
  <c r="G57" i="5"/>
  <c r="M57" i="5"/>
  <c r="L57" i="5"/>
  <c r="N57" i="5"/>
  <c r="P57" i="5"/>
  <c r="S57" i="5" s="1"/>
  <c r="H57" i="5"/>
  <c r="J57" i="5"/>
  <c r="K57" i="5"/>
  <c r="B58" i="5"/>
  <c r="G58" i="5"/>
  <c r="P58" i="5" s="1"/>
  <c r="S58" i="5" s="1"/>
  <c r="M58" i="5"/>
  <c r="L58" i="5"/>
  <c r="N58" i="5"/>
  <c r="H58" i="5"/>
  <c r="J58" i="5"/>
  <c r="Q58" i="5"/>
  <c r="T58" i="5" s="1"/>
  <c r="I58" i="5"/>
  <c r="R58" i="5" s="1"/>
  <c r="U58" i="5" s="1"/>
  <c r="K58" i="5"/>
  <c r="B59" i="5"/>
  <c r="N59" i="5" s="1"/>
  <c r="B60" i="5"/>
  <c r="J60" i="5" s="1"/>
  <c r="G60" i="5"/>
  <c r="I60" i="5"/>
  <c r="P63" i="5"/>
  <c r="S63" i="5"/>
  <c r="Q63" i="5"/>
  <c r="T63" i="5"/>
  <c r="R63" i="5"/>
  <c r="U63" i="5"/>
  <c r="D63" i="5"/>
  <c r="P64" i="5"/>
  <c r="S64" i="5"/>
  <c r="Q64" i="5"/>
  <c r="T64" i="5"/>
  <c r="D64" i="5" s="1"/>
  <c r="R64" i="5"/>
  <c r="U64" i="5" s="1"/>
  <c r="P65" i="5"/>
  <c r="S65" i="5" s="1"/>
  <c r="D65" i="5" s="1"/>
  <c r="Q65" i="5"/>
  <c r="T65" i="5" s="1"/>
  <c r="R65" i="5"/>
  <c r="U65" i="5" s="1"/>
  <c r="P66" i="5"/>
  <c r="S66" i="5"/>
  <c r="Q66" i="5"/>
  <c r="T66" i="5"/>
  <c r="R66" i="5"/>
  <c r="U66" i="5"/>
  <c r="D66" i="5"/>
  <c r="P67" i="5"/>
  <c r="S67" i="5"/>
  <c r="D67" i="5" s="1"/>
  <c r="Q67" i="5"/>
  <c r="T67" i="5"/>
  <c r="R67" i="5"/>
  <c r="U67" i="5"/>
  <c r="H75" i="5"/>
  <c r="O75" i="5" s="1"/>
  <c r="D75" i="5" s="1"/>
  <c r="L75" i="5"/>
  <c r="I75" i="5"/>
  <c r="M75" i="5"/>
  <c r="P75" i="5"/>
  <c r="J75" i="5"/>
  <c r="N75" i="5"/>
  <c r="Q75" i="5"/>
  <c r="H76" i="5"/>
  <c r="L76" i="5"/>
  <c r="I76" i="5"/>
  <c r="M76" i="5"/>
  <c r="P76" i="5"/>
  <c r="J76" i="5"/>
  <c r="N76" i="5"/>
  <c r="Q76" i="5" s="1"/>
  <c r="H77" i="5"/>
  <c r="O77" i="5" s="1"/>
  <c r="D77" i="5" s="1"/>
  <c r="L77" i="5"/>
  <c r="I77" i="5"/>
  <c r="M77" i="5"/>
  <c r="P77" i="5"/>
  <c r="J77" i="5"/>
  <c r="N77" i="5"/>
  <c r="Q77" i="5"/>
  <c r="H88" i="5"/>
  <c r="K88" i="5"/>
  <c r="N88" i="5"/>
  <c r="S88" i="5" s="1"/>
  <c r="Q88" i="5"/>
  <c r="I88" i="5"/>
  <c r="T88" i="5" s="1"/>
  <c r="U88" i="5" s="1"/>
  <c r="L88" i="5"/>
  <c r="O88" i="5"/>
  <c r="R88" i="5"/>
  <c r="H89" i="5"/>
  <c r="S89" i="5" s="1"/>
  <c r="K89" i="5"/>
  <c r="N89" i="5"/>
  <c r="Q89" i="5"/>
  <c r="I89" i="5"/>
  <c r="L89" i="5"/>
  <c r="O89" i="5"/>
  <c r="R89" i="5"/>
  <c r="H90" i="5"/>
  <c r="K90" i="5"/>
  <c r="S90" i="5" s="1"/>
  <c r="N90" i="5"/>
  <c r="Q90" i="5"/>
  <c r="I90" i="5"/>
  <c r="T90" i="5" s="1"/>
  <c r="L90" i="5"/>
  <c r="O90" i="5"/>
  <c r="R90" i="5"/>
  <c r="H98" i="5"/>
  <c r="K98" i="5"/>
  <c r="I98" i="5"/>
  <c r="H99" i="5"/>
  <c r="K99" i="5" s="1"/>
  <c r="I99" i="5"/>
  <c r="L99" i="5" s="1"/>
  <c r="H100" i="5"/>
  <c r="K100" i="5" s="1"/>
  <c r="I100" i="5"/>
  <c r="L100" i="5"/>
  <c r="J100" i="5"/>
  <c r="M100" i="5" s="1"/>
  <c r="H111" i="5"/>
  <c r="I111" i="5" s="1"/>
  <c r="H119" i="5"/>
  <c r="H127" i="5"/>
  <c r="K127" i="5"/>
  <c r="N127" i="5"/>
  <c r="Q127" i="5"/>
  <c r="I127" i="5"/>
  <c r="T127" i="5" s="1"/>
  <c r="L127" i="5"/>
  <c r="O127" i="5"/>
  <c r="R127" i="5"/>
  <c r="H128" i="5"/>
  <c r="K128" i="5"/>
  <c r="N128" i="5"/>
  <c r="Q128" i="5"/>
  <c r="S128" i="5" s="1"/>
  <c r="D128" i="5" s="1"/>
  <c r="I128" i="5"/>
  <c r="T128" i="5" s="1"/>
  <c r="L128" i="5"/>
  <c r="O128" i="5"/>
  <c r="R128" i="5"/>
  <c r="H129" i="5"/>
  <c r="K129" i="5"/>
  <c r="N129" i="5"/>
  <c r="Q129" i="5"/>
  <c r="I129" i="5"/>
  <c r="L129" i="5"/>
  <c r="O129" i="5"/>
  <c r="R129" i="5"/>
  <c r="H137" i="5"/>
  <c r="I137" i="5"/>
  <c r="D137" i="5" s="1"/>
  <c r="D141" i="5" s="1"/>
  <c r="H138" i="5"/>
  <c r="I138" i="5" s="1"/>
  <c r="D138" i="5" s="1"/>
  <c r="H139" i="5"/>
  <c r="I139" i="5" s="1"/>
  <c r="D139" i="5" s="1"/>
  <c r="H150" i="5"/>
  <c r="K150" i="5"/>
  <c r="N150" i="5"/>
  <c r="Q150" i="5"/>
  <c r="I150" i="5"/>
  <c r="T150" i="5" s="1"/>
  <c r="L150" i="5"/>
  <c r="O150" i="5"/>
  <c r="R150" i="5"/>
  <c r="H151" i="5"/>
  <c r="K151" i="5"/>
  <c r="N151" i="5"/>
  <c r="Q151" i="5"/>
  <c r="I151" i="5"/>
  <c r="T151" i="5" s="1"/>
  <c r="L151" i="5"/>
  <c r="O151" i="5"/>
  <c r="R151" i="5"/>
  <c r="H152" i="5"/>
  <c r="K152" i="5"/>
  <c r="N152" i="5"/>
  <c r="Q152" i="5"/>
  <c r="I152" i="5"/>
  <c r="L152" i="5"/>
  <c r="O152" i="5"/>
  <c r="R152" i="5"/>
  <c r="H154" i="5"/>
  <c r="K154" i="5"/>
  <c r="N154" i="5"/>
  <c r="Q154" i="5"/>
  <c r="I154" i="5"/>
  <c r="L154" i="5"/>
  <c r="O154" i="5"/>
  <c r="R154" i="5"/>
  <c r="H155" i="5"/>
  <c r="K155" i="5"/>
  <c r="S155" i="5" s="1"/>
  <c r="N155" i="5"/>
  <c r="Q155" i="5"/>
  <c r="I155" i="5"/>
  <c r="L155" i="5"/>
  <c r="O155" i="5"/>
  <c r="R155" i="5"/>
  <c r="H163" i="5"/>
  <c r="M163" i="5" s="1"/>
  <c r="D163" i="5" s="1"/>
  <c r="K163" i="5"/>
  <c r="I163" i="5"/>
  <c r="L163" i="5"/>
  <c r="N163" i="5"/>
  <c r="H164" i="5"/>
  <c r="K164" i="5"/>
  <c r="M164" i="5"/>
  <c r="D164" i="5" s="1"/>
  <c r="I164" i="5"/>
  <c r="L164" i="5"/>
  <c r="N164" i="5"/>
  <c r="H165" i="5"/>
  <c r="M165" i="5" s="1"/>
  <c r="D165" i="5" s="1"/>
  <c r="K165" i="5"/>
  <c r="I165" i="5"/>
  <c r="L165" i="5"/>
  <c r="N165" i="5"/>
  <c r="H173" i="5"/>
  <c r="K173" i="5"/>
  <c r="M173" i="5"/>
  <c r="D173" i="5" s="1"/>
  <c r="I173" i="5"/>
  <c r="N173" i="5" s="1"/>
  <c r="L173" i="5"/>
  <c r="H174" i="5"/>
  <c r="M174" i="5" s="1"/>
  <c r="D174" i="5" s="1"/>
  <c r="K174" i="5"/>
  <c r="I174" i="5"/>
  <c r="L174" i="5"/>
  <c r="N174" i="5"/>
  <c r="H175" i="5"/>
  <c r="M175" i="5" s="1"/>
  <c r="K175" i="5"/>
  <c r="I175" i="5"/>
  <c r="N175" i="5" s="1"/>
  <c r="L175" i="5"/>
  <c r="H183" i="5"/>
  <c r="K183" i="5"/>
  <c r="M183" i="5" s="1"/>
  <c r="D183" i="5" s="1"/>
  <c r="I183" i="5"/>
  <c r="L183" i="5"/>
  <c r="N183" i="5"/>
  <c r="H184" i="5"/>
  <c r="M184" i="5" s="1"/>
  <c r="D184" i="5" s="1"/>
  <c r="K184" i="5"/>
  <c r="I184" i="5"/>
  <c r="L184" i="5"/>
  <c r="N184" i="5" s="1"/>
  <c r="H185" i="5"/>
  <c r="K185" i="5"/>
  <c r="M185" i="5"/>
  <c r="I185" i="5"/>
  <c r="N185" i="5" s="1"/>
  <c r="L185" i="5"/>
  <c r="H193" i="5"/>
  <c r="M193" i="5" s="1"/>
  <c r="K193" i="5"/>
  <c r="I193" i="5"/>
  <c r="L193" i="5"/>
  <c r="N193" i="5"/>
  <c r="H194" i="5"/>
  <c r="K194" i="5"/>
  <c r="M194" i="5"/>
  <c r="D194" i="5" s="1"/>
  <c r="I194" i="5"/>
  <c r="N194" i="5" s="1"/>
  <c r="L194" i="5"/>
  <c r="H195" i="5"/>
  <c r="M195" i="5" s="1"/>
  <c r="D195" i="5" s="1"/>
  <c r="K195" i="5"/>
  <c r="I195" i="5"/>
  <c r="L195" i="5"/>
  <c r="N195" i="5"/>
  <c r="H203" i="5"/>
  <c r="J203" i="5" s="1"/>
  <c r="D203" i="5" s="1"/>
  <c r="I203" i="5"/>
  <c r="K203" i="5"/>
  <c r="H204" i="5"/>
  <c r="J204" i="5" s="1"/>
  <c r="D204" i="5" s="1"/>
  <c r="I204" i="5"/>
  <c r="K204" i="5" s="1"/>
  <c r="H205" i="5"/>
  <c r="J205" i="5"/>
  <c r="I205" i="5"/>
  <c r="K205" i="5" s="1"/>
  <c r="H217" i="5"/>
  <c r="K217" i="5"/>
  <c r="N217" i="5"/>
  <c r="Q217" i="5"/>
  <c r="I217" i="5"/>
  <c r="L217" i="5"/>
  <c r="O217" i="5"/>
  <c r="R217" i="5"/>
  <c r="H218" i="5"/>
  <c r="S218" i="5" s="1"/>
  <c r="K218" i="5"/>
  <c r="N218" i="5"/>
  <c r="Q218" i="5"/>
  <c r="I218" i="5"/>
  <c r="L218" i="5"/>
  <c r="O218" i="5"/>
  <c r="R218" i="5"/>
  <c r="T218" i="5" s="1"/>
  <c r="H219" i="5"/>
  <c r="K219" i="5"/>
  <c r="N219" i="5"/>
  <c r="Q219" i="5"/>
  <c r="S219" i="5"/>
  <c r="I219" i="5"/>
  <c r="L219" i="5"/>
  <c r="O219" i="5"/>
  <c r="R219" i="5"/>
  <c r="H221" i="5"/>
  <c r="S221" i="5" s="1"/>
  <c r="K221" i="5"/>
  <c r="N221" i="5"/>
  <c r="Q221" i="5"/>
  <c r="I221" i="5"/>
  <c r="L221" i="5"/>
  <c r="O221" i="5"/>
  <c r="R221" i="5"/>
  <c r="H222" i="5"/>
  <c r="K222" i="5"/>
  <c r="N222" i="5"/>
  <c r="Q222" i="5"/>
  <c r="I222" i="5"/>
  <c r="L222" i="5"/>
  <c r="O222" i="5"/>
  <c r="R222" i="5"/>
  <c r="G230" i="5"/>
  <c r="R230" i="5" s="1"/>
  <c r="D230" i="5" s="1"/>
  <c r="H230" i="5"/>
  <c r="J230" i="5"/>
  <c r="L230" i="5"/>
  <c r="M230" i="5"/>
  <c r="P230" i="5" s="1"/>
  <c r="S230" i="5" s="1"/>
  <c r="I230" i="5"/>
  <c r="K230" i="5"/>
  <c r="Q230" i="5"/>
  <c r="T230" i="5" s="1"/>
  <c r="G231" i="5"/>
  <c r="R231" i="5"/>
  <c r="H231" i="5"/>
  <c r="J231" i="5"/>
  <c r="L231" i="5"/>
  <c r="M231" i="5"/>
  <c r="Q231" i="5" s="1"/>
  <c r="T231" i="5" s="1"/>
  <c r="P231" i="5"/>
  <c r="S231" i="5" s="1"/>
  <c r="I231" i="5"/>
  <c r="K231" i="5"/>
  <c r="G232" i="5"/>
  <c r="R232" i="5"/>
  <c r="H232" i="5"/>
  <c r="J232" i="5"/>
  <c r="P232" i="5" s="1"/>
  <c r="S232" i="5" s="1"/>
  <c r="L232" i="5"/>
  <c r="M232" i="5"/>
  <c r="I232" i="5"/>
  <c r="K232" i="5"/>
  <c r="G233" i="5"/>
  <c r="R233" i="5" s="1"/>
  <c r="D233" i="5" s="1"/>
  <c r="H233" i="5"/>
  <c r="J233" i="5"/>
  <c r="L233" i="5"/>
  <c r="M233" i="5"/>
  <c r="P233" i="5"/>
  <c r="S233" i="5" s="1"/>
  <c r="I233" i="5"/>
  <c r="K233" i="5"/>
  <c r="Q233" i="5"/>
  <c r="T233" i="5"/>
  <c r="G234" i="5"/>
  <c r="R234" i="5" s="1"/>
  <c r="H234" i="5"/>
  <c r="P234" i="5" s="1"/>
  <c r="S234" i="5" s="1"/>
  <c r="J234" i="5"/>
  <c r="L234" i="5"/>
  <c r="M234" i="5"/>
  <c r="I234" i="5"/>
  <c r="Q234" i="5" s="1"/>
  <c r="T234" i="5" s="1"/>
  <c r="K234" i="5"/>
  <c r="G237" i="5"/>
  <c r="R237" i="5" s="1"/>
  <c r="P237" i="5"/>
  <c r="S237" i="5" s="1"/>
  <c r="Q237" i="5"/>
  <c r="T237" i="5"/>
  <c r="D237" i="5"/>
  <c r="G238" i="5"/>
  <c r="R238" i="5"/>
  <c r="D238" i="5" s="1"/>
  <c r="P238" i="5"/>
  <c r="S238" i="5"/>
  <c r="Q238" i="5"/>
  <c r="T238" i="5"/>
  <c r="G239" i="5"/>
  <c r="R239" i="5"/>
  <c r="D239" i="5" s="1"/>
  <c r="P239" i="5"/>
  <c r="S239" i="5" s="1"/>
  <c r="Q239" i="5"/>
  <c r="T239" i="5"/>
  <c r="G240" i="5"/>
  <c r="R240" i="5" s="1"/>
  <c r="P240" i="5"/>
  <c r="S240" i="5"/>
  <c r="Q240" i="5"/>
  <c r="T240" i="5"/>
  <c r="G241" i="5"/>
  <c r="R241" i="5" s="1"/>
  <c r="P241" i="5"/>
  <c r="S241" i="5" s="1"/>
  <c r="Q241" i="5"/>
  <c r="T241" i="5" s="1"/>
  <c r="B249" i="5"/>
  <c r="H249" i="5" s="1"/>
  <c r="J249" i="5"/>
  <c r="I249" i="5"/>
  <c r="B250" i="5"/>
  <c r="I250" i="5" s="1"/>
  <c r="G250" i="5"/>
  <c r="L250" i="5"/>
  <c r="N250" i="5"/>
  <c r="J250" i="5"/>
  <c r="K250" i="5"/>
  <c r="B251" i="5"/>
  <c r="B252" i="5"/>
  <c r="H252" i="5" s="1"/>
  <c r="B253" i="5"/>
  <c r="L253" i="5" s="1"/>
  <c r="G253" i="5"/>
  <c r="M253" i="5"/>
  <c r="N253" i="5"/>
  <c r="P253" i="5"/>
  <c r="S253" i="5" s="1"/>
  <c r="H253" i="5"/>
  <c r="J253" i="5"/>
  <c r="Q253" i="5"/>
  <c r="T253" i="5"/>
  <c r="K253" i="5"/>
  <c r="B254" i="5"/>
  <c r="G254" i="5" s="1"/>
  <c r="L254" i="5"/>
  <c r="I254" i="5"/>
  <c r="B255" i="5"/>
  <c r="G255" i="5" s="1"/>
  <c r="M255" i="5"/>
  <c r="N255" i="5"/>
  <c r="H255" i="5"/>
  <c r="B256" i="5"/>
  <c r="L256" i="5" s="1"/>
  <c r="G256" i="5"/>
  <c r="P256" i="5" s="1"/>
  <c r="S256" i="5" s="1"/>
  <c r="M256" i="5"/>
  <c r="N256" i="5"/>
  <c r="J256" i="5"/>
  <c r="I256" i="5"/>
  <c r="K256" i="5"/>
  <c r="B257" i="5"/>
  <c r="H257" i="5" s="1"/>
  <c r="G257" i="5"/>
  <c r="M257" i="5"/>
  <c r="L257" i="5"/>
  <c r="J257" i="5"/>
  <c r="K257" i="5"/>
  <c r="B258" i="5"/>
  <c r="I258" i="5" s="1"/>
  <c r="H258" i="5"/>
  <c r="K258" i="5"/>
  <c r="B259" i="5"/>
  <c r="G259" i="5" s="1"/>
  <c r="L259" i="5"/>
  <c r="I259" i="5"/>
  <c r="B260" i="5"/>
  <c r="G260" i="5" s="1"/>
  <c r="M260" i="5"/>
  <c r="N260" i="5"/>
  <c r="H260" i="5"/>
  <c r="B261" i="5"/>
  <c r="L261" i="5" s="1"/>
  <c r="G261" i="5"/>
  <c r="M261" i="5"/>
  <c r="N261" i="5"/>
  <c r="J261" i="5"/>
  <c r="I261" i="5"/>
  <c r="R261" i="5" s="1"/>
  <c r="U261" i="5" s="1"/>
  <c r="K261" i="5"/>
  <c r="B262" i="5"/>
  <c r="H262" i="5" s="1"/>
  <c r="Q262" i="5" s="1"/>
  <c r="T262" i="5" s="1"/>
  <c r="G262" i="5"/>
  <c r="P262" i="5" s="1"/>
  <c r="M262" i="5"/>
  <c r="L262" i="5"/>
  <c r="N262" i="5"/>
  <c r="S262" i="5"/>
  <c r="J262" i="5"/>
  <c r="K262" i="5"/>
  <c r="P265" i="5"/>
  <c r="S265" i="5" s="1"/>
  <c r="D265" i="5" s="1"/>
  <c r="Q265" i="5"/>
  <c r="T265" i="5"/>
  <c r="R265" i="5"/>
  <c r="U265" i="5"/>
  <c r="P266" i="5"/>
  <c r="S266" i="5" s="1"/>
  <c r="D266" i="5" s="1"/>
  <c r="Q266" i="5"/>
  <c r="T266" i="5"/>
  <c r="R266" i="5"/>
  <c r="U266" i="5"/>
  <c r="P267" i="5"/>
  <c r="S267" i="5" s="1"/>
  <c r="D267" i="5" s="1"/>
  <c r="Q267" i="5"/>
  <c r="T267" i="5" s="1"/>
  <c r="R267" i="5"/>
  <c r="U267" i="5"/>
  <c r="P268" i="5"/>
  <c r="S268" i="5"/>
  <c r="Q268" i="5"/>
  <c r="T268" i="5"/>
  <c r="R268" i="5"/>
  <c r="U268" i="5" s="1"/>
  <c r="D268" i="5" s="1"/>
  <c r="P269" i="5"/>
  <c r="S269" i="5"/>
  <c r="Q269" i="5"/>
  <c r="T269" i="5" s="1"/>
  <c r="D269" i="5" s="1"/>
  <c r="R269" i="5"/>
  <c r="U269" i="5" s="1"/>
  <c r="H277" i="5"/>
  <c r="O277" i="5" s="1"/>
  <c r="D277" i="5" s="1"/>
  <c r="L277" i="5"/>
  <c r="I277" i="5"/>
  <c r="P277" i="5" s="1"/>
  <c r="M277" i="5"/>
  <c r="J277" i="5"/>
  <c r="N277" i="5"/>
  <c r="Q277" i="5"/>
  <c r="H278" i="5"/>
  <c r="O278" i="5" s="1"/>
  <c r="L278" i="5"/>
  <c r="I278" i="5"/>
  <c r="M278" i="5"/>
  <c r="J278" i="5"/>
  <c r="N278" i="5"/>
  <c r="Q278" i="5"/>
  <c r="H279" i="5"/>
  <c r="O279" i="5" s="1"/>
  <c r="L279" i="5"/>
  <c r="I279" i="5"/>
  <c r="P279" i="5" s="1"/>
  <c r="M279" i="5"/>
  <c r="J279" i="5"/>
  <c r="N279" i="5"/>
  <c r="Q279" i="5" s="1"/>
  <c r="H290" i="5"/>
  <c r="K290" i="5"/>
  <c r="N290" i="5"/>
  <c r="Q290" i="5"/>
  <c r="I290" i="5"/>
  <c r="T290" i="5" s="1"/>
  <c r="U290" i="5" s="1"/>
  <c r="AN290" i="5" s="1"/>
  <c r="L290" i="5"/>
  <c r="O290" i="5"/>
  <c r="R290" i="5"/>
  <c r="H291" i="5"/>
  <c r="S291" i="5" s="1"/>
  <c r="K291" i="5"/>
  <c r="N291" i="5"/>
  <c r="Q291" i="5"/>
  <c r="I291" i="5"/>
  <c r="T291" i="5" s="1"/>
  <c r="L291" i="5"/>
  <c r="O291" i="5"/>
  <c r="R291" i="5"/>
  <c r="H292" i="5"/>
  <c r="K292" i="5"/>
  <c r="S292" i="5" s="1"/>
  <c r="N292" i="5"/>
  <c r="Q292" i="5"/>
  <c r="I292" i="5"/>
  <c r="L292" i="5"/>
  <c r="O292" i="5"/>
  <c r="R292" i="5"/>
  <c r="H300" i="5"/>
  <c r="K300" i="5"/>
  <c r="D300" i="5" s="1"/>
  <c r="D304" i="5" s="1"/>
  <c r="I300" i="5"/>
  <c r="L300" i="5"/>
  <c r="J300" i="5"/>
  <c r="M300" i="5" s="1"/>
  <c r="H301" i="5"/>
  <c r="K301" i="5"/>
  <c r="I301" i="5"/>
  <c r="L301" i="5"/>
  <c r="J301" i="5"/>
  <c r="M301" i="5"/>
  <c r="D301" i="5"/>
  <c r="H302" i="5"/>
  <c r="K302" i="5" s="1"/>
  <c r="D302" i="5" s="1"/>
  <c r="I302" i="5"/>
  <c r="L302" i="5"/>
  <c r="J302" i="5"/>
  <c r="M302" i="5"/>
  <c r="H313" i="5"/>
  <c r="I313" i="5" s="1"/>
  <c r="D313" i="5" s="1"/>
  <c r="D315" i="5" s="1"/>
  <c r="H321" i="5"/>
  <c r="H329" i="5"/>
  <c r="S329" i="5" s="1"/>
  <c r="K329" i="5"/>
  <c r="N329" i="5"/>
  <c r="Q329" i="5"/>
  <c r="I329" i="5"/>
  <c r="L329" i="5"/>
  <c r="O329" i="5"/>
  <c r="R329" i="5"/>
  <c r="H330" i="5"/>
  <c r="K330" i="5"/>
  <c r="N330" i="5"/>
  <c r="Q330" i="5"/>
  <c r="I330" i="5"/>
  <c r="L330" i="5"/>
  <c r="O330" i="5"/>
  <c r="R330" i="5"/>
  <c r="H331" i="5"/>
  <c r="K331" i="5"/>
  <c r="N331" i="5"/>
  <c r="Q331" i="5"/>
  <c r="I331" i="5"/>
  <c r="L331" i="5"/>
  <c r="O331" i="5"/>
  <c r="R331" i="5"/>
  <c r="H339" i="5"/>
  <c r="I339" i="5" s="1"/>
  <c r="D339" i="5" s="1"/>
  <c r="H340" i="5"/>
  <c r="I340" i="5" s="1"/>
  <c r="D340" i="5"/>
  <c r="H341" i="5"/>
  <c r="I341" i="5" s="1"/>
  <c r="D341" i="5" s="1"/>
  <c r="H352" i="5"/>
  <c r="K352" i="5"/>
  <c r="N352" i="5"/>
  <c r="S352" i="5" s="1"/>
  <c r="AG352" i="5" s="1"/>
  <c r="Q352" i="5"/>
  <c r="I352" i="5"/>
  <c r="L352" i="5"/>
  <c r="O352" i="5"/>
  <c r="R352" i="5"/>
  <c r="H353" i="5"/>
  <c r="K353" i="5"/>
  <c r="N353" i="5"/>
  <c r="Q353" i="5"/>
  <c r="I353" i="5"/>
  <c r="L353" i="5"/>
  <c r="O353" i="5"/>
  <c r="T353" i="5" s="1"/>
  <c r="R353" i="5"/>
  <c r="H354" i="5"/>
  <c r="K354" i="5"/>
  <c r="N354" i="5"/>
  <c r="Q354" i="5"/>
  <c r="I354" i="5"/>
  <c r="L354" i="5"/>
  <c r="T354" i="5" s="1"/>
  <c r="O354" i="5"/>
  <c r="R354" i="5"/>
  <c r="H356" i="5"/>
  <c r="K356" i="5"/>
  <c r="N356" i="5"/>
  <c r="Q356" i="5"/>
  <c r="I356" i="5"/>
  <c r="T356" i="5" s="1"/>
  <c r="L356" i="5"/>
  <c r="O356" i="5"/>
  <c r="R356" i="5"/>
  <c r="H357" i="5"/>
  <c r="S357" i="5" s="1"/>
  <c r="AK357" i="5" s="1"/>
  <c r="K357" i="5"/>
  <c r="N357" i="5"/>
  <c r="Q357" i="5"/>
  <c r="I357" i="5"/>
  <c r="L357" i="5"/>
  <c r="O357" i="5"/>
  <c r="R357" i="5"/>
  <c r="T357" i="5"/>
  <c r="H365" i="5"/>
  <c r="K365" i="5"/>
  <c r="M365" i="5"/>
  <c r="I365" i="5"/>
  <c r="L365" i="5"/>
  <c r="N365" i="5"/>
  <c r="H366" i="5"/>
  <c r="M366" i="5" s="1"/>
  <c r="D366" i="5" s="1"/>
  <c r="K366" i="5"/>
  <c r="I366" i="5"/>
  <c r="L366" i="5"/>
  <c r="N366" i="5"/>
  <c r="H367" i="5"/>
  <c r="M367" i="5" s="1"/>
  <c r="D367" i="5" s="1"/>
  <c r="K367" i="5"/>
  <c r="I367" i="5"/>
  <c r="N367" i="5" s="1"/>
  <c r="L367" i="5"/>
  <c r="H375" i="5"/>
  <c r="M375" i="5" s="1"/>
  <c r="K375" i="5"/>
  <c r="I375" i="5"/>
  <c r="N375" i="5" s="1"/>
  <c r="L375" i="5"/>
  <c r="H376" i="5"/>
  <c r="K376" i="5"/>
  <c r="M376" i="5" s="1"/>
  <c r="I376" i="5"/>
  <c r="L376" i="5"/>
  <c r="N376" i="5"/>
  <c r="H377" i="5"/>
  <c r="K377" i="5"/>
  <c r="M377" i="5" s="1"/>
  <c r="I377" i="5"/>
  <c r="L377" i="5"/>
  <c r="N377" i="5"/>
  <c r="D377" i="5"/>
  <c r="H385" i="5"/>
  <c r="K385" i="5"/>
  <c r="I385" i="5"/>
  <c r="N385" i="5" s="1"/>
  <c r="L385" i="5"/>
  <c r="H386" i="5"/>
  <c r="K386" i="5"/>
  <c r="M386" i="5" s="1"/>
  <c r="D386" i="5" s="1"/>
  <c r="I386" i="5"/>
  <c r="N386" i="5" s="1"/>
  <c r="L386" i="5"/>
  <c r="H387" i="5"/>
  <c r="M387" i="5" s="1"/>
  <c r="K387" i="5"/>
  <c r="I387" i="5"/>
  <c r="L387" i="5"/>
  <c r="N387" i="5" s="1"/>
  <c r="H395" i="5"/>
  <c r="K395" i="5"/>
  <c r="M395" i="5" s="1"/>
  <c r="D395" i="5" s="1"/>
  <c r="I395" i="5"/>
  <c r="L395" i="5"/>
  <c r="N395" i="5" s="1"/>
  <c r="H396" i="5"/>
  <c r="K396" i="5"/>
  <c r="M396" i="5" s="1"/>
  <c r="D396" i="5" s="1"/>
  <c r="I396" i="5"/>
  <c r="L396" i="5"/>
  <c r="N396" i="5" s="1"/>
  <c r="H397" i="5"/>
  <c r="K397" i="5"/>
  <c r="M397" i="5"/>
  <c r="I397" i="5"/>
  <c r="L397" i="5"/>
  <c r="N397" i="5"/>
  <c r="H405" i="5"/>
  <c r="J405" i="5" s="1"/>
  <c r="D405" i="5" s="1"/>
  <c r="D409" i="5" s="1"/>
  <c r="I405" i="5"/>
  <c r="K405" i="5" s="1"/>
  <c r="H406" i="5"/>
  <c r="J406" i="5"/>
  <c r="I406" i="5"/>
  <c r="K406" i="5" s="1"/>
  <c r="D406" i="5"/>
  <c r="H407" i="5"/>
  <c r="J407" i="5" s="1"/>
  <c r="I407" i="5"/>
  <c r="K407" i="5"/>
  <c r="D407" i="5"/>
  <c r="H419" i="5"/>
  <c r="K419" i="5"/>
  <c r="N419" i="5"/>
  <c r="Q419" i="5"/>
  <c r="I419" i="5"/>
  <c r="L419" i="5"/>
  <c r="O419" i="5"/>
  <c r="R419" i="5"/>
  <c r="H420" i="5"/>
  <c r="K420" i="5"/>
  <c r="N420" i="5"/>
  <c r="Q420" i="5"/>
  <c r="I420" i="5"/>
  <c r="L420" i="5"/>
  <c r="O420" i="5"/>
  <c r="R420" i="5"/>
  <c r="H421" i="5"/>
  <c r="K421" i="5"/>
  <c r="N421" i="5"/>
  <c r="Q421" i="5"/>
  <c r="I421" i="5"/>
  <c r="T421" i="5" s="1"/>
  <c r="L421" i="5"/>
  <c r="O421" i="5"/>
  <c r="R421" i="5"/>
  <c r="H423" i="5"/>
  <c r="S423" i="5" s="1"/>
  <c r="K423" i="5"/>
  <c r="N423" i="5"/>
  <c r="Q423" i="5"/>
  <c r="I423" i="5"/>
  <c r="L423" i="5"/>
  <c r="O423" i="5"/>
  <c r="R423" i="5"/>
  <c r="H424" i="5"/>
  <c r="K424" i="5"/>
  <c r="N424" i="5"/>
  <c r="Q424" i="5"/>
  <c r="I424" i="5"/>
  <c r="T424" i="5" s="1"/>
  <c r="L424" i="5"/>
  <c r="O424" i="5"/>
  <c r="R424" i="5"/>
  <c r="G432" i="5"/>
  <c r="R432" i="5"/>
  <c r="H432" i="5"/>
  <c r="J432" i="5"/>
  <c r="P432" i="5" s="1"/>
  <c r="S432" i="5" s="1"/>
  <c r="L432" i="5"/>
  <c r="M432" i="5"/>
  <c r="I432" i="5"/>
  <c r="K432" i="5"/>
  <c r="Q432" i="5"/>
  <c r="T432" i="5" s="1"/>
  <c r="G433" i="5"/>
  <c r="R433" i="5" s="1"/>
  <c r="D433" i="5" s="1"/>
  <c r="H433" i="5"/>
  <c r="P433" i="5" s="1"/>
  <c r="J433" i="5"/>
  <c r="L433" i="5"/>
  <c r="M433" i="5"/>
  <c r="S433" i="5"/>
  <c r="I433" i="5"/>
  <c r="K433" i="5"/>
  <c r="Q433" i="5"/>
  <c r="T433" i="5" s="1"/>
  <c r="G434" i="5"/>
  <c r="R434" i="5" s="1"/>
  <c r="H434" i="5"/>
  <c r="P434" i="5" s="1"/>
  <c r="S434" i="5" s="1"/>
  <c r="J434" i="5"/>
  <c r="L434" i="5"/>
  <c r="M434" i="5"/>
  <c r="I434" i="5"/>
  <c r="K434" i="5"/>
  <c r="Q434" i="5"/>
  <c r="T434" i="5" s="1"/>
  <c r="G435" i="5"/>
  <c r="R435" i="5"/>
  <c r="H435" i="5"/>
  <c r="P435" i="5" s="1"/>
  <c r="S435" i="5" s="1"/>
  <c r="J435" i="5"/>
  <c r="L435" i="5"/>
  <c r="M435" i="5"/>
  <c r="I435" i="5"/>
  <c r="K435" i="5"/>
  <c r="G436" i="5"/>
  <c r="R436" i="5" s="1"/>
  <c r="H436" i="5"/>
  <c r="P436" i="5" s="1"/>
  <c r="S436" i="5" s="1"/>
  <c r="J436" i="5"/>
  <c r="L436" i="5"/>
  <c r="M436" i="5"/>
  <c r="I436" i="5"/>
  <c r="K436" i="5"/>
  <c r="G439" i="5"/>
  <c r="R439" i="5" s="1"/>
  <c r="D439" i="5" s="1"/>
  <c r="P439" i="5"/>
  <c r="S439" i="5"/>
  <c r="Q439" i="5"/>
  <c r="T439" i="5"/>
  <c r="G440" i="5"/>
  <c r="R440" i="5" s="1"/>
  <c r="P440" i="5"/>
  <c r="S440" i="5"/>
  <c r="Q440" i="5"/>
  <c r="T440" i="5" s="1"/>
  <c r="G441" i="5"/>
  <c r="R441" i="5"/>
  <c r="D441" i="5" s="1"/>
  <c r="P441" i="5"/>
  <c r="S441" i="5" s="1"/>
  <c r="Q441" i="5"/>
  <c r="T441" i="5" s="1"/>
  <c r="G442" i="5"/>
  <c r="R442" i="5" s="1"/>
  <c r="P442" i="5"/>
  <c r="S442" i="5" s="1"/>
  <c r="Q442" i="5"/>
  <c r="T442" i="5" s="1"/>
  <c r="D442" i="5"/>
  <c r="G443" i="5"/>
  <c r="R443" i="5" s="1"/>
  <c r="P443" i="5"/>
  <c r="S443" i="5" s="1"/>
  <c r="Q443" i="5"/>
  <c r="T443" i="5"/>
  <c r="B451" i="5"/>
  <c r="M451" i="5" s="1"/>
  <c r="B452" i="5"/>
  <c r="K452" i="5" s="1"/>
  <c r="G452" i="5"/>
  <c r="M452" i="5"/>
  <c r="L452" i="5"/>
  <c r="P452" i="5" s="1"/>
  <c r="S452" i="5" s="1"/>
  <c r="N452" i="5"/>
  <c r="H452" i="5"/>
  <c r="J452" i="5"/>
  <c r="Q452" i="5" s="1"/>
  <c r="T452" i="5" s="1"/>
  <c r="I452" i="5"/>
  <c r="R452" i="5"/>
  <c r="U452" i="5" s="1"/>
  <c r="B453" i="5"/>
  <c r="G453" i="5" s="1"/>
  <c r="M453" i="5"/>
  <c r="L453" i="5"/>
  <c r="H453" i="5"/>
  <c r="J453" i="5"/>
  <c r="I453" i="5"/>
  <c r="K453" i="5"/>
  <c r="B454" i="5"/>
  <c r="G454" i="5"/>
  <c r="M454" i="5"/>
  <c r="L454" i="5"/>
  <c r="N454" i="5"/>
  <c r="H454" i="5"/>
  <c r="Q454" i="5" s="1"/>
  <c r="T454" i="5" s="1"/>
  <c r="J454" i="5"/>
  <c r="I454" i="5"/>
  <c r="R454" i="5" s="1"/>
  <c r="U454" i="5" s="1"/>
  <c r="K454" i="5"/>
  <c r="B455" i="5"/>
  <c r="G455" i="5"/>
  <c r="L455" i="5"/>
  <c r="B456" i="5"/>
  <c r="M456" i="5" s="1"/>
  <c r="P456" i="5" s="1"/>
  <c r="S456" i="5" s="1"/>
  <c r="G456" i="5"/>
  <c r="L456" i="5"/>
  <c r="N456" i="5"/>
  <c r="H456" i="5"/>
  <c r="I456" i="5"/>
  <c r="B457" i="5"/>
  <c r="K457" i="5" s="1"/>
  <c r="G457" i="5"/>
  <c r="M457" i="5"/>
  <c r="L457" i="5"/>
  <c r="P457" i="5" s="1"/>
  <c r="S457" i="5" s="1"/>
  <c r="D457" i="5" s="1"/>
  <c r="N457" i="5"/>
  <c r="H457" i="5"/>
  <c r="J457" i="5"/>
  <c r="Q457" i="5" s="1"/>
  <c r="T457" i="5" s="1"/>
  <c r="I457" i="5"/>
  <c r="R457" i="5" s="1"/>
  <c r="U457" i="5" s="1"/>
  <c r="B458" i="5"/>
  <c r="G458" i="5" s="1"/>
  <c r="M458" i="5"/>
  <c r="L458" i="5"/>
  <c r="H458" i="5"/>
  <c r="J458" i="5"/>
  <c r="I458" i="5"/>
  <c r="K458" i="5"/>
  <c r="B459" i="5"/>
  <c r="G459" i="5"/>
  <c r="M459" i="5"/>
  <c r="L459" i="5"/>
  <c r="N459" i="5"/>
  <c r="H459" i="5"/>
  <c r="J459" i="5"/>
  <c r="I459" i="5"/>
  <c r="R459" i="5" s="1"/>
  <c r="U459" i="5" s="1"/>
  <c r="K459" i="5"/>
  <c r="B460" i="5"/>
  <c r="G460" i="5" s="1"/>
  <c r="H460" i="5"/>
  <c r="J460" i="5"/>
  <c r="B461" i="5"/>
  <c r="J461" i="5" s="1"/>
  <c r="M461" i="5"/>
  <c r="L461" i="5"/>
  <c r="N461" i="5"/>
  <c r="H461" i="5"/>
  <c r="Q461" i="5" s="1"/>
  <c r="T461" i="5" s="1"/>
  <c r="I461" i="5"/>
  <c r="K461" i="5"/>
  <c r="B462" i="5"/>
  <c r="K462" i="5" s="1"/>
  <c r="G462" i="5"/>
  <c r="M462" i="5"/>
  <c r="L462" i="5"/>
  <c r="N462" i="5"/>
  <c r="P462" i="5" s="1"/>
  <c r="S462" i="5" s="1"/>
  <c r="H462" i="5"/>
  <c r="Q462" i="5" s="1"/>
  <c r="T462" i="5" s="1"/>
  <c r="J462" i="5"/>
  <c r="I462" i="5"/>
  <c r="R462" i="5" s="1"/>
  <c r="U462" i="5" s="1"/>
  <c r="B463" i="5"/>
  <c r="M463" i="5"/>
  <c r="L463" i="5"/>
  <c r="H463" i="5"/>
  <c r="J463" i="5"/>
  <c r="I463" i="5"/>
  <c r="K463" i="5"/>
  <c r="B464" i="5"/>
  <c r="G464" i="5"/>
  <c r="P464" i="5" s="1"/>
  <c r="S464" i="5" s="1"/>
  <c r="M464" i="5"/>
  <c r="L464" i="5"/>
  <c r="N464" i="5"/>
  <c r="H464" i="5"/>
  <c r="Q464" i="5" s="1"/>
  <c r="T464" i="5" s="1"/>
  <c r="J464" i="5"/>
  <c r="I464" i="5"/>
  <c r="K464" i="5"/>
  <c r="R464" i="5"/>
  <c r="U464" i="5" s="1"/>
  <c r="P467" i="5"/>
  <c r="S467" i="5" s="1"/>
  <c r="D467" i="5" s="1"/>
  <c r="Q467" i="5"/>
  <c r="T467" i="5"/>
  <c r="R467" i="5"/>
  <c r="U467" i="5"/>
  <c r="P468" i="5"/>
  <c r="S468" i="5"/>
  <c r="D468" i="5" s="1"/>
  <c r="Q468" i="5"/>
  <c r="T468" i="5"/>
  <c r="R468" i="5"/>
  <c r="U468" i="5" s="1"/>
  <c r="P469" i="5"/>
  <c r="S469" i="5"/>
  <c r="Q469" i="5"/>
  <c r="T469" i="5" s="1"/>
  <c r="R469" i="5"/>
  <c r="U469" i="5" s="1"/>
  <c r="P470" i="5"/>
  <c r="S470" i="5" s="1"/>
  <c r="D470" i="5" s="1"/>
  <c r="Q470" i="5"/>
  <c r="T470" i="5" s="1"/>
  <c r="R470" i="5"/>
  <c r="U470" i="5" s="1"/>
  <c r="P471" i="5"/>
  <c r="S471" i="5" s="1"/>
  <c r="Q471" i="5"/>
  <c r="T471" i="5"/>
  <c r="R471" i="5"/>
  <c r="U471" i="5" s="1"/>
  <c r="H479" i="5"/>
  <c r="O479" i="5" s="1"/>
  <c r="L479" i="5"/>
  <c r="I479" i="5"/>
  <c r="P479" i="5" s="1"/>
  <c r="M479" i="5"/>
  <c r="J479" i="5"/>
  <c r="N479" i="5"/>
  <c r="Q479" i="5" s="1"/>
  <c r="H480" i="5"/>
  <c r="L480" i="5"/>
  <c r="O480" i="5" s="1"/>
  <c r="I480" i="5"/>
  <c r="P480" i="5" s="1"/>
  <c r="M480" i="5"/>
  <c r="J480" i="5"/>
  <c r="N480" i="5"/>
  <c r="Q480" i="5"/>
  <c r="H481" i="5"/>
  <c r="L481" i="5"/>
  <c r="O481" i="5" s="1"/>
  <c r="I481" i="5"/>
  <c r="M481" i="5"/>
  <c r="P481" i="5" s="1"/>
  <c r="J481" i="5"/>
  <c r="N481" i="5"/>
  <c r="H492" i="5"/>
  <c r="S492" i="5" s="1"/>
  <c r="K492" i="5"/>
  <c r="N492" i="5"/>
  <c r="Q492" i="5"/>
  <c r="I492" i="5"/>
  <c r="T492" i="5" s="1"/>
  <c r="L492" i="5"/>
  <c r="O492" i="5"/>
  <c r="R492" i="5"/>
  <c r="H493" i="5"/>
  <c r="S493" i="5" s="1"/>
  <c r="K493" i="5"/>
  <c r="N493" i="5"/>
  <c r="Q493" i="5"/>
  <c r="I493" i="5"/>
  <c r="L493" i="5"/>
  <c r="O493" i="5"/>
  <c r="R493" i="5"/>
  <c r="T493" i="5"/>
  <c r="U493" i="5" s="1"/>
  <c r="H494" i="5"/>
  <c r="K494" i="5"/>
  <c r="N494" i="5"/>
  <c r="Q494" i="5"/>
  <c r="I494" i="5"/>
  <c r="L494" i="5"/>
  <c r="O494" i="5"/>
  <c r="R494" i="5"/>
  <c r="H502" i="5"/>
  <c r="K502" i="5"/>
  <c r="I502" i="5"/>
  <c r="L502" i="5"/>
  <c r="J502" i="5"/>
  <c r="M502" i="5" s="1"/>
  <c r="H503" i="5"/>
  <c r="K503" i="5"/>
  <c r="I503" i="5"/>
  <c r="L503" i="5" s="1"/>
  <c r="J503" i="5"/>
  <c r="M503" i="5" s="1"/>
  <c r="H504" i="5"/>
  <c r="K504" i="5"/>
  <c r="I504" i="5"/>
  <c r="L504" i="5"/>
  <c r="J504" i="5"/>
  <c r="M504" i="5"/>
  <c r="H515" i="5"/>
  <c r="I515" i="5" s="1"/>
  <c r="H523" i="5"/>
  <c r="H531" i="5"/>
  <c r="S531" i="5" s="1"/>
  <c r="K531" i="5"/>
  <c r="N531" i="5"/>
  <c r="Q531" i="5"/>
  <c r="I531" i="5"/>
  <c r="T531" i="5" s="1"/>
  <c r="L531" i="5"/>
  <c r="O531" i="5"/>
  <c r="R531" i="5"/>
  <c r="H532" i="5"/>
  <c r="K532" i="5"/>
  <c r="N532" i="5"/>
  <c r="Q532" i="5"/>
  <c r="I532" i="5"/>
  <c r="T532" i="5" s="1"/>
  <c r="AH532" i="5" s="1"/>
  <c r="L532" i="5"/>
  <c r="O532" i="5"/>
  <c r="R532" i="5"/>
  <c r="H533" i="5"/>
  <c r="K533" i="5"/>
  <c r="N533" i="5"/>
  <c r="Q533" i="5"/>
  <c r="S533" i="5" s="1"/>
  <c r="I533" i="5"/>
  <c r="L533" i="5"/>
  <c r="O533" i="5"/>
  <c r="R533" i="5"/>
  <c r="H541" i="5"/>
  <c r="I541" i="5" s="1"/>
  <c r="D541" i="5" s="1"/>
  <c r="H542" i="5"/>
  <c r="I542" i="5" s="1"/>
  <c r="D542" i="5" s="1"/>
  <c r="H543" i="5"/>
  <c r="I543" i="5" s="1"/>
  <c r="D543" i="5" s="1"/>
  <c r="E543" i="5" s="1"/>
  <c r="H554" i="5"/>
  <c r="K554" i="5"/>
  <c r="N554" i="5"/>
  <c r="Q554" i="5"/>
  <c r="I554" i="5"/>
  <c r="T554" i="5" s="1"/>
  <c r="L554" i="5"/>
  <c r="O554" i="5"/>
  <c r="R554" i="5"/>
  <c r="H555" i="5"/>
  <c r="S555" i="5" s="1"/>
  <c r="K555" i="5"/>
  <c r="N555" i="5"/>
  <c r="Q555" i="5"/>
  <c r="I555" i="5"/>
  <c r="T555" i="5" s="1"/>
  <c r="L555" i="5"/>
  <c r="O555" i="5"/>
  <c r="R555" i="5"/>
  <c r="H556" i="5"/>
  <c r="K556" i="5"/>
  <c r="N556" i="5"/>
  <c r="Q556" i="5"/>
  <c r="I556" i="5"/>
  <c r="L556" i="5"/>
  <c r="O556" i="5"/>
  <c r="R556" i="5"/>
  <c r="H558" i="5"/>
  <c r="K558" i="5"/>
  <c r="N558" i="5"/>
  <c r="Q558" i="5"/>
  <c r="I558" i="5"/>
  <c r="T558" i="5" s="1"/>
  <c r="L558" i="5"/>
  <c r="O558" i="5"/>
  <c r="R558" i="5"/>
  <c r="H559" i="5"/>
  <c r="S559" i="5" s="1"/>
  <c r="K559" i="5"/>
  <c r="N559" i="5"/>
  <c r="Q559" i="5"/>
  <c r="I559" i="5"/>
  <c r="L559" i="5"/>
  <c r="O559" i="5"/>
  <c r="R559" i="5"/>
  <c r="H567" i="5"/>
  <c r="K567" i="5"/>
  <c r="M567" i="5" s="1"/>
  <c r="I567" i="5"/>
  <c r="L567" i="5"/>
  <c r="N567" i="5" s="1"/>
  <c r="H568" i="5"/>
  <c r="M568" i="5" s="1"/>
  <c r="D568" i="5" s="1"/>
  <c r="K568" i="5"/>
  <c r="I568" i="5"/>
  <c r="L568" i="5"/>
  <c r="N568" i="5"/>
  <c r="H569" i="5"/>
  <c r="K569" i="5"/>
  <c r="M569" i="5"/>
  <c r="D569" i="5" s="1"/>
  <c r="I569" i="5"/>
  <c r="L569" i="5"/>
  <c r="N569" i="5"/>
  <c r="H577" i="5"/>
  <c r="K577" i="5"/>
  <c r="M577" i="5"/>
  <c r="I577" i="5"/>
  <c r="L577" i="5"/>
  <c r="N577" i="5" s="1"/>
  <c r="H578" i="5"/>
  <c r="M578" i="5" s="1"/>
  <c r="K578" i="5"/>
  <c r="I578" i="5"/>
  <c r="N578" i="5" s="1"/>
  <c r="L578" i="5"/>
  <c r="H579" i="5"/>
  <c r="M579" i="5" s="1"/>
  <c r="D579" i="5" s="1"/>
  <c r="K579" i="5"/>
  <c r="I579" i="5"/>
  <c r="N579" i="5" s="1"/>
  <c r="L579" i="5"/>
  <c r="H587" i="5"/>
  <c r="K587" i="5"/>
  <c r="M587" i="5"/>
  <c r="I587" i="5"/>
  <c r="N587" i="5" s="1"/>
  <c r="L587" i="5"/>
  <c r="H588" i="5"/>
  <c r="K588" i="5"/>
  <c r="M588" i="5"/>
  <c r="I588" i="5"/>
  <c r="L588" i="5"/>
  <c r="N588" i="5"/>
  <c r="D588" i="5" s="1"/>
  <c r="H589" i="5"/>
  <c r="M589" i="5" s="1"/>
  <c r="K589" i="5"/>
  <c r="I589" i="5"/>
  <c r="N589" i="5" s="1"/>
  <c r="L589" i="5"/>
  <c r="H597" i="5"/>
  <c r="M597" i="5" s="1"/>
  <c r="D597" i="5" s="1"/>
  <c r="D601" i="5" s="1"/>
  <c r="K597" i="5"/>
  <c r="I597" i="5"/>
  <c r="N597" i="5" s="1"/>
  <c r="L597" i="5"/>
  <c r="H598" i="5"/>
  <c r="M598" i="5" s="1"/>
  <c r="D598" i="5" s="1"/>
  <c r="K598" i="5"/>
  <c r="I598" i="5"/>
  <c r="N598" i="5" s="1"/>
  <c r="L598" i="5"/>
  <c r="H599" i="5"/>
  <c r="K599" i="5"/>
  <c r="M599" i="5" s="1"/>
  <c r="D599" i="5" s="1"/>
  <c r="I599" i="5"/>
  <c r="L599" i="5"/>
  <c r="N599" i="5" s="1"/>
  <c r="H607" i="5"/>
  <c r="J607" i="5"/>
  <c r="I607" i="5"/>
  <c r="K607" i="5"/>
  <c r="D607" i="5"/>
  <c r="H608" i="5"/>
  <c r="J608" i="5" s="1"/>
  <c r="D608" i="5" s="1"/>
  <c r="I608" i="5"/>
  <c r="K608" i="5"/>
  <c r="H609" i="5"/>
  <c r="J609" i="5"/>
  <c r="D609" i="5" s="1"/>
  <c r="I609" i="5"/>
  <c r="K609" i="5"/>
  <c r="H16" i="62898"/>
  <c r="S16" i="62898" s="1"/>
  <c r="K16" i="62898"/>
  <c r="N16" i="62898"/>
  <c r="Q16" i="62898"/>
  <c r="I16" i="62898"/>
  <c r="T16" i="62898" s="1"/>
  <c r="L16" i="62898"/>
  <c r="O16" i="62898"/>
  <c r="R16" i="62898"/>
  <c r="H17" i="62898"/>
  <c r="K17" i="62898"/>
  <c r="N17" i="62898"/>
  <c r="Q17" i="62898"/>
  <c r="I17" i="62898"/>
  <c r="T17" i="62898" s="1"/>
  <c r="L17" i="62898"/>
  <c r="O17" i="62898"/>
  <c r="R17" i="62898"/>
  <c r="H18" i="62898"/>
  <c r="K18" i="62898"/>
  <c r="N18" i="62898"/>
  <c r="Q18" i="62898"/>
  <c r="I18" i="62898"/>
  <c r="T18" i="62898" s="1"/>
  <c r="AA18" i="62898" s="1"/>
  <c r="L18" i="62898"/>
  <c r="O18" i="62898"/>
  <c r="R18" i="62898"/>
  <c r="H19" i="62898"/>
  <c r="K19" i="62898"/>
  <c r="N19" i="62898"/>
  <c r="I106" i="62906"/>
  <c r="Q19" i="62898" s="1"/>
  <c r="S19" i="62898" s="1"/>
  <c r="D106" i="62906"/>
  <c r="I19" i="62898" s="1"/>
  <c r="L19" i="62898"/>
  <c r="O19" i="62898"/>
  <c r="H21" i="62898"/>
  <c r="S21" i="62898" s="1"/>
  <c r="K21" i="62898"/>
  <c r="N21" i="62898"/>
  <c r="Q21" i="62898"/>
  <c r="I21" i="62898"/>
  <c r="L21" i="62898"/>
  <c r="O21" i="62898"/>
  <c r="T21" i="62898" s="1"/>
  <c r="BB21" i="62898" s="1"/>
  <c r="R21" i="62898"/>
  <c r="H22" i="62898"/>
  <c r="K22" i="62898"/>
  <c r="N22" i="62898"/>
  <c r="Q22" i="62898"/>
  <c r="I22" i="62898"/>
  <c r="L22" i="62898"/>
  <c r="O22" i="62898"/>
  <c r="R22" i="62898"/>
  <c r="J30" i="62898"/>
  <c r="E1481" i="62906"/>
  <c r="K30" i="62898" s="1"/>
  <c r="L30" i="62898"/>
  <c r="M30" i="62898"/>
  <c r="P30" i="62898" s="1"/>
  <c r="J31" i="62898"/>
  <c r="N31" i="62898" s="1"/>
  <c r="K31" i="62898"/>
  <c r="L31" i="62898"/>
  <c r="M31" i="62898"/>
  <c r="J32" i="62898"/>
  <c r="K32" i="62898"/>
  <c r="N32" i="62898" s="1"/>
  <c r="D32" i="62898" s="1"/>
  <c r="L32" i="62898"/>
  <c r="O32" i="62898"/>
  <c r="M32" i="62898"/>
  <c r="P32" i="62898"/>
  <c r="J33" i="62898"/>
  <c r="P33" i="62898" s="1"/>
  <c r="K33" i="62898"/>
  <c r="N33" i="62898" s="1"/>
  <c r="D33" i="62898" s="1"/>
  <c r="L33" i="62898"/>
  <c r="O33" i="62898" s="1"/>
  <c r="M33" i="62898"/>
  <c r="H41" i="62898"/>
  <c r="K41" i="62898"/>
  <c r="D41" i="62898" s="1"/>
  <c r="I41" i="62898"/>
  <c r="L41" i="62898" s="1"/>
  <c r="J41" i="62898"/>
  <c r="M41" i="62898" s="1"/>
  <c r="H42" i="62898"/>
  <c r="K42" i="62898" s="1"/>
  <c r="I42" i="62898"/>
  <c r="L42" i="62898" s="1"/>
  <c r="J42" i="62898"/>
  <c r="M42" i="62898"/>
  <c r="H43" i="62898"/>
  <c r="K43" i="62898" s="1"/>
  <c r="D43" i="62898" s="1"/>
  <c r="E43" i="62898" s="1"/>
  <c r="I43" i="62898"/>
  <c r="L43" i="62898"/>
  <c r="J43" i="62898"/>
  <c r="M43" i="62898" s="1"/>
  <c r="H44" i="62898"/>
  <c r="K44" i="62898" s="1"/>
  <c r="I44" i="62898"/>
  <c r="L44" i="62898"/>
  <c r="J44" i="62898"/>
  <c r="M44" i="62898" s="1"/>
  <c r="BG44" i="62898" s="1"/>
  <c r="H52" i="62898"/>
  <c r="K52" i="62898" s="1"/>
  <c r="D52" i="62898" s="1"/>
  <c r="I52" i="62898"/>
  <c r="L52" i="62898"/>
  <c r="J52" i="62898"/>
  <c r="M52" i="62898"/>
  <c r="H53" i="62898"/>
  <c r="K53" i="62898" s="1"/>
  <c r="D53" i="62898" s="1"/>
  <c r="I53" i="62898"/>
  <c r="L53" i="62898" s="1"/>
  <c r="J53" i="62898"/>
  <c r="M53" i="62898"/>
  <c r="H54" i="62898"/>
  <c r="K54" i="62898"/>
  <c r="I54" i="62898"/>
  <c r="L54" i="62898" s="1"/>
  <c r="J54" i="62898"/>
  <c r="M54" i="62898" s="1"/>
  <c r="H62" i="62898"/>
  <c r="K62" i="62898"/>
  <c r="I62" i="62898"/>
  <c r="L62" i="62898"/>
  <c r="J62" i="62898"/>
  <c r="M62" i="62898" s="1"/>
  <c r="H63" i="62898"/>
  <c r="K63" i="62898" s="1"/>
  <c r="I63" i="62898"/>
  <c r="L63" i="62898"/>
  <c r="J63" i="62898"/>
  <c r="M63" i="62898" s="1"/>
  <c r="H64" i="62898"/>
  <c r="K64" i="62898" s="1"/>
  <c r="I64" i="62898"/>
  <c r="L64" i="62898" s="1"/>
  <c r="J64" i="62898"/>
  <c r="M64" i="62898" s="1"/>
  <c r="H72" i="62898"/>
  <c r="K72" i="62898"/>
  <c r="I72" i="62898"/>
  <c r="L72" i="62898" s="1"/>
  <c r="J72" i="62898"/>
  <c r="M72" i="62898"/>
  <c r="H73" i="62898"/>
  <c r="K73" i="62898"/>
  <c r="I73" i="62898"/>
  <c r="L73" i="62898" s="1"/>
  <c r="J73" i="62898"/>
  <c r="M73" i="62898" s="1"/>
  <c r="H74" i="62898"/>
  <c r="K74" i="62898" s="1"/>
  <c r="I74" i="62898"/>
  <c r="L74" i="62898" s="1"/>
  <c r="J74" i="62898"/>
  <c r="M74" i="62898"/>
  <c r="H82" i="62898"/>
  <c r="K82" i="62898" s="1"/>
  <c r="D82" i="62898" s="1"/>
  <c r="I82" i="62898"/>
  <c r="L82" i="62898"/>
  <c r="J82" i="62898"/>
  <c r="M82" i="62898"/>
  <c r="H83" i="62898"/>
  <c r="K83" i="62898" s="1"/>
  <c r="I83" i="62898"/>
  <c r="L83" i="62898" s="1"/>
  <c r="J83" i="62898"/>
  <c r="M83" i="62898"/>
  <c r="H84" i="62898"/>
  <c r="K84" i="62898" s="1"/>
  <c r="D84" i="62898" s="1"/>
  <c r="I84" i="62898"/>
  <c r="L84" i="62898"/>
  <c r="J84" i="62898"/>
  <c r="M84" i="62898"/>
  <c r="J92" i="62898"/>
  <c r="N92" i="62898" s="1"/>
  <c r="K92" i="62898"/>
  <c r="L92" i="62898"/>
  <c r="O92" i="62898"/>
  <c r="M92" i="62898"/>
  <c r="J93" i="62898"/>
  <c r="O93" i="62898" s="1"/>
  <c r="K93" i="62898"/>
  <c r="N93" i="62898"/>
  <c r="L93" i="62898"/>
  <c r="M93" i="62898"/>
  <c r="J94" i="62898"/>
  <c r="O94" i="62898" s="1"/>
  <c r="K94" i="62898"/>
  <c r="N94" i="62898" s="1"/>
  <c r="L94" i="62898"/>
  <c r="M94" i="62898"/>
  <c r="H102" i="62898"/>
  <c r="L102" i="62898"/>
  <c r="O102" i="62898"/>
  <c r="D102" i="62898" s="1"/>
  <c r="I102" i="62898"/>
  <c r="M102" i="62898"/>
  <c r="P102" i="62898"/>
  <c r="J102" i="62898"/>
  <c r="N102" i="62898"/>
  <c r="Q102" i="62898" s="1"/>
  <c r="H103" i="62898"/>
  <c r="L103" i="62898"/>
  <c r="O103" i="62898"/>
  <c r="I103" i="62898"/>
  <c r="P103" i="62898" s="1"/>
  <c r="M103" i="62898"/>
  <c r="J103" i="62898"/>
  <c r="N103" i="62898"/>
  <c r="Q103" i="62898"/>
  <c r="H104" i="62898"/>
  <c r="L104" i="62898"/>
  <c r="O104" i="62898"/>
  <c r="I104" i="62898"/>
  <c r="M104" i="62898"/>
  <c r="P104" i="62898"/>
  <c r="J104" i="62898"/>
  <c r="N104" i="62898"/>
  <c r="Q104" i="62898" s="1"/>
  <c r="H112" i="62898"/>
  <c r="I112" i="62898"/>
  <c r="D112" i="62898" s="1"/>
  <c r="H113" i="62898"/>
  <c r="I113" i="62898" s="1"/>
  <c r="D113" i="62898" s="1"/>
  <c r="H114" i="62898"/>
  <c r="I114" i="62898"/>
  <c r="D114" i="62898"/>
  <c r="H126" i="62898"/>
  <c r="S126" i="62898" s="1"/>
  <c r="K126" i="62898"/>
  <c r="N126" i="62898"/>
  <c r="I102" i="62906"/>
  <c r="Q126" i="62898"/>
  <c r="D102" i="62906"/>
  <c r="I126" i="62898"/>
  <c r="L126" i="62898"/>
  <c r="O126" i="62898"/>
  <c r="J102" i="62906"/>
  <c r="R126" i="62898" s="1"/>
  <c r="H127" i="62898"/>
  <c r="K127" i="62898"/>
  <c r="N127" i="62898"/>
  <c r="Q127" i="62898"/>
  <c r="I127" i="62898"/>
  <c r="T127" i="62898" s="1"/>
  <c r="L127" i="62898"/>
  <c r="O127" i="62898"/>
  <c r="R127" i="62898"/>
  <c r="H128" i="62898"/>
  <c r="K128" i="62898"/>
  <c r="N128" i="62898"/>
  <c r="S128" i="62898" s="1"/>
  <c r="Z128" i="62898" s="1"/>
  <c r="Q128" i="62898"/>
  <c r="I128" i="62898"/>
  <c r="L128" i="62898"/>
  <c r="O128" i="62898"/>
  <c r="R128" i="62898"/>
  <c r="H130" i="62898"/>
  <c r="K130" i="62898"/>
  <c r="N130" i="62898"/>
  <c r="Q130" i="62898"/>
  <c r="S130" i="62898" s="1"/>
  <c r="I130" i="62898"/>
  <c r="T130" i="62898" s="1"/>
  <c r="L130" i="62898"/>
  <c r="O130" i="62898"/>
  <c r="R130" i="62898"/>
  <c r="H131" i="62898"/>
  <c r="S131" i="62898" s="1"/>
  <c r="K131" i="62898"/>
  <c r="N131" i="62898"/>
  <c r="Q131" i="62898"/>
  <c r="I131" i="62898"/>
  <c r="T131" i="62898" s="1"/>
  <c r="L131" i="62898"/>
  <c r="O131" i="62898"/>
  <c r="R131" i="62898"/>
  <c r="H139" i="62898"/>
  <c r="K139" i="62898" s="1"/>
  <c r="D139" i="62898" s="1"/>
  <c r="I139" i="62898"/>
  <c r="L139" i="62898"/>
  <c r="J139" i="62898"/>
  <c r="M139" i="62898"/>
  <c r="H140" i="62898"/>
  <c r="K140" i="62898"/>
  <c r="I140" i="62898"/>
  <c r="L140" i="62898"/>
  <c r="J140" i="62898"/>
  <c r="M140" i="62898" s="1"/>
  <c r="H141" i="62898"/>
  <c r="K141" i="62898" s="1"/>
  <c r="D141" i="62898" s="1"/>
  <c r="I141" i="62898"/>
  <c r="L141" i="62898"/>
  <c r="J141" i="62898"/>
  <c r="M141" i="62898" s="1"/>
  <c r="H149" i="62898"/>
  <c r="K149" i="62898"/>
  <c r="D149" i="62898" s="1"/>
  <c r="I149" i="62898"/>
  <c r="L149" i="62898"/>
  <c r="J149" i="62898"/>
  <c r="M149" i="62898"/>
  <c r="H150" i="62898"/>
  <c r="K150" i="62898"/>
  <c r="D150" i="62898" s="1"/>
  <c r="I150" i="62898"/>
  <c r="L150" i="62898" s="1"/>
  <c r="J150" i="62898"/>
  <c r="M150" i="62898"/>
  <c r="H151" i="62898"/>
  <c r="K151" i="62898"/>
  <c r="I151" i="62898"/>
  <c r="L151" i="62898" s="1"/>
  <c r="D151" i="62898" s="1"/>
  <c r="J151" i="62898"/>
  <c r="M151" i="62898" s="1"/>
  <c r="H159" i="62898"/>
  <c r="K159" i="62898"/>
  <c r="I159" i="62898"/>
  <c r="L159" i="62898"/>
  <c r="J159" i="62898"/>
  <c r="M159" i="62898"/>
  <c r="D159" i="62898"/>
  <c r="H160" i="62898"/>
  <c r="K160" i="62898" s="1"/>
  <c r="D160" i="62898" s="1"/>
  <c r="I160" i="62898"/>
  <c r="L160" i="62898"/>
  <c r="J160" i="62898"/>
  <c r="M160" i="62898"/>
  <c r="H161" i="62898"/>
  <c r="K161" i="62898" s="1"/>
  <c r="D161" i="62898" s="1"/>
  <c r="I161" i="62898"/>
  <c r="L161" i="62898" s="1"/>
  <c r="J161" i="62898"/>
  <c r="M161" i="62898"/>
  <c r="H172" i="62898"/>
  <c r="K172" i="62898"/>
  <c r="I172" i="62898"/>
  <c r="L172" i="62898" s="1"/>
  <c r="J172" i="62898"/>
  <c r="M172" i="62898" s="1"/>
  <c r="H173" i="62898"/>
  <c r="K173" i="62898"/>
  <c r="I173" i="62898"/>
  <c r="L173" i="62898" s="1"/>
  <c r="D173" i="62898" s="1"/>
  <c r="J173" i="62898"/>
  <c r="M173" i="62898"/>
  <c r="H174" i="62898"/>
  <c r="K174" i="62898"/>
  <c r="D174" i="62898" s="1"/>
  <c r="I174" i="62898"/>
  <c r="L174" i="62898"/>
  <c r="J174" i="62898"/>
  <c r="M174" i="62898"/>
  <c r="H182" i="62898"/>
  <c r="K182" i="62898" s="1"/>
  <c r="I182" i="62898"/>
  <c r="L182" i="62898" s="1"/>
  <c r="J182" i="62898"/>
  <c r="M182" i="62898" s="1"/>
  <c r="H183" i="62898"/>
  <c r="K183" i="62898" s="1"/>
  <c r="D183" i="62898" s="1"/>
  <c r="I183" i="62898"/>
  <c r="L183" i="62898"/>
  <c r="J183" i="62898"/>
  <c r="M183" i="62898"/>
  <c r="H184" i="62898"/>
  <c r="K184" i="62898"/>
  <c r="I184" i="62898"/>
  <c r="L184" i="62898"/>
  <c r="J184" i="62898"/>
  <c r="M184" i="62898"/>
  <c r="D184" i="62898"/>
  <c r="H192" i="62898"/>
  <c r="O192" i="62898" s="1"/>
  <c r="D192" i="62898" s="1"/>
  <c r="L192" i="62898"/>
  <c r="I192" i="62898"/>
  <c r="M192" i="62898"/>
  <c r="P192" i="62898"/>
  <c r="J192" i="62898"/>
  <c r="N192" i="62898"/>
  <c r="Q192" i="62898"/>
  <c r="H193" i="62898"/>
  <c r="O193" i="62898" s="1"/>
  <c r="L193" i="62898"/>
  <c r="I193" i="62898"/>
  <c r="P193" i="62898" s="1"/>
  <c r="M193" i="62898"/>
  <c r="J193" i="62898"/>
  <c r="N193" i="62898"/>
  <c r="Q193" i="62898"/>
  <c r="H194" i="62898"/>
  <c r="O194" i="62898" s="1"/>
  <c r="D194" i="62898" s="1"/>
  <c r="L194" i="62898"/>
  <c r="I194" i="62898"/>
  <c r="M194" i="62898"/>
  <c r="P194" i="62898"/>
  <c r="J194" i="62898"/>
  <c r="N194" i="62898"/>
  <c r="Q194" i="62898"/>
  <c r="H205" i="62898"/>
  <c r="I205" i="62898" s="1"/>
  <c r="H213" i="62898"/>
  <c r="H221" i="62898"/>
  <c r="I221" i="62898"/>
  <c r="D221" i="62898"/>
  <c r="H222" i="62898"/>
  <c r="I222" i="62898" s="1"/>
  <c r="D222" i="62898" s="1"/>
  <c r="H223" i="62898"/>
  <c r="I223" i="62898"/>
  <c r="D223" i="62898"/>
  <c r="H234" i="62898"/>
  <c r="K234" i="62898"/>
  <c r="N234" i="62898"/>
  <c r="Q234" i="62898"/>
  <c r="I234" i="62898"/>
  <c r="T234" i="62898" s="1"/>
  <c r="U234" i="62898" s="1"/>
  <c r="L234" i="62898"/>
  <c r="O234" i="62898"/>
  <c r="R234" i="62898"/>
  <c r="C1619" i="62906"/>
  <c r="H235" i="62898"/>
  <c r="K235" i="62898"/>
  <c r="N235" i="62898"/>
  <c r="Q235" i="62898"/>
  <c r="I235" i="62898"/>
  <c r="T235" i="62898" s="1"/>
  <c r="L235" i="62898"/>
  <c r="O235" i="62898"/>
  <c r="R235" i="62898"/>
  <c r="H236" i="62898"/>
  <c r="K236" i="62898"/>
  <c r="N236" i="62898"/>
  <c r="Q236" i="62898"/>
  <c r="I236" i="62898"/>
  <c r="L236" i="62898"/>
  <c r="O236" i="62898"/>
  <c r="R236" i="62898"/>
  <c r="H244" i="62898"/>
  <c r="K244" i="62898" s="1"/>
  <c r="D244" i="62898" s="1"/>
  <c r="I244" i="62898"/>
  <c r="L244" i="62898"/>
  <c r="J244" i="62898"/>
  <c r="M244" i="62898"/>
  <c r="H245" i="62898"/>
  <c r="K245" i="62898" s="1"/>
  <c r="I245" i="62898"/>
  <c r="L245" i="62898" s="1"/>
  <c r="J245" i="62898"/>
  <c r="M245" i="62898" s="1"/>
  <c r="H246" i="62898"/>
  <c r="K246" i="62898"/>
  <c r="I246" i="62898"/>
  <c r="L246" i="62898" s="1"/>
  <c r="J246" i="62898"/>
  <c r="M246" i="62898" s="1"/>
  <c r="H247" i="62898"/>
  <c r="K247" i="62898"/>
  <c r="D247" i="62898" s="1"/>
  <c r="I247" i="62898"/>
  <c r="L247" i="62898"/>
  <c r="J247" i="62898"/>
  <c r="M247" i="62898" s="1"/>
  <c r="N1624" i="62906"/>
  <c r="H255" i="62898"/>
  <c r="I255" i="62898"/>
  <c r="M255" i="62898" s="1"/>
  <c r="J255" i="62898"/>
  <c r="K255" i="62898"/>
  <c r="N255" i="62898"/>
  <c r="L255" i="62898"/>
  <c r="H256" i="62898"/>
  <c r="I256" i="62898"/>
  <c r="M256" i="62898" s="1"/>
  <c r="J256" i="62898"/>
  <c r="K256" i="62898"/>
  <c r="N256" i="62898"/>
  <c r="L256" i="62898"/>
  <c r="H257" i="62898"/>
  <c r="I257" i="62898" s="1"/>
  <c r="J257" i="62898"/>
  <c r="K257" i="62898"/>
  <c r="L257" i="62898" s="1"/>
  <c r="H258" i="62898"/>
  <c r="I258" i="62898"/>
  <c r="M258" i="62898" s="1"/>
  <c r="J258" i="62898"/>
  <c r="K258" i="62898"/>
  <c r="L258" i="62898"/>
  <c r="H269" i="62898"/>
  <c r="S269" i="62898" s="1"/>
  <c r="K269" i="62898"/>
  <c r="N269" i="62898"/>
  <c r="Q269" i="62898"/>
  <c r="I269" i="62898"/>
  <c r="T269" i="62898" s="1"/>
  <c r="L269" i="62898"/>
  <c r="O269" i="62898"/>
  <c r="R269" i="62898"/>
  <c r="H270" i="62898"/>
  <c r="K270" i="62898"/>
  <c r="N270" i="62898"/>
  <c r="Q270" i="62898"/>
  <c r="S270" i="62898" s="1"/>
  <c r="I270" i="62898"/>
  <c r="L270" i="62898"/>
  <c r="O270" i="62898"/>
  <c r="R270" i="62898"/>
  <c r="H271" i="62898"/>
  <c r="S271" i="62898" s="1"/>
  <c r="K271" i="62898"/>
  <c r="N271" i="62898"/>
  <c r="Q271" i="62898"/>
  <c r="I271" i="62898"/>
  <c r="T271" i="62898" s="1"/>
  <c r="L271" i="62898"/>
  <c r="O271" i="62898"/>
  <c r="R271" i="62898"/>
  <c r="H273" i="62898"/>
  <c r="K273" i="62898"/>
  <c r="N273" i="62898"/>
  <c r="Q273" i="62898"/>
  <c r="I273" i="62898"/>
  <c r="T273" i="62898" s="1"/>
  <c r="L273" i="62898"/>
  <c r="O273" i="62898"/>
  <c r="R273" i="62898"/>
  <c r="H274" i="62898"/>
  <c r="S274" i="62898" s="1"/>
  <c r="K274" i="62898"/>
  <c r="N274" i="62898"/>
  <c r="I274" i="62898"/>
  <c r="L274" i="62898"/>
  <c r="O274" i="62898"/>
  <c r="H282" i="62898"/>
  <c r="K282" i="62898"/>
  <c r="M282" i="62898"/>
  <c r="D282" i="62898" s="1"/>
  <c r="I282" i="62898"/>
  <c r="N282" i="62898" s="1"/>
  <c r="L282" i="62898"/>
  <c r="H283" i="62898"/>
  <c r="K283" i="62898"/>
  <c r="M283" i="62898" s="1"/>
  <c r="D283" i="62898" s="1"/>
  <c r="I283" i="62898"/>
  <c r="L283" i="62898"/>
  <c r="N283" i="62898"/>
  <c r="H284" i="62898"/>
  <c r="M284" i="62898" s="1"/>
  <c r="K284" i="62898"/>
  <c r="I284" i="62898"/>
  <c r="N284" i="62898" s="1"/>
  <c r="L284" i="62898"/>
  <c r="H296" i="62898"/>
  <c r="S296" i="62898" s="1"/>
  <c r="K296" i="62898"/>
  <c r="N296" i="62898"/>
  <c r="Q296" i="62898"/>
  <c r="I296" i="62898"/>
  <c r="T296" i="62898" s="1"/>
  <c r="L296" i="62898"/>
  <c r="O296" i="62898"/>
  <c r="R296" i="62898"/>
  <c r="H297" i="62898"/>
  <c r="S297" i="62898" s="1"/>
  <c r="K297" i="62898"/>
  <c r="N297" i="62898"/>
  <c r="Q297" i="62898"/>
  <c r="I297" i="62898"/>
  <c r="L297" i="62898"/>
  <c r="O297" i="62898"/>
  <c r="R297" i="62898"/>
  <c r="H298" i="62898"/>
  <c r="K298" i="62898"/>
  <c r="N298" i="62898"/>
  <c r="Q298" i="62898"/>
  <c r="I298" i="62898"/>
  <c r="T298" i="62898" s="1"/>
  <c r="L298" i="62898"/>
  <c r="O298" i="62898"/>
  <c r="R298" i="62898"/>
  <c r="H299" i="62898"/>
  <c r="K299" i="62898"/>
  <c r="N299" i="62898"/>
  <c r="Q299" i="62898"/>
  <c r="S299" i="62898" s="1"/>
  <c r="I299" i="62898"/>
  <c r="T299" i="62898" s="1"/>
  <c r="L299" i="62898"/>
  <c r="O299" i="62898"/>
  <c r="R299" i="62898"/>
  <c r="H301" i="62898"/>
  <c r="K301" i="62898"/>
  <c r="N301" i="62898"/>
  <c r="Q301" i="62898"/>
  <c r="S301" i="62898"/>
  <c r="D301" i="62898" s="1"/>
  <c r="I301" i="62898"/>
  <c r="T301" i="62898" s="1"/>
  <c r="L301" i="62898"/>
  <c r="O301" i="62898"/>
  <c r="R301" i="62898"/>
  <c r="H302" i="62898"/>
  <c r="K302" i="62898"/>
  <c r="N302" i="62898"/>
  <c r="Q302" i="62898"/>
  <c r="I302" i="62898"/>
  <c r="T302" i="62898" s="1"/>
  <c r="L302" i="62898"/>
  <c r="O302" i="62898"/>
  <c r="R302" i="62898"/>
  <c r="H310" i="62898"/>
  <c r="K310" i="62898"/>
  <c r="I310" i="62898"/>
  <c r="L310" i="62898" s="1"/>
  <c r="J310" i="62898"/>
  <c r="M310" i="62898" s="1"/>
  <c r="H311" i="62898"/>
  <c r="K311" i="62898" s="1"/>
  <c r="I311" i="62898"/>
  <c r="L311" i="62898" s="1"/>
  <c r="J311" i="62898"/>
  <c r="M311" i="62898" s="1"/>
  <c r="H312" i="62898"/>
  <c r="K312" i="62898" s="1"/>
  <c r="I312" i="62898"/>
  <c r="L312" i="62898"/>
  <c r="J312" i="62898"/>
  <c r="M312" i="62898" s="1"/>
  <c r="H320" i="62898"/>
  <c r="K320" i="62898" s="1"/>
  <c r="D320" i="62898" s="1"/>
  <c r="D324" i="62898" s="1"/>
  <c r="I320" i="62898"/>
  <c r="L320" i="62898" s="1"/>
  <c r="J320" i="62898"/>
  <c r="M320" i="62898" s="1"/>
  <c r="H321" i="62898"/>
  <c r="K321" i="62898" s="1"/>
  <c r="D321" i="62898" s="1"/>
  <c r="I321" i="62898"/>
  <c r="L321" i="62898" s="1"/>
  <c r="J321" i="62898"/>
  <c r="M321" i="62898" s="1"/>
  <c r="H322" i="62898"/>
  <c r="K322" i="62898"/>
  <c r="I322" i="62898"/>
  <c r="L322" i="62898" s="1"/>
  <c r="D322" i="62898" s="1"/>
  <c r="J322" i="62898"/>
  <c r="M322" i="62898"/>
  <c r="H330" i="62898"/>
  <c r="K330" i="62898" s="1"/>
  <c r="D330" i="62898" s="1"/>
  <c r="I330" i="62898"/>
  <c r="L330" i="62898" s="1"/>
  <c r="J330" i="62898"/>
  <c r="M330" i="62898"/>
  <c r="H331" i="62898"/>
  <c r="K331" i="62898" s="1"/>
  <c r="D331" i="62898" s="1"/>
  <c r="I331" i="62898"/>
  <c r="L331" i="62898" s="1"/>
  <c r="J331" i="62898"/>
  <c r="M331" i="62898"/>
  <c r="H332" i="62898"/>
  <c r="K332" i="62898" s="1"/>
  <c r="D332" i="62898" s="1"/>
  <c r="I332" i="62898"/>
  <c r="L332" i="62898"/>
  <c r="J332" i="62898"/>
  <c r="M332" i="62898" s="1"/>
  <c r="H340" i="62898"/>
  <c r="O340" i="62898" s="1"/>
  <c r="L340" i="62898"/>
  <c r="I340" i="62898"/>
  <c r="M340" i="62898"/>
  <c r="P340" i="62898"/>
  <c r="J340" i="62898"/>
  <c r="Q340" i="62898" s="1"/>
  <c r="N340" i="62898"/>
  <c r="H341" i="62898"/>
  <c r="L341" i="62898"/>
  <c r="O341" i="62898"/>
  <c r="D341" i="62898" s="1"/>
  <c r="I341" i="62898"/>
  <c r="M341" i="62898"/>
  <c r="P341" i="62898"/>
  <c r="J341" i="62898"/>
  <c r="N341" i="62898"/>
  <c r="Q341" i="62898"/>
  <c r="H342" i="62898"/>
  <c r="O342" i="62898" s="1"/>
  <c r="D342" i="62898" s="1"/>
  <c r="L342" i="62898"/>
  <c r="I342" i="62898"/>
  <c r="M342" i="62898"/>
  <c r="P342" i="62898"/>
  <c r="J342" i="62898"/>
  <c r="Q342" i="62898" s="1"/>
  <c r="N342" i="62898"/>
  <c r="H350" i="62898"/>
  <c r="K350" i="62898"/>
  <c r="I350" i="62898"/>
  <c r="L350" i="62898"/>
  <c r="J350" i="62898"/>
  <c r="M350" i="62898" s="1"/>
  <c r="H351" i="62898"/>
  <c r="K351" i="62898" s="1"/>
  <c r="D351" i="62898" s="1"/>
  <c r="I351" i="62898"/>
  <c r="L351" i="62898" s="1"/>
  <c r="J351" i="62898"/>
  <c r="M351" i="62898"/>
  <c r="H352" i="62898"/>
  <c r="K352" i="62898" s="1"/>
  <c r="I352" i="62898"/>
  <c r="L352" i="62898" s="1"/>
  <c r="H360" i="62898"/>
  <c r="I360" i="62898"/>
  <c r="J360" i="62898"/>
  <c r="M360" i="62898" s="1"/>
  <c r="D360" i="62898" s="1"/>
  <c r="K360" i="62898"/>
  <c r="N360" i="62898"/>
  <c r="L360" i="62898"/>
  <c r="O360" i="62898" s="1"/>
  <c r="H361" i="62898"/>
  <c r="I361" i="62898"/>
  <c r="N361" i="62898" s="1"/>
  <c r="J361" i="62898"/>
  <c r="M361" i="62898"/>
  <c r="K361" i="62898"/>
  <c r="L361" i="62898" s="1"/>
  <c r="H362" i="62898"/>
  <c r="I362" i="62898" s="1"/>
  <c r="J362" i="62898"/>
  <c r="K362" i="62898"/>
  <c r="L362" i="62898" s="1"/>
  <c r="H370" i="62898"/>
  <c r="K370" i="62898"/>
  <c r="M370" i="62898"/>
  <c r="I370" i="62898"/>
  <c r="N370" i="62898" s="1"/>
  <c r="L370" i="62898"/>
  <c r="H371" i="62898"/>
  <c r="M371" i="62898" s="1"/>
  <c r="K371" i="62898"/>
  <c r="I371" i="62898"/>
  <c r="N371" i="62898" s="1"/>
  <c r="L371" i="62898"/>
  <c r="H372" i="62898"/>
  <c r="M372" i="62898" s="1"/>
  <c r="D372" i="62898" s="1"/>
  <c r="K372" i="62898"/>
  <c r="I372" i="62898"/>
  <c r="N372" i="62898" s="1"/>
  <c r="L372" i="62898"/>
  <c r="H380" i="62898"/>
  <c r="I380" i="62898" s="1"/>
  <c r="D380" i="62898" s="1"/>
  <c r="H381" i="62898"/>
  <c r="I381" i="62898" s="1"/>
  <c r="D381" i="62898" s="1"/>
  <c r="H382" i="62898"/>
  <c r="I382" i="62898" s="1"/>
  <c r="D382" i="62898" s="1"/>
  <c r="H13" i="62904"/>
  <c r="S13" i="62904" s="1"/>
  <c r="K13" i="62904"/>
  <c r="N13" i="62904"/>
  <c r="Q13" i="62904"/>
  <c r="I13" i="62904"/>
  <c r="T13" i="62904" s="1"/>
  <c r="L13" i="62904"/>
  <c r="O13" i="62904"/>
  <c r="R13" i="62904"/>
  <c r="H14" i="62904"/>
  <c r="K14" i="62904"/>
  <c r="N14" i="62904"/>
  <c r="Q14" i="62904"/>
  <c r="I14" i="62904"/>
  <c r="L14" i="62904"/>
  <c r="O14" i="62904"/>
  <c r="R14" i="62904"/>
  <c r="H15" i="62904"/>
  <c r="K15" i="62904"/>
  <c r="N15" i="62904"/>
  <c r="Q15" i="62904"/>
  <c r="S15" i="62904" s="1"/>
  <c r="I15" i="62904"/>
  <c r="L15" i="62904"/>
  <c r="O15" i="62904"/>
  <c r="R15" i="62904"/>
  <c r="H16" i="62904"/>
  <c r="K16" i="62904"/>
  <c r="N16" i="62904"/>
  <c r="Q16" i="62904"/>
  <c r="I16" i="62904"/>
  <c r="T16" i="62904" s="1"/>
  <c r="L16" i="62904"/>
  <c r="O16" i="62904"/>
  <c r="R16" i="62904"/>
  <c r="H17" i="62904"/>
  <c r="S17" i="62904" s="1"/>
  <c r="K17" i="62904"/>
  <c r="N17" i="62904"/>
  <c r="Q17" i="62904"/>
  <c r="I17" i="62904"/>
  <c r="L17" i="62904"/>
  <c r="O17" i="62904"/>
  <c r="R17" i="62904"/>
  <c r="H18" i="62904"/>
  <c r="K18" i="62904"/>
  <c r="N18" i="62904"/>
  <c r="Q18" i="62904"/>
  <c r="I18" i="62904"/>
  <c r="L18" i="62904"/>
  <c r="O18" i="62904"/>
  <c r="R18" i="62904"/>
  <c r="H26" i="62904"/>
  <c r="K26" i="62904"/>
  <c r="N26" i="62904"/>
  <c r="Q26" i="62904"/>
  <c r="I26" i="62904"/>
  <c r="T26" i="62904" s="1"/>
  <c r="L26" i="62904"/>
  <c r="O26" i="62904"/>
  <c r="R26" i="62904"/>
  <c r="H27" i="62904"/>
  <c r="K27" i="62904"/>
  <c r="N27" i="62904"/>
  <c r="Q27" i="62904"/>
  <c r="I27" i="62904"/>
  <c r="L27" i="62904"/>
  <c r="O27" i="62904"/>
  <c r="R27" i="62904"/>
  <c r="H28" i="62904"/>
  <c r="K28" i="62904"/>
  <c r="N28" i="62904"/>
  <c r="Q28" i="62904"/>
  <c r="I28" i="62904"/>
  <c r="T28" i="62904" s="1"/>
  <c r="L28" i="62904"/>
  <c r="O28" i="62904"/>
  <c r="R28" i="62904"/>
  <c r="C172" i="62906"/>
  <c r="H39" i="62904" s="1"/>
  <c r="J39" i="62904"/>
  <c r="M39" i="62904"/>
  <c r="C406" i="62906"/>
  <c r="H40" i="62904"/>
  <c r="J40" i="62904"/>
  <c r="M40" i="62904"/>
  <c r="C452" i="62906"/>
  <c r="H41" i="62904"/>
  <c r="J41" i="62904"/>
  <c r="M41" i="62904"/>
  <c r="H49" i="62904"/>
  <c r="K49" i="62904"/>
  <c r="H50" i="62904"/>
  <c r="K50" i="62904"/>
  <c r="H51" i="62904"/>
  <c r="K51" i="62904"/>
  <c r="H62" i="62904"/>
  <c r="I62" i="62904" s="1"/>
  <c r="H63" i="62904"/>
  <c r="I63" i="62904" s="1"/>
  <c r="D63" i="62904" s="1"/>
  <c r="H64" i="62904"/>
  <c r="I64" i="62904" s="1"/>
  <c r="D64" i="62904" s="1"/>
  <c r="H65" i="62904"/>
  <c r="I65" i="62904" s="1"/>
  <c r="D65" i="62904" s="1"/>
  <c r="H85" i="62904"/>
  <c r="I85" i="62904"/>
  <c r="D85" i="62904" s="1"/>
  <c r="H86" i="62904"/>
  <c r="I86" i="62904" s="1"/>
  <c r="D86" i="62904" s="1"/>
  <c r="H87" i="62904"/>
  <c r="I87" i="62904" s="1"/>
  <c r="H89" i="62904"/>
  <c r="I89" i="62904" s="1"/>
  <c r="H90" i="62904"/>
  <c r="I90" i="62904"/>
  <c r="D90" i="62904"/>
  <c r="H91" i="62904"/>
  <c r="I91" i="62904"/>
  <c r="D91" i="62904" s="1"/>
  <c r="H99" i="62904"/>
  <c r="I99" i="62904" s="1"/>
  <c r="H100" i="62904"/>
  <c r="I100" i="62904" s="1"/>
  <c r="D100" i="62904" s="1"/>
  <c r="H101" i="62904"/>
  <c r="I101" i="62904" s="1"/>
  <c r="J92" i="2"/>
  <c r="N1551" i="62906"/>
  <c r="N1552" i="62906"/>
  <c r="N1553" i="62906"/>
  <c r="N1554" i="62906"/>
  <c r="N1555" i="62906"/>
  <c r="N1556" i="62906"/>
  <c r="N1557" i="62906"/>
  <c r="N1558" i="62906"/>
  <c r="N1550" i="62906"/>
  <c r="K1551" i="62906"/>
  <c r="K1552" i="62906"/>
  <c r="K1553" i="62906"/>
  <c r="K1554" i="62906"/>
  <c r="K1555" i="62906"/>
  <c r="K1556" i="62906"/>
  <c r="K1557" i="62906"/>
  <c r="K1558" i="62906"/>
  <c r="K1550" i="62906"/>
  <c r="H1551" i="62906"/>
  <c r="H1552" i="62906"/>
  <c r="H1553" i="62906"/>
  <c r="H1554" i="62906"/>
  <c r="H1555" i="62906"/>
  <c r="H1556" i="62906"/>
  <c r="H1557" i="62906"/>
  <c r="H1558" i="62906"/>
  <c r="H1550" i="62906"/>
  <c r="E1551" i="62906"/>
  <c r="E1552" i="62906"/>
  <c r="E1553" i="62906"/>
  <c r="E1554" i="62906"/>
  <c r="E1555" i="62906"/>
  <c r="E1556" i="62906"/>
  <c r="E1557" i="62906"/>
  <c r="E1558" i="62906"/>
  <c r="E1550" i="62906"/>
  <c r="D126" i="62906"/>
  <c r="J126" i="62906"/>
  <c r="I126" i="62906"/>
  <c r="D109" i="62906"/>
  <c r="J109" i="62906" s="1"/>
  <c r="I109" i="62906"/>
  <c r="D2345" i="62906"/>
  <c r="D182" i="62906"/>
  <c r="D181" i="62906"/>
  <c r="D180" i="62906"/>
  <c r="D179" i="62906"/>
  <c r="D178" i="62906"/>
  <c r="D177" i="62906"/>
  <c r="D176" i="62906"/>
  <c r="F703" i="62906"/>
  <c r="E2267" i="62906"/>
  <c r="F2266" i="62906"/>
  <c r="E2266" i="62906"/>
  <c r="C1787" i="62906"/>
  <c r="C1785" i="62906"/>
  <c r="C1784" i="62906"/>
  <c r="C1781" i="62906"/>
  <c r="C1780" i="62906"/>
  <c r="C1779" i="62906"/>
  <c r="C1778" i="62906"/>
  <c r="C1777" i="62906"/>
  <c r="C1776" i="62906"/>
  <c r="C1775" i="62906"/>
  <c r="C1774" i="62906"/>
  <c r="C1773" i="62906"/>
  <c r="C1722" i="62906"/>
  <c r="C1720" i="62906"/>
  <c r="C1842" i="62906"/>
  <c r="C1772" i="62906"/>
  <c r="C1771" i="62906"/>
  <c r="C1770" i="62906"/>
  <c r="C1769" i="62906"/>
  <c r="C1768" i="62906"/>
  <c r="C1767" i="62906"/>
  <c r="C1766" i="62906"/>
  <c r="B188" i="7"/>
  <c r="C2020" i="62906"/>
  <c r="C2019" i="62906"/>
  <c r="C2018" i="62906"/>
  <c r="C2017" i="62906"/>
  <c r="C2016" i="62906"/>
  <c r="C2015" i="62906"/>
  <c r="C2014" i="62906"/>
  <c r="C2013" i="62906"/>
  <c r="C2012" i="62906"/>
  <c r="C2011" i="62906"/>
  <c r="C2010" i="62906"/>
  <c r="C2009" i="62906"/>
  <c r="C2008" i="62906"/>
  <c r="C2007" i="62906"/>
  <c r="C1841" i="62906"/>
  <c r="C1839" i="62906"/>
  <c r="C1838" i="62906"/>
  <c r="C1836" i="62906"/>
  <c r="C1835" i="62906"/>
  <c r="C1833" i="62906"/>
  <c r="D94" i="62906"/>
  <c r="D93" i="62906"/>
  <c r="D133" i="62906"/>
  <c r="D92" i="62906"/>
  <c r="D91" i="62906"/>
  <c r="D34" i="62915"/>
  <c r="D20" i="62915"/>
  <c r="D21" i="62915"/>
  <c r="D22" i="62915"/>
  <c r="B201" i="1"/>
  <c r="D23" i="62915"/>
  <c r="B202" i="1"/>
  <c r="D24" i="62915" s="1"/>
  <c r="D25" i="62915"/>
  <c r="B204" i="1"/>
  <c r="B174" i="62904" s="1"/>
  <c r="D27" i="62915"/>
  <c r="B206" i="1"/>
  <c r="B209" i="62905" s="1"/>
  <c r="D28" i="62915"/>
  <c r="B207" i="1"/>
  <c r="B177" i="62904" s="1"/>
  <c r="B208" i="1"/>
  <c r="B178" i="62904" s="1"/>
  <c r="D31" i="62915"/>
  <c r="D32" i="62915"/>
  <c r="B211" i="1"/>
  <c r="B331" i="9" s="1"/>
  <c r="D33" i="62915"/>
  <c r="D19" i="62915"/>
  <c r="D17" i="62915"/>
  <c r="B194" i="1"/>
  <c r="D16" i="62915"/>
  <c r="B189" i="1"/>
  <c r="B450" i="62898" s="1"/>
  <c r="B190" i="1"/>
  <c r="D12" i="62915" s="1"/>
  <c r="B191" i="1"/>
  <c r="D13" i="62915"/>
  <c r="D14" i="62915"/>
  <c r="B188" i="1"/>
  <c r="B191" i="62905" s="1"/>
  <c r="D10" i="62915"/>
  <c r="B187" i="1"/>
  <c r="D9" i="62915" s="1"/>
  <c r="D30" i="62914"/>
  <c r="D31" i="62914"/>
  <c r="D32" i="62914"/>
  <c r="D33" i="62914"/>
  <c r="D34" i="62914"/>
  <c r="D35" i="62914"/>
  <c r="D36" i="62914"/>
  <c r="D29" i="62914"/>
  <c r="D27" i="62914"/>
  <c r="D20" i="62914"/>
  <c r="D21" i="62914"/>
  <c r="D22" i="62914"/>
  <c r="D23" i="62914"/>
  <c r="D24" i="62914"/>
  <c r="D25" i="62914"/>
  <c r="D26" i="62914"/>
  <c r="D19" i="62914"/>
  <c r="D16" i="62914"/>
  <c r="D15" i="62914"/>
  <c r="D11" i="62914"/>
  <c r="D12" i="62914"/>
  <c r="D13" i="62914"/>
  <c r="D10" i="62914"/>
  <c r="D9" i="62914"/>
  <c r="B153" i="62905"/>
  <c r="B201" i="62905"/>
  <c r="B202" i="62905"/>
  <c r="B203" i="62905"/>
  <c r="B204" i="62905"/>
  <c r="B205" i="62905"/>
  <c r="B206" i="62905"/>
  <c r="B207" i="62905"/>
  <c r="B208" i="62905"/>
  <c r="B211" i="62905"/>
  <c r="B212" i="62905"/>
  <c r="B213" i="62905"/>
  <c r="B214" i="62905"/>
  <c r="B215" i="62905"/>
  <c r="B200" i="62905"/>
  <c r="B198" i="62905"/>
  <c r="B197" i="62905"/>
  <c r="B192" i="62905"/>
  <c r="B193" i="62905"/>
  <c r="B194" i="62905"/>
  <c r="B195" i="62905"/>
  <c r="B190" i="62905"/>
  <c r="B187" i="62905"/>
  <c r="B177" i="62905"/>
  <c r="B178" i="62905"/>
  <c r="B179" i="62905"/>
  <c r="B180" i="62905"/>
  <c r="B181" i="62905"/>
  <c r="B182" i="62905"/>
  <c r="B183" i="62905"/>
  <c r="B176" i="62905"/>
  <c r="B167" i="62905"/>
  <c r="B168" i="62905"/>
  <c r="B169" i="62905"/>
  <c r="B170" i="62905"/>
  <c r="B171" i="62905"/>
  <c r="B172" i="62905"/>
  <c r="B173" i="62905"/>
  <c r="B174" i="62905"/>
  <c r="B166" i="62905"/>
  <c r="B163" i="62905"/>
  <c r="B162" i="62905"/>
  <c r="B158" i="62905"/>
  <c r="B159" i="62905"/>
  <c r="B160" i="62905"/>
  <c r="B157" i="62905"/>
  <c r="B156" i="62905"/>
  <c r="B129" i="62905"/>
  <c r="B261" i="9"/>
  <c r="B259" i="9"/>
  <c r="B108" i="62904"/>
  <c r="B120" i="62904"/>
  <c r="B154" i="62904"/>
  <c r="B168" i="62904"/>
  <c r="B169" i="62904"/>
  <c r="B170" i="62904"/>
  <c r="B171" i="62904"/>
  <c r="B172" i="62904"/>
  <c r="B173" i="62904"/>
  <c r="B175" i="62904"/>
  <c r="B176" i="62904"/>
  <c r="B179" i="62904"/>
  <c r="B180" i="62904"/>
  <c r="B182" i="62904"/>
  <c r="B167" i="62904"/>
  <c r="B165" i="62904"/>
  <c r="B164" i="62904"/>
  <c r="B159" i="62904"/>
  <c r="B160" i="62904"/>
  <c r="B161" i="62904"/>
  <c r="B162" i="62904"/>
  <c r="B158" i="62904"/>
  <c r="B157" i="62904"/>
  <c r="B144" i="62904"/>
  <c r="B145" i="62904"/>
  <c r="B146" i="62904"/>
  <c r="B147" i="62904"/>
  <c r="B148" i="62904"/>
  <c r="B149" i="62904"/>
  <c r="B150" i="62904"/>
  <c r="B143" i="62904"/>
  <c r="B134" i="62904"/>
  <c r="B135" i="62904"/>
  <c r="B136" i="62904"/>
  <c r="B137" i="62904"/>
  <c r="B138" i="62904"/>
  <c r="B139" i="62904"/>
  <c r="B140" i="62904"/>
  <c r="B141" i="62904"/>
  <c r="B133" i="62904"/>
  <c r="B130" i="62904"/>
  <c r="B129" i="62904"/>
  <c r="B125" i="62904"/>
  <c r="B126" i="62904"/>
  <c r="B127" i="62904"/>
  <c r="B124" i="62904"/>
  <c r="B123" i="62904"/>
  <c r="B141" i="1"/>
  <c r="B2" i="62911"/>
  <c r="B304" i="9"/>
  <c r="B270" i="9"/>
  <c r="B255" i="9"/>
  <c r="B318" i="9"/>
  <c r="B319" i="9"/>
  <c r="B320" i="9"/>
  <c r="B321" i="9"/>
  <c r="B322" i="9"/>
  <c r="B323" i="9"/>
  <c r="B324" i="9"/>
  <c r="B325" i="9"/>
  <c r="B326" i="9"/>
  <c r="B328" i="9"/>
  <c r="B329" i="9"/>
  <c r="B330" i="9"/>
  <c r="B332" i="9"/>
  <c r="B317" i="9"/>
  <c r="B315" i="9"/>
  <c r="B314" i="9"/>
  <c r="B309" i="9"/>
  <c r="B311" i="9"/>
  <c r="B312" i="9"/>
  <c r="B307" i="9"/>
  <c r="B294" i="9"/>
  <c r="B295" i="9"/>
  <c r="B296" i="9"/>
  <c r="B297" i="9"/>
  <c r="B298" i="9"/>
  <c r="B299" i="9"/>
  <c r="B300" i="9"/>
  <c r="B293" i="9"/>
  <c r="B284" i="9"/>
  <c r="B285" i="9"/>
  <c r="B286" i="9"/>
  <c r="B287" i="9"/>
  <c r="B288" i="9"/>
  <c r="B289" i="9"/>
  <c r="B290" i="9"/>
  <c r="B291" i="9"/>
  <c r="B283" i="9"/>
  <c r="B280" i="9"/>
  <c r="B279" i="9"/>
  <c r="B275" i="9"/>
  <c r="B276" i="9"/>
  <c r="B277" i="9"/>
  <c r="B274" i="9"/>
  <c r="B273" i="9"/>
  <c r="B233" i="2"/>
  <c r="B234" i="2"/>
  <c r="B235" i="2"/>
  <c r="B236" i="2"/>
  <c r="B237" i="2"/>
  <c r="B238" i="2"/>
  <c r="B240" i="2"/>
  <c r="B241" i="2"/>
  <c r="B243" i="2"/>
  <c r="B244" i="2"/>
  <c r="B245" i="2"/>
  <c r="B246" i="2"/>
  <c r="B247" i="2"/>
  <c r="B232" i="2"/>
  <c r="B230" i="2"/>
  <c r="B229" i="2"/>
  <c r="B224" i="2"/>
  <c r="B225" i="2"/>
  <c r="B226" i="2"/>
  <c r="B227" i="2"/>
  <c r="B222" i="2"/>
  <c r="B209" i="2"/>
  <c r="B210" i="2"/>
  <c r="B211" i="2"/>
  <c r="B212" i="2"/>
  <c r="B213" i="2"/>
  <c r="B214" i="2"/>
  <c r="B215" i="2"/>
  <c r="B208" i="2"/>
  <c r="B199" i="2"/>
  <c r="B200" i="2"/>
  <c r="B201" i="2"/>
  <c r="B202" i="2"/>
  <c r="B203" i="2"/>
  <c r="B204" i="2"/>
  <c r="B205" i="2"/>
  <c r="B206" i="2"/>
  <c r="B198" i="2"/>
  <c r="B195" i="2"/>
  <c r="B194" i="2"/>
  <c r="B190" i="2"/>
  <c r="B191" i="2"/>
  <c r="B192" i="2"/>
  <c r="B189" i="2"/>
  <c r="B188" i="2"/>
  <c r="B459" i="62898"/>
  <c r="B460" i="62898"/>
  <c r="B461" i="62898"/>
  <c r="B462" i="62898"/>
  <c r="B463" i="62898"/>
  <c r="B464" i="62898"/>
  <c r="B465" i="62898"/>
  <c r="B466" i="62898"/>
  <c r="B467" i="62898"/>
  <c r="B469" i="62898"/>
  <c r="B470" i="62898"/>
  <c r="B471" i="62898"/>
  <c r="B472" i="62898"/>
  <c r="B473" i="62898"/>
  <c r="B458" i="62898"/>
  <c r="B456" i="62898"/>
  <c r="B455" i="62898"/>
  <c r="B451" i="62898"/>
  <c r="B452" i="62898"/>
  <c r="B453" i="62898"/>
  <c r="B448" i="62898"/>
  <c r="B435" i="62898"/>
  <c r="B436" i="62898"/>
  <c r="B437" i="62898"/>
  <c r="B438" i="62898"/>
  <c r="B439" i="62898"/>
  <c r="B440" i="62898"/>
  <c r="B441" i="62898"/>
  <c r="B434" i="62898"/>
  <c r="B425" i="62898"/>
  <c r="B426" i="62898"/>
  <c r="B427" i="62898"/>
  <c r="B428" i="62898"/>
  <c r="B429" i="62898"/>
  <c r="B430" i="62898"/>
  <c r="B431" i="62898"/>
  <c r="B432" i="62898"/>
  <c r="B424" i="62898"/>
  <c r="B421" i="62898"/>
  <c r="B420" i="62898"/>
  <c r="B416" i="62898"/>
  <c r="B417" i="62898"/>
  <c r="B418" i="62898"/>
  <c r="B415" i="62898"/>
  <c r="B414" i="62898"/>
  <c r="B709" i="5"/>
  <c r="B710" i="5"/>
  <c r="B711" i="5"/>
  <c r="B712" i="5"/>
  <c r="B713" i="5"/>
  <c r="B704" i="5"/>
  <c r="B705" i="5"/>
  <c r="B702" i="5"/>
  <c r="B703" i="5"/>
  <c r="B701" i="5"/>
  <c r="B695" i="5"/>
  <c r="B696" i="5"/>
  <c r="B697" i="5"/>
  <c r="B698" i="5"/>
  <c r="B694" i="5"/>
  <c r="B692" i="5"/>
  <c r="B691" i="5"/>
  <c r="B686" i="5"/>
  <c r="B687" i="5"/>
  <c r="B688" i="5"/>
  <c r="B689" i="5"/>
  <c r="B685" i="5"/>
  <c r="B684" i="5"/>
  <c r="B672" i="5"/>
  <c r="B673" i="5"/>
  <c r="B674" i="5"/>
  <c r="B675" i="5"/>
  <c r="B676" i="5"/>
  <c r="B677" i="5"/>
  <c r="B671" i="5"/>
  <c r="B668" i="5"/>
  <c r="B665" i="5"/>
  <c r="B666" i="5"/>
  <c r="B664" i="5"/>
  <c r="B663" i="5"/>
  <c r="B662" i="5"/>
  <c r="B657" i="5"/>
  <c r="B658" i="5"/>
  <c r="B659" i="5"/>
  <c r="B656" i="5"/>
  <c r="B653" i="5"/>
  <c r="B652" i="5"/>
  <c r="B648" i="5"/>
  <c r="B649" i="5"/>
  <c r="B650" i="5"/>
  <c r="B647" i="5"/>
  <c r="B646" i="5"/>
  <c r="B162" i="11"/>
  <c r="B163" i="11"/>
  <c r="B164" i="11"/>
  <c r="B165" i="11"/>
  <c r="B166" i="11"/>
  <c r="B167" i="11"/>
  <c r="B168" i="11"/>
  <c r="B169" i="11"/>
  <c r="B170" i="11"/>
  <c r="B171" i="11"/>
  <c r="B172" i="11"/>
  <c r="B173" i="11"/>
  <c r="B174" i="11"/>
  <c r="B175" i="11"/>
  <c r="B176" i="11"/>
  <c r="B161" i="11"/>
  <c r="B159" i="11"/>
  <c r="B158" i="11"/>
  <c r="B153" i="11"/>
  <c r="B154" i="11"/>
  <c r="B155" i="11"/>
  <c r="B156" i="11"/>
  <c r="B151" i="11"/>
  <c r="B138" i="11"/>
  <c r="B139" i="11"/>
  <c r="B140" i="11"/>
  <c r="B141" i="11"/>
  <c r="B142" i="11"/>
  <c r="B143" i="11"/>
  <c r="B144" i="11"/>
  <c r="B137" i="11"/>
  <c r="B128" i="11"/>
  <c r="B129" i="11"/>
  <c r="B130" i="11"/>
  <c r="B131" i="11"/>
  <c r="B132" i="11"/>
  <c r="B133" i="11"/>
  <c r="B134" i="11"/>
  <c r="B135" i="11"/>
  <c r="B127" i="11"/>
  <c r="B124" i="11"/>
  <c r="B123" i="11"/>
  <c r="B119" i="11"/>
  <c r="B120" i="11"/>
  <c r="B121" i="11"/>
  <c r="B118" i="11"/>
  <c r="B117" i="11"/>
  <c r="B263" i="7"/>
  <c r="B264" i="7"/>
  <c r="B265" i="7"/>
  <c r="B266" i="7"/>
  <c r="B267" i="7"/>
  <c r="B268" i="7"/>
  <c r="B269" i="7"/>
  <c r="B270" i="7"/>
  <c r="B271" i="7"/>
  <c r="B273" i="7"/>
  <c r="B274" i="7"/>
  <c r="B275" i="7"/>
  <c r="B276" i="7"/>
  <c r="B277" i="7"/>
  <c r="B262" i="7"/>
  <c r="B260" i="7"/>
  <c r="B259" i="7"/>
  <c r="B254" i="7"/>
  <c r="B255" i="7"/>
  <c r="B256" i="7"/>
  <c r="B257" i="7"/>
  <c r="B253" i="7"/>
  <c r="B252" i="7"/>
  <c r="B239" i="7"/>
  <c r="B240" i="7"/>
  <c r="B241" i="7"/>
  <c r="B242" i="7"/>
  <c r="B243" i="7"/>
  <c r="B244" i="7"/>
  <c r="B245" i="7"/>
  <c r="B238" i="7"/>
  <c r="B229" i="7"/>
  <c r="B230" i="7"/>
  <c r="B231" i="7"/>
  <c r="B232" i="7"/>
  <c r="B233" i="7"/>
  <c r="B234" i="7"/>
  <c r="B235" i="7"/>
  <c r="B236" i="7"/>
  <c r="B228" i="7"/>
  <c r="B225" i="7"/>
  <c r="B224" i="7"/>
  <c r="B220" i="7"/>
  <c r="B221" i="7"/>
  <c r="B222" i="7"/>
  <c r="B219" i="7"/>
  <c r="B218" i="7"/>
  <c r="B164" i="3"/>
  <c r="B165" i="3"/>
  <c r="B166" i="3"/>
  <c r="B167" i="3"/>
  <c r="B168" i="3"/>
  <c r="B169" i="3"/>
  <c r="B170" i="3"/>
  <c r="B171" i="3"/>
  <c r="B172" i="3"/>
  <c r="B174" i="3"/>
  <c r="B175" i="3"/>
  <c r="B176" i="3"/>
  <c r="B177" i="3"/>
  <c r="B178" i="3"/>
  <c r="B163" i="3"/>
  <c r="B161" i="3"/>
  <c r="B160" i="3"/>
  <c r="B155" i="3"/>
  <c r="B156" i="3"/>
  <c r="B157" i="3"/>
  <c r="B158" i="3"/>
  <c r="B154" i="3"/>
  <c r="B153" i="3"/>
  <c r="B140" i="3"/>
  <c r="B141" i="3"/>
  <c r="B142" i="3"/>
  <c r="B143" i="3"/>
  <c r="B144" i="3"/>
  <c r="B145" i="3"/>
  <c r="B146" i="3"/>
  <c r="B139" i="3"/>
  <c r="B130" i="3"/>
  <c r="B131" i="3"/>
  <c r="B132" i="3"/>
  <c r="B133" i="3"/>
  <c r="B134" i="3"/>
  <c r="B135" i="3"/>
  <c r="B136" i="3"/>
  <c r="B137" i="3"/>
  <c r="B129" i="3"/>
  <c r="B126" i="3"/>
  <c r="B125" i="3"/>
  <c r="B121" i="3"/>
  <c r="B122" i="3"/>
  <c r="B123" i="3"/>
  <c r="B120" i="3"/>
  <c r="B119" i="3"/>
  <c r="B219" i="2"/>
  <c r="B185" i="2"/>
  <c r="B163" i="2"/>
  <c r="B445" i="62898"/>
  <c r="B411" i="62898"/>
  <c r="B389" i="62898"/>
  <c r="B399" i="62898"/>
  <c r="B398" i="62898"/>
  <c r="B397" i="62898"/>
  <c r="B396" i="62898"/>
  <c r="B395" i="62898"/>
  <c r="B394" i="62898"/>
  <c r="B393" i="62898"/>
  <c r="B681" i="5"/>
  <c r="B643" i="5"/>
  <c r="B616" i="5"/>
  <c r="B631" i="5"/>
  <c r="B630" i="5"/>
  <c r="B629" i="5"/>
  <c r="B628" i="5"/>
  <c r="B627" i="5"/>
  <c r="B626" i="5"/>
  <c r="B625" i="5"/>
  <c r="B624" i="5"/>
  <c r="B623" i="5"/>
  <c r="B622" i="5"/>
  <c r="B621" i="5"/>
  <c r="B620" i="5"/>
  <c r="B585" i="5"/>
  <c r="B595" i="5" s="1"/>
  <c r="M74" i="5"/>
  <c r="K27" i="5"/>
  <c r="K46" i="5" s="1"/>
  <c r="J74" i="5" s="1"/>
  <c r="S46" i="5"/>
  <c r="O74" i="5"/>
  <c r="P74" i="5"/>
  <c r="Q27" i="5"/>
  <c r="T27" i="5" s="1"/>
  <c r="U46" i="5" s="1"/>
  <c r="Q74" i="5" s="1"/>
  <c r="P46" i="5"/>
  <c r="L74" i="5"/>
  <c r="T14" i="5"/>
  <c r="R14" i="5"/>
  <c r="O14" i="5"/>
  <c r="B148" i="11"/>
  <c r="B114" i="11"/>
  <c r="B95" i="11"/>
  <c r="B106" i="11" s="1"/>
  <c r="B96" i="11"/>
  <c r="B107" i="11"/>
  <c r="B97" i="11"/>
  <c r="B108" i="11"/>
  <c r="B98" i="11"/>
  <c r="B109" i="11" s="1"/>
  <c r="B99" i="11"/>
  <c r="B110" i="11"/>
  <c r="B94" i="11"/>
  <c r="B105" i="11" s="1"/>
  <c r="B90" i="11"/>
  <c r="B207" i="7"/>
  <c r="B206" i="7"/>
  <c r="B204" i="7"/>
  <c r="B205" i="7"/>
  <c r="B203" i="7"/>
  <c r="B202" i="7"/>
  <c r="B201" i="7"/>
  <c r="B200" i="7"/>
  <c r="B199" i="7"/>
  <c r="B107" i="3"/>
  <c r="B249" i="7"/>
  <c r="B215" i="7"/>
  <c r="B150" i="3"/>
  <c r="B116" i="3"/>
  <c r="B103" i="3"/>
  <c r="B195" i="7"/>
  <c r="K213" i="62905"/>
  <c r="J213" i="62905"/>
  <c r="I213" i="62905"/>
  <c r="H213" i="62905"/>
  <c r="G213" i="62905"/>
  <c r="F213" i="62905"/>
  <c r="E213" i="62905"/>
  <c r="M180" i="62905"/>
  <c r="L180" i="62905"/>
  <c r="AA26" i="62915"/>
  <c r="Z26" i="62915"/>
  <c r="Y26" i="62915"/>
  <c r="X26" i="62915"/>
  <c r="W26" i="62915"/>
  <c r="V26" i="62915"/>
  <c r="U26" i="62915"/>
  <c r="T26" i="62915"/>
  <c r="S26" i="62915"/>
  <c r="R26" i="62915"/>
  <c r="Q26" i="62915"/>
  <c r="Y14" i="62915"/>
  <c r="X14" i="62915"/>
  <c r="W14" i="62915"/>
  <c r="V14" i="62915"/>
  <c r="U14" i="62915"/>
  <c r="T14" i="62915"/>
  <c r="S14" i="62915"/>
  <c r="R14" i="62915"/>
  <c r="Q14" i="62915"/>
  <c r="AA35" i="62914"/>
  <c r="Z35" i="62914"/>
  <c r="Y35" i="62914"/>
  <c r="X35" i="62914"/>
  <c r="W35" i="62914"/>
  <c r="V35" i="62914"/>
  <c r="U35" i="62914"/>
  <c r="T35" i="62914"/>
  <c r="S35" i="62914"/>
  <c r="R35" i="62914"/>
  <c r="Q35" i="62914"/>
  <c r="K317" i="9"/>
  <c r="J317" i="9"/>
  <c r="G317" i="9"/>
  <c r="F317" i="9"/>
  <c r="E317" i="9"/>
  <c r="K309" i="9"/>
  <c r="J309" i="9"/>
  <c r="J313" i="9" s="1"/>
  <c r="G309" i="9"/>
  <c r="F309" i="9"/>
  <c r="E309" i="9"/>
  <c r="E313" i="9" s="1"/>
  <c r="BJ249" i="9"/>
  <c r="BI249" i="9"/>
  <c r="BH249" i="9"/>
  <c r="BG249" i="9"/>
  <c r="BF249" i="9"/>
  <c r="BE249" i="9"/>
  <c r="BD249" i="9"/>
  <c r="Y248" i="9"/>
  <c r="AA248" i="9" s="1"/>
  <c r="BJ248" i="9"/>
  <c r="BI248" i="9"/>
  <c r="AU248" i="9"/>
  <c r="BH248" i="9"/>
  <c r="BG248" i="9"/>
  <c r="BF248" i="9"/>
  <c r="BE248" i="9"/>
  <c r="BD248" i="9"/>
  <c r="BJ241" i="9"/>
  <c r="BI241" i="9"/>
  <c r="BH241" i="9"/>
  <c r="BG241" i="9"/>
  <c r="BF241" i="9"/>
  <c r="BE241" i="9"/>
  <c r="BD241" i="9"/>
  <c r="BJ240" i="9"/>
  <c r="BI240" i="9"/>
  <c r="BH240" i="9"/>
  <c r="BG240" i="9"/>
  <c r="BF240" i="9"/>
  <c r="BE240" i="9"/>
  <c r="BD240" i="9"/>
  <c r="Y239" i="9"/>
  <c r="AA239" i="9" s="1"/>
  <c r="BJ239" i="9" s="1"/>
  <c r="BI239" i="9"/>
  <c r="AU239" i="9"/>
  <c r="BH239" i="9"/>
  <c r="BG239" i="9"/>
  <c r="BF239" i="9"/>
  <c r="BE239" i="9"/>
  <c r="BD239" i="9"/>
  <c r="Y238" i="9"/>
  <c r="AA238" i="9" s="1"/>
  <c r="BJ238" i="9"/>
  <c r="BI238" i="9"/>
  <c r="AU238" i="9"/>
  <c r="BH238" i="9"/>
  <c r="BG238" i="9"/>
  <c r="BF238" i="9"/>
  <c r="BE238" i="9"/>
  <c r="BD238" i="9"/>
  <c r="Y237" i="9"/>
  <c r="AA237" i="9" s="1"/>
  <c r="BJ237" i="9" s="1"/>
  <c r="BI237" i="9"/>
  <c r="AU237" i="9"/>
  <c r="BH237" i="9"/>
  <c r="BG237" i="9"/>
  <c r="BF237" i="9"/>
  <c r="BE237" i="9"/>
  <c r="BD237" i="9"/>
  <c r="Y236" i="9"/>
  <c r="AA236" i="9" s="1"/>
  <c r="BJ236" i="9"/>
  <c r="BI236" i="9"/>
  <c r="AU236" i="9"/>
  <c r="BH236" i="9"/>
  <c r="BG236" i="9"/>
  <c r="BF236" i="9"/>
  <c r="BE236" i="9"/>
  <c r="BD236" i="9"/>
  <c r="BJ219" i="9"/>
  <c r="BI219" i="9"/>
  <c r="BH219" i="9"/>
  <c r="BG219" i="9"/>
  <c r="BF219" i="9"/>
  <c r="BE219" i="9"/>
  <c r="BD219" i="9"/>
  <c r="BJ218" i="9"/>
  <c r="BI218" i="9"/>
  <c r="BH218" i="9"/>
  <c r="BG218" i="9"/>
  <c r="BF218" i="9"/>
  <c r="BE218" i="9"/>
  <c r="BD218" i="9"/>
  <c r="BJ217" i="9"/>
  <c r="BI217" i="9"/>
  <c r="BH217" i="9"/>
  <c r="BG217" i="9"/>
  <c r="BF217" i="9"/>
  <c r="BE217" i="9"/>
  <c r="BD217" i="9"/>
  <c r="BJ216" i="9"/>
  <c r="BI216" i="9"/>
  <c r="BH216" i="9"/>
  <c r="BG216" i="9"/>
  <c r="BF216" i="9"/>
  <c r="BE216" i="9"/>
  <c r="BD216" i="9"/>
  <c r="BJ209" i="9"/>
  <c r="BI209" i="9"/>
  <c r="BH209" i="9"/>
  <c r="BG209" i="9"/>
  <c r="BF209" i="9"/>
  <c r="BE209" i="9"/>
  <c r="BD209" i="9"/>
  <c r="BJ208" i="9"/>
  <c r="BI208" i="9"/>
  <c r="BH208" i="9"/>
  <c r="BG208" i="9"/>
  <c r="BF208" i="9"/>
  <c r="BE208" i="9"/>
  <c r="BD208" i="9"/>
  <c r="BJ207" i="9"/>
  <c r="BI207" i="9"/>
  <c r="BH207" i="9"/>
  <c r="BG207" i="9"/>
  <c r="BF207" i="9"/>
  <c r="BE207" i="9"/>
  <c r="BD207" i="9"/>
  <c r="BJ206" i="9"/>
  <c r="BI206" i="9"/>
  <c r="BH206" i="9"/>
  <c r="BG206" i="9"/>
  <c r="BF206" i="9"/>
  <c r="BE206" i="9"/>
  <c r="BD206" i="9"/>
  <c r="BJ199" i="9"/>
  <c r="BI199" i="9"/>
  <c r="BH199" i="9"/>
  <c r="BG199" i="9"/>
  <c r="BF199" i="9"/>
  <c r="BE199" i="9"/>
  <c r="BD199" i="9"/>
  <c r="BJ198" i="9"/>
  <c r="BI198" i="9"/>
  <c r="BH198" i="9"/>
  <c r="BG198" i="9"/>
  <c r="BF198" i="9"/>
  <c r="BE198" i="9"/>
  <c r="BD198" i="9"/>
  <c r="BJ197" i="9"/>
  <c r="BI197" i="9"/>
  <c r="BH197" i="9"/>
  <c r="BG197" i="9"/>
  <c r="BF197" i="9"/>
  <c r="BE197" i="9"/>
  <c r="BD197" i="9"/>
  <c r="BJ196" i="9"/>
  <c r="BI196" i="9"/>
  <c r="BH196" i="9"/>
  <c r="BG196" i="9"/>
  <c r="BF196" i="9"/>
  <c r="BE196" i="9"/>
  <c r="BD196" i="9"/>
  <c r="BJ189" i="9"/>
  <c r="BI189" i="9"/>
  <c r="BH189" i="9"/>
  <c r="BG189" i="9"/>
  <c r="BF189" i="9"/>
  <c r="BE189" i="9"/>
  <c r="BD189" i="9"/>
  <c r="BJ188" i="9"/>
  <c r="BI188" i="9"/>
  <c r="BH188" i="9"/>
  <c r="BG188" i="9"/>
  <c r="BF188" i="9"/>
  <c r="BE188" i="9"/>
  <c r="BD188" i="9"/>
  <c r="BJ187" i="9"/>
  <c r="BI187" i="9"/>
  <c r="BH187" i="9"/>
  <c r="BG187" i="9"/>
  <c r="BF187" i="9"/>
  <c r="BE187" i="9"/>
  <c r="BD187" i="9"/>
  <c r="BJ186" i="9"/>
  <c r="BI186" i="9"/>
  <c r="BH186" i="9"/>
  <c r="BG186" i="9"/>
  <c r="BF186" i="9"/>
  <c r="BE186" i="9"/>
  <c r="BD186" i="9"/>
  <c r="BJ179" i="9"/>
  <c r="BI179" i="9"/>
  <c r="BH179" i="9"/>
  <c r="BG179" i="9"/>
  <c r="BF179" i="9"/>
  <c r="BE179" i="9"/>
  <c r="BD179" i="9"/>
  <c r="BJ178" i="9"/>
  <c r="BI178" i="9"/>
  <c r="BH178" i="9"/>
  <c r="BG178" i="9"/>
  <c r="BF178" i="9"/>
  <c r="BE178" i="9"/>
  <c r="BD178" i="9"/>
  <c r="BJ177" i="9"/>
  <c r="BI177" i="9"/>
  <c r="BH177" i="9"/>
  <c r="BG177" i="9"/>
  <c r="BF177" i="9"/>
  <c r="BE177" i="9"/>
  <c r="BD177" i="9"/>
  <c r="BJ176" i="9"/>
  <c r="BI176" i="9"/>
  <c r="BH176" i="9"/>
  <c r="BG176" i="9"/>
  <c r="BF176" i="9"/>
  <c r="BE176" i="9"/>
  <c r="BD176" i="9"/>
  <c r="BJ159" i="9"/>
  <c r="BI159" i="9"/>
  <c r="BH159" i="9"/>
  <c r="BG159" i="9"/>
  <c r="BF159" i="9"/>
  <c r="BE159" i="9"/>
  <c r="BD159" i="9"/>
  <c r="BJ158" i="9"/>
  <c r="BI158" i="9"/>
  <c r="BH158" i="9"/>
  <c r="BG158" i="9"/>
  <c r="BF158" i="9"/>
  <c r="BE158" i="9"/>
  <c r="BD158" i="9"/>
  <c r="BJ157" i="9"/>
  <c r="BI157" i="9"/>
  <c r="BH157" i="9"/>
  <c r="BG157" i="9"/>
  <c r="BF157" i="9"/>
  <c r="BE157" i="9"/>
  <c r="BD157" i="9"/>
  <c r="BJ156" i="9"/>
  <c r="BI156" i="9"/>
  <c r="BH156" i="9"/>
  <c r="BG156" i="9"/>
  <c r="BF156" i="9"/>
  <c r="BE156" i="9"/>
  <c r="BD156" i="9"/>
  <c r="BJ149" i="9"/>
  <c r="BI149" i="9"/>
  <c r="BH149" i="9"/>
  <c r="BG149" i="9"/>
  <c r="BF149" i="9"/>
  <c r="BE149" i="9"/>
  <c r="BD149" i="9"/>
  <c r="BJ148" i="9"/>
  <c r="BI148" i="9"/>
  <c r="BH148" i="9"/>
  <c r="BG148" i="9"/>
  <c r="BF148" i="9"/>
  <c r="BE148" i="9"/>
  <c r="BD148" i="9"/>
  <c r="BJ147" i="9"/>
  <c r="BI147" i="9"/>
  <c r="BH147" i="9"/>
  <c r="BG147" i="9"/>
  <c r="BF147" i="9"/>
  <c r="BE147" i="9"/>
  <c r="BD147" i="9"/>
  <c r="BJ146" i="9"/>
  <c r="BI146" i="9"/>
  <c r="BH146" i="9"/>
  <c r="BG146" i="9"/>
  <c r="BF146" i="9"/>
  <c r="BE146" i="9"/>
  <c r="BD146" i="9"/>
  <c r="BJ139" i="9"/>
  <c r="BI139" i="9"/>
  <c r="BH139" i="9"/>
  <c r="BG139" i="9"/>
  <c r="BF139" i="9"/>
  <c r="BE139" i="9"/>
  <c r="BD139" i="9"/>
  <c r="BJ138" i="9"/>
  <c r="BI138" i="9"/>
  <c r="BH138" i="9"/>
  <c r="BG138" i="9"/>
  <c r="BF138" i="9"/>
  <c r="BE138" i="9"/>
  <c r="BD138" i="9"/>
  <c r="BJ137" i="9"/>
  <c r="BI137" i="9"/>
  <c r="BH137" i="9"/>
  <c r="BG137" i="9"/>
  <c r="BF137" i="9"/>
  <c r="BE137" i="9"/>
  <c r="BD137" i="9"/>
  <c r="BJ136" i="9"/>
  <c r="BI136" i="9"/>
  <c r="BH136" i="9"/>
  <c r="BG136" i="9"/>
  <c r="BF136" i="9"/>
  <c r="BE136" i="9"/>
  <c r="BD136" i="9"/>
  <c r="BJ129" i="9"/>
  <c r="BI129" i="9"/>
  <c r="BH129" i="9"/>
  <c r="BG129" i="9"/>
  <c r="BF129" i="9"/>
  <c r="BE129" i="9"/>
  <c r="BD129" i="9"/>
  <c r="BJ128" i="9"/>
  <c r="BI128" i="9"/>
  <c r="BH128" i="9"/>
  <c r="BG128" i="9"/>
  <c r="BF128" i="9"/>
  <c r="BE128" i="9"/>
  <c r="BD128" i="9"/>
  <c r="BJ127" i="9"/>
  <c r="BI127" i="9"/>
  <c r="BH127" i="9"/>
  <c r="BG127" i="9"/>
  <c r="BF127" i="9"/>
  <c r="BE127" i="9"/>
  <c r="BD127" i="9"/>
  <c r="BJ126" i="9"/>
  <c r="BI126" i="9"/>
  <c r="BH126" i="9"/>
  <c r="BG126" i="9"/>
  <c r="BF126" i="9"/>
  <c r="BE126" i="9"/>
  <c r="BD126" i="9"/>
  <c r="BJ119" i="9"/>
  <c r="BI119" i="9"/>
  <c r="BH119" i="9"/>
  <c r="BG119" i="9"/>
  <c r="BF119" i="9"/>
  <c r="BE119" i="9"/>
  <c r="BD119" i="9"/>
  <c r="BJ118" i="9"/>
  <c r="BI118" i="9"/>
  <c r="BH118" i="9"/>
  <c r="BG118" i="9"/>
  <c r="BF118" i="9"/>
  <c r="BE118" i="9"/>
  <c r="BD118" i="9"/>
  <c r="BJ117" i="9"/>
  <c r="BI117" i="9"/>
  <c r="BH117" i="9"/>
  <c r="BG117" i="9"/>
  <c r="BF117" i="9"/>
  <c r="BE117" i="9"/>
  <c r="BD117" i="9"/>
  <c r="BJ116" i="9"/>
  <c r="BI116" i="9"/>
  <c r="BH116" i="9"/>
  <c r="BG116" i="9"/>
  <c r="BF116" i="9"/>
  <c r="BE116" i="9"/>
  <c r="BD116" i="9"/>
  <c r="BJ109" i="9"/>
  <c r="BI109" i="9"/>
  <c r="BH109" i="9"/>
  <c r="BG109" i="9"/>
  <c r="BF109" i="9"/>
  <c r="BE109" i="9"/>
  <c r="BD109" i="9"/>
  <c r="BJ108" i="9"/>
  <c r="BI108" i="9"/>
  <c r="BH108" i="9"/>
  <c r="BG108" i="9"/>
  <c r="BF108" i="9"/>
  <c r="BE108" i="9"/>
  <c r="BD108" i="9"/>
  <c r="BJ107" i="9"/>
  <c r="BI107" i="9"/>
  <c r="BH107" i="9"/>
  <c r="BG107" i="9"/>
  <c r="BF107" i="9"/>
  <c r="BE107" i="9"/>
  <c r="BD107" i="9"/>
  <c r="BJ106" i="9"/>
  <c r="BI106" i="9"/>
  <c r="BH106" i="9"/>
  <c r="BG106" i="9"/>
  <c r="BF106" i="9"/>
  <c r="BE106" i="9"/>
  <c r="BD106" i="9"/>
  <c r="BQ99" i="9"/>
  <c r="BP99" i="9"/>
  <c r="BO99" i="9"/>
  <c r="BN99" i="9"/>
  <c r="BM99" i="9"/>
  <c r="BL99" i="9"/>
  <c r="BK99" i="9"/>
  <c r="BJ99" i="9"/>
  <c r="BI99" i="9"/>
  <c r="BH99" i="9"/>
  <c r="BG99" i="9"/>
  <c r="BF99" i="9"/>
  <c r="BE99" i="9"/>
  <c r="BD99" i="9"/>
  <c r="BQ98" i="9"/>
  <c r="BP98" i="9"/>
  <c r="BO98" i="9"/>
  <c r="BN98" i="9"/>
  <c r="BM98" i="9"/>
  <c r="BL98" i="9"/>
  <c r="BK98" i="9"/>
  <c r="BJ98" i="9"/>
  <c r="BI98" i="9"/>
  <c r="BH98" i="9"/>
  <c r="BG98" i="9"/>
  <c r="BF98" i="9"/>
  <c r="BE98" i="9"/>
  <c r="BD98" i="9"/>
  <c r="BQ97" i="9"/>
  <c r="BP97" i="9"/>
  <c r="BO97" i="9"/>
  <c r="BN97" i="9"/>
  <c r="BM97" i="9"/>
  <c r="BL97" i="9"/>
  <c r="BK97" i="9"/>
  <c r="BJ97" i="9"/>
  <c r="BI97" i="9"/>
  <c r="BH97" i="9"/>
  <c r="BG97" i="9"/>
  <c r="BF97" i="9"/>
  <c r="BE97" i="9"/>
  <c r="BD97" i="9"/>
  <c r="BQ96" i="9"/>
  <c r="BP96" i="9"/>
  <c r="BO96" i="9"/>
  <c r="BN96" i="9"/>
  <c r="BM96" i="9"/>
  <c r="BL96" i="9"/>
  <c r="BK96" i="9"/>
  <c r="BJ96" i="9"/>
  <c r="BI96" i="9"/>
  <c r="BH96" i="9"/>
  <c r="BG96" i="9"/>
  <c r="BF96" i="9"/>
  <c r="BE96" i="9"/>
  <c r="BD96" i="9"/>
  <c r="BJ79" i="9"/>
  <c r="BI79" i="9"/>
  <c r="BH79" i="9"/>
  <c r="BG79" i="9"/>
  <c r="BF79" i="9"/>
  <c r="BE79" i="9"/>
  <c r="BD79" i="9"/>
  <c r="BJ78" i="9"/>
  <c r="BI78" i="9"/>
  <c r="BH78" i="9"/>
  <c r="BG78" i="9"/>
  <c r="BF78" i="9"/>
  <c r="BE78" i="9"/>
  <c r="BD78" i="9"/>
  <c r="BJ77" i="9"/>
  <c r="BI77" i="9"/>
  <c r="BH77" i="9"/>
  <c r="BG77" i="9"/>
  <c r="BF77" i="9"/>
  <c r="BE77" i="9"/>
  <c r="BD77" i="9"/>
  <c r="BJ76" i="9"/>
  <c r="BI76" i="9"/>
  <c r="BH76" i="9"/>
  <c r="BG76" i="9"/>
  <c r="BF76" i="9"/>
  <c r="BE76" i="9"/>
  <c r="BD76" i="9"/>
  <c r="BJ69" i="9"/>
  <c r="BI69" i="9"/>
  <c r="BH69" i="9"/>
  <c r="BG69" i="9"/>
  <c r="BF69" i="9"/>
  <c r="BE69" i="9"/>
  <c r="BD69" i="9"/>
  <c r="BJ68" i="9"/>
  <c r="BI68" i="9"/>
  <c r="BH68" i="9"/>
  <c r="BG68" i="9"/>
  <c r="BF68" i="9"/>
  <c r="BE68" i="9"/>
  <c r="BD68" i="9"/>
  <c r="BJ67" i="9"/>
  <c r="BI67" i="9"/>
  <c r="BH67" i="9"/>
  <c r="BG67" i="9"/>
  <c r="BF67" i="9"/>
  <c r="BE67" i="9"/>
  <c r="BD67" i="9"/>
  <c r="BJ66" i="9"/>
  <c r="BI66" i="9"/>
  <c r="BH66" i="9"/>
  <c r="BG66" i="9"/>
  <c r="BF66" i="9"/>
  <c r="BE66" i="9"/>
  <c r="BD66" i="9"/>
  <c r="BJ59" i="9"/>
  <c r="BI59" i="9"/>
  <c r="BH59" i="9"/>
  <c r="BG59" i="9"/>
  <c r="BF59" i="9"/>
  <c r="BE59" i="9"/>
  <c r="BD59" i="9"/>
  <c r="BJ58" i="9"/>
  <c r="BI58" i="9"/>
  <c r="BH58" i="9"/>
  <c r="BG58" i="9"/>
  <c r="BF58" i="9"/>
  <c r="BE58" i="9"/>
  <c r="BD58" i="9"/>
  <c r="BJ57" i="9"/>
  <c r="BI57" i="9"/>
  <c r="BH57" i="9"/>
  <c r="BG57" i="9"/>
  <c r="BF57" i="9"/>
  <c r="BE57" i="9"/>
  <c r="BD57" i="9"/>
  <c r="BJ56" i="9"/>
  <c r="BI56" i="9"/>
  <c r="BH56" i="9"/>
  <c r="BG56" i="9"/>
  <c r="BF56" i="9"/>
  <c r="BE56" i="9"/>
  <c r="BD56" i="9"/>
  <c r="BJ49" i="9"/>
  <c r="BI49" i="9"/>
  <c r="BH49" i="9"/>
  <c r="BG49" i="9"/>
  <c r="BF49" i="9"/>
  <c r="BE49" i="9"/>
  <c r="BD49" i="9"/>
  <c r="BJ48" i="9"/>
  <c r="BI48" i="9"/>
  <c r="BH48" i="9"/>
  <c r="BG48" i="9"/>
  <c r="BF48" i="9"/>
  <c r="BE48" i="9"/>
  <c r="BD48" i="9"/>
  <c r="BJ47" i="9"/>
  <c r="BI47" i="9"/>
  <c r="BH47" i="9"/>
  <c r="BG47" i="9"/>
  <c r="BF47" i="9"/>
  <c r="BE47" i="9"/>
  <c r="BD47" i="9"/>
  <c r="BJ46" i="9"/>
  <c r="BI46" i="9"/>
  <c r="BH46" i="9"/>
  <c r="BG46" i="9"/>
  <c r="BF46" i="9"/>
  <c r="BE46" i="9"/>
  <c r="BD46" i="9"/>
  <c r="BJ39" i="9"/>
  <c r="BI39" i="9"/>
  <c r="BH39" i="9"/>
  <c r="BG39" i="9"/>
  <c r="BF39" i="9"/>
  <c r="BE39" i="9"/>
  <c r="BD39" i="9"/>
  <c r="BJ38" i="9"/>
  <c r="BI38" i="9"/>
  <c r="BH38" i="9"/>
  <c r="BG38" i="9"/>
  <c r="BF38" i="9"/>
  <c r="BE38" i="9"/>
  <c r="BD38" i="9"/>
  <c r="BJ37" i="9"/>
  <c r="BI37" i="9"/>
  <c r="BH37" i="9"/>
  <c r="BG37" i="9"/>
  <c r="BF37" i="9"/>
  <c r="BE37" i="9"/>
  <c r="BD37" i="9"/>
  <c r="BI36" i="9"/>
  <c r="BG36" i="9"/>
  <c r="BF36" i="9"/>
  <c r="BE36" i="9"/>
  <c r="BD36" i="9"/>
  <c r="BQ29" i="9"/>
  <c r="BP29" i="9"/>
  <c r="BO29" i="9"/>
  <c r="BN29" i="9"/>
  <c r="BM29" i="9"/>
  <c r="BL29" i="9"/>
  <c r="BK29" i="9"/>
  <c r="BJ29" i="9"/>
  <c r="BI29" i="9"/>
  <c r="BH29" i="9"/>
  <c r="BG29" i="9"/>
  <c r="BF29" i="9"/>
  <c r="BE29" i="9"/>
  <c r="BD29" i="9"/>
  <c r="BQ28" i="9"/>
  <c r="BP28" i="9"/>
  <c r="BO28" i="9"/>
  <c r="BN28" i="9"/>
  <c r="BM28" i="9"/>
  <c r="BL28" i="9"/>
  <c r="BK28" i="9"/>
  <c r="BJ28" i="9"/>
  <c r="BI28" i="9"/>
  <c r="BH28" i="9"/>
  <c r="BG28" i="9"/>
  <c r="BF28" i="9"/>
  <c r="BE28" i="9"/>
  <c r="BD28" i="9"/>
  <c r="BQ27" i="9"/>
  <c r="BP27" i="9"/>
  <c r="BO27" i="9"/>
  <c r="BN27" i="9"/>
  <c r="BM27" i="9"/>
  <c r="BL27" i="9"/>
  <c r="BK27" i="9"/>
  <c r="BJ27" i="9"/>
  <c r="BI27" i="9"/>
  <c r="BH27" i="9"/>
  <c r="BG27" i="9"/>
  <c r="BF27" i="9"/>
  <c r="BE27" i="9"/>
  <c r="BD27" i="9"/>
  <c r="BQ26" i="9"/>
  <c r="BP26" i="9"/>
  <c r="BO26" i="9"/>
  <c r="BN26" i="9"/>
  <c r="BM26" i="9"/>
  <c r="BL26" i="9"/>
  <c r="BK26" i="9"/>
  <c r="BJ26" i="9"/>
  <c r="BI26" i="9"/>
  <c r="BH26" i="9"/>
  <c r="BG26" i="9"/>
  <c r="BF26" i="9"/>
  <c r="BE26" i="9"/>
  <c r="BD26" i="9"/>
  <c r="BJ19" i="9"/>
  <c r="BI19" i="9"/>
  <c r="BH19" i="9"/>
  <c r="BG19" i="9"/>
  <c r="BF19" i="9"/>
  <c r="BE19" i="9"/>
  <c r="BD19" i="9"/>
  <c r="BJ18" i="9"/>
  <c r="BI18" i="9"/>
  <c r="BH18" i="9"/>
  <c r="BG18" i="9"/>
  <c r="BF18" i="9"/>
  <c r="BE18" i="9"/>
  <c r="BD18" i="9"/>
  <c r="BJ17" i="9"/>
  <c r="BI17" i="9"/>
  <c r="BH17" i="9"/>
  <c r="BG17" i="9"/>
  <c r="BF17" i="9"/>
  <c r="BE17" i="9"/>
  <c r="BD17" i="9"/>
  <c r="BJ16" i="9"/>
  <c r="BI16" i="9"/>
  <c r="BH16" i="9"/>
  <c r="BG16" i="9"/>
  <c r="BF16" i="9"/>
  <c r="BE16" i="9"/>
  <c r="BD16" i="9"/>
  <c r="BI15" i="9"/>
  <c r="BG15" i="9"/>
  <c r="BF15" i="9"/>
  <c r="BE15" i="9"/>
  <c r="BD15" i="9"/>
  <c r="BF44" i="62898"/>
  <c r="J463" i="62898"/>
  <c r="L429" i="62898"/>
  <c r="K180" i="62905"/>
  <c r="G180" i="62905"/>
  <c r="F180" i="62905"/>
  <c r="E180" i="62905"/>
  <c r="M17" i="2"/>
  <c r="M18" i="2"/>
  <c r="M19" i="2"/>
  <c r="M16" i="2"/>
  <c r="L20" i="62915"/>
  <c r="X20" i="62915"/>
  <c r="N20" i="62915"/>
  <c r="Z20" i="62915" s="1"/>
  <c r="O20" i="62915"/>
  <c r="AA20" i="62915" s="1"/>
  <c r="O21" i="62915"/>
  <c r="AA21" i="62915"/>
  <c r="K22" i="62915"/>
  <c r="W22" i="62915"/>
  <c r="N22" i="62915"/>
  <c r="Z22" i="62915"/>
  <c r="N23" i="62915"/>
  <c r="Z23" i="62915"/>
  <c r="O23" i="62915"/>
  <c r="AA23" i="62915" s="1"/>
  <c r="L24" i="62915"/>
  <c r="X24" i="62915" s="1"/>
  <c r="N24" i="62915"/>
  <c r="Z24" i="62915"/>
  <c r="O24" i="62915"/>
  <c r="AA24" i="62915"/>
  <c r="N25" i="62915"/>
  <c r="Z25" i="62915" s="1"/>
  <c r="O25" i="62915"/>
  <c r="AA25" i="62915" s="1"/>
  <c r="L27" i="62915"/>
  <c r="X27" i="62915"/>
  <c r="N27" i="62915"/>
  <c r="Z27" i="62915"/>
  <c r="O27" i="62915"/>
  <c r="AA27" i="62915"/>
  <c r="J28" i="62915"/>
  <c r="V28" i="62915"/>
  <c r="K28" i="62915"/>
  <c r="W28" i="62915" s="1"/>
  <c r="L28" i="62915"/>
  <c r="X28" i="62915" s="1"/>
  <c r="M28" i="62915"/>
  <c r="Y28" i="62915"/>
  <c r="N28" i="62915"/>
  <c r="Z28" i="62915"/>
  <c r="O28" i="62915"/>
  <c r="AA28" i="62915" s="1"/>
  <c r="L29" i="62915"/>
  <c r="X29" i="62915" s="1"/>
  <c r="N29" i="62915"/>
  <c r="Z29" i="62915"/>
  <c r="O29" i="62915"/>
  <c r="AA29" i="62915"/>
  <c r="N30" i="62915"/>
  <c r="Z30" i="62915"/>
  <c r="O30" i="62915"/>
  <c r="AA30" i="62915"/>
  <c r="L31" i="62915"/>
  <c r="X31" i="62915" s="1"/>
  <c r="N31" i="62915"/>
  <c r="Z31" i="62915" s="1"/>
  <c r="O31" i="62915"/>
  <c r="AA31" i="62915"/>
  <c r="L32" i="62915"/>
  <c r="X32" i="62915"/>
  <c r="N32" i="62915"/>
  <c r="Z32" i="62915" s="1"/>
  <c r="O32" i="62915"/>
  <c r="AA32" i="62915" s="1"/>
  <c r="L33" i="62915"/>
  <c r="X33" i="62915"/>
  <c r="N33" i="62915"/>
  <c r="Z33" i="62915"/>
  <c r="O33" i="62915"/>
  <c r="AA33" i="62915"/>
  <c r="N34" i="62915"/>
  <c r="Z34" i="62915"/>
  <c r="O34" i="62915"/>
  <c r="AA34" i="62915" s="1"/>
  <c r="O19" i="62915"/>
  <c r="AA19" i="62915" s="1"/>
  <c r="N19" i="62915"/>
  <c r="Z19" i="62915"/>
  <c r="L19" i="62915"/>
  <c r="X19" i="62915"/>
  <c r="H19" i="62915"/>
  <c r="T19" i="62915" s="1"/>
  <c r="I19" i="62915"/>
  <c r="U19" i="62915" s="1"/>
  <c r="H20" i="62915"/>
  <c r="T20" i="62915"/>
  <c r="I20" i="62915"/>
  <c r="U20" i="62915"/>
  <c r="H24" i="62915"/>
  <c r="T24" i="62915"/>
  <c r="I24" i="62915"/>
  <c r="U24" i="62915"/>
  <c r="H27" i="62915"/>
  <c r="T27" i="62915" s="1"/>
  <c r="I27" i="62915"/>
  <c r="U27" i="62915" s="1"/>
  <c r="F28" i="62915"/>
  <c r="R28" i="62915"/>
  <c r="G28" i="62915"/>
  <c r="S28" i="62915"/>
  <c r="H28" i="62915"/>
  <c r="T28" i="62915" s="1"/>
  <c r="I28" i="62915"/>
  <c r="U28" i="62915" s="1"/>
  <c r="H31" i="62915"/>
  <c r="T31" i="62915"/>
  <c r="I31" i="62915"/>
  <c r="U31" i="62915"/>
  <c r="H33" i="62915"/>
  <c r="T33" i="62915"/>
  <c r="I33" i="62915"/>
  <c r="U33" i="62915"/>
  <c r="E28" i="62915"/>
  <c r="Q28" i="62915" s="1"/>
  <c r="L17" i="62915"/>
  <c r="X17" i="62915" s="1"/>
  <c r="N17" i="62915"/>
  <c r="Z17" i="62915"/>
  <c r="O17" i="62915"/>
  <c r="AA17" i="62915"/>
  <c r="O16" i="62915"/>
  <c r="AA16" i="62915" s="1"/>
  <c r="N16" i="62915"/>
  <c r="Z16" i="62915" s="1"/>
  <c r="L16" i="62915"/>
  <c r="X16" i="62915"/>
  <c r="H16" i="62915"/>
  <c r="T16" i="62915"/>
  <c r="I16" i="62915"/>
  <c r="U16" i="62915"/>
  <c r="H17" i="62915"/>
  <c r="T17" i="62915"/>
  <c r="I17" i="62915"/>
  <c r="U17" i="62915" s="1"/>
  <c r="L11" i="62915"/>
  <c r="X11" i="62915" s="1"/>
  <c r="N11" i="62915"/>
  <c r="Z11" i="62915"/>
  <c r="K12" i="62915"/>
  <c r="W12" i="62915"/>
  <c r="N12" i="62915"/>
  <c r="Z12" i="62915" s="1"/>
  <c r="K13" i="62915"/>
  <c r="W13" i="62915" s="1"/>
  <c r="N13" i="62915"/>
  <c r="Z13" i="62915"/>
  <c r="N10" i="62915"/>
  <c r="Z10" i="62915"/>
  <c r="L10" i="62915"/>
  <c r="X10" i="62915"/>
  <c r="H10" i="62915"/>
  <c r="T10" i="62915"/>
  <c r="I10" i="62915"/>
  <c r="U10" i="62915" s="1"/>
  <c r="I11" i="62915"/>
  <c r="U11" i="62915" s="1"/>
  <c r="O30" i="62914"/>
  <c r="AA30" i="62914"/>
  <c r="O31" i="62914"/>
  <c r="AA31" i="62914"/>
  <c r="O33" i="62914"/>
  <c r="AA33" i="62914" s="1"/>
  <c r="O34" i="62914"/>
  <c r="AA34" i="62914" s="1"/>
  <c r="O36" i="62914"/>
  <c r="AA36" i="62914"/>
  <c r="O29" i="62914"/>
  <c r="AA29" i="62914"/>
  <c r="O20" i="62914"/>
  <c r="AA20" i="62914"/>
  <c r="O21" i="62914"/>
  <c r="AA21" i="62914"/>
  <c r="O22" i="62914"/>
  <c r="AA22" i="62914" s="1"/>
  <c r="O24" i="62914"/>
  <c r="AA24" i="62914" s="1"/>
  <c r="O25" i="62914"/>
  <c r="AA25" i="62914"/>
  <c r="O26" i="62914"/>
  <c r="AA26" i="62914"/>
  <c r="O27" i="62914"/>
  <c r="AA27" i="62914" s="1"/>
  <c r="O19" i="62914"/>
  <c r="AA19" i="62914" s="1"/>
  <c r="O16" i="62914"/>
  <c r="AA16" i="62914"/>
  <c r="O15" i="62914"/>
  <c r="AA15" i="62914"/>
  <c r="O11" i="62914"/>
  <c r="AA11" i="62914"/>
  <c r="O12" i="62914"/>
  <c r="AA12" i="62914"/>
  <c r="O13" i="62914"/>
  <c r="AA13" i="62914" s="1"/>
  <c r="O10" i="62914"/>
  <c r="AA10" i="62914" s="1"/>
  <c r="N34" i="62914"/>
  <c r="Z34" i="62914"/>
  <c r="M34" i="62914"/>
  <c r="Y34" i="62914"/>
  <c r="L34" i="62914"/>
  <c r="X34" i="62914" s="1"/>
  <c r="F29" i="62914"/>
  <c r="R29" i="62914" s="1"/>
  <c r="G29" i="62914"/>
  <c r="S29" i="62914"/>
  <c r="H29" i="62914"/>
  <c r="T29" i="62914"/>
  <c r="I29" i="62914"/>
  <c r="U29" i="62914"/>
  <c r="J29" i="62914"/>
  <c r="V29" i="62914"/>
  <c r="K29" i="62914"/>
  <c r="W29" i="62914" s="1"/>
  <c r="F34" i="62914"/>
  <c r="R34" i="62914" s="1"/>
  <c r="G34" i="62914"/>
  <c r="S34" i="62914"/>
  <c r="H34" i="62914"/>
  <c r="T34" i="62914"/>
  <c r="I34" i="62914"/>
  <c r="U34" i="62914" s="1"/>
  <c r="J34" i="62914"/>
  <c r="V34" i="62914" s="1"/>
  <c r="K34" i="62914"/>
  <c r="W34" i="62914"/>
  <c r="H36" i="62914"/>
  <c r="T36" i="62914"/>
  <c r="I36" i="62914"/>
  <c r="U36" i="62914"/>
  <c r="J36" i="62914"/>
  <c r="V36" i="62914"/>
  <c r="K36" i="62914"/>
  <c r="W36" i="62914" s="1"/>
  <c r="H19" i="62914"/>
  <c r="T19" i="62914" s="1"/>
  <c r="I19" i="62914"/>
  <c r="U19" i="62914"/>
  <c r="J19" i="62914"/>
  <c r="V19" i="62914"/>
  <c r="K19" i="62914"/>
  <c r="W19" i="62914" s="1"/>
  <c r="H20" i="62914"/>
  <c r="T20" i="62914" s="1"/>
  <c r="I20" i="62914"/>
  <c r="U20" i="62914"/>
  <c r="J20" i="62914"/>
  <c r="V20" i="62914"/>
  <c r="K20" i="62914"/>
  <c r="W20" i="62914"/>
  <c r="H21" i="62914"/>
  <c r="T21" i="62914"/>
  <c r="I21" i="62914"/>
  <c r="U21" i="62914" s="1"/>
  <c r="J21" i="62914"/>
  <c r="V21" i="62914" s="1"/>
  <c r="K21" i="62914"/>
  <c r="W21" i="62914"/>
  <c r="H24" i="62914"/>
  <c r="T24" i="62914"/>
  <c r="I24" i="62914"/>
  <c r="U24" i="62914" s="1"/>
  <c r="J24" i="62914"/>
  <c r="V24" i="62914" s="1"/>
  <c r="K24" i="62914"/>
  <c r="W24" i="62914"/>
  <c r="H25" i="62914"/>
  <c r="T25" i="62914"/>
  <c r="I25" i="62914"/>
  <c r="U25" i="62914"/>
  <c r="J25" i="62914"/>
  <c r="V25" i="62914"/>
  <c r="K25" i="62914"/>
  <c r="W25" i="62914" s="1"/>
  <c r="H15" i="62914"/>
  <c r="T15" i="62914" s="1"/>
  <c r="I15" i="62914"/>
  <c r="U15" i="62914"/>
  <c r="J15" i="62914"/>
  <c r="V15" i="62914"/>
  <c r="K15" i="62914"/>
  <c r="W15" i="62914" s="1"/>
  <c r="H16" i="62914"/>
  <c r="T16" i="62914" s="1"/>
  <c r="I16" i="62914"/>
  <c r="U16" i="62914"/>
  <c r="J16" i="62914"/>
  <c r="V16" i="62914"/>
  <c r="K16" i="62914"/>
  <c r="W16" i="62914"/>
  <c r="E34" i="62914"/>
  <c r="Q34" i="62914" s="1"/>
  <c r="E29" i="62914"/>
  <c r="Q29" i="62914" s="1"/>
  <c r="H10" i="62914"/>
  <c r="T10" i="62914" s="1"/>
  <c r="I10" i="62914"/>
  <c r="U10" i="62914"/>
  <c r="J10" i="62914"/>
  <c r="V10" i="62914"/>
  <c r="K10" i="62914"/>
  <c r="W10" i="62914" s="1"/>
  <c r="H11" i="62914"/>
  <c r="T11" i="62914" s="1"/>
  <c r="I11" i="62914"/>
  <c r="U11" i="62914"/>
  <c r="J11" i="62914"/>
  <c r="V11" i="62914"/>
  <c r="K11" i="62914"/>
  <c r="W11" i="62914"/>
  <c r="J706" i="5"/>
  <c r="J31" i="62915" s="1"/>
  <c r="J700" i="5"/>
  <c r="L669" i="5"/>
  <c r="L661" i="5"/>
  <c r="G8" i="2"/>
  <c r="B225" i="9"/>
  <c r="B165" i="9"/>
  <c r="B85" i="9"/>
  <c r="S546" i="62911"/>
  <c r="B532" i="62911"/>
  <c r="B537" i="62911"/>
  <c r="S547" i="62911"/>
  <c r="D30" i="62908"/>
  <c r="D31" i="62908"/>
  <c r="Y117" i="2"/>
  <c r="L152" i="7"/>
  <c r="L143" i="7"/>
  <c r="S143" i="7"/>
  <c r="H117" i="9"/>
  <c r="H118" i="9"/>
  <c r="H116" i="9"/>
  <c r="K107" i="9"/>
  <c r="L107" i="9"/>
  <c r="M107" i="9"/>
  <c r="K108" i="9"/>
  <c r="L108" i="9"/>
  <c r="M108" i="9"/>
  <c r="M106" i="9"/>
  <c r="L106" i="9"/>
  <c r="K106" i="9"/>
  <c r="Y117" i="9"/>
  <c r="Y118" i="9"/>
  <c r="Y116" i="9"/>
  <c r="Y107" i="9"/>
  <c r="Y108" i="9"/>
  <c r="Y106" i="9"/>
  <c r="X381" i="62898"/>
  <c r="X382" i="62898"/>
  <c r="X380" i="62898"/>
  <c r="X113" i="62898"/>
  <c r="X114" i="62898"/>
  <c r="X112" i="62898"/>
  <c r="X222" i="62898"/>
  <c r="X223" i="62898"/>
  <c r="X221" i="62898"/>
  <c r="AG83" i="11"/>
  <c r="AI83" i="11"/>
  <c r="AK83" i="11"/>
  <c r="AM83" i="11"/>
  <c r="AQ83" i="11"/>
  <c r="AG84" i="11"/>
  <c r="AI84" i="11"/>
  <c r="AK84" i="11"/>
  <c r="AM84" i="11"/>
  <c r="AQ84" i="11"/>
  <c r="AM82" i="11"/>
  <c r="AK82" i="11"/>
  <c r="AQ82" i="11"/>
  <c r="Q83" i="11"/>
  <c r="Q84" i="11"/>
  <c r="Q82" i="11"/>
  <c r="U109" i="7"/>
  <c r="V109" i="7"/>
  <c r="W109" i="7"/>
  <c r="X109" i="7"/>
  <c r="Z109" i="7"/>
  <c r="U110" i="7"/>
  <c r="V110" i="7"/>
  <c r="W110" i="7"/>
  <c r="X110" i="7"/>
  <c r="Z110" i="7"/>
  <c r="U111" i="7"/>
  <c r="V111" i="7"/>
  <c r="W111" i="7"/>
  <c r="X111" i="7"/>
  <c r="Z111" i="7"/>
  <c r="U112" i="7"/>
  <c r="V112" i="7"/>
  <c r="W112" i="7"/>
  <c r="X112" i="7"/>
  <c r="Z112" i="7"/>
  <c r="U115" i="7"/>
  <c r="V115" i="7"/>
  <c r="W115" i="7"/>
  <c r="X115" i="7"/>
  <c r="Z115" i="7"/>
  <c r="U116" i="7"/>
  <c r="V116" i="7"/>
  <c r="W116" i="7"/>
  <c r="X116" i="7"/>
  <c r="Z116" i="7"/>
  <c r="U117" i="7"/>
  <c r="V117" i="7"/>
  <c r="W117" i="7"/>
  <c r="X117" i="7"/>
  <c r="Z117" i="7"/>
  <c r="U118" i="7"/>
  <c r="V118" i="7"/>
  <c r="W118" i="7"/>
  <c r="X118" i="7"/>
  <c r="Z118" i="7"/>
  <c r="U119" i="7"/>
  <c r="V119" i="7"/>
  <c r="W119" i="7"/>
  <c r="X119" i="7"/>
  <c r="Z119" i="7"/>
  <c r="U122" i="7"/>
  <c r="V122" i="7"/>
  <c r="W122" i="7"/>
  <c r="X122" i="7"/>
  <c r="Z122" i="7"/>
  <c r="U123" i="7"/>
  <c r="V123" i="7"/>
  <c r="W123" i="7"/>
  <c r="X123" i="7"/>
  <c r="Z123" i="7"/>
  <c r="U124" i="7"/>
  <c r="V124" i="7"/>
  <c r="W124" i="7"/>
  <c r="X124" i="7"/>
  <c r="Z124" i="7"/>
  <c r="U125" i="7"/>
  <c r="V125" i="7"/>
  <c r="W125" i="7"/>
  <c r="X125" i="7"/>
  <c r="Z125" i="7"/>
  <c r="U126" i="7"/>
  <c r="V126" i="7"/>
  <c r="W126" i="7"/>
  <c r="X126" i="7"/>
  <c r="Z126" i="7"/>
  <c r="U129" i="7"/>
  <c r="V129" i="7"/>
  <c r="W129" i="7"/>
  <c r="X129" i="7"/>
  <c r="Z129" i="7"/>
  <c r="U130" i="7"/>
  <c r="V130" i="7"/>
  <c r="W130" i="7"/>
  <c r="X130" i="7"/>
  <c r="Z130" i="7"/>
  <c r="U131" i="7"/>
  <c r="V131" i="7"/>
  <c r="W131" i="7"/>
  <c r="X131" i="7"/>
  <c r="Z131" i="7"/>
  <c r="U132" i="7"/>
  <c r="V132" i="7"/>
  <c r="W132" i="7"/>
  <c r="X132" i="7"/>
  <c r="Z132" i="7"/>
  <c r="U133" i="7"/>
  <c r="V133" i="7"/>
  <c r="W133" i="7"/>
  <c r="X133" i="7"/>
  <c r="Z133" i="7"/>
  <c r="Z108" i="7"/>
  <c r="X108" i="7"/>
  <c r="L109" i="7"/>
  <c r="L110" i="7"/>
  <c r="L111" i="7"/>
  <c r="L112" i="7"/>
  <c r="L115" i="7"/>
  <c r="L116" i="7"/>
  <c r="L117" i="7"/>
  <c r="L118" i="7"/>
  <c r="L119" i="7"/>
  <c r="L122" i="7"/>
  <c r="L123" i="7"/>
  <c r="L124" i="7"/>
  <c r="L125" i="7"/>
  <c r="L126" i="7"/>
  <c r="L129" i="7"/>
  <c r="L130" i="7"/>
  <c r="L131" i="7"/>
  <c r="L132" i="7"/>
  <c r="L133" i="7"/>
  <c r="L108" i="7"/>
  <c r="L164" i="7"/>
  <c r="L165" i="7"/>
  <c r="L163" i="7"/>
  <c r="Y163" i="7"/>
  <c r="F163" i="7"/>
  <c r="F164" i="7"/>
  <c r="F165" i="7"/>
  <c r="X205" i="62898"/>
  <c r="X515" i="5"/>
  <c r="X313" i="5"/>
  <c r="X111" i="5"/>
  <c r="AN63" i="62904"/>
  <c r="AP63" i="62904"/>
  <c r="AN64" i="62904"/>
  <c r="AP64" i="62904"/>
  <c r="AN65" i="62904"/>
  <c r="AP65" i="62904"/>
  <c r="AP62" i="62904"/>
  <c r="AN62" i="62904"/>
  <c r="AM62" i="62904"/>
  <c r="AN85" i="1"/>
  <c r="AP85" i="1"/>
  <c r="AN86" i="1"/>
  <c r="AP86" i="1"/>
  <c r="AN87" i="1"/>
  <c r="AP87" i="1"/>
  <c r="AP84" i="1"/>
  <c r="M159" i="1" s="1"/>
  <c r="AN84" i="1"/>
  <c r="AM84" i="1"/>
  <c r="M160" i="1"/>
  <c r="M16" i="62914"/>
  <c r="Y16" i="62914" s="1"/>
  <c r="G160" i="1"/>
  <c r="G16" i="62914" s="1"/>
  <c r="S16" i="62914" s="1"/>
  <c r="F160" i="1"/>
  <c r="F16" i="62914" s="1"/>
  <c r="R16" i="62914" s="1"/>
  <c r="E160" i="1"/>
  <c r="E16" i="62914"/>
  <c r="Q16" i="62914" s="1"/>
  <c r="G159" i="1"/>
  <c r="AL84" i="1"/>
  <c r="F159" i="1"/>
  <c r="AK84" i="1"/>
  <c r="V74" i="1"/>
  <c r="V75" i="1"/>
  <c r="V76" i="1"/>
  <c r="V73" i="1"/>
  <c r="F689" i="62906"/>
  <c r="F690" i="62906"/>
  <c r="F691" i="62906"/>
  <c r="F692" i="62906"/>
  <c r="F693" i="62906"/>
  <c r="F688" i="62906"/>
  <c r="X15" i="5"/>
  <c r="B1405" i="62906"/>
  <c r="B1406" i="62906"/>
  <c r="C1406" i="62906"/>
  <c r="V71" i="62905"/>
  <c r="AC146" i="2"/>
  <c r="J1765" i="62906"/>
  <c r="J1788" i="62906"/>
  <c r="J1811" i="62906"/>
  <c r="J1801" i="62906"/>
  <c r="J1796" i="62906"/>
  <c r="K1826" i="62906"/>
  <c r="K1823" i="62906"/>
  <c r="K1827" i="62906"/>
  <c r="K1824" i="62906"/>
  <c r="K1829" i="62906"/>
  <c r="K1831" i="62906"/>
  <c r="K1822" i="62906"/>
  <c r="K1846" i="62906"/>
  <c r="K1844" i="62906"/>
  <c r="K1845" i="62906"/>
  <c r="K1858" i="62906"/>
  <c r="K1853" i="62906"/>
  <c r="K1849" i="62906"/>
  <c r="K1848" i="62906"/>
  <c r="K1850" i="62906"/>
  <c r="K1852" i="62906"/>
  <c r="K1851" i="62906"/>
  <c r="K1857" i="62906"/>
  <c r="K1859" i="62906"/>
  <c r="K1861" i="62906"/>
  <c r="K1862" i="62906"/>
  <c r="K1863" i="62906"/>
  <c r="K1860" i="62906"/>
  <c r="K1856" i="62906"/>
  <c r="K1855" i="62906"/>
  <c r="R69" i="11" s="1"/>
  <c r="K1847" i="62906"/>
  <c r="K1854" i="62906"/>
  <c r="K1864" i="62906"/>
  <c r="K1865" i="62906"/>
  <c r="K1867" i="62906"/>
  <c r="K1869" i="62906"/>
  <c r="K1870" i="62906"/>
  <c r="K1871" i="62906"/>
  <c r="K1872" i="62906"/>
  <c r="K1868" i="62906"/>
  <c r="K1828" i="62906"/>
  <c r="K1830" i="62906"/>
  <c r="K1832" i="62906"/>
  <c r="K1825" i="62906"/>
  <c r="M1694" i="62906"/>
  <c r="M1695" i="62906"/>
  <c r="M1696" i="62906"/>
  <c r="R15" i="11"/>
  <c r="M1697" i="62906"/>
  <c r="M1698" i="62906"/>
  <c r="C2392" i="62906"/>
  <c r="E130" i="7"/>
  <c r="Q129" i="7"/>
  <c r="Q126" i="7"/>
  <c r="E124" i="7"/>
  <c r="E123" i="7"/>
  <c r="E122" i="7"/>
  <c r="S118" i="7"/>
  <c r="S115" i="7"/>
  <c r="E112" i="7"/>
  <c r="S110" i="7"/>
  <c r="W108" i="7"/>
  <c r="D2377" i="62906"/>
  <c r="D2383" i="62906"/>
  <c r="D2382" i="62906"/>
  <c r="D2381" i="62906"/>
  <c r="D2380" i="62906"/>
  <c r="D2379" i="62906"/>
  <c r="D2378" i="62906"/>
  <c r="E106" i="9"/>
  <c r="F989" i="62906"/>
  <c r="F987" i="62906"/>
  <c r="F988" i="62906"/>
  <c r="F986" i="62906"/>
  <c r="E974" i="62906"/>
  <c r="E973" i="62906"/>
  <c r="C583" i="62906"/>
  <c r="C584" i="62906"/>
  <c r="C585" i="62906"/>
  <c r="C586" i="62906"/>
  <c r="C587" i="62906"/>
  <c r="C588" i="62906"/>
  <c r="AC94" i="62905"/>
  <c r="V94" i="62905"/>
  <c r="V86" i="62904"/>
  <c r="O117" i="2"/>
  <c r="U72" i="3"/>
  <c r="L70" i="3"/>
  <c r="L69" i="3"/>
  <c r="E70" i="3"/>
  <c r="V108" i="1"/>
  <c r="V109" i="1"/>
  <c r="V110" i="1"/>
  <c r="V107" i="1"/>
  <c r="V119" i="1"/>
  <c r="V120" i="1"/>
  <c r="V121" i="1"/>
  <c r="V118" i="1"/>
  <c r="AN119" i="1"/>
  <c r="AN120" i="1"/>
  <c r="AN121" i="1"/>
  <c r="AP118" i="1"/>
  <c r="AN108" i="1"/>
  <c r="AN109" i="1"/>
  <c r="AL110" i="1"/>
  <c r="P20" i="62911"/>
  <c r="E586" i="62906" s="1"/>
  <c r="C183" i="62906"/>
  <c r="C184" i="62906"/>
  <c r="C185" i="62906"/>
  <c r="C186" i="62906"/>
  <c r="C187" i="62906"/>
  <c r="C188" i="62906"/>
  <c r="C189" i="62906"/>
  <c r="C190" i="62906"/>
  <c r="C191" i="62906"/>
  <c r="C192" i="62906"/>
  <c r="C193" i="62906"/>
  <c r="C194" i="62906"/>
  <c r="C195" i="62906"/>
  <c r="C196" i="62906"/>
  <c r="C197" i="62906"/>
  <c r="C198" i="62906"/>
  <c r="C199" i="62906"/>
  <c r="C200" i="62906"/>
  <c r="C201" i="62906"/>
  <c r="C202" i="62906"/>
  <c r="C203" i="62906"/>
  <c r="C204" i="62906"/>
  <c r="C205" i="62906"/>
  <c r="C206" i="62906"/>
  <c r="C207" i="62906"/>
  <c r="C208" i="62906"/>
  <c r="C209" i="62906"/>
  <c r="C210" i="62906"/>
  <c r="C211" i="62906"/>
  <c r="C212" i="62906"/>
  <c r="C213" i="62906"/>
  <c r="C214" i="62906"/>
  <c r="C215" i="62906"/>
  <c r="C216" i="62906"/>
  <c r="C217" i="62906"/>
  <c r="C218" i="62906"/>
  <c r="C219" i="62906"/>
  <c r="C220" i="62906"/>
  <c r="C221" i="62906"/>
  <c r="C222" i="62906"/>
  <c r="C223" i="62906"/>
  <c r="C224" i="62906"/>
  <c r="C225" i="62906"/>
  <c r="C226" i="62906"/>
  <c r="C227" i="62906"/>
  <c r="C228" i="62906"/>
  <c r="C229" i="62906"/>
  <c r="C230" i="62906"/>
  <c r="C231" i="62906"/>
  <c r="C232" i="62906"/>
  <c r="C233" i="62906"/>
  <c r="C234" i="62906"/>
  <c r="C235" i="62906"/>
  <c r="C236" i="62906"/>
  <c r="C237" i="62906"/>
  <c r="C238" i="62906"/>
  <c r="C239" i="62906"/>
  <c r="C240" i="62906"/>
  <c r="C241" i="62906"/>
  <c r="C242" i="62906"/>
  <c r="C243" i="62906"/>
  <c r="C244" i="62906"/>
  <c r="C245" i="62906"/>
  <c r="C246" i="62906"/>
  <c r="C247" i="62906"/>
  <c r="C248" i="62906"/>
  <c r="C249" i="62906"/>
  <c r="C250" i="62906"/>
  <c r="C251" i="62906"/>
  <c r="C252" i="62906"/>
  <c r="C253" i="62906"/>
  <c r="C254" i="62906"/>
  <c r="C255" i="62906"/>
  <c r="C256" i="62906"/>
  <c r="C257" i="62906"/>
  <c r="C258" i="62906"/>
  <c r="C259" i="62906"/>
  <c r="C260" i="62906"/>
  <c r="C261" i="62906"/>
  <c r="C262" i="62906"/>
  <c r="C263" i="62906"/>
  <c r="C264" i="62906"/>
  <c r="C265" i="62906"/>
  <c r="C266" i="62906"/>
  <c r="C267" i="62906"/>
  <c r="C268" i="62906"/>
  <c r="C269" i="62906"/>
  <c r="C270" i="62906"/>
  <c r="C271" i="62906"/>
  <c r="C272" i="62906"/>
  <c r="C273" i="62906"/>
  <c r="C274" i="62906"/>
  <c r="C275" i="62906"/>
  <c r="C276" i="62906"/>
  <c r="C277" i="62906"/>
  <c r="C278" i="62906"/>
  <c r="C279" i="62906"/>
  <c r="C280" i="62906"/>
  <c r="C281" i="62906"/>
  <c r="C282" i="62906"/>
  <c r="C283" i="62906"/>
  <c r="C284" i="62906"/>
  <c r="C285" i="62906"/>
  <c r="C286" i="62906"/>
  <c r="C287" i="62906"/>
  <c r="C288" i="62906"/>
  <c r="C289" i="62906"/>
  <c r="C290" i="62906"/>
  <c r="C291" i="62906"/>
  <c r="C292" i="62906"/>
  <c r="C293" i="62906"/>
  <c r="C294" i="62906"/>
  <c r="C295" i="62906"/>
  <c r="C296" i="62906"/>
  <c r="C297" i="62906"/>
  <c r="C298" i="62906"/>
  <c r="C299" i="62906"/>
  <c r="C300" i="62906"/>
  <c r="C301" i="62906"/>
  <c r="C302" i="62906"/>
  <c r="C303" i="62906"/>
  <c r="C304" i="62906"/>
  <c r="C305" i="62906"/>
  <c r="C306" i="62906"/>
  <c r="C307" i="62906"/>
  <c r="C308" i="62906"/>
  <c r="C309" i="62906"/>
  <c r="C310" i="62906"/>
  <c r="C311" i="62906"/>
  <c r="C312" i="62906"/>
  <c r="C313" i="62906"/>
  <c r="C314" i="62906"/>
  <c r="C315" i="62906"/>
  <c r="C316" i="62906"/>
  <c r="C317" i="62906"/>
  <c r="C318" i="62906"/>
  <c r="C319" i="62906"/>
  <c r="C320" i="62906"/>
  <c r="C321" i="62906"/>
  <c r="C322" i="62906"/>
  <c r="C323" i="62906"/>
  <c r="C324" i="62906"/>
  <c r="C325" i="62906"/>
  <c r="C326" i="62906"/>
  <c r="C327" i="62906"/>
  <c r="C328" i="62906"/>
  <c r="C329" i="62906"/>
  <c r="C330" i="62906"/>
  <c r="C331" i="62906"/>
  <c r="C332" i="62906"/>
  <c r="C333" i="62906"/>
  <c r="C334" i="62906"/>
  <c r="C335" i="62906"/>
  <c r="C336" i="62906"/>
  <c r="C337" i="62906"/>
  <c r="C338" i="62906"/>
  <c r="C339" i="62906"/>
  <c r="C340" i="62906"/>
  <c r="C341" i="62906"/>
  <c r="C342" i="62906"/>
  <c r="C343" i="62906"/>
  <c r="C344" i="62906"/>
  <c r="C345" i="62906"/>
  <c r="C346" i="62906"/>
  <c r="C347" i="62906"/>
  <c r="C348" i="62906"/>
  <c r="C349" i="62906"/>
  <c r="C350" i="62906"/>
  <c r="C351" i="62906"/>
  <c r="C352" i="62906"/>
  <c r="C353" i="62906"/>
  <c r="C354" i="62906"/>
  <c r="C355" i="62906"/>
  <c r="C356" i="62906"/>
  <c r="C357" i="62906"/>
  <c r="C358" i="62906"/>
  <c r="C359" i="62906"/>
  <c r="C360" i="62906"/>
  <c r="C361" i="62906"/>
  <c r="C362" i="62906"/>
  <c r="C363" i="62906"/>
  <c r="C364" i="62906"/>
  <c r="C365" i="62906"/>
  <c r="C366" i="62906"/>
  <c r="C367" i="62906"/>
  <c r="C368" i="62906"/>
  <c r="C369" i="62906"/>
  <c r="C370" i="62906"/>
  <c r="C371" i="62906"/>
  <c r="C372" i="62906"/>
  <c r="C373" i="62906"/>
  <c r="C374" i="62906"/>
  <c r="C375" i="62906"/>
  <c r="C376" i="62906"/>
  <c r="C377" i="62906"/>
  <c r="C378" i="62906"/>
  <c r="C379" i="62906"/>
  <c r="C380" i="62906"/>
  <c r="C381" i="62906"/>
  <c r="C382" i="62906"/>
  <c r="C383" i="62906"/>
  <c r="C384" i="62906"/>
  <c r="C385" i="62906"/>
  <c r="C386" i="62906"/>
  <c r="C387" i="62906"/>
  <c r="C388" i="62906"/>
  <c r="C389" i="62906"/>
  <c r="C390" i="62906"/>
  <c r="C391" i="62906"/>
  <c r="C392" i="62906"/>
  <c r="C393" i="62906"/>
  <c r="C394" i="62906"/>
  <c r="C395" i="62906"/>
  <c r="C396" i="62906"/>
  <c r="C397" i="62906"/>
  <c r="C398" i="62906"/>
  <c r="C399" i="62906"/>
  <c r="C400" i="62906"/>
  <c r="C401" i="62906"/>
  <c r="C402" i="62906"/>
  <c r="C403" i="62906"/>
  <c r="C404" i="62906"/>
  <c r="C405" i="62906"/>
  <c r="C407" i="62906"/>
  <c r="C408" i="62906"/>
  <c r="C409" i="62906"/>
  <c r="C410" i="62906"/>
  <c r="C411" i="62906"/>
  <c r="C412" i="62906"/>
  <c r="C413" i="62906"/>
  <c r="C414" i="62906"/>
  <c r="C415" i="62906"/>
  <c r="C416" i="62906"/>
  <c r="C417" i="62906"/>
  <c r="C418" i="62906"/>
  <c r="C419" i="62906"/>
  <c r="C420" i="62906"/>
  <c r="C421" i="62906"/>
  <c r="C422" i="62906"/>
  <c r="C423" i="62906"/>
  <c r="C424" i="62906"/>
  <c r="C425" i="62906"/>
  <c r="C426" i="62906"/>
  <c r="C427" i="62906"/>
  <c r="C428" i="62906"/>
  <c r="C429" i="62906"/>
  <c r="C430" i="62906"/>
  <c r="C431" i="62906"/>
  <c r="C432" i="62906"/>
  <c r="C433" i="62906"/>
  <c r="C434" i="62906"/>
  <c r="C435" i="62906"/>
  <c r="C436" i="62906"/>
  <c r="C437" i="62906"/>
  <c r="C438" i="62906"/>
  <c r="C439" i="62906"/>
  <c r="C440" i="62906"/>
  <c r="C441" i="62906"/>
  <c r="C442" i="62906"/>
  <c r="C443" i="62906"/>
  <c r="C444" i="62906"/>
  <c r="C445" i="62906"/>
  <c r="C446" i="62906"/>
  <c r="C447" i="62906"/>
  <c r="C448" i="62906"/>
  <c r="C449" i="62906"/>
  <c r="C450" i="62906"/>
  <c r="C451" i="62906"/>
  <c r="C453" i="62906"/>
  <c r="C454" i="62906"/>
  <c r="C455" i="62906"/>
  <c r="C456" i="62906"/>
  <c r="C457" i="62906"/>
  <c r="C458" i="62906"/>
  <c r="C459" i="62906"/>
  <c r="C460" i="62906"/>
  <c r="C461" i="62906"/>
  <c r="C462" i="62906"/>
  <c r="C463" i="62906"/>
  <c r="C464" i="62906"/>
  <c r="C465" i="62906"/>
  <c r="C466" i="62906"/>
  <c r="C467" i="62906"/>
  <c r="C468" i="62906"/>
  <c r="C469" i="62906"/>
  <c r="C470" i="62906"/>
  <c r="C471" i="62906"/>
  <c r="C472" i="62906"/>
  <c r="C473" i="62906"/>
  <c r="C474" i="62906"/>
  <c r="C475" i="62906"/>
  <c r="C476" i="62906"/>
  <c r="C477" i="62906"/>
  <c r="C478" i="62906"/>
  <c r="C479" i="62906"/>
  <c r="C480" i="62906"/>
  <c r="C481" i="62906"/>
  <c r="C482" i="62906"/>
  <c r="C483" i="62906"/>
  <c r="C484" i="62906"/>
  <c r="C485" i="62906"/>
  <c r="C486" i="62906"/>
  <c r="C487" i="62906"/>
  <c r="C488" i="62906"/>
  <c r="C489" i="62906"/>
  <c r="C490" i="62906"/>
  <c r="C491" i="62906"/>
  <c r="C492" i="62906"/>
  <c r="C493" i="62906"/>
  <c r="C494" i="62906"/>
  <c r="C495" i="62906"/>
  <c r="C496" i="62906"/>
  <c r="C497" i="62906"/>
  <c r="C498" i="62906"/>
  <c r="C499" i="62906"/>
  <c r="C500" i="62906"/>
  <c r="C501" i="62906"/>
  <c r="C502" i="62906"/>
  <c r="C503" i="62906"/>
  <c r="C504" i="62906"/>
  <c r="C505" i="62906"/>
  <c r="C506" i="62906"/>
  <c r="C507" i="62906"/>
  <c r="C508" i="62906"/>
  <c r="C509" i="62906"/>
  <c r="C510" i="62906"/>
  <c r="C511" i="62906"/>
  <c r="C512" i="62906"/>
  <c r="C513" i="62906"/>
  <c r="C514" i="62906"/>
  <c r="C515" i="62906"/>
  <c r="C516" i="62906"/>
  <c r="C517" i="62906"/>
  <c r="C518" i="62906"/>
  <c r="C519" i="62906"/>
  <c r="C520" i="62906"/>
  <c r="C521" i="62906"/>
  <c r="C522" i="62906"/>
  <c r="C523" i="62906"/>
  <c r="C524" i="62906"/>
  <c r="C525" i="62906"/>
  <c r="C526" i="62906"/>
  <c r="C527" i="62906"/>
  <c r="C528" i="62906"/>
  <c r="C529" i="62906"/>
  <c r="C530" i="62906"/>
  <c r="C531" i="62906"/>
  <c r="C532" i="62906"/>
  <c r="C533" i="62906"/>
  <c r="C534" i="62906"/>
  <c r="C535" i="62906"/>
  <c r="C536" i="62906"/>
  <c r="C537" i="62906"/>
  <c r="C538" i="62906"/>
  <c r="C539" i="62906"/>
  <c r="C540" i="62906"/>
  <c r="C541" i="62906"/>
  <c r="C542" i="62906"/>
  <c r="C543" i="62906"/>
  <c r="C544" i="62906"/>
  <c r="C545" i="62906"/>
  <c r="C546" i="62906"/>
  <c r="C547" i="62906"/>
  <c r="C548" i="62906"/>
  <c r="C549" i="62906"/>
  <c r="C550" i="62906"/>
  <c r="C551" i="62906"/>
  <c r="C552" i="62906"/>
  <c r="C553" i="62906"/>
  <c r="C554" i="62906"/>
  <c r="C555" i="62906"/>
  <c r="C556" i="62906"/>
  <c r="C557" i="62906"/>
  <c r="C558" i="62906"/>
  <c r="C559" i="62906"/>
  <c r="C560" i="62906"/>
  <c r="C561" i="62906"/>
  <c r="C562" i="62906"/>
  <c r="C563" i="62906"/>
  <c r="C564" i="62906"/>
  <c r="C565" i="62906"/>
  <c r="C566" i="62906"/>
  <c r="C567" i="62906"/>
  <c r="C568" i="62906"/>
  <c r="C569" i="62906"/>
  <c r="C570" i="62906"/>
  <c r="C571" i="62906"/>
  <c r="C572" i="62906"/>
  <c r="C573" i="62906"/>
  <c r="C574" i="62906"/>
  <c r="C575" i="62906"/>
  <c r="C576" i="62906"/>
  <c r="C577" i="62906"/>
  <c r="C578" i="62906"/>
  <c r="C579" i="62906"/>
  <c r="C580" i="62906"/>
  <c r="C581" i="62906"/>
  <c r="C582" i="62906"/>
  <c r="C589" i="62906"/>
  <c r="C590" i="62906"/>
  <c r="O21" i="62911"/>
  <c r="N20" i="62911"/>
  <c r="M21" i="62911" s="1"/>
  <c r="D21" i="62911" s="1"/>
  <c r="G195" i="1"/>
  <c r="G17" i="62915"/>
  <c r="S17" i="62915" s="1"/>
  <c r="F195" i="1"/>
  <c r="F17" i="62915"/>
  <c r="R17" i="62915" s="1"/>
  <c r="E195" i="1"/>
  <c r="E17" i="62915"/>
  <c r="Q17" i="62915" s="1"/>
  <c r="G194" i="1"/>
  <c r="F194" i="1"/>
  <c r="H309" i="9"/>
  <c r="K313" i="9"/>
  <c r="G313" i="9"/>
  <c r="F313" i="9"/>
  <c r="E275" i="9"/>
  <c r="E278" i="9" s="1"/>
  <c r="AV26" i="9"/>
  <c r="AU26" i="9"/>
  <c r="AT26" i="9"/>
  <c r="AS26" i="9"/>
  <c r="AR26" i="9"/>
  <c r="AQ26" i="9"/>
  <c r="O714" i="5"/>
  <c r="N714" i="5"/>
  <c r="D8" i="62898"/>
  <c r="K464" i="62898"/>
  <c r="M431" i="62898"/>
  <c r="G464" i="62898"/>
  <c r="G431" i="62898"/>
  <c r="F464" i="62898"/>
  <c r="F431" i="62898"/>
  <c r="E464" i="62898"/>
  <c r="E431" i="62898"/>
  <c r="K706" i="5"/>
  <c r="K31" i="62915" s="1"/>
  <c r="W31" i="62915" s="1"/>
  <c r="M669" i="5"/>
  <c r="G706" i="5"/>
  <c r="G31" i="62915" s="1"/>
  <c r="S31" i="62915" s="1"/>
  <c r="G669" i="5"/>
  <c r="F706" i="5"/>
  <c r="F31" i="62915" s="1"/>
  <c r="R31" i="62915" s="1"/>
  <c r="F669" i="5"/>
  <c r="E706" i="5"/>
  <c r="E31" i="62915" s="1"/>
  <c r="Q31" i="62915" s="1"/>
  <c r="E669" i="5"/>
  <c r="M660" i="5"/>
  <c r="G699" i="5"/>
  <c r="G660" i="5"/>
  <c r="F699" i="5"/>
  <c r="F660" i="5"/>
  <c r="E699" i="5"/>
  <c r="E660" i="5"/>
  <c r="L705" i="5"/>
  <c r="I705" i="5"/>
  <c r="H705" i="5"/>
  <c r="L698" i="5"/>
  <c r="H698" i="5"/>
  <c r="H23" i="62915"/>
  <c r="T23" i="62915" s="1"/>
  <c r="I698" i="5"/>
  <c r="H169" i="3"/>
  <c r="H25" i="62915" s="1"/>
  <c r="T25" i="62915" s="1"/>
  <c r="B426" i="62913"/>
  <c r="E44" i="62915"/>
  <c r="F44" i="62915"/>
  <c r="G44" i="62915"/>
  <c r="H44" i="62915"/>
  <c r="E54" i="62915"/>
  <c r="F54" i="62915"/>
  <c r="G54" i="62915"/>
  <c r="H54" i="62915"/>
  <c r="I169" i="3"/>
  <c r="I25" i="62915" s="1"/>
  <c r="U25" i="62915" s="1"/>
  <c r="K195" i="1"/>
  <c r="K17" i="62915"/>
  <c r="W17" i="62915" s="1"/>
  <c r="K194" i="1"/>
  <c r="O216" i="62905"/>
  <c r="N216" i="62905"/>
  <c r="L216" i="62905"/>
  <c r="O199" i="62905"/>
  <c r="N199" i="62905"/>
  <c r="M199" i="62905"/>
  <c r="L199" i="62905"/>
  <c r="K199" i="62905"/>
  <c r="J199" i="62905"/>
  <c r="I199" i="62905"/>
  <c r="H199" i="62905"/>
  <c r="G199" i="62905"/>
  <c r="F199" i="62905"/>
  <c r="E199" i="62905"/>
  <c r="N196" i="62905"/>
  <c r="M196" i="62905"/>
  <c r="L196" i="62905"/>
  <c r="K196" i="62905"/>
  <c r="J196" i="62905"/>
  <c r="I196" i="62905"/>
  <c r="H196" i="62905"/>
  <c r="G196" i="62905"/>
  <c r="F196" i="62905"/>
  <c r="E196" i="62905"/>
  <c r="O183" i="62904"/>
  <c r="N183" i="62904"/>
  <c r="L183" i="62904"/>
  <c r="O166" i="62904"/>
  <c r="N166" i="62904"/>
  <c r="M166" i="62904"/>
  <c r="L166" i="62904"/>
  <c r="K166" i="62904"/>
  <c r="J166" i="62904"/>
  <c r="I166" i="62904"/>
  <c r="H166" i="62904"/>
  <c r="G166" i="62904"/>
  <c r="F166" i="62904"/>
  <c r="E166" i="62904"/>
  <c r="N163" i="62904"/>
  <c r="M163" i="62904"/>
  <c r="L163" i="62904"/>
  <c r="K163" i="62904"/>
  <c r="J163" i="62904"/>
  <c r="I163" i="62904"/>
  <c r="H163" i="62904"/>
  <c r="G163" i="62904"/>
  <c r="F163" i="62904"/>
  <c r="E163" i="62904"/>
  <c r="O333" i="9"/>
  <c r="L333" i="9"/>
  <c r="I333" i="9"/>
  <c r="H333" i="9"/>
  <c r="O316" i="9"/>
  <c r="N316" i="9"/>
  <c r="M316" i="9"/>
  <c r="L316" i="9"/>
  <c r="K316" i="9"/>
  <c r="J316" i="9"/>
  <c r="I316" i="9"/>
  <c r="H316" i="9"/>
  <c r="G316" i="9"/>
  <c r="F316" i="9"/>
  <c r="E316" i="9"/>
  <c r="N313" i="9"/>
  <c r="L313" i="9"/>
  <c r="I313" i="9"/>
  <c r="N248" i="2"/>
  <c r="K248" i="2"/>
  <c r="O231" i="2"/>
  <c r="N231" i="2"/>
  <c r="M231" i="2"/>
  <c r="L231" i="2"/>
  <c r="K231" i="2"/>
  <c r="J231" i="2"/>
  <c r="I231" i="2"/>
  <c r="H231" i="2"/>
  <c r="G231" i="2"/>
  <c r="F231" i="2"/>
  <c r="E231" i="2"/>
  <c r="N228" i="2"/>
  <c r="M228" i="2"/>
  <c r="L228" i="2"/>
  <c r="K228" i="2"/>
  <c r="J228" i="2"/>
  <c r="I228" i="2"/>
  <c r="H228" i="2"/>
  <c r="G228" i="2"/>
  <c r="F228" i="2"/>
  <c r="E228" i="2"/>
  <c r="O474" i="62898"/>
  <c r="N474" i="62898"/>
  <c r="O457" i="62898"/>
  <c r="N457" i="62898"/>
  <c r="L457" i="62898"/>
  <c r="I457" i="62898"/>
  <c r="H457" i="62898"/>
  <c r="N454" i="62898"/>
  <c r="L454" i="62898"/>
  <c r="I454" i="62898"/>
  <c r="H454" i="62898"/>
  <c r="O693" i="5"/>
  <c r="N693" i="5"/>
  <c r="L693" i="5"/>
  <c r="I693" i="5"/>
  <c r="H693" i="5"/>
  <c r="N690" i="5"/>
  <c r="L690" i="5"/>
  <c r="I690" i="5"/>
  <c r="H690" i="5"/>
  <c r="O177" i="11"/>
  <c r="N177" i="11"/>
  <c r="L177" i="11"/>
  <c r="I177" i="11"/>
  <c r="H177" i="11"/>
  <c r="O160" i="11"/>
  <c r="N160" i="11"/>
  <c r="M160" i="11"/>
  <c r="L160" i="11"/>
  <c r="K160" i="11"/>
  <c r="J160" i="11"/>
  <c r="I160" i="11"/>
  <c r="H160" i="11"/>
  <c r="G160" i="11"/>
  <c r="F160" i="11"/>
  <c r="E160" i="11"/>
  <c r="N157" i="11"/>
  <c r="M157" i="11"/>
  <c r="L157" i="11"/>
  <c r="K157" i="11"/>
  <c r="J157" i="11"/>
  <c r="I157" i="11"/>
  <c r="H157" i="11"/>
  <c r="G157" i="11"/>
  <c r="F157" i="11"/>
  <c r="E157" i="11"/>
  <c r="O278" i="7"/>
  <c r="N278" i="7"/>
  <c r="L278" i="7"/>
  <c r="I278" i="7"/>
  <c r="H278" i="7"/>
  <c r="O261" i="7"/>
  <c r="N261" i="7"/>
  <c r="M261" i="7"/>
  <c r="L261" i="7"/>
  <c r="K261" i="7"/>
  <c r="J261" i="7"/>
  <c r="I261" i="7"/>
  <c r="H261" i="7"/>
  <c r="G261" i="7"/>
  <c r="F261" i="7"/>
  <c r="E261" i="7"/>
  <c r="N258" i="7"/>
  <c r="M258" i="7"/>
  <c r="L258" i="7"/>
  <c r="K258" i="7"/>
  <c r="J258" i="7"/>
  <c r="I258" i="7"/>
  <c r="H258" i="7"/>
  <c r="G258" i="7"/>
  <c r="F258" i="7"/>
  <c r="E258" i="7"/>
  <c r="O179" i="3"/>
  <c r="N179" i="3"/>
  <c r="K179" i="3"/>
  <c r="O162" i="3"/>
  <c r="N162" i="3"/>
  <c r="M162" i="3"/>
  <c r="L162" i="3"/>
  <c r="K162" i="3"/>
  <c r="J162" i="3"/>
  <c r="I162" i="3"/>
  <c r="H162" i="3"/>
  <c r="G162" i="3"/>
  <c r="F162" i="3"/>
  <c r="E162" i="3"/>
  <c r="N159" i="3"/>
  <c r="K159" i="3"/>
  <c r="H213" i="1"/>
  <c r="I213" i="1"/>
  <c r="L213" i="1"/>
  <c r="N213" i="1"/>
  <c r="O213" i="1"/>
  <c r="H196" i="1"/>
  <c r="I196" i="1"/>
  <c r="L196" i="1"/>
  <c r="N196" i="1"/>
  <c r="O196" i="1"/>
  <c r="H193" i="1"/>
  <c r="I193" i="1"/>
  <c r="L193" i="1"/>
  <c r="N193" i="1"/>
  <c r="G49" i="62911"/>
  <c r="H49" i="62911"/>
  <c r="G39" i="62911"/>
  <c r="H39" i="62911" s="1"/>
  <c r="D39" i="62911" s="1"/>
  <c r="E39" i="62911"/>
  <c r="G38" i="62911"/>
  <c r="H38" i="62911" s="1"/>
  <c r="J63" i="62911"/>
  <c r="G63" i="62911"/>
  <c r="H63" i="62911" s="1"/>
  <c r="D63" i="62911" s="1"/>
  <c r="E63" i="62911" s="1"/>
  <c r="J62" i="62911"/>
  <c r="G62" i="62911"/>
  <c r="H62" i="62911"/>
  <c r="J61" i="62911"/>
  <c r="G61" i="62911"/>
  <c r="H61" i="62911"/>
  <c r="D61" i="62911"/>
  <c r="E61" i="62911" s="1"/>
  <c r="J60" i="62911"/>
  <c r="G60" i="62911"/>
  <c r="H60" i="62911" s="1"/>
  <c r="J52" i="62911"/>
  <c r="G52" i="62911"/>
  <c r="H52" i="62911"/>
  <c r="D52" i="62911" s="1"/>
  <c r="E52" i="62911" s="1"/>
  <c r="J51" i="62911"/>
  <c r="G51" i="62911"/>
  <c r="H51" i="62911" s="1"/>
  <c r="D51" i="62911" s="1"/>
  <c r="E51" i="62911"/>
  <c r="J50" i="62911"/>
  <c r="G50" i="62911"/>
  <c r="H50" i="62911"/>
  <c r="J49" i="62911"/>
  <c r="J39" i="62911"/>
  <c r="J40" i="62911"/>
  <c r="J41" i="62911"/>
  <c r="J38" i="62911"/>
  <c r="G40" i="62911"/>
  <c r="H40" i="62911" s="1"/>
  <c r="D40" i="62911" s="1"/>
  <c r="G41" i="62911"/>
  <c r="H41" i="62911"/>
  <c r="E91" i="62904"/>
  <c r="AO90" i="62904"/>
  <c r="AE85" i="62904"/>
  <c r="H84" i="62904"/>
  <c r="I84" i="62904"/>
  <c r="AK84" i="62904"/>
  <c r="AK93" i="62904" s="1"/>
  <c r="AE93" i="62905"/>
  <c r="H92" i="62905"/>
  <c r="I92" i="62905" s="1"/>
  <c r="AK92" i="62905" s="1"/>
  <c r="AK101" i="62905" s="1"/>
  <c r="F56" i="3"/>
  <c r="F57" i="3"/>
  <c r="O678" i="5"/>
  <c r="U28" i="5"/>
  <c r="AK28" i="5" s="1"/>
  <c r="O181" i="1"/>
  <c r="K181" i="1"/>
  <c r="J181" i="1"/>
  <c r="I181" i="1"/>
  <c r="H181" i="1"/>
  <c r="O161" i="1"/>
  <c r="K161" i="1"/>
  <c r="J161" i="1"/>
  <c r="I161" i="1"/>
  <c r="H161" i="1"/>
  <c r="O158" i="1"/>
  <c r="K158" i="1"/>
  <c r="J158" i="1"/>
  <c r="I158" i="1"/>
  <c r="H158" i="1"/>
  <c r="N164" i="62905"/>
  <c r="N161" i="62905"/>
  <c r="N131" i="62904"/>
  <c r="N128" i="62904"/>
  <c r="N281" i="9"/>
  <c r="N196" i="2"/>
  <c r="N193" i="2"/>
  <c r="N125" i="11"/>
  <c r="N122" i="11"/>
  <c r="N226" i="7"/>
  <c r="N223" i="7"/>
  <c r="N127" i="3"/>
  <c r="BD611" i="5"/>
  <c r="BC611" i="5"/>
  <c r="AZ611" i="5"/>
  <c r="AY611" i="5"/>
  <c r="AX611" i="5"/>
  <c r="AW611" i="5"/>
  <c r="AV611" i="5"/>
  <c r="AU611" i="5"/>
  <c r="AT611" i="5"/>
  <c r="AS611" i="5"/>
  <c r="X609" i="5"/>
  <c r="L609" i="5"/>
  <c r="AO609" i="5" s="1"/>
  <c r="BB609" i="5"/>
  <c r="AL609" i="5"/>
  <c r="X608" i="5"/>
  <c r="L608" i="5"/>
  <c r="AO608" i="5" s="1"/>
  <c r="BA608" i="5"/>
  <c r="X607" i="5"/>
  <c r="BB607" i="5"/>
  <c r="L607" i="5"/>
  <c r="AO607" i="5" s="1"/>
  <c r="AZ601" i="5"/>
  <c r="AY601" i="5"/>
  <c r="BD599" i="5"/>
  <c r="BC599" i="5"/>
  <c r="AX599" i="5"/>
  <c r="AW599" i="5"/>
  <c r="AV599" i="5"/>
  <c r="AU599" i="5"/>
  <c r="AT599" i="5"/>
  <c r="AS599" i="5"/>
  <c r="X599" i="5"/>
  <c r="O599" i="5"/>
  <c r="AO599" i="5" s="1"/>
  <c r="BD598" i="5"/>
  <c r="BC598" i="5"/>
  <c r="AX598" i="5"/>
  <c r="AW598" i="5"/>
  <c r="AV598" i="5"/>
  <c r="AU598" i="5"/>
  <c r="AT598" i="5"/>
  <c r="AS598" i="5"/>
  <c r="X598" i="5"/>
  <c r="O598" i="5"/>
  <c r="AJ598" i="5"/>
  <c r="BD597" i="5"/>
  <c r="BC597" i="5"/>
  <c r="AX597" i="5"/>
  <c r="AW597" i="5"/>
  <c r="AV597" i="5"/>
  <c r="AU597" i="5"/>
  <c r="AT597" i="5"/>
  <c r="AS597" i="5"/>
  <c r="X597" i="5"/>
  <c r="AZ591" i="5"/>
  <c r="AY591" i="5"/>
  <c r="BD589" i="5"/>
  <c r="BC589" i="5"/>
  <c r="AX589" i="5"/>
  <c r="AW589" i="5"/>
  <c r="AV589" i="5"/>
  <c r="AU589" i="5"/>
  <c r="AT589" i="5"/>
  <c r="AS589" i="5"/>
  <c r="X589" i="5"/>
  <c r="O589" i="5"/>
  <c r="AO589" i="5" s="1"/>
  <c r="BD588" i="5"/>
  <c r="BC588" i="5"/>
  <c r="AX588" i="5"/>
  <c r="AW588" i="5"/>
  <c r="AV588" i="5"/>
  <c r="AU588" i="5"/>
  <c r="AT588" i="5"/>
  <c r="AS588" i="5"/>
  <c r="X588" i="5"/>
  <c r="O588" i="5"/>
  <c r="AO588" i="5"/>
  <c r="BD587" i="5"/>
  <c r="BC587" i="5"/>
  <c r="AX587" i="5"/>
  <c r="AW587" i="5"/>
  <c r="AV587" i="5"/>
  <c r="AU587" i="5"/>
  <c r="AT587" i="5"/>
  <c r="AS587" i="5"/>
  <c r="X587" i="5"/>
  <c r="AZ581" i="5"/>
  <c r="AY581" i="5"/>
  <c r="BD579" i="5"/>
  <c r="BC579" i="5"/>
  <c r="AX579" i="5"/>
  <c r="AW579" i="5"/>
  <c r="AV579" i="5"/>
  <c r="AU579" i="5"/>
  <c r="AT579" i="5"/>
  <c r="AS579" i="5"/>
  <c r="X579" i="5"/>
  <c r="O579" i="5"/>
  <c r="AJ579" i="5" s="1"/>
  <c r="BD578" i="5"/>
  <c r="BC578" i="5"/>
  <c r="AX578" i="5"/>
  <c r="AW578" i="5"/>
  <c r="AV578" i="5"/>
  <c r="AU578" i="5"/>
  <c r="AT578" i="5"/>
  <c r="AS578" i="5"/>
  <c r="X578" i="5"/>
  <c r="O578" i="5"/>
  <c r="AJ578" i="5" s="1"/>
  <c r="BD577" i="5"/>
  <c r="BC577" i="5"/>
  <c r="AX577" i="5"/>
  <c r="AW577" i="5"/>
  <c r="AV577" i="5"/>
  <c r="AU577" i="5"/>
  <c r="AT577" i="5"/>
  <c r="AS577" i="5"/>
  <c r="X577" i="5"/>
  <c r="AZ571" i="5"/>
  <c r="AY571" i="5"/>
  <c r="BD569" i="5"/>
  <c r="BC569" i="5"/>
  <c r="AX569" i="5"/>
  <c r="AW569" i="5"/>
  <c r="AV569" i="5"/>
  <c r="AU569" i="5"/>
  <c r="AT569" i="5"/>
  <c r="AS569" i="5"/>
  <c r="X569" i="5"/>
  <c r="O569" i="5"/>
  <c r="AJ569" i="5"/>
  <c r="BD568" i="5"/>
  <c r="BC568" i="5"/>
  <c r="AX568" i="5"/>
  <c r="AW568" i="5"/>
  <c r="AV568" i="5"/>
  <c r="AU568" i="5"/>
  <c r="AT568" i="5"/>
  <c r="AS568" i="5"/>
  <c r="X568" i="5"/>
  <c r="O568" i="5"/>
  <c r="AJ568" i="5" s="1"/>
  <c r="BD567" i="5"/>
  <c r="BC567" i="5"/>
  <c r="AX567" i="5"/>
  <c r="AW567" i="5"/>
  <c r="AV567" i="5"/>
  <c r="AU567" i="5"/>
  <c r="AT567" i="5"/>
  <c r="AS567" i="5"/>
  <c r="X567" i="5"/>
  <c r="AZ561" i="5"/>
  <c r="AY561" i="5"/>
  <c r="BD559" i="5"/>
  <c r="BC559" i="5"/>
  <c r="AX559" i="5"/>
  <c r="AW559" i="5"/>
  <c r="AV559" i="5"/>
  <c r="AU559" i="5"/>
  <c r="AT559" i="5"/>
  <c r="AS559" i="5"/>
  <c r="X559" i="5"/>
  <c r="BD558" i="5"/>
  <c r="BC558" i="5"/>
  <c r="AX558" i="5"/>
  <c r="AW558" i="5"/>
  <c r="AV558" i="5"/>
  <c r="AU558" i="5"/>
  <c r="AT558" i="5"/>
  <c r="AS558" i="5"/>
  <c r="X558" i="5"/>
  <c r="BD556" i="5"/>
  <c r="BC556" i="5"/>
  <c r="AX556" i="5"/>
  <c r="AW556" i="5"/>
  <c r="AV556" i="5"/>
  <c r="AU556" i="5"/>
  <c r="AT556" i="5"/>
  <c r="AS556" i="5"/>
  <c r="X556" i="5"/>
  <c r="BD555" i="5"/>
  <c r="BC555" i="5"/>
  <c r="AX555" i="5"/>
  <c r="AW555" i="5"/>
  <c r="AV555" i="5"/>
  <c r="AU555" i="5"/>
  <c r="AT555" i="5"/>
  <c r="AS555" i="5"/>
  <c r="X555" i="5"/>
  <c r="BD554" i="5"/>
  <c r="BC554" i="5"/>
  <c r="AX554" i="5"/>
  <c r="AW554" i="5"/>
  <c r="AV554" i="5"/>
  <c r="AU554" i="5"/>
  <c r="AT554" i="5"/>
  <c r="AS554" i="5"/>
  <c r="X554" i="5"/>
  <c r="AV545" i="5"/>
  <c r="AX543" i="5"/>
  <c r="AU543" i="5"/>
  <c r="AT543" i="5"/>
  <c r="AS543" i="5"/>
  <c r="X543" i="5"/>
  <c r="AX542" i="5"/>
  <c r="AU542" i="5"/>
  <c r="AT542" i="5"/>
  <c r="AS542" i="5"/>
  <c r="X542" i="5"/>
  <c r="AX541" i="5"/>
  <c r="AU541" i="5"/>
  <c r="AT541" i="5"/>
  <c r="AS541" i="5"/>
  <c r="X541" i="5"/>
  <c r="E541" i="5"/>
  <c r="AZ535" i="5"/>
  <c r="AY535" i="5"/>
  <c r="BD533" i="5"/>
  <c r="BC533" i="5"/>
  <c r="AX533" i="5"/>
  <c r="AW533" i="5"/>
  <c r="AV533" i="5"/>
  <c r="AU533" i="5"/>
  <c r="AT533" i="5"/>
  <c r="AS533" i="5"/>
  <c r="X533" i="5"/>
  <c r="BD532" i="5"/>
  <c r="BC532" i="5"/>
  <c r="AX532" i="5"/>
  <c r="AW532" i="5"/>
  <c r="AV532" i="5"/>
  <c r="AU532" i="5"/>
  <c r="AT532" i="5"/>
  <c r="AS532" i="5"/>
  <c r="X532" i="5"/>
  <c r="BD531" i="5"/>
  <c r="BC531" i="5"/>
  <c r="AX531" i="5"/>
  <c r="AW531" i="5"/>
  <c r="AV531" i="5"/>
  <c r="AU531" i="5"/>
  <c r="AT531" i="5"/>
  <c r="AS531" i="5"/>
  <c r="X531" i="5"/>
  <c r="AH523" i="5"/>
  <c r="AF523" i="5"/>
  <c r="X523" i="5"/>
  <c r="F523" i="5"/>
  <c r="AX517" i="5"/>
  <c r="AV517" i="5"/>
  <c r="AU517" i="5"/>
  <c r="AT517" i="5"/>
  <c r="AS517" i="5"/>
  <c r="BJ506" i="5"/>
  <c r="BC506" i="5"/>
  <c r="BB506" i="5"/>
  <c r="BA506" i="5"/>
  <c r="AX506" i="5"/>
  <c r="AU506" i="5"/>
  <c r="BI504" i="5"/>
  <c r="BH504" i="5"/>
  <c r="AZ504" i="5"/>
  <c r="AY504" i="5"/>
  <c r="AW504" i="5"/>
  <c r="AV504" i="5"/>
  <c r="AT504" i="5"/>
  <c r="AS504" i="5"/>
  <c r="X504" i="5"/>
  <c r="N504" i="5"/>
  <c r="BE504" i="5"/>
  <c r="BI503" i="5"/>
  <c r="BH503" i="5"/>
  <c r="AZ503" i="5"/>
  <c r="AY503" i="5"/>
  <c r="AW503" i="5"/>
  <c r="AV503" i="5"/>
  <c r="AT503" i="5"/>
  <c r="AS503" i="5"/>
  <c r="X503" i="5"/>
  <c r="AM503" i="5"/>
  <c r="BI502" i="5"/>
  <c r="BH502" i="5"/>
  <c r="AZ502" i="5"/>
  <c r="AY502" i="5"/>
  <c r="AW502" i="5"/>
  <c r="AV502" i="5"/>
  <c r="AT502" i="5"/>
  <c r="AS502" i="5"/>
  <c r="X502" i="5"/>
  <c r="N502" i="5"/>
  <c r="AQ502" i="5" s="1"/>
  <c r="AN502" i="5"/>
  <c r="BJ496" i="5"/>
  <c r="BC496" i="5"/>
  <c r="BB496" i="5"/>
  <c r="BA496" i="5"/>
  <c r="AX496" i="5"/>
  <c r="AU496" i="5"/>
  <c r="BI494" i="5"/>
  <c r="BH494" i="5"/>
  <c r="AZ494" i="5"/>
  <c r="AY494" i="5"/>
  <c r="AW494" i="5"/>
  <c r="AV494" i="5"/>
  <c r="AT494" i="5"/>
  <c r="AS494" i="5"/>
  <c r="X494" i="5"/>
  <c r="BI493" i="5"/>
  <c r="BH493" i="5"/>
  <c r="AZ493" i="5"/>
  <c r="AY493" i="5"/>
  <c r="AW493" i="5"/>
  <c r="AV493" i="5"/>
  <c r="AT493" i="5"/>
  <c r="AS493" i="5"/>
  <c r="X493" i="5"/>
  <c r="BI492" i="5"/>
  <c r="BH492" i="5"/>
  <c r="AZ492" i="5"/>
  <c r="AY492" i="5"/>
  <c r="AW492" i="5"/>
  <c r="AV492" i="5"/>
  <c r="AT492" i="5"/>
  <c r="AS492" i="5"/>
  <c r="X492" i="5"/>
  <c r="BD483" i="5"/>
  <c r="BC483" i="5"/>
  <c r="BB483" i="5"/>
  <c r="AQ482" i="5"/>
  <c r="AO482" i="5"/>
  <c r="BJ481" i="5"/>
  <c r="BI481" i="5"/>
  <c r="BH481" i="5"/>
  <c r="BA481" i="5"/>
  <c r="AZ481" i="5"/>
  <c r="AY481" i="5"/>
  <c r="AX481" i="5"/>
  <c r="AW481" i="5"/>
  <c r="AV481" i="5"/>
  <c r="AU481" i="5"/>
  <c r="AT481" i="5"/>
  <c r="AS481" i="5"/>
  <c r="X481" i="5"/>
  <c r="R481" i="5"/>
  <c r="AK481" i="5" s="1"/>
  <c r="BJ480" i="5"/>
  <c r="BI480" i="5"/>
  <c r="BH480" i="5"/>
  <c r="BA480" i="5"/>
  <c r="AZ480" i="5"/>
  <c r="AY480" i="5"/>
  <c r="AX480" i="5"/>
  <c r="AW480" i="5"/>
  <c r="AV480" i="5"/>
  <c r="AU480" i="5"/>
  <c r="AT480" i="5"/>
  <c r="AS480" i="5"/>
  <c r="X480" i="5"/>
  <c r="R480" i="5"/>
  <c r="AK480" i="5"/>
  <c r="BJ479" i="5"/>
  <c r="BI479" i="5"/>
  <c r="BH479" i="5"/>
  <c r="BA479" i="5"/>
  <c r="AZ479" i="5"/>
  <c r="AY479" i="5"/>
  <c r="AX479" i="5"/>
  <c r="AW479" i="5"/>
  <c r="AV479" i="5"/>
  <c r="AU479" i="5"/>
  <c r="AT479" i="5"/>
  <c r="AS479" i="5"/>
  <c r="X479" i="5"/>
  <c r="BD473" i="5"/>
  <c r="BC473" i="5"/>
  <c r="BB473" i="5"/>
  <c r="BJ471" i="5"/>
  <c r="BI471" i="5"/>
  <c r="BH471" i="5"/>
  <c r="BA471" i="5"/>
  <c r="AZ471" i="5"/>
  <c r="AY471" i="5"/>
  <c r="AX471" i="5"/>
  <c r="AW471" i="5"/>
  <c r="AV471" i="5"/>
  <c r="AU471" i="5"/>
  <c r="AT471" i="5"/>
  <c r="AS471" i="5"/>
  <c r="X471" i="5"/>
  <c r="V471" i="5"/>
  <c r="AQ471" i="5"/>
  <c r="AG471" i="5"/>
  <c r="N471" i="5"/>
  <c r="BJ470" i="5"/>
  <c r="BI470" i="5"/>
  <c r="BH470" i="5"/>
  <c r="BA470" i="5"/>
  <c r="AZ470" i="5"/>
  <c r="AY470" i="5"/>
  <c r="AX470" i="5"/>
  <c r="AW470" i="5"/>
  <c r="AV470" i="5"/>
  <c r="AU470" i="5"/>
  <c r="AT470" i="5"/>
  <c r="AS470" i="5"/>
  <c r="X470" i="5"/>
  <c r="V470" i="5"/>
  <c r="BF470" i="5"/>
  <c r="AG470" i="5"/>
  <c r="N470" i="5"/>
  <c r="BJ469" i="5"/>
  <c r="BI469" i="5"/>
  <c r="BH469" i="5"/>
  <c r="BA469" i="5"/>
  <c r="AZ469" i="5"/>
  <c r="AY469" i="5"/>
  <c r="AX469" i="5"/>
  <c r="AW469" i="5"/>
  <c r="AV469" i="5"/>
  <c r="AU469" i="5"/>
  <c r="AT469" i="5"/>
  <c r="AS469" i="5"/>
  <c r="X469" i="5"/>
  <c r="V469" i="5"/>
  <c r="AK469" i="5" s="1"/>
  <c r="AO469" i="5"/>
  <c r="AH469" i="5"/>
  <c r="BE469" i="5"/>
  <c r="N469" i="5"/>
  <c r="BJ468" i="5"/>
  <c r="BI468" i="5"/>
  <c r="BH468" i="5"/>
  <c r="BA468" i="5"/>
  <c r="AZ468" i="5"/>
  <c r="AY468" i="5"/>
  <c r="AX468" i="5"/>
  <c r="AW468" i="5"/>
  <c r="AV468" i="5"/>
  <c r="AU468" i="5"/>
  <c r="AT468" i="5"/>
  <c r="AS468" i="5"/>
  <c r="X468" i="5"/>
  <c r="V468" i="5"/>
  <c r="AK468" i="5"/>
  <c r="AH468" i="5"/>
  <c r="N468" i="5"/>
  <c r="BJ467" i="5"/>
  <c r="BI467" i="5"/>
  <c r="BH467" i="5"/>
  <c r="BA467" i="5"/>
  <c r="AZ467" i="5"/>
  <c r="AY467" i="5"/>
  <c r="AX467" i="5"/>
  <c r="AW467" i="5"/>
  <c r="AV467" i="5"/>
  <c r="AU467" i="5"/>
  <c r="AT467" i="5"/>
  <c r="AS467" i="5"/>
  <c r="X467" i="5"/>
  <c r="V467" i="5"/>
  <c r="AQ467" i="5"/>
  <c r="AO467" i="5"/>
  <c r="AH467" i="5"/>
  <c r="BE467" i="5"/>
  <c r="N467" i="5"/>
  <c r="V464" i="5"/>
  <c r="AK464" i="5" s="1"/>
  <c r="AK473" i="5" s="1"/>
  <c r="V463" i="5"/>
  <c r="AQ463" i="5"/>
  <c r="X463" i="5"/>
  <c r="V462" i="5"/>
  <c r="AQ462" i="5"/>
  <c r="V461" i="5"/>
  <c r="AQ461" i="5"/>
  <c r="V460" i="5"/>
  <c r="V459" i="5"/>
  <c r="AK459" i="5"/>
  <c r="V458" i="5"/>
  <c r="AQ458" i="5" s="1"/>
  <c r="V457" i="5"/>
  <c r="AQ457" i="5"/>
  <c r="V456" i="5"/>
  <c r="AK456" i="5"/>
  <c r="V455" i="5"/>
  <c r="AQ455" i="5" s="1"/>
  <c r="V453" i="5"/>
  <c r="AK453" i="5" s="1"/>
  <c r="V452" i="5"/>
  <c r="V451" i="5"/>
  <c r="AK451" i="5" s="1"/>
  <c r="BD445" i="5"/>
  <c r="BC445" i="5"/>
  <c r="BB445" i="5"/>
  <c r="BJ443" i="5"/>
  <c r="BI443" i="5"/>
  <c r="BH443" i="5"/>
  <c r="BA443" i="5"/>
  <c r="AZ443" i="5"/>
  <c r="AY443" i="5"/>
  <c r="AX443" i="5"/>
  <c r="AW443" i="5"/>
  <c r="AV443" i="5"/>
  <c r="AU443" i="5"/>
  <c r="AT443" i="5"/>
  <c r="AS443" i="5"/>
  <c r="X443" i="5"/>
  <c r="U443" i="5"/>
  <c r="BG443" i="5"/>
  <c r="AN443" i="5"/>
  <c r="BE443" i="5"/>
  <c r="BJ442" i="5"/>
  <c r="BI442" i="5"/>
  <c r="BH442" i="5"/>
  <c r="BA442" i="5"/>
  <c r="AZ442" i="5"/>
  <c r="AY442" i="5"/>
  <c r="AX442" i="5"/>
  <c r="AW442" i="5"/>
  <c r="AV442" i="5"/>
  <c r="AU442" i="5"/>
  <c r="AT442" i="5"/>
  <c r="AS442" i="5"/>
  <c r="X442" i="5"/>
  <c r="U442" i="5"/>
  <c r="AK442" i="5" s="1"/>
  <c r="BG442" i="5"/>
  <c r="AN442" i="5"/>
  <c r="BJ441" i="5"/>
  <c r="BI441" i="5"/>
  <c r="BH441" i="5"/>
  <c r="BA441" i="5"/>
  <c r="AZ441" i="5"/>
  <c r="AY441" i="5"/>
  <c r="AX441" i="5"/>
  <c r="AW441" i="5"/>
  <c r="AV441" i="5"/>
  <c r="AU441" i="5"/>
  <c r="AT441" i="5"/>
  <c r="AS441" i="5"/>
  <c r="X441" i="5"/>
  <c r="U441" i="5"/>
  <c r="AK441" i="5" s="1"/>
  <c r="BF441" i="5"/>
  <c r="BE441" i="5"/>
  <c r="BJ440" i="5"/>
  <c r="BI440" i="5"/>
  <c r="BH440" i="5"/>
  <c r="BA440" i="5"/>
  <c r="AZ440" i="5"/>
  <c r="AY440" i="5"/>
  <c r="AX440" i="5"/>
  <c r="AW440" i="5"/>
  <c r="AV440" i="5"/>
  <c r="AU440" i="5"/>
  <c r="AT440" i="5"/>
  <c r="AS440" i="5"/>
  <c r="X440" i="5"/>
  <c r="U440" i="5"/>
  <c r="AQ440" i="5" s="1"/>
  <c r="AI440" i="5"/>
  <c r="AM440" i="5"/>
  <c r="BJ439" i="5"/>
  <c r="BI439" i="5"/>
  <c r="BH439" i="5"/>
  <c r="BA439" i="5"/>
  <c r="AZ439" i="5"/>
  <c r="AY439" i="5"/>
  <c r="AX439" i="5"/>
  <c r="AW439" i="5"/>
  <c r="AV439" i="5"/>
  <c r="AU439" i="5"/>
  <c r="AT439" i="5"/>
  <c r="AS439" i="5"/>
  <c r="X439" i="5"/>
  <c r="U439" i="5"/>
  <c r="AK439" i="5"/>
  <c r="BG439" i="5"/>
  <c r="AH439" i="5"/>
  <c r="BE439" i="5"/>
  <c r="X436" i="5"/>
  <c r="U436" i="5"/>
  <c r="AQ436" i="5" s="1"/>
  <c r="N436" i="5"/>
  <c r="X435" i="5"/>
  <c r="U435" i="5"/>
  <c r="AK435" i="5" s="1"/>
  <c r="N435" i="5"/>
  <c r="AG435" i="5"/>
  <c r="X434" i="5"/>
  <c r="U434" i="5"/>
  <c r="AQ434" i="5"/>
  <c r="N434" i="5"/>
  <c r="AM434" i="5"/>
  <c r="X433" i="5"/>
  <c r="U433" i="5"/>
  <c r="AQ433" i="5"/>
  <c r="N433" i="5"/>
  <c r="AM433" i="5"/>
  <c r="X432" i="5"/>
  <c r="N432" i="5"/>
  <c r="AG432" i="5"/>
  <c r="AZ426" i="5"/>
  <c r="AY426" i="5"/>
  <c r="BD424" i="5"/>
  <c r="BC424" i="5"/>
  <c r="AX424" i="5"/>
  <c r="AW424" i="5"/>
  <c r="AV424" i="5"/>
  <c r="AU424" i="5"/>
  <c r="AT424" i="5"/>
  <c r="AS424" i="5"/>
  <c r="X424" i="5"/>
  <c r="BD423" i="5"/>
  <c r="BC423" i="5"/>
  <c r="AX423" i="5"/>
  <c r="AW423" i="5"/>
  <c r="AV423" i="5"/>
  <c r="AU423" i="5"/>
  <c r="AT423" i="5"/>
  <c r="AS423" i="5"/>
  <c r="X423" i="5"/>
  <c r="BD421" i="5"/>
  <c r="BC421" i="5"/>
  <c r="AX421" i="5"/>
  <c r="AW421" i="5"/>
  <c r="AV421" i="5"/>
  <c r="AU421" i="5"/>
  <c r="AT421" i="5"/>
  <c r="AS421" i="5"/>
  <c r="X421" i="5"/>
  <c r="BD420" i="5"/>
  <c r="BC420" i="5"/>
  <c r="AX420" i="5"/>
  <c r="AW420" i="5"/>
  <c r="AV420" i="5"/>
  <c r="AU420" i="5"/>
  <c r="AT420" i="5"/>
  <c r="AS420" i="5"/>
  <c r="X420" i="5"/>
  <c r="BD419" i="5"/>
  <c r="BC419" i="5"/>
  <c r="AX419" i="5"/>
  <c r="AW419" i="5"/>
  <c r="AV419" i="5"/>
  <c r="AU419" i="5"/>
  <c r="AT419" i="5"/>
  <c r="AS419" i="5"/>
  <c r="X419" i="5"/>
  <c r="BD409" i="5"/>
  <c r="BC409" i="5"/>
  <c r="AZ409" i="5"/>
  <c r="AY409" i="5"/>
  <c r="AX409" i="5"/>
  <c r="AW409" i="5"/>
  <c r="AV409" i="5"/>
  <c r="AU409" i="5"/>
  <c r="AT409" i="5"/>
  <c r="AS409" i="5"/>
  <c r="X407" i="5"/>
  <c r="L407" i="5"/>
  <c r="AJ407" i="5"/>
  <c r="AL407" i="5"/>
  <c r="X406" i="5"/>
  <c r="AM406" i="5"/>
  <c r="L406" i="5"/>
  <c r="AJ406" i="5" s="1"/>
  <c r="BA406" i="5"/>
  <c r="X405" i="5"/>
  <c r="L405" i="5"/>
  <c r="AJ405" i="5" s="1"/>
  <c r="AJ409" i="5" s="1"/>
  <c r="AM405" i="5"/>
  <c r="BA405" i="5"/>
  <c r="AZ399" i="5"/>
  <c r="AY399" i="5"/>
  <c r="BD397" i="5"/>
  <c r="BC397" i="5"/>
  <c r="AX397" i="5"/>
  <c r="AW397" i="5"/>
  <c r="AV397" i="5"/>
  <c r="AU397" i="5"/>
  <c r="AT397" i="5"/>
  <c r="AS397" i="5"/>
  <c r="X397" i="5"/>
  <c r="O397" i="5"/>
  <c r="AO397" i="5" s="1"/>
  <c r="BD396" i="5"/>
  <c r="BC396" i="5"/>
  <c r="AX396" i="5"/>
  <c r="AW396" i="5"/>
  <c r="AV396" i="5"/>
  <c r="AU396" i="5"/>
  <c r="AT396" i="5"/>
  <c r="AS396" i="5"/>
  <c r="X396" i="5"/>
  <c r="BD395" i="5"/>
  <c r="BC395" i="5"/>
  <c r="AX395" i="5"/>
  <c r="AW395" i="5"/>
  <c r="AV395" i="5"/>
  <c r="AU395" i="5"/>
  <c r="AT395" i="5"/>
  <c r="AS395" i="5"/>
  <c r="X395" i="5"/>
  <c r="O395" i="5"/>
  <c r="AO395" i="5" s="1"/>
  <c r="AZ389" i="5"/>
  <c r="AY389" i="5"/>
  <c r="BD387" i="5"/>
  <c r="BC387" i="5"/>
  <c r="AX387" i="5"/>
  <c r="AW387" i="5"/>
  <c r="AV387" i="5"/>
  <c r="AU387" i="5"/>
  <c r="AT387" i="5"/>
  <c r="AS387" i="5"/>
  <c r="X387" i="5"/>
  <c r="O387" i="5"/>
  <c r="AJ387" i="5"/>
  <c r="BD386" i="5"/>
  <c r="BC386" i="5"/>
  <c r="AX386" i="5"/>
  <c r="AW386" i="5"/>
  <c r="AV386" i="5"/>
  <c r="AU386" i="5"/>
  <c r="AT386" i="5"/>
  <c r="AS386" i="5"/>
  <c r="X386" i="5"/>
  <c r="BD385" i="5"/>
  <c r="BC385" i="5"/>
  <c r="AX385" i="5"/>
  <c r="AW385" i="5"/>
  <c r="AV385" i="5"/>
  <c r="AU385" i="5"/>
  <c r="AT385" i="5"/>
  <c r="AS385" i="5"/>
  <c r="X385" i="5"/>
  <c r="O385" i="5"/>
  <c r="AJ385" i="5"/>
  <c r="AZ379" i="5"/>
  <c r="AY379" i="5"/>
  <c r="BD377" i="5"/>
  <c r="BC377" i="5"/>
  <c r="AX377" i="5"/>
  <c r="AW377" i="5"/>
  <c r="AV377" i="5"/>
  <c r="AU377" i="5"/>
  <c r="AT377" i="5"/>
  <c r="AS377" i="5"/>
  <c r="X377" i="5"/>
  <c r="O377" i="5"/>
  <c r="AJ377" i="5"/>
  <c r="BD376" i="5"/>
  <c r="BC376" i="5"/>
  <c r="AX376" i="5"/>
  <c r="AW376" i="5"/>
  <c r="AV376" i="5"/>
  <c r="AU376" i="5"/>
  <c r="AT376" i="5"/>
  <c r="AS376" i="5"/>
  <c r="X376" i="5"/>
  <c r="BD375" i="5"/>
  <c r="BC375" i="5"/>
  <c r="AX375" i="5"/>
  <c r="AW375" i="5"/>
  <c r="AV375" i="5"/>
  <c r="AU375" i="5"/>
  <c r="AT375" i="5"/>
  <c r="AS375" i="5"/>
  <c r="X375" i="5"/>
  <c r="O375" i="5"/>
  <c r="AO375" i="5"/>
  <c r="AZ369" i="5"/>
  <c r="AY369" i="5"/>
  <c r="BD367" i="5"/>
  <c r="BC367" i="5"/>
  <c r="AX367" i="5"/>
  <c r="AW367" i="5"/>
  <c r="AV367" i="5"/>
  <c r="AU367" i="5"/>
  <c r="AT367" i="5"/>
  <c r="AS367" i="5"/>
  <c r="X367" i="5"/>
  <c r="O367" i="5"/>
  <c r="AJ367" i="5"/>
  <c r="BD366" i="5"/>
  <c r="BC366" i="5"/>
  <c r="AX366" i="5"/>
  <c r="AW366" i="5"/>
  <c r="AV366" i="5"/>
  <c r="AU366" i="5"/>
  <c r="AT366" i="5"/>
  <c r="AS366" i="5"/>
  <c r="X366" i="5"/>
  <c r="BD365" i="5"/>
  <c r="BC365" i="5"/>
  <c r="AX365" i="5"/>
  <c r="AW365" i="5"/>
  <c r="AV365" i="5"/>
  <c r="AU365" i="5"/>
  <c r="AT365" i="5"/>
  <c r="AS365" i="5"/>
  <c r="X365" i="5"/>
  <c r="O365" i="5"/>
  <c r="AZ359" i="5"/>
  <c r="AY359" i="5"/>
  <c r="BD357" i="5"/>
  <c r="BC357" i="5"/>
  <c r="AX357" i="5"/>
  <c r="AW357" i="5"/>
  <c r="AV357" i="5"/>
  <c r="AU357" i="5"/>
  <c r="AT357" i="5"/>
  <c r="AS357" i="5"/>
  <c r="X357" i="5"/>
  <c r="BD356" i="5"/>
  <c r="BC356" i="5"/>
  <c r="AX356" i="5"/>
  <c r="AW356" i="5"/>
  <c r="AV356" i="5"/>
  <c r="AU356" i="5"/>
  <c r="AT356" i="5"/>
  <c r="AS356" i="5"/>
  <c r="X356" i="5"/>
  <c r="BD354" i="5"/>
  <c r="BC354" i="5"/>
  <c r="AX354" i="5"/>
  <c r="AW354" i="5"/>
  <c r="AV354" i="5"/>
  <c r="AU354" i="5"/>
  <c r="AT354" i="5"/>
  <c r="AS354" i="5"/>
  <c r="X354" i="5"/>
  <c r="BD353" i="5"/>
  <c r="BC353" i="5"/>
  <c r="AX353" i="5"/>
  <c r="AW353" i="5"/>
  <c r="AV353" i="5"/>
  <c r="AU353" i="5"/>
  <c r="AT353" i="5"/>
  <c r="AS353" i="5"/>
  <c r="X353" i="5"/>
  <c r="BD352" i="5"/>
  <c r="BC352" i="5"/>
  <c r="AX352" i="5"/>
  <c r="AW352" i="5"/>
  <c r="AV352" i="5"/>
  <c r="AU352" i="5"/>
  <c r="AT352" i="5"/>
  <c r="AS352" i="5"/>
  <c r="X352" i="5"/>
  <c r="AV343" i="5"/>
  <c r="AX341" i="5"/>
  <c r="AU341" i="5"/>
  <c r="AT341" i="5"/>
  <c r="AS341" i="5"/>
  <c r="X341" i="5"/>
  <c r="AX340" i="5"/>
  <c r="AU340" i="5"/>
  <c r="AT340" i="5"/>
  <c r="AS340" i="5"/>
  <c r="X340" i="5"/>
  <c r="AX339" i="5"/>
  <c r="AU339" i="5"/>
  <c r="AT339" i="5"/>
  <c r="AS339" i="5"/>
  <c r="X339" i="5"/>
  <c r="AI339" i="5"/>
  <c r="AZ333" i="5"/>
  <c r="AY333" i="5"/>
  <c r="BD331" i="5"/>
  <c r="BC331" i="5"/>
  <c r="AX331" i="5"/>
  <c r="AW331" i="5"/>
  <c r="AV331" i="5"/>
  <c r="AU331" i="5"/>
  <c r="AT331" i="5"/>
  <c r="AS331" i="5"/>
  <c r="X331" i="5"/>
  <c r="BD330" i="5"/>
  <c r="BC330" i="5"/>
  <c r="AX330" i="5"/>
  <c r="AW330" i="5"/>
  <c r="AV330" i="5"/>
  <c r="AU330" i="5"/>
  <c r="AT330" i="5"/>
  <c r="AS330" i="5"/>
  <c r="X330" i="5"/>
  <c r="BD329" i="5"/>
  <c r="BC329" i="5"/>
  <c r="AX329" i="5"/>
  <c r="AW329" i="5"/>
  <c r="AV329" i="5"/>
  <c r="AU329" i="5"/>
  <c r="AT329" i="5"/>
  <c r="AS329" i="5"/>
  <c r="X329" i="5"/>
  <c r="AH321" i="5"/>
  <c r="AF321" i="5"/>
  <c r="X321" i="5"/>
  <c r="F321" i="5"/>
  <c r="AX315" i="5"/>
  <c r="AV315" i="5"/>
  <c r="AU315" i="5"/>
  <c r="AT315" i="5"/>
  <c r="AS315" i="5"/>
  <c r="BJ304" i="5"/>
  <c r="BC304" i="5"/>
  <c r="BB304" i="5"/>
  <c r="BA304" i="5"/>
  <c r="AX304" i="5"/>
  <c r="AU304" i="5"/>
  <c r="BI302" i="5"/>
  <c r="BH302" i="5"/>
  <c r="AZ302" i="5"/>
  <c r="AY302" i="5"/>
  <c r="AW302" i="5"/>
  <c r="AV302" i="5"/>
  <c r="AT302" i="5"/>
  <c r="AS302" i="5"/>
  <c r="X302" i="5"/>
  <c r="N302" i="5"/>
  <c r="AK302" i="5" s="1"/>
  <c r="AH302" i="5"/>
  <c r="BI301" i="5"/>
  <c r="BH301" i="5"/>
  <c r="AZ301" i="5"/>
  <c r="AY301" i="5"/>
  <c r="AW301" i="5"/>
  <c r="AV301" i="5"/>
  <c r="AT301" i="5"/>
  <c r="AS301" i="5"/>
  <c r="X301" i="5"/>
  <c r="AH301" i="5"/>
  <c r="BI300" i="5"/>
  <c r="BH300" i="5"/>
  <c r="AZ300" i="5"/>
  <c r="AY300" i="5"/>
  <c r="AW300" i="5"/>
  <c r="AV300" i="5"/>
  <c r="AT300" i="5"/>
  <c r="AS300" i="5"/>
  <c r="X300" i="5"/>
  <c r="N300" i="5"/>
  <c r="BF300" i="5"/>
  <c r="BJ294" i="5"/>
  <c r="BC294" i="5"/>
  <c r="BB294" i="5"/>
  <c r="BA294" i="5"/>
  <c r="AX294" i="5"/>
  <c r="AU294" i="5"/>
  <c r="BI292" i="5"/>
  <c r="BH292" i="5"/>
  <c r="AZ292" i="5"/>
  <c r="AY292" i="5"/>
  <c r="AW292" i="5"/>
  <c r="AV292" i="5"/>
  <c r="AT292" i="5"/>
  <c r="AS292" i="5"/>
  <c r="X292" i="5"/>
  <c r="BI291" i="5"/>
  <c r="BH291" i="5"/>
  <c r="AZ291" i="5"/>
  <c r="AY291" i="5"/>
  <c r="AW291" i="5"/>
  <c r="AV291" i="5"/>
  <c r="AT291" i="5"/>
  <c r="AS291" i="5"/>
  <c r="X291" i="5"/>
  <c r="BI290" i="5"/>
  <c r="BH290" i="5"/>
  <c r="AZ290" i="5"/>
  <c r="AY290" i="5"/>
  <c r="AW290" i="5"/>
  <c r="AV290" i="5"/>
  <c r="AT290" i="5"/>
  <c r="AS290" i="5"/>
  <c r="X290" i="5"/>
  <c r="BD281" i="5"/>
  <c r="BC281" i="5"/>
  <c r="BB281" i="5"/>
  <c r="AQ280" i="5"/>
  <c r="AO280" i="5"/>
  <c r="BJ279" i="5"/>
  <c r="BI279" i="5"/>
  <c r="BH279" i="5"/>
  <c r="BA279" i="5"/>
  <c r="AZ279" i="5"/>
  <c r="AY279" i="5"/>
  <c r="AX279" i="5"/>
  <c r="AW279" i="5"/>
  <c r="AV279" i="5"/>
  <c r="AU279" i="5"/>
  <c r="AT279" i="5"/>
  <c r="AS279" i="5"/>
  <c r="X279" i="5"/>
  <c r="R279" i="5"/>
  <c r="AK279" i="5"/>
  <c r="BJ278" i="5"/>
  <c r="BI278" i="5"/>
  <c r="BH278" i="5"/>
  <c r="BA278" i="5"/>
  <c r="AZ278" i="5"/>
  <c r="AY278" i="5"/>
  <c r="AX278" i="5"/>
  <c r="AW278" i="5"/>
  <c r="AV278" i="5"/>
  <c r="AU278" i="5"/>
  <c r="AT278" i="5"/>
  <c r="AS278" i="5"/>
  <c r="X278" i="5"/>
  <c r="BJ277" i="5"/>
  <c r="BI277" i="5"/>
  <c r="BH277" i="5"/>
  <c r="BA277" i="5"/>
  <c r="AZ277" i="5"/>
  <c r="AY277" i="5"/>
  <c r="AX277" i="5"/>
  <c r="AW277" i="5"/>
  <c r="AV277" i="5"/>
  <c r="AU277" i="5"/>
  <c r="AT277" i="5"/>
  <c r="AS277" i="5"/>
  <c r="X277" i="5"/>
  <c r="R277" i="5"/>
  <c r="AK277" i="5" s="1"/>
  <c r="BD271" i="5"/>
  <c r="BC271" i="5"/>
  <c r="BB271" i="5"/>
  <c r="BJ269" i="5"/>
  <c r="BI269" i="5"/>
  <c r="BH269" i="5"/>
  <c r="BA269" i="5"/>
  <c r="AZ269" i="5"/>
  <c r="AY269" i="5"/>
  <c r="AX269" i="5"/>
  <c r="AW269" i="5"/>
  <c r="AV269" i="5"/>
  <c r="AU269" i="5"/>
  <c r="AT269" i="5"/>
  <c r="AS269" i="5"/>
  <c r="X269" i="5"/>
  <c r="V269" i="5"/>
  <c r="AK269" i="5" s="1"/>
  <c r="AO269" i="5"/>
  <c r="AN269" i="5"/>
  <c r="N269" i="5"/>
  <c r="BJ268" i="5"/>
  <c r="BI268" i="5"/>
  <c r="BH268" i="5"/>
  <c r="BA268" i="5"/>
  <c r="AZ268" i="5"/>
  <c r="AY268" i="5"/>
  <c r="AX268" i="5"/>
  <c r="AW268" i="5"/>
  <c r="AV268" i="5"/>
  <c r="AU268" i="5"/>
  <c r="AT268" i="5"/>
  <c r="AS268" i="5"/>
  <c r="X268" i="5"/>
  <c r="V268" i="5"/>
  <c r="AQ268" i="5"/>
  <c r="N268" i="5"/>
  <c r="BJ267" i="5"/>
  <c r="BI267" i="5"/>
  <c r="BH267" i="5"/>
  <c r="BA267" i="5"/>
  <c r="AZ267" i="5"/>
  <c r="AY267" i="5"/>
  <c r="AX267" i="5"/>
  <c r="AW267" i="5"/>
  <c r="AV267" i="5"/>
  <c r="AU267" i="5"/>
  <c r="AT267" i="5"/>
  <c r="AS267" i="5"/>
  <c r="X267" i="5"/>
  <c r="V267" i="5"/>
  <c r="AQ267" i="5"/>
  <c r="AO267" i="5"/>
  <c r="AN267" i="5"/>
  <c r="N267" i="5"/>
  <c r="BJ266" i="5"/>
  <c r="BI266" i="5"/>
  <c r="BH266" i="5"/>
  <c r="BA266" i="5"/>
  <c r="AZ266" i="5"/>
  <c r="AY266" i="5"/>
  <c r="AX266" i="5"/>
  <c r="AW266" i="5"/>
  <c r="AV266" i="5"/>
  <c r="AU266" i="5"/>
  <c r="AT266" i="5"/>
  <c r="AS266" i="5"/>
  <c r="X266" i="5"/>
  <c r="V266" i="5"/>
  <c r="AQ266" i="5"/>
  <c r="AI266" i="5"/>
  <c r="AN266" i="5"/>
  <c r="N266" i="5"/>
  <c r="BJ265" i="5"/>
  <c r="BI265" i="5"/>
  <c r="BH265" i="5"/>
  <c r="BA265" i="5"/>
  <c r="AZ265" i="5"/>
  <c r="AY265" i="5"/>
  <c r="AX265" i="5"/>
  <c r="AW265" i="5"/>
  <c r="AV265" i="5"/>
  <c r="AU265" i="5"/>
  <c r="AT265" i="5"/>
  <c r="AS265" i="5"/>
  <c r="X265" i="5"/>
  <c r="V265" i="5"/>
  <c r="AK265" i="5" s="1"/>
  <c r="AI265" i="5"/>
  <c r="BF265" i="5"/>
  <c r="N265" i="5"/>
  <c r="V262" i="5"/>
  <c r="V261" i="5"/>
  <c r="V260" i="5"/>
  <c r="AQ260" i="5"/>
  <c r="V259" i="5"/>
  <c r="V258" i="5"/>
  <c r="X257" i="5"/>
  <c r="V257" i="5"/>
  <c r="AK257" i="5" s="1"/>
  <c r="AK271" i="5" s="1"/>
  <c r="V256" i="5"/>
  <c r="AK256" i="5" s="1"/>
  <c r="V255" i="5"/>
  <c r="V254" i="5"/>
  <c r="AK254" i="5" s="1"/>
  <c r="V253" i="5"/>
  <c r="AQ253" i="5"/>
  <c r="X253" i="5"/>
  <c r="V252" i="5"/>
  <c r="AK252" i="5"/>
  <c r="V251" i="5"/>
  <c r="AK251" i="5"/>
  <c r="V250" i="5"/>
  <c r="AK250" i="5" s="1"/>
  <c r="BD243" i="5"/>
  <c r="BC243" i="5"/>
  <c r="BB243" i="5"/>
  <c r="BJ241" i="5"/>
  <c r="BI241" i="5"/>
  <c r="BH241" i="5"/>
  <c r="BA241" i="5"/>
  <c r="AZ241" i="5"/>
  <c r="AY241" i="5"/>
  <c r="AX241" i="5"/>
  <c r="AW241" i="5"/>
  <c r="AV241" i="5"/>
  <c r="AU241" i="5"/>
  <c r="AT241" i="5"/>
  <c r="AS241" i="5"/>
  <c r="X241" i="5"/>
  <c r="U241" i="5"/>
  <c r="AM241" i="5"/>
  <c r="BJ240" i="5"/>
  <c r="BI240" i="5"/>
  <c r="BH240" i="5"/>
  <c r="BA240" i="5"/>
  <c r="AZ240" i="5"/>
  <c r="AY240" i="5"/>
  <c r="AX240" i="5"/>
  <c r="AW240" i="5"/>
  <c r="AV240" i="5"/>
  <c r="AU240" i="5"/>
  <c r="AT240" i="5"/>
  <c r="AS240" i="5"/>
  <c r="X240" i="5"/>
  <c r="U240" i="5"/>
  <c r="AQ240" i="5"/>
  <c r="AI240" i="5"/>
  <c r="AN240" i="5"/>
  <c r="BJ239" i="5"/>
  <c r="BI239" i="5"/>
  <c r="BH239" i="5"/>
  <c r="BA239" i="5"/>
  <c r="AZ239" i="5"/>
  <c r="AY239" i="5"/>
  <c r="AX239" i="5"/>
  <c r="AW239" i="5"/>
  <c r="AV239" i="5"/>
  <c r="AU239" i="5"/>
  <c r="AT239" i="5"/>
  <c r="AS239" i="5"/>
  <c r="X239" i="5"/>
  <c r="U239" i="5"/>
  <c r="AO239" i="5"/>
  <c r="BJ238" i="5"/>
  <c r="BI238" i="5"/>
  <c r="BH238" i="5"/>
  <c r="BA238" i="5"/>
  <c r="AZ238" i="5"/>
  <c r="AY238" i="5"/>
  <c r="AX238" i="5"/>
  <c r="AW238" i="5"/>
  <c r="AV238" i="5"/>
  <c r="AU238" i="5"/>
  <c r="AT238" i="5"/>
  <c r="AS238" i="5"/>
  <c r="X238" i="5"/>
  <c r="U238" i="5"/>
  <c r="AQ238" i="5"/>
  <c r="BG238" i="5"/>
  <c r="AN238" i="5"/>
  <c r="BJ237" i="5"/>
  <c r="BI237" i="5"/>
  <c r="BH237" i="5"/>
  <c r="BA237" i="5"/>
  <c r="AZ237" i="5"/>
  <c r="AY237" i="5"/>
  <c r="AX237" i="5"/>
  <c r="AW237" i="5"/>
  <c r="AV237" i="5"/>
  <c r="AU237" i="5"/>
  <c r="AT237" i="5"/>
  <c r="AS237" i="5"/>
  <c r="X237" i="5"/>
  <c r="U237" i="5"/>
  <c r="AQ237" i="5"/>
  <c r="AN237" i="5"/>
  <c r="AG237" i="5"/>
  <c r="X234" i="5"/>
  <c r="U234" i="5"/>
  <c r="AQ234" i="5" s="1"/>
  <c r="N234" i="5"/>
  <c r="BE234" i="5"/>
  <c r="X233" i="5"/>
  <c r="U233" i="5"/>
  <c r="AK233" i="5"/>
  <c r="N233" i="5"/>
  <c r="X232" i="5"/>
  <c r="N232" i="5"/>
  <c r="AG232" i="5"/>
  <c r="X231" i="5"/>
  <c r="U231" i="5"/>
  <c r="N231" i="5"/>
  <c r="X230" i="5"/>
  <c r="U230" i="5"/>
  <c r="AQ230" i="5"/>
  <c r="N230" i="5"/>
  <c r="AM230" i="5"/>
  <c r="AZ224" i="5"/>
  <c r="AY224" i="5"/>
  <c r="BD222" i="5"/>
  <c r="BC222" i="5"/>
  <c r="AX222" i="5"/>
  <c r="AW222" i="5"/>
  <c r="AV222" i="5"/>
  <c r="AU222" i="5"/>
  <c r="AT222" i="5"/>
  <c r="AS222" i="5"/>
  <c r="X222" i="5"/>
  <c r="BD221" i="5"/>
  <c r="BC221" i="5"/>
  <c r="AX221" i="5"/>
  <c r="AW221" i="5"/>
  <c r="AV221" i="5"/>
  <c r="AU221" i="5"/>
  <c r="AT221" i="5"/>
  <c r="AS221" i="5"/>
  <c r="X221" i="5"/>
  <c r="BD219" i="5"/>
  <c r="BC219" i="5"/>
  <c r="AX219" i="5"/>
  <c r="AW219" i="5"/>
  <c r="AV219" i="5"/>
  <c r="AU219" i="5"/>
  <c r="AT219" i="5"/>
  <c r="AS219" i="5"/>
  <c r="X219" i="5"/>
  <c r="BD218" i="5"/>
  <c r="BC218" i="5"/>
  <c r="AX218" i="5"/>
  <c r="AW218" i="5"/>
  <c r="AV218" i="5"/>
  <c r="AU218" i="5"/>
  <c r="AT218" i="5"/>
  <c r="AS218" i="5"/>
  <c r="X218" i="5"/>
  <c r="BD217" i="5"/>
  <c r="BC217" i="5"/>
  <c r="AX217" i="5"/>
  <c r="AW217" i="5"/>
  <c r="AV217" i="5"/>
  <c r="AU217" i="5"/>
  <c r="AT217" i="5"/>
  <c r="AS217" i="5"/>
  <c r="X217" i="5"/>
  <c r="O386" i="5"/>
  <c r="AJ386" i="5"/>
  <c r="O587" i="5"/>
  <c r="AJ587" i="5" s="1"/>
  <c r="N301" i="5"/>
  <c r="AQ301" i="5"/>
  <c r="U432" i="5"/>
  <c r="N503" i="5"/>
  <c r="O597" i="5"/>
  <c r="AO597" i="5"/>
  <c r="O577" i="5"/>
  <c r="AJ577" i="5" s="1"/>
  <c r="R479" i="5"/>
  <c r="AK479" i="5"/>
  <c r="O396" i="5"/>
  <c r="AO396" i="5" s="1"/>
  <c r="O376" i="5"/>
  <c r="AO376" i="5" s="1"/>
  <c r="AO379" i="5" s="1"/>
  <c r="R278" i="5"/>
  <c r="AQ278" i="5" s="1"/>
  <c r="U232" i="5"/>
  <c r="AK232" i="5"/>
  <c r="O366" i="5"/>
  <c r="AJ366" i="5" s="1"/>
  <c r="O567" i="5"/>
  <c r="AJ567" i="5"/>
  <c r="V249" i="5"/>
  <c r="AQ249" i="5"/>
  <c r="V454" i="5"/>
  <c r="AK454" i="5"/>
  <c r="L33" i="3"/>
  <c r="L34" i="3"/>
  <c r="L35" i="3"/>
  <c r="L36" i="3"/>
  <c r="L37" i="3"/>
  <c r="L32" i="3"/>
  <c r="Y33" i="3"/>
  <c r="Y36" i="3"/>
  <c r="E32" i="3"/>
  <c r="H156" i="2"/>
  <c r="J156" i="2"/>
  <c r="M156" i="2" s="1"/>
  <c r="D156" i="2" s="1"/>
  <c r="AC158" i="2"/>
  <c r="AA158" i="2"/>
  <c r="Z158" i="2"/>
  <c r="X158" i="2"/>
  <c r="O156" i="2"/>
  <c r="D165" i="9"/>
  <c r="D85" i="9"/>
  <c r="D188" i="7"/>
  <c r="C2175" i="62906"/>
  <c r="AN352" i="62898"/>
  <c r="AN351" i="62898"/>
  <c r="AN245" i="62898"/>
  <c r="AN246" i="62898"/>
  <c r="AN244" i="62898"/>
  <c r="X98" i="5"/>
  <c r="AT74" i="1"/>
  <c r="AS75" i="1"/>
  <c r="O441" i="62911"/>
  <c r="O442" i="62911"/>
  <c r="O443" i="62911"/>
  <c r="O444" i="62911"/>
  <c r="O445" i="62911"/>
  <c r="O446" i="62911"/>
  <c r="O447" i="62911"/>
  <c r="O448" i="62911"/>
  <c r="O449" i="62911"/>
  <c r="O450" i="62911"/>
  <c r="O451" i="62911"/>
  <c r="O452" i="62911"/>
  <c r="O453" i="62911"/>
  <c r="O454" i="62911"/>
  <c r="O455" i="62911"/>
  <c r="O456" i="62911"/>
  <c r="O457" i="62911"/>
  <c r="O458" i="62911"/>
  <c r="O459" i="62911"/>
  <c r="O460" i="62911"/>
  <c r="O461" i="62911"/>
  <c r="O462" i="62911"/>
  <c r="O463" i="62911"/>
  <c r="O464" i="62911"/>
  <c r="O465" i="62911"/>
  <c r="O466" i="62911"/>
  <c r="O467" i="62911"/>
  <c r="O468" i="62911"/>
  <c r="O469" i="62911"/>
  <c r="O470" i="62911"/>
  <c r="O471" i="62911"/>
  <c r="O472" i="62911"/>
  <c r="O473" i="62911"/>
  <c r="O474" i="62911"/>
  <c r="O475" i="62911"/>
  <c r="O476" i="62911"/>
  <c r="O477" i="62911"/>
  <c r="O478" i="62911"/>
  <c r="O479" i="62911"/>
  <c r="O480" i="62911"/>
  <c r="O481" i="62911"/>
  <c r="O482" i="62911"/>
  <c r="O483" i="62911"/>
  <c r="O484" i="62911"/>
  <c r="O485" i="62911"/>
  <c r="O486" i="62911"/>
  <c r="O487" i="62911"/>
  <c r="O488" i="62911"/>
  <c r="O489" i="62911"/>
  <c r="O490" i="62911"/>
  <c r="O491" i="62911"/>
  <c r="O492" i="62911"/>
  <c r="O493" i="62911"/>
  <c r="O494" i="62911"/>
  <c r="O495" i="62911"/>
  <c r="O496" i="62911"/>
  <c r="O497" i="62911"/>
  <c r="O498" i="62911"/>
  <c r="O499" i="62911"/>
  <c r="O500" i="62911"/>
  <c r="O501" i="62911"/>
  <c r="O502" i="62911"/>
  <c r="O503" i="62911"/>
  <c r="O504" i="62911"/>
  <c r="O505" i="62911"/>
  <c r="O506" i="62911"/>
  <c r="O507" i="62911"/>
  <c r="O508" i="62911"/>
  <c r="O509" i="62911"/>
  <c r="O510" i="62911"/>
  <c r="O440" i="62911"/>
  <c r="O439" i="62911"/>
  <c r="S548" i="62911"/>
  <c r="E976" i="62906"/>
  <c r="C1900" i="62906"/>
  <c r="C1901" i="62906"/>
  <c r="C1902" i="62906"/>
  <c r="D1900" i="62906"/>
  <c r="D1901" i="62906"/>
  <c r="D1902" i="62906"/>
  <c r="D1899" i="62906"/>
  <c r="C1899" i="62906"/>
  <c r="Y61" i="2"/>
  <c r="Z50" i="2"/>
  <c r="AC60" i="2"/>
  <c r="J1799" i="62906"/>
  <c r="J1812" i="62906"/>
  <c r="J1800" i="62906"/>
  <c r="J1790" i="62906"/>
  <c r="J1798" i="62906"/>
  <c r="J1791" i="62906"/>
  <c r="J1792" i="62906"/>
  <c r="J1793" i="62906"/>
  <c r="J1794" i="62906"/>
  <c r="J1795" i="62906"/>
  <c r="J1813" i="62906"/>
  <c r="J1807" i="62906"/>
  <c r="J1810" i="62906"/>
  <c r="J1808" i="62906"/>
  <c r="J1804" i="62906"/>
  <c r="J1816" i="62906"/>
  <c r="J1797" i="62906"/>
  <c r="J1802" i="62906"/>
  <c r="J1803" i="62906"/>
  <c r="J1789" i="62906"/>
  <c r="J1815" i="62906"/>
  <c r="J1809" i="62906"/>
  <c r="J1805" i="62906"/>
  <c r="J1806" i="62906"/>
  <c r="J1814" i="62906"/>
  <c r="AR78" i="1"/>
  <c r="AQ78" i="1"/>
  <c r="AK78" i="1"/>
  <c r="AM78" i="1"/>
  <c r="AU78" i="1"/>
  <c r="AP78" i="1"/>
  <c r="AV78" i="1"/>
  <c r="AO78" i="1"/>
  <c r="AL78" i="1"/>
  <c r="AN78" i="1"/>
  <c r="V62" i="62904"/>
  <c r="E225" i="9"/>
  <c r="E165" i="9"/>
  <c r="E85" i="9"/>
  <c r="E188" i="7"/>
  <c r="G165" i="9"/>
  <c r="G167" i="9" s="1"/>
  <c r="H225" i="9"/>
  <c r="H227" i="9" s="1"/>
  <c r="BB98" i="9"/>
  <c r="BA98" i="9"/>
  <c r="AV98" i="9"/>
  <c r="AU98" i="9"/>
  <c r="AT98" i="9"/>
  <c r="AS98" i="9"/>
  <c r="AR98" i="9"/>
  <c r="AQ98" i="9"/>
  <c r="BB97" i="9"/>
  <c r="BA97" i="9"/>
  <c r="AV97" i="9"/>
  <c r="AU97" i="9"/>
  <c r="AT97" i="9"/>
  <c r="AS97" i="9"/>
  <c r="AR97" i="9"/>
  <c r="AQ97" i="9"/>
  <c r="BB96" i="9"/>
  <c r="BA96" i="9"/>
  <c r="AV96" i="9"/>
  <c r="AU96" i="9"/>
  <c r="AT96" i="9"/>
  <c r="AS96" i="9"/>
  <c r="AR96" i="9"/>
  <c r="AQ96" i="9"/>
  <c r="AQ27" i="9"/>
  <c r="AR27" i="9"/>
  <c r="AS27" i="9"/>
  <c r="AT27" i="9"/>
  <c r="AU27" i="9"/>
  <c r="AV27" i="9"/>
  <c r="AQ28" i="9"/>
  <c r="AR28" i="9"/>
  <c r="AS28" i="9"/>
  <c r="AT28" i="9"/>
  <c r="AU28" i="9"/>
  <c r="AV28" i="9"/>
  <c r="BA27" i="9"/>
  <c r="BB27" i="9"/>
  <c r="BA28" i="9"/>
  <c r="BB28" i="9"/>
  <c r="BB26" i="9"/>
  <c r="BA26" i="9"/>
  <c r="K668" i="5"/>
  <c r="J668" i="5"/>
  <c r="I668" i="5"/>
  <c r="H668" i="5"/>
  <c r="H659" i="5"/>
  <c r="I659" i="5"/>
  <c r="J659" i="5"/>
  <c r="K659" i="5"/>
  <c r="I196" i="9"/>
  <c r="AG196" i="9"/>
  <c r="K136" i="3"/>
  <c r="K26" i="62914" s="1"/>
  <c r="W26" i="62914" s="1"/>
  <c r="G548" i="62911"/>
  <c r="E548" i="62911"/>
  <c r="K547" i="62911"/>
  <c r="I547" i="62911"/>
  <c r="G547" i="62911"/>
  <c r="E547" i="62911"/>
  <c r="K546" i="62911"/>
  <c r="I546" i="62911"/>
  <c r="G546" i="62911"/>
  <c r="E546" i="62911"/>
  <c r="C547" i="62911"/>
  <c r="C546" i="62911"/>
  <c r="D29" i="62908"/>
  <c r="B383" i="62913"/>
  <c r="G62" i="62914"/>
  <c r="O184" i="62905"/>
  <c r="O164" i="62905"/>
  <c r="M164" i="62905"/>
  <c r="L164" i="62905"/>
  <c r="K164" i="62905"/>
  <c r="J164" i="62905"/>
  <c r="I164" i="62905"/>
  <c r="H164" i="62905"/>
  <c r="G164" i="62905"/>
  <c r="F164" i="62905"/>
  <c r="E164" i="62905"/>
  <c r="O161" i="62905"/>
  <c r="M161" i="62905"/>
  <c r="L161" i="62905"/>
  <c r="K161" i="62905"/>
  <c r="J161" i="62905"/>
  <c r="I161" i="62905"/>
  <c r="H161" i="62905"/>
  <c r="G161" i="62905"/>
  <c r="F161" i="62905"/>
  <c r="E161" i="62905"/>
  <c r="O151" i="62904"/>
  <c r="O131" i="62904"/>
  <c r="M131" i="62904"/>
  <c r="L131" i="62904"/>
  <c r="K131" i="62904"/>
  <c r="J131" i="62904"/>
  <c r="I131" i="62904"/>
  <c r="H131" i="62904"/>
  <c r="G131" i="62904"/>
  <c r="F131" i="62904"/>
  <c r="E131" i="62904"/>
  <c r="O128" i="62904"/>
  <c r="M128" i="62904"/>
  <c r="L128" i="62904"/>
  <c r="K128" i="62904"/>
  <c r="J128" i="62904"/>
  <c r="I128" i="62904"/>
  <c r="H128" i="62904"/>
  <c r="G128" i="62904"/>
  <c r="F128" i="62904"/>
  <c r="E128" i="62904"/>
  <c r="O301" i="9"/>
  <c r="K301" i="9"/>
  <c r="J301" i="9"/>
  <c r="I301" i="9"/>
  <c r="H301" i="9"/>
  <c r="O281" i="9"/>
  <c r="M281" i="9"/>
  <c r="L281" i="9"/>
  <c r="K281" i="9"/>
  <c r="J281" i="9"/>
  <c r="I281" i="9"/>
  <c r="H281" i="9"/>
  <c r="G281" i="9"/>
  <c r="F281" i="9"/>
  <c r="E281" i="9"/>
  <c r="O278" i="9"/>
  <c r="K278" i="9"/>
  <c r="J278" i="9"/>
  <c r="I278" i="9"/>
  <c r="H278" i="9"/>
  <c r="O196" i="2"/>
  <c r="M196" i="2"/>
  <c r="L196" i="2"/>
  <c r="K196" i="2"/>
  <c r="J196" i="2"/>
  <c r="I196" i="2"/>
  <c r="H196" i="2"/>
  <c r="G196" i="2"/>
  <c r="F196" i="2"/>
  <c r="E196" i="2"/>
  <c r="O193" i="2"/>
  <c r="M193" i="2"/>
  <c r="L193" i="2"/>
  <c r="K193" i="2"/>
  <c r="J193" i="2"/>
  <c r="I193" i="2"/>
  <c r="H193" i="2"/>
  <c r="G193" i="2"/>
  <c r="F193" i="2"/>
  <c r="E193" i="2"/>
  <c r="O442" i="62898"/>
  <c r="K442" i="62898"/>
  <c r="J442" i="62898"/>
  <c r="I442" i="62898"/>
  <c r="H442" i="62898"/>
  <c r="O422" i="62898"/>
  <c r="K422" i="62898"/>
  <c r="J422" i="62898"/>
  <c r="I422" i="62898"/>
  <c r="H422" i="62898"/>
  <c r="O419" i="62898"/>
  <c r="K419" i="62898"/>
  <c r="J419" i="62898"/>
  <c r="I419" i="62898"/>
  <c r="H419" i="62898"/>
  <c r="O654" i="5"/>
  <c r="K654" i="5"/>
  <c r="J654" i="5"/>
  <c r="I654" i="5"/>
  <c r="H654" i="5"/>
  <c r="O651" i="5"/>
  <c r="K651" i="5"/>
  <c r="J651" i="5"/>
  <c r="I651" i="5"/>
  <c r="H651" i="5"/>
  <c r="K145" i="11"/>
  <c r="J145" i="11"/>
  <c r="I145" i="11"/>
  <c r="H145" i="11"/>
  <c r="O125" i="11"/>
  <c r="M125" i="11"/>
  <c r="L125" i="11"/>
  <c r="K125" i="11"/>
  <c r="J125" i="11"/>
  <c r="I125" i="11"/>
  <c r="H125" i="11"/>
  <c r="G125" i="11"/>
  <c r="F125" i="11"/>
  <c r="E125" i="11"/>
  <c r="O122" i="11"/>
  <c r="M122" i="11"/>
  <c r="L122" i="11"/>
  <c r="K122" i="11"/>
  <c r="J122" i="11"/>
  <c r="I122" i="11"/>
  <c r="H122" i="11"/>
  <c r="G122" i="11"/>
  <c r="F122" i="11"/>
  <c r="E122" i="11"/>
  <c r="O246" i="7"/>
  <c r="K246" i="7"/>
  <c r="J246" i="7"/>
  <c r="I246" i="7"/>
  <c r="H246" i="7"/>
  <c r="O226" i="7"/>
  <c r="M226" i="7"/>
  <c r="L226" i="7"/>
  <c r="K226" i="7"/>
  <c r="J226" i="7"/>
  <c r="I226" i="7"/>
  <c r="H226" i="7"/>
  <c r="G226" i="7"/>
  <c r="F226" i="7"/>
  <c r="E226" i="7"/>
  <c r="O223" i="7"/>
  <c r="M223" i="7"/>
  <c r="L223" i="7"/>
  <c r="K223" i="7"/>
  <c r="J223" i="7"/>
  <c r="I223" i="7"/>
  <c r="H223" i="7"/>
  <c r="G223" i="7"/>
  <c r="F223" i="7"/>
  <c r="E223" i="7"/>
  <c r="O147" i="3"/>
  <c r="O127" i="3"/>
  <c r="M127" i="3"/>
  <c r="L127" i="3"/>
  <c r="K127" i="3"/>
  <c r="J127" i="3"/>
  <c r="I127" i="3"/>
  <c r="H127" i="3"/>
  <c r="G127" i="3"/>
  <c r="F127" i="3"/>
  <c r="E127" i="3"/>
  <c r="O124" i="3"/>
  <c r="E63" i="62914"/>
  <c r="G63" i="62914"/>
  <c r="H63" i="62914"/>
  <c r="F63" i="62914"/>
  <c r="AN124" i="62905"/>
  <c r="AP111" i="62905"/>
  <c r="AM111" i="62905"/>
  <c r="AL111" i="62905"/>
  <c r="AK111" i="62905"/>
  <c r="AP101" i="62905"/>
  <c r="AN83" i="62905"/>
  <c r="AN73" i="62905"/>
  <c r="AN63" i="62905"/>
  <c r="AN52" i="62905"/>
  <c r="AN41" i="62905"/>
  <c r="AR27" i="62905"/>
  <c r="AQ27" i="62905"/>
  <c r="AR17" i="62905"/>
  <c r="AQ17" i="62905"/>
  <c r="AP103" i="62904"/>
  <c r="AM103" i="62904"/>
  <c r="AL103" i="62904"/>
  <c r="AK103" i="62904"/>
  <c r="AP93" i="62904"/>
  <c r="AP75" i="62904"/>
  <c r="AN75" i="62904"/>
  <c r="AM75" i="62904"/>
  <c r="AL75" i="62904"/>
  <c r="AK75" i="62904"/>
  <c r="AP53" i="62904"/>
  <c r="AN53" i="62904"/>
  <c r="AM53" i="62904"/>
  <c r="AL53" i="62904"/>
  <c r="AK53" i="62904"/>
  <c r="AP43" i="62904"/>
  <c r="AN43" i="62904"/>
  <c r="AM43" i="62904"/>
  <c r="AL43" i="62904"/>
  <c r="AK43" i="62904"/>
  <c r="AR30" i="62904"/>
  <c r="AQ30" i="62904"/>
  <c r="AR20" i="62904"/>
  <c r="AQ20" i="62904"/>
  <c r="AV250" i="9"/>
  <c r="AT250" i="9"/>
  <c r="AS250" i="9"/>
  <c r="AR250" i="9"/>
  <c r="AQ250" i="9"/>
  <c r="AV242" i="9"/>
  <c r="AT242" i="9"/>
  <c r="AS242" i="9"/>
  <c r="AR242" i="9"/>
  <c r="AQ242" i="9"/>
  <c r="AV220" i="9"/>
  <c r="AT220" i="9"/>
  <c r="AS220" i="9"/>
  <c r="AR220" i="9"/>
  <c r="AQ220" i="9"/>
  <c r="AV210" i="9"/>
  <c r="AT210" i="9"/>
  <c r="AS210" i="9"/>
  <c r="AR210" i="9"/>
  <c r="AQ210" i="9"/>
  <c r="AV200" i="9"/>
  <c r="AT200" i="9"/>
  <c r="AS200" i="9"/>
  <c r="AR200" i="9"/>
  <c r="AQ200" i="9"/>
  <c r="AV190" i="9"/>
  <c r="AT190" i="9"/>
  <c r="AS190" i="9"/>
  <c r="AR190" i="9"/>
  <c r="AQ190" i="9"/>
  <c r="AV180" i="9"/>
  <c r="AT180" i="9"/>
  <c r="AS180" i="9"/>
  <c r="AR180" i="9"/>
  <c r="AQ180" i="9"/>
  <c r="AV160" i="9"/>
  <c r="AT160" i="9"/>
  <c r="AS160" i="9"/>
  <c r="AR160" i="9"/>
  <c r="AQ160" i="9"/>
  <c r="AV150" i="9"/>
  <c r="AT150" i="9"/>
  <c r="AS150" i="9"/>
  <c r="AR150" i="9"/>
  <c r="AQ150" i="9"/>
  <c r="AV140" i="9"/>
  <c r="AT140" i="9"/>
  <c r="AS140" i="9"/>
  <c r="AR140" i="9"/>
  <c r="AQ140" i="9"/>
  <c r="AV130" i="9"/>
  <c r="AT130" i="9"/>
  <c r="AS130" i="9"/>
  <c r="AR130" i="9"/>
  <c r="AQ130" i="9"/>
  <c r="AV120" i="9"/>
  <c r="AT120" i="9"/>
  <c r="AS120" i="9"/>
  <c r="AR120" i="9"/>
  <c r="AQ120" i="9"/>
  <c r="AV110" i="9"/>
  <c r="AT110" i="9"/>
  <c r="AS110" i="9"/>
  <c r="AR110" i="9"/>
  <c r="AQ110" i="9"/>
  <c r="AX100" i="9"/>
  <c r="AW100" i="9"/>
  <c r="AV80" i="9"/>
  <c r="AT80" i="9"/>
  <c r="AS80" i="9"/>
  <c r="AR80" i="9"/>
  <c r="AQ80" i="9"/>
  <c r="AV70" i="9"/>
  <c r="AT70" i="9"/>
  <c r="AS70" i="9"/>
  <c r="AR70" i="9"/>
  <c r="AQ70" i="9"/>
  <c r="AV60" i="9"/>
  <c r="AT60" i="9"/>
  <c r="AS60" i="9"/>
  <c r="AR60" i="9"/>
  <c r="AQ60" i="9"/>
  <c r="AV50" i="9"/>
  <c r="AT50" i="9"/>
  <c r="AS50" i="9"/>
  <c r="AR50" i="9"/>
  <c r="AQ50" i="9"/>
  <c r="AV40" i="9"/>
  <c r="AT40" i="9"/>
  <c r="AS40" i="9"/>
  <c r="AR40" i="9"/>
  <c r="AQ40" i="9"/>
  <c r="AX30" i="9"/>
  <c r="AW30" i="9"/>
  <c r="AV20" i="9"/>
  <c r="AT20" i="9"/>
  <c r="AS20" i="9"/>
  <c r="AR20" i="9"/>
  <c r="AQ20" i="9"/>
  <c r="AA43" i="2"/>
  <c r="AA33" i="2"/>
  <c r="AA21" i="2"/>
  <c r="AV384" i="62898"/>
  <c r="AZ374" i="62898"/>
  <c r="AY374" i="62898"/>
  <c r="BJ364" i="62898"/>
  <c r="BC364" i="62898"/>
  <c r="BB364" i="62898"/>
  <c r="BA364" i="62898"/>
  <c r="AX364" i="62898"/>
  <c r="AU364" i="62898"/>
  <c r="BJ354" i="62898"/>
  <c r="BC354" i="62898"/>
  <c r="BB354" i="62898"/>
  <c r="BA354" i="62898"/>
  <c r="AX354" i="62898"/>
  <c r="AU354" i="62898"/>
  <c r="BD344" i="62898"/>
  <c r="BC344" i="62898"/>
  <c r="BB344" i="62898"/>
  <c r="BD334" i="62898"/>
  <c r="BC334" i="62898"/>
  <c r="BB334" i="62898"/>
  <c r="BD324" i="62898"/>
  <c r="BC324" i="62898"/>
  <c r="BB324" i="62898"/>
  <c r="BJ314" i="62898"/>
  <c r="BI314" i="62898"/>
  <c r="BH314" i="62898"/>
  <c r="BD314" i="62898"/>
  <c r="BC314" i="62898"/>
  <c r="BB314" i="62898"/>
  <c r="BA314" i="62898"/>
  <c r="AZ314" i="62898"/>
  <c r="AY314" i="62898"/>
  <c r="AX314" i="62898"/>
  <c r="AW314" i="62898"/>
  <c r="AV314" i="62898"/>
  <c r="AU314" i="62898"/>
  <c r="AT314" i="62898"/>
  <c r="AS314" i="62898"/>
  <c r="AZ304" i="62898"/>
  <c r="AY304" i="62898"/>
  <c r="AZ286" i="62898"/>
  <c r="AY286" i="62898"/>
  <c r="AZ276" i="62898"/>
  <c r="AY276" i="62898"/>
  <c r="BJ260" i="62898"/>
  <c r="BC260" i="62898"/>
  <c r="BB260" i="62898"/>
  <c r="BA260" i="62898"/>
  <c r="AX260" i="62898"/>
  <c r="AU260" i="62898"/>
  <c r="BJ249" i="62898"/>
  <c r="BC249" i="62898"/>
  <c r="BB249" i="62898"/>
  <c r="BA249" i="62898"/>
  <c r="AX249" i="62898"/>
  <c r="AU249" i="62898"/>
  <c r="BJ238" i="62898"/>
  <c r="BC238" i="62898"/>
  <c r="BB238" i="62898"/>
  <c r="BA238" i="62898"/>
  <c r="AX238" i="62898"/>
  <c r="AU238" i="62898"/>
  <c r="AV225" i="62898"/>
  <c r="AV207" i="62898"/>
  <c r="BD196" i="62898"/>
  <c r="BC196" i="62898"/>
  <c r="BB196" i="62898"/>
  <c r="BD186" i="62898"/>
  <c r="BC186" i="62898"/>
  <c r="BB186" i="62898"/>
  <c r="BD176" i="62898"/>
  <c r="BC176" i="62898"/>
  <c r="BB176" i="62898"/>
  <c r="BJ163" i="62898"/>
  <c r="BI163" i="62898"/>
  <c r="BH163" i="62898"/>
  <c r="BD163" i="62898"/>
  <c r="BC163" i="62898"/>
  <c r="BB163" i="62898"/>
  <c r="BA163" i="62898"/>
  <c r="AZ163" i="62898"/>
  <c r="AY163" i="62898"/>
  <c r="AX163" i="62898"/>
  <c r="AW163" i="62898"/>
  <c r="AV163" i="62898"/>
  <c r="AU163" i="62898"/>
  <c r="AT163" i="62898"/>
  <c r="AS163" i="62898"/>
  <c r="BD153" i="62898"/>
  <c r="BC153" i="62898"/>
  <c r="BB153" i="62898"/>
  <c r="BD143" i="62898"/>
  <c r="BC143" i="62898"/>
  <c r="BB143" i="62898"/>
  <c r="AZ133" i="62898"/>
  <c r="AY133" i="62898"/>
  <c r="AV116" i="62898"/>
  <c r="BD106" i="62898"/>
  <c r="BC106" i="62898"/>
  <c r="BB106" i="62898"/>
  <c r="BD96" i="62898"/>
  <c r="BC96" i="62898"/>
  <c r="BB96" i="62898"/>
  <c r="BD86" i="62898"/>
  <c r="BC86" i="62898"/>
  <c r="BB86" i="62898"/>
  <c r="BD76" i="62898"/>
  <c r="BC76" i="62898"/>
  <c r="BB76" i="62898"/>
  <c r="BD66" i="62898"/>
  <c r="BC66" i="62898"/>
  <c r="BB66" i="62898"/>
  <c r="BD56" i="62898"/>
  <c r="BC56" i="62898"/>
  <c r="BB56" i="62898"/>
  <c r="BJ46" i="62898"/>
  <c r="BI46" i="62898"/>
  <c r="BH46" i="62898"/>
  <c r="BD46" i="62898"/>
  <c r="BC46" i="62898"/>
  <c r="BB46" i="62898"/>
  <c r="BA46" i="62898"/>
  <c r="AZ46" i="62898"/>
  <c r="AY46" i="62898"/>
  <c r="AX46" i="62898"/>
  <c r="AW46" i="62898"/>
  <c r="AV46" i="62898"/>
  <c r="AU46" i="62898"/>
  <c r="AT46" i="62898"/>
  <c r="AS46" i="62898"/>
  <c r="BJ35" i="62898"/>
  <c r="BI35" i="62898"/>
  <c r="BH35" i="62898"/>
  <c r="BD35" i="62898"/>
  <c r="BC35" i="62898"/>
  <c r="BB35" i="62898"/>
  <c r="BA35" i="62898"/>
  <c r="AZ35" i="62898"/>
  <c r="AY35" i="62898"/>
  <c r="AX35" i="62898"/>
  <c r="AW35" i="62898"/>
  <c r="AV35" i="62898"/>
  <c r="AU35" i="62898"/>
  <c r="AT35" i="62898"/>
  <c r="AS35" i="62898"/>
  <c r="AZ24" i="62898"/>
  <c r="AY24" i="62898"/>
  <c r="BD207" i="5"/>
  <c r="BC207" i="5"/>
  <c r="AZ207" i="5"/>
  <c r="AY207" i="5"/>
  <c r="AX207" i="5"/>
  <c r="AW207" i="5"/>
  <c r="AV207" i="5"/>
  <c r="AU207" i="5"/>
  <c r="AT207" i="5"/>
  <c r="AS207" i="5"/>
  <c r="AZ197" i="5"/>
  <c r="AY197" i="5"/>
  <c r="AZ187" i="5"/>
  <c r="AY187" i="5"/>
  <c r="AZ177" i="5"/>
  <c r="AY177" i="5"/>
  <c r="AZ167" i="5"/>
  <c r="AY167" i="5"/>
  <c r="AZ157" i="5"/>
  <c r="AY157" i="5"/>
  <c r="AV141" i="5"/>
  <c r="AZ131" i="5"/>
  <c r="AY131" i="5"/>
  <c r="AV113" i="5"/>
  <c r="BJ102" i="5"/>
  <c r="BC102" i="5"/>
  <c r="BB102" i="5"/>
  <c r="BA102" i="5"/>
  <c r="AX102" i="5"/>
  <c r="AU102" i="5"/>
  <c r="BJ92" i="5"/>
  <c r="BC92" i="5"/>
  <c r="BB92" i="5"/>
  <c r="BA92" i="5"/>
  <c r="AX92" i="5"/>
  <c r="AU92" i="5"/>
  <c r="BD79" i="5"/>
  <c r="BC79" i="5"/>
  <c r="BB79" i="5"/>
  <c r="BD69" i="5"/>
  <c r="BC69" i="5"/>
  <c r="BB69" i="5"/>
  <c r="BD41" i="5"/>
  <c r="BC41" i="5"/>
  <c r="BB41" i="5"/>
  <c r="AZ22" i="5"/>
  <c r="AY22" i="5"/>
  <c r="AN86" i="11"/>
  <c r="AQ73" i="11"/>
  <c r="AN73" i="11"/>
  <c r="AM73" i="11"/>
  <c r="AK73" i="11"/>
  <c r="AI73" i="11"/>
  <c r="AG73" i="11"/>
  <c r="AQ59" i="11"/>
  <c r="AN59" i="11"/>
  <c r="AM59" i="11"/>
  <c r="AK59" i="11"/>
  <c r="AI59" i="11"/>
  <c r="AG59" i="11"/>
  <c r="AQ46" i="11"/>
  <c r="AN46" i="11"/>
  <c r="AM46" i="11"/>
  <c r="AK46" i="11"/>
  <c r="AI46" i="11"/>
  <c r="AG46" i="11"/>
  <c r="AQ32" i="11"/>
  <c r="AN32" i="11"/>
  <c r="AM32" i="11"/>
  <c r="AK32" i="11"/>
  <c r="AI32" i="11"/>
  <c r="AG32" i="11"/>
  <c r="AQ18" i="11"/>
  <c r="AN18" i="11"/>
  <c r="AM18" i="11"/>
  <c r="AK18" i="11"/>
  <c r="AI18" i="11"/>
  <c r="AG18" i="11"/>
  <c r="Z180" i="7"/>
  <c r="X180" i="7"/>
  <c r="W180" i="7"/>
  <c r="V180" i="7"/>
  <c r="U180" i="7"/>
  <c r="Z167" i="7"/>
  <c r="X167" i="7"/>
  <c r="W167" i="7"/>
  <c r="V167" i="7"/>
  <c r="U167" i="7"/>
  <c r="Z154" i="7"/>
  <c r="X154" i="7"/>
  <c r="W154" i="7"/>
  <c r="V154" i="7"/>
  <c r="U154" i="7"/>
  <c r="Z99" i="7"/>
  <c r="X99" i="7"/>
  <c r="W99" i="7"/>
  <c r="V99" i="7"/>
  <c r="U99" i="7"/>
  <c r="Z85" i="7"/>
  <c r="X85" i="7"/>
  <c r="W85" i="7"/>
  <c r="V85" i="7"/>
  <c r="U85" i="7"/>
  <c r="Z74" i="7"/>
  <c r="X74" i="7"/>
  <c r="W74" i="7"/>
  <c r="V74" i="7"/>
  <c r="U74" i="7"/>
  <c r="Z60" i="7"/>
  <c r="X60" i="7"/>
  <c r="W60" i="7"/>
  <c r="V60" i="7"/>
  <c r="U60" i="7"/>
  <c r="Z47" i="7"/>
  <c r="X47" i="7"/>
  <c r="W47" i="7"/>
  <c r="V47" i="7"/>
  <c r="U47" i="7"/>
  <c r="Z33" i="7"/>
  <c r="X33" i="7"/>
  <c r="W33" i="7"/>
  <c r="V33" i="7"/>
  <c r="U33" i="7"/>
  <c r="Z19" i="7"/>
  <c r="X19" i="7"/>
  <c r="W19" i="7"/>
  <c r="V19" i="7"/>
  <c r="U19" i="7"/>
  <c r="Z98" i="3"/>
  <c r="W98" i="3"/>
  <c r="V98" i="3"/>
  <c r="U98" i="3"/>
  <c r="Z85" i="3"/>
  <c r="W85" i="3"/>
  <c r="V85" i="3"/>
  <c r="U85" i="3"/>
  <c r="Z72" i="3"/>
  <c r="X72" i="3"/>
  <c r="W72" i="3"/>
  <c r="Z63" i="3"/>
  <c r="X63" i="3"/>
  <c r="W63" i="3"/>
  <c r="U63" i="3"/>
  <c r="Z47" i="3"/>
  <c r="X47" i="3"/>
  <c r="V47" i="3"/>
  <c r="U47" i="3"/>
  <c r="Z39" i="3"/>
  <c r="X39" i="3"/>
  <c r="V39" i="3"/>
  <c r="U39" i="3"/>
  <c r="Z26" i="3"/>
  <c r="X26" i="3"/>
  <c r="V26" i="3"/>
  <c r="U26" i="3"/>
  <c r="Z15" i="3"/>
  <c r="X15" i="3"/>
  <c r="W15" i="3"/>
  <c r="V15" i="3"/>
  <c r="AP132" i="1"/>
  <c r="AN132" i="1"/>
  <c r="AM132" i="1"/>
  <c r="AL132" i="1"/>
  <c r="AK132" i="1"/>
  <c r="AP101" i="1"/>
  <c r="AN101" i="1"/>
  <c r="AM101" i="1"/>
  <c r="AL101" i="1"/>
  <c r="AK101" i="1"/>
  <c r="AP64" i="1"/>
  <c r="AN64" i="1"/>
  <c r="AM64" i="1"/>
  <c r="AL64" i="1"/>
  <c r="AK64" i="1"/>
  <c r="AP54" i="1"/>
  <c r="AN54" i="1"/>
  <c r="AM54" i="1"/>
  <c r="AL54" i="1"/>
  <c r="AK54" i="1"/>
  <c r="AR41" i="1"/>
  <c r="AQ41" i="1"/>
  <c r="AR30" i="1"/>
  <c r="AQ30" i="1"/>
  <c r="AR20" i="1"/>
  <c r="AQ20" i="1"/>
  <c r="AA54" i="2"/>
  <c r="AA64" i="2"/>
  <c r="AA74" i="2"/>
  <c r="AA84" i="2"/>
  <c r="AA96" i="2"/>
  <c r="AA109" i="2"/>
  <c r="AC124" i="2"/>
  <c r="AC134" i="2"/>
  <c r="Z134" i="2"/>
  <c r="Y134" i="2"/>
  <c r="X134" i="2"/>
  <c r="V95" i="62905"/>
  <c r="X95" i="62905" s="1"/>
  <c r="V93" i="62905"/>
  <c r="V92" i="62905"/>
  <c r="V87" i="62904"/>
  <c r="V85" i="62904"/>
  <c r="V84" i="62904"/>
  <c r="O152" i="2"/>
  <c r="O118" i="2"/>
  <c r="O116" i="2"/>
  <c r="O115" i="2"/>
  <c r="L45" i="3"/>
  <c r="L13" i="3"/>
  <c r="V39" i="1"/>
  <c r="V38" i="1"/>
  <c r="V37" i="1"/>
  <c r="V36" i="1"/>
  <c r="AS64" i="5"/>
  <c r="AT64" i="5"/>
  <c r="AU64" i="5"/>
  <c r="AV64" i="5"/>
  <c r="AW64" i="5"/>
  <c r="AX64" i="5"/>
  <c r="AY64" i="5"/>
  <c r="G707" i="5"/>
  <c r="AZ64" i="5"/>
  <c r="G670" i="5"/>
  <c r="BA64" i="5"/>
  <c r="AS65" i="5"/>
  <c r="AT65" i="5"/>
  <c r="AU65" i="5"/>
  <c r="AV65" i="5"/>
  <c r="AW65" i="5"/>
  <c r="AX65" i="5"/>
  <c r="AY65" i="5"/>
  <c r="AZ65" i="5"/>
  <c r="BA65" i="5"/>
  <c r="AS66" i="5"/>
  <c r="AT66" i="5"/>
  <c r="AU66" i="5"/>
  <c r="AV66" i="5"/>
  <c r="AW66" i="5"/>
  <c r="AX66" i="5"/>
  <c r="AY66" i="5"/>
  <c r="AZ66" i="5"/>
  <c r="BA66" i="5"/>
  <c r="AS67" i="5"/>
  <c r="AT67" i="5"/>
  <c r="AU67" i="5"/>
  <c r="AV67" i="5"/>
  <c r="AW67" i="5"/>
  <c r="AX67" i="5"/>
  <c r="AY67" i="5"/>
  <c r="AZ67" i="5"/>
  <c r="BA67" i="5"/>
  <c r="BA63" i="5"/>
  <c r="AZ63" i="5"/>
  <c r="AY63" i="5"/>
  <c r="AX63" i="5"/>
  <c r="AW63" i="5"/>
  <c r="AV63" i="5"/>
  <c r="AU63" i="5"/>
  <c r="AU69" i="5" s="1"/>
  <c r="AT63" i="5"/>
  <c r="AS63" i="5"/>
  <c r="E540" i="62911"/>
  <c r="E549" i="62911"/>
  <c r="BJ67" i="5"/>
  <c r="BI67" i="5"/>
  <c r="BH67" i="5"/>
  <c r="BJ66" i="5"/>
  <c r="BI66" i="5"/>
  <c r="BH66" i="5"/>
  <c r="BJ65" i="5"/>
  <c r="BI65" i="5"/>
  <c r="BH65" i="5"/>
  <c r="BJ64" i="5"/>
  <c r="BI64" i="5"/>
  <c r="M670" i="5"/>
  <c r="BH64" i="5"/>
  <c r="BJ63" i="5"/>
  <c r="BI63" i="5"/>
  <c r="BH63" i="5"/>
  <c r="BH69" i="5" s="1"/>
  <c r="AM64" i="5"/>
  <c r="AM65" i="5"/>
  <c r="AH65" i="5"/>
  <c r="BE66" i="5"/>
  <c r="BF66" i="5"/>
  <c r="AI66" i="5"/>
  <c r="AO63" i="5"/>
  <c r="AN63" i="5"/>
  <c r="F119" i="5"/>
  <c r="R61" i="3"/>
  <c r="R60" i="3"/>
  <c r="R59" i="3"/>
  <c r="R58" i="3"/>
  <c r="R57" i="3"/>
  <c r="R56" i="3"/>
  <c r="P61" i="3"/>
  <c r="P60" i="3"/>
  <c r="P59" i="3"/>
  <c r="P58" i="3"/>
  <c r="P57" i="3"/>
  <c r="P56" i="3"/>
  <c r="M61" i="3"/>
  <c r="M60" i="3"/>
  <c r="M59" i="3"/>
  <c r="M58" i="3"/>
  <c r="M57" i="3"/>
  <c r="M56" i="3"/>
  <c r="F61" i="3"/>
  <c r="F58" i="3"/>
  <c r="F59" i="3"/>
  <c r="F60" i="3"/>
  <c r="E89" i="62911"/>
  <c r="E90" i="62911"/>
  <c r="E91" i="62911"/>
  <c r="E92" i="62911"/>
  <c r="E93" i="62911"/>
  <c r="E94" i="62911"/>
  <c r="E95" i="62911"/>
  <c r="E96" i="62911"/>
  <c r="E97" i="62911"/>
  <c r="E98" i="62911"/>
  <c r="E99" i="62911"/>
  <c r="E100" i="62911"/>
  <c r="E101" i="62911"/>
  <c r="E102" i="62911"/>
  <c r="E103" i="62911"/>
  <c r="E104" i="62911"/>
  <c r="E105" i="62911"/>
  <c r="E106" i="62911"/>
  <c r="E88" i="62911"/>
  <c r="X119" i="5"/>
  <c r="E981" i="62906"/>
  <c r="F981" i="62906"/>
  <c r="E975" i="62906"/>
  <c r="F975" i="62906"/>
  <c r="Q348" i="62911"/>
  <c r="Q347" i="62911"/>
  <c r="Q346" i="62911"/>
  <c r="Q345" i="62911"/>
  <c r="Q344" i="62911"/>
  <c r="Q343" i="62911"/>
  <c r="Q342" i="62911"/>
  <c r="Q341" i="62911"/>
  <c r="Q340" i="62911"/>
  <c r="Q339" i="62911"/>
  <c r="Q338" i="62911"/>
  <c r="Q337" i="62911"/>
  <c r="Q336" i="62911"/>
  <c r="Q335" i="62911"/>
  <c r="Q334" i="62911"/>
  <c r="Q333" i="62911"/>
  <c r="Q332" i="62911"/>
  <c r="Q331" i="62911"/>
  <c r="Q330" i="62911"/>
  <c r="Q329" i="62911"/>
  <c r="Q328" i="62911"/>
  <c r="Q327" i="62911"/>
  <c r="Q326" i="62911"/>
  <c r="E325" i="62911"/>
  <c r="F325" i="62911"/>
  <c r="G325" i="62911" s="1"/>
  <c r="H325" i="62911" s="1"/>
  <c r="I325" i="62911" s="1"/>
  <c r="J325" i="62911" s="1"/>
  <c r="K325" i="62911" s="1"/>
  <c r="L325" i="62911" s="1"/>
  <c r="M325" i="62911" s="1"/>
  <c r="N325" i="62911" s="1"/>
  <c r="O325" i="62911" s="1"/>
  <c r="P325" i="62911" s="1"/>
  <c r="Q325" i="62911" s="1"/>
  <c r="U108" i="7"/>
  <c r="V108" i="7"/>
  <c r="BJ322" i="62898"/>
  <c r="BI322" i="62898"/>
  <c r="BH322" i="62898"/>
  <c r="BA322" i="62898"/>
  <c r="AZ322" i="62898"/>
  <c r="AY322" i="62898"/>
  <c r="AX322" i="62898"/>
  <c r="AX324" i="62898" s="1"/>
  <c r="AW322" i="62898"/>
  <c r="AV322" i="62898"/>
  <c r="AU322" i="62898"/>
  <c r="AT322" i="62898"/>
  <c r="AS322" i="62898"/>
  <c r="BJ321" i="62898"/>
  <c r="BI321" i="62898"/>
  <c r="BH321" i="62898"/>
  <c r="BA321" i="62898"/>
  <c r="AZ321" i="62898"/>
  <c r="AY321" i="62898"/>
  <c r="AX321" i="62898"/>
  <c r="AW321" i="62898"/>
  <c r="AV321" i="62898"/>
  <c r="AU321" i="62898"/>
  <c r="AT321" i="62898"/>
  <c r="AS321" i="62898"/>
  <c r="BJ320" i="62898"/>
  <c r="BI320" i="62898"/>
  <c r="BH320" i="62898"/>
  <c r="BH324" i="62898" s="1"/>
  <c r="BA320" i="62898"/>
  <c r="AZ320" i="62898"/>
  <c r="AY320" i="62898"/>
  <c r="AX320" i="62898"/>
  <c r="AW320" i="62898"/>
  <c r="AV320" i="62898"/>
  <c r="AU320" i="62898"/>
  <c r="AT320" i="62898"/>
  <c r="AS320" i="62898"/>
  <c r="BJ332" i="62898"/>
  <c r="BI332" i="62898"/>
  <c r="BH332" i="62898"/>
  <c r="BA332" i="62898"/>
  <c r="AZ332" i="62898"/>
  <c r="AY332" i="62898"/>
  <c r="AX332" i="62898"/>
  <c r="AW332" i="62898"/>
  <c r="AV332" i="62898"/>
  <c r="AU332" i="62898"/>
  <c r="AT332" i="62898"/>
  <c r="AT334" i="62898" s="1"/>
  <c r="AS332" i="62898"/>
  <c r="BJ331" i="62898"/>
  <c r="BI331" i="62898"/>
  <c r="BH331" i="62898"/>
  <c r="BA331" i="62898"/>
  <c r="AZ331" i="62898"/>
  <c r="AY331" i="62898"/>
  <c r="AX331" i="62898"/>
  <c r="AW331" i="62898"/>
  <c r="AV331" i="62898"/>
  <c r="AU331" i="62898"/>
  <c r="AT331" i="62898"/>
  <c r="AS331" i="62898"/>
  <c r="BJ330" i="62898"/>
  <c r="BI330" i="62898"/>
  <c r="BH330" i="62898"/>
  <c r="BA330" i="62898"/>
  <c r="AZ330" i="62898"/>
  <c r="AY330" i="62898"/>
  <c r="AX330" i="62898"/>
  <c r="AX334" i="62898" s="1"/>
  <c r="AW330" i="62898"/>
  <c r="AV330" i="62898"/>
  <c r="AU330" i="62898"/>
  <c r="AT330" i="62898"/>
  <c r="AS330" i="62898"/>
  <c r="X322" i="62898"/>
  <c r="N322" i="62898"/>
  <c r="AQ322" i="62898"/>
  <c r="AO322" i="62898"/>
  <c r="AN322" i="62898"/>
  <c r="AM322" i="62898"/>
  <c r="X321" i="62898"/>
  <c r="N321" i="62898"/>
  <c r="AK321" i="62898" s="1"/>
  <c r="AO321" i="62898"/>
  <c r="AN321" i="62898"/>
  <c r="AM321" i="62898"/>
  <c r="X320" i="62898"/>
  <c r="N320" i="62898"/>
  <c r="AK320" i="62898"/>
  <c r="AK324" i="62898" s="1"/>
  <c r="BG320" i="62898"/>
  <c r="AM320" i="62898"/>
  <c r="X332" i="62898"/>
  <c r="N332" i="62898"/>
  <c r="AK332" i="62898"/>
  <c r="AN332" i="62898"/>
  <c r="X331" i="62898"/>
  <c r="N331" i="62898"/>
  <c r="AQ331" i="62898"/>
  <c r="BF331" i="62898"/>
  <c r="X330" i="62898"/>
  <c r="N330" i="62898"/>
  <c r="AO330" i="62898"/>
  <c r="BF330" i="62898"/>
  <c r="BE330" i="62898"/>
  <c r="AT182" i="62898"/>
  <c r="BJ184" i="62898"/>
  <c r="BI184" i="62898"/>
  <c r="BH184" i="62898"/>
  <c r="BA184" i="62898"/>
  <c r="AZ184" i="62898"/>
  <c r="AY184" i="62898"/>
  <c r="AX184" i="62898"/>
  <c r="AW184" i="62898"/>
  <c r="AV184" i="62898"/>
  <c r="AU184" i="62898"/>
  <c r="AT184" i="62898"/>
  <c r="AS184" i="62898"/>
  <c r="BJ183" i="62898"/>
  <c r="BI183" i="62898"/>
  <c r="BH183" i="62898"/>
  <c r="BA183" i="62898"/>
  <c r="AZ183" i="62898"/>
  <c r="AY183" i="62898"/>
  <c r="AX183" i="62898"/>
  <c r="AW183" i="62898"/>
  <c r="AV183" i="62898"/>
  <c r="AU183" i="62898"/>
  <c r="AT183" i="62898"/>
  <c r="AS183" i="62898"/>
  <c r="AS186" i="62898" s="1"/>
  <c r="BJ182" i="62898"/>
  <c r="BI182" i="62898"/>
  <c r="BH182" i="62898"/>
  <c r="BA182" i="62898"/>
  <c r="AZ182" i="62898"/>
  <c r="AY182" i="62898"/>
  <c r="AX182" i="62898"/>
  <c r="AW182" i="62898"/>
  <c r="AV182" i="62898"/>
  <c r="AU182" i="62898"/>
  <c r="AS182" i="62898"/>
  <c r="BJ174" i="62898"/>
  <c r="BI174" i="62898"/>
  <c r="BH174" i="62898"/>
  <c r="BA174" i="62898"/>
  <c r="AZ174" i="62898"/>
  <c r="AY174" i="62898"/>
  <c r="AX174" i="62898"/>
  <c r="AW174" i="62898"/>
  <c r="AV174" i="62898"/>
  <c r="AV176" i="62898" s="1"/>
  <c r="AU174" i="62898"/>
  <c r="AT174" i="62898"/>
  <c r="AS174" i="62898"/>
  <c r="BJ173" i="62898"/>
  <c r="BI173" i="62898"/>
  <c r="BH173" i="62898"/>
  <c r="BA173" i="62898"/>
  <c r="AZ173" i="62898"/>
  <c r="AY173" i="62898"/>
  <c r="AX173" i="62898"/>
  <c r="AW173" i="62898"/>
  <c r="AV173" i="62898"/>
  <c r="AU173" i="62898"/>
  <c r="AT173" i="62898"/>
  <c r="AS173" i="62898"/>
  <c r="BJ172" i="62898"/>
  <c r="BI172" i="62898"/>
  <c r="BH172" i="62898"/>
  <c r="BA172" i="62898"/>
  <c r="AZ172" i="62898"/>
  <c r="AZ176" i="62898" s="1"/>
  <c r="AY172" i="62898"/>
  <c r="AX172" i="62898"/>
  <c r="AW172" i="62898"/>
  <c r="AV172" i="62898"/>
  <c r="AU172" i="62898"/>
  <c r="AT172" i="62898"/>
  <c r="AS172" i="62898"/>
  <c r="X184" i="62898"/>
  <c r="N184" i="62898"/>
  <c r="AQ184" i="62898" s="1"/>
  <c r="AI184" i="62898"/>
  <c r="BF184" i="62898"/>
  <c r="AM184" i="62898"/>
  <c r="X183" i="62898"/>
  <c r="N183" i="62898"/>
  <c r="AQ183" i="62898" s="1"/>
  <c r="AO183" i="62898"/>
  <c r="AN183" i="62898"/>
  <c r="X182" i="62898"/>
  <c r="N182" i="62898"/>
  <c r="BG182" i="62898"/>
  <c r="AM182" i="62898"/>
  <c r="X174" i="62898"/>
  <c r="N174" i="62898"/>
  <c r="AK174" i="62898" s="1"/>
  <c r="AO174" i="62898"/>
  <c r="AH174" i="62898"/>
  <c r="X173" i="62898"/>
  <c r="N173" i="62898"/>
  <c r="AK173" i="62898" s="1"/>
  <c r="AO173" i="62898"/>
  <c r="AN173" i="62898"/>
  <c r="AM173" i="62898"/>
  <c r="X172" i="62898"/>
  <c r="N172" i="62898"/>
  <c r="AK172" i="62898" s="1"/>
  <c r="AO172" i="62898"/>
  <c r="BE172" i="62898"/>
  <c r="X94" i="62898"/>
  <c r="X93" i="62898"/>
  <c r="X92" i="62898"/>
  <c r="AU94" i="62898"/>
  <c r="AV93" i="62898"/>
  <c r="AU92" i="62898"/>
  <c r="BJ84" i="62898"/>
  <c r="BI84" i="62898"/>
  <c r="BH84" i="62898"/>
  <c r="BA84" i="62898"/>
  <c r="AZ84" i="62898"/>
  <c r="AY84" i="62898"/>
  <c r="AX84" i="62898"/>
  <c r="AW84" i="62898"/>
  <c r="AV84" i="62898"/>
  <c r="AU84" i="62898"/>
  <c r="AT84" i="62898"/>
  <c r="AS84" i="62898"/>
  <c r="BJ83" i="62898"/>
  <c r="BI83" i="62898"/>
  <c r="BH83" i="62898"/>
  <c r="BH86" i="62898" s="1"/>
  <c r="BA83" i="62898"/>
  <c r="AZ83" i="62898"/>
  <c r="AY83" i="62898"/>
  <c r="AX83" i="62898"/>
  <c r="AW83" i="62898"/>
  <c r="AV83" i="62898"/>
  <c r="AU83" i="62898"/>
  <c r="AT83" i="62898"/>
  <c r="AS83" i="62898"/>
  <c r="BJ82" i="62898"/>
  <c r="BI82" i="62898"/>
  <c r="BH82" i="62898"/>
  <c r="BA82" i="62898"/>
  <c r="AZ82" i="62898"/>
  <c r="AY82" i="62898"/>
  <c r="AX82" i="62898"/>
  <c r="AW82" i="62898"/>
  <c r="AV82" i="62898"/>
  <c r="AU82" i="62898"/>
  <c r="AT82" i="62898"/>
  <c r="AT86" i="62898" s="1"/>
  <c r="AS82" i="62898"/>
  <c r="X84" i="62898"/>
  <c r="X83" i="62898"/>
  <c r="X82" i="62898"/>
  <c r="AO84" i="62898"/>
  <c r="AG84" i="62898"/>
  <c r="AO83" i="62898"/>
  <c r="AN83" i="62898"/>
  <c r="AM83" i="62898"/>
  <c r="BG82" i="62898"/>
  <c r="AM82" i="62898"/>
  <c r="AS73" i="62898"/>
  <c r="AT73" i="62898"/>
  <c r="AU73" i="62898"/>
  <c r="AV73" i="62898"/>
  <c r="AW73" i="62898"/>
  <c r="AX73" i="62898"/>
  <c r="AY73" i="62898"/>
  <c r="AZ73" i="62898"/>
  <c r="BA73" i="62898"/>
  <c r="BH73" i="62898"/>
  <c r="BI73" i="62898"/>
  <c r="BJ73" i="62898"/>
  <c r="AS74" i="62898"/>
  <c r="AT74" i="62898"/>
  <c r="AU74" i="62898"/>
  <c r="AV74" i="62898"/>
  <c r="AW74" i="62898"/>
  <c r="AX74" i="62898"/>
  <c r="AY74" i="62898"/>
  <c r="AZ74" i="62898"/>
  <c r="BA74" i="62898"/>
  <c r="BH74" i="62898"/>
  <c r="BI74" i="62898"/>
  <c r="BJ74" i="62898"/>
  <c r="BJ72" i="62898"/>
  <c r="BI72" i="62898"/>
  <c r="BH72" i="62898"/>
  <c r="BA72" i="62898"/>
  <c r="AZ72" i="62898"/>
  <c r="AZ76" i="62898" s="1"/>
  <c r="AY72" i="62898"/>
  <c r="AX72" i="62898"/>
  <c r="AW72" i="62898"/>
  <c r="AV72" i="62898"/>
  <c r="AU72" i="62898"/>
  <c r="AT72" i="62898"/>
  <c r="AS72" i="62898"/>
  <c r="X73" i="62898"/>
  <c r="X74" i="62898"/>
  <c r="X72" i="62898"/>
  <c r="AM73" i="62898"/>
  <c r="BG73" i="62898"/>
  <c r="AM74" i="62898"/>
  <c r="AN74" i="62898"/>
  <c r="AO74" i="62898"/>
  <c r="BF72" i="62898"/>
  <c r="BE72" i="62898"/>
  <c r="X151" i="62898"/>
  <c r="N151" i="62898"/>
  <c r="AK151" i="62898"/>
  <c r="BG151" i="62898"/>
  <c r="BF151" i="62898"/>
  <c r="X150" i="62898"/>
  <c r="N150" i="62898"/>
  <c r="AK150" i="62898"/>
  <c r="AI150" i="62898"/>
  <c r="AH150" i="62898"/>
  <c r="X149" i="62898"/>
  <c r="N149" i="62898"/>
  <c r="AQ149" i="62898" s="1"/>
  <c r="AQ153" i="62898" s="1"/>
  <c r="AI149" i="62898"/>
  <c r="BE149" i="62898"/>
  <c r="BJ151" i="62898"/>
  <c r="BI151" i="62898"/>
  <c r="BH151" i="62898"/>
  <c r="BA151" i="62898"/>
  <c r="AZ151" i="62898"/>
  <c r="AY151" i="62898"/>
  <c r="AX151" i="62898"/>
  <c r="AW151" i="62898"/>
  <c r="AW153" i="62898" s="1"/>
  <c r="AV151" i="62898"/>
  <c r="AU151" i="62898"/>
  <c r="AT151" i="62898"/>
  <c r="AS151" i="62898"/>
  <c r="BJ150" i="62898"/>
  <c r="BI150" i="62898"/>
  <c r="BH150" i="62898"/>
  <c r="BA150" i="62898"/>
  <c r="AZ150" i="62898"/>
  <c r="AY150" i="62898"/>
  <c r="AX150" i="62898"/>
  <c r="AW150" i="62898"/>
  <c r="AV150" i="62898"/>
  <c r="AU150" i="62898"/>
  <c r="AT150" i="62898"/>
  <c r="AS150" i="62898"/>
  <c r="BJ149" i="62898"/>
  <c r="BI149" i="62898"/>
  <c r="BH149" i="62898"/>
  <c r="BA149" i="62898"/>
  <c r="AZ149" i="62898"/>
  <c r="AY149" i="62898"/>
  <c r="AX149" i="62898"/>
  <c r="AW149" i="62898"/>
  <c r="AV149" i="62898"/>
  <c r="AU149" i="62898"/>
  <c r="AT149" i="62898"/>
  <c r="AS149" i="62898"/>
  <c r="BJ141" i="62898"/>
  <c r="BI141" i="62898"/>
  <c r="BH141" i="62898"/>
  <c r="BA141" i="62898"/>
  <c r="AZ141" i="62898"/>
  <c r="AY141" i="62898"/>
  <c r="AX141" i="62898"/>
  <c r="AW141" i="62898"/>
  <c r="AV141" i="62898"/>
  <c r="AU141" i="62898"/>
  <c r="AT141" i="62898"/>
  <c r="AS141" i="62898"/>
  <c r="AS143" i="62898" s="1"/>
  <c r="BJ140" i="62898"/>
  <c r="BI140" i="62898"/>
  <c r="BH140" i="62898"/>
  <c r="BA140" i="62898"/>
  <c r="AZ140" i="62898"/>
  <c r="AY140" i="62898"/>
  <c r="AX140" i="62898"/>
  <c r="AW140" i="62898"/>
  <c r="AV140" i="62898"/>
  <c r="AU140" i="62898"/>
  <c r="AT140" i="62898"/>
  <c r="AS140" i="62898"/>
  <c r="BJ139" i="62898"/>
  <c r="BI139" i="62898"/>
  <c r="BH139" i="62898"/>
  <c r="BA139" i="62898"/>
  <c r="AZ139" i="62898"/>
  <c r="AY139" i="62898"/>
  <c r="AX139" i="62898"/>
  <c r="AW139" i="62898"/>
  <c r="AW143" i="62898" s="1"/>
  <c r="AV139" i="62898"/>
  <c r="AU139" i="62898"/>
  <c r="AT139" i="62898"/>
  <c r="AS139" i="62898"/>
  <c r="X141" i="62898"/>
  <c r="N141" i="62898"/>
  <c r="AQ141" i="62898"/>
  <c r="AI141" i="62898"/>
  <c r="AN141" i="62898"/>
  <c r="BE141" i="62898"/>
  <c r="X140" i="62898"/>
  <c r="N140" i="62898"/>
  <c r="AK140" i="62898" s="1"/>
  <c r="AO140" i="62898"/>
  <c r="AH140" i="62898"/>
  <c r="BE140" i="62898"/>
  <c r="X139" i="62898"/>
  <c r="AO139" i="62898"/>
  <c r="AN139" i="62898"/>
  <c r="BE139" i="62898"/>
  <c r="BE143" i="62898" s="1"/>
  <c r="BJ64" i="62898"/>
  <c r="BI64" i="62898"/>
  <c r="BH64" i="62898"/>
  <c r="BA64" i="62898"/>
  <c r="AZ64" i="62898"/>
  <c r="AY64" i="62898"/>
  <c r="AX64" i="62898"/>
  <c r="AW64" i="62898"/>
  <c r="AV64" i="62898"/>
  <c r="AU64" i="62898"/>
  <c r="AT64" i="62898"/>
  <c r="AS64" i="62898"/>
  <c r="BJ63" i="62898"/>
  <c r="BI63" i="62898"/>
  <c r="BH63" i="62898"/>
  <c r="BA63" i="62898"/>
  <c r="AZ63" i="62898"/>
  <c r="AY63" i="62898"/>
  <c r="AX63" i="62898"/>
  <c r="AW63" i="62898"/>
  <c r="AW66" i="62898" s="1"/>
  <c r="AV63" i="62898"/>
  <c r="AU63" i="62898"/>
  <c r="AT63" i="62898"/>
  <c r="AS63" i="62898"/>
  <c r="BJ62" i="62898"/>
  <c r="BI62" i="62898"/>
  <c r="BH62" i="62898"/>
  <c r="BA62" i="62898"/>
  <c r="AZ62" i="62898"/>
  <c r="AY62" i="62898"/>
  <c r="AX62" i="62898"/>
  <c r="AW62" i="62898"/>
  <c r="AV62" i="62898"/>
  <c r="AU62" i="62898"/>
  <c r="AT62" i="62898"/>
  <c r="AS62" i="62898"/>
  <c r="X64" i="62898"/>
  <c r="X63" i="62898"/>
  <c r="X62" i="62898"/>
  <c r="AO64" i="62898"/>
  <c r="AO66" i="62898" s="1"/>
  <c r="AN64" i="62898"/>
  <c r="BE64" i="62898"/>
  <c r="AO63" i="62898"/>
  <c r="AN63" i="62898"/>
  <c r="AG63" i="62898"/>
  <c r="AO62" i="62898"/>
  <c r="AN62" i="62898"/>
  <c r="BE62" i="62898"/>
  <c r="BJ54" i="62898"/>
  <c r="BI54" i="62898"/>
  <c r="BH54" i="62898"/>
  <c r="BA54" i="62898"/>
  <c r="AZ54" i="62898"/>
  <c r="AY54" i="62898"/>
  <c r="AX54" i="62898"/>
  <c r="AW54" i="62898"/>
  <c r="AV54" i="62898"/>
  <c r="AU54" i="62898"/>
  <c r="AT54" i="62898"/>
  <c r="AS54" i="62898"/>
  <c r="AS56" i="62898" s="1"/>
  <c r="X54" i="62898"/>
  <c r="AI54" i="62898"/>
  <c r="AN54" i="62898"/>
  <c r="AM54" i="62898"/>
  <c r="BJ53" i="62898"/>
  <c r="BI53" i="62898"/>
  <c r="BH53" i="62898"/>
  <c r="BA53" i="62898"/>
  <c r="AZ53" i="62898"/>
  <c r="AY53" i="62898"/>
  <c r="AX53" i="62898"/>
  <c r="AW53" i="62898"/>
  <c r="AV53" i="62898"/>
  <c r="AU53" i="62898"/>
  <c r="AT53" i="62898"/>
  <c r="AS53" i="62898"/>
  <c r="X53" i="62898"/>
  <c r="AN53" i="62898"/>
  <c r="AG53" i="62898"/>
  <c r="BJ52" i="62898"/>
  <c r="BJ56" i="62898" s="1"/>
  <c r="BI52" i="62898"/>
  <c r="BH52" i="62898"/>
  <c r="BH56" i="62898" s="1"/>
  <c r="BA52" i="62898"/>
  <c r="AZ52" i="62898"/>
  <c r="AY52" i="62898"/>
  <c r="AX52" i="62898"/>
  <c r="AW52" i="62898"/>
  <c r="AV52" i="62898"/>
  <c r="AU52" i="62898"/>
  <c r="AT52" i="62898"/>
  <c r="AS52" i="62898"/>
  <c r="X52" i="62898"/>
  <c r="AI52" i="62898"/>
  <c r="N52" i="62898"/>
  <c r="AK52" i="62898" s="1"/>
  <c r="BF52" i="62898"/>
  <c r="AM52" i="62898"/>
  <c r="X138" i="5"/>
  <c r="Z138" i="5" s="1"/>
  <c r="X139" i="5"/>
  <c r="X137" i="5"/>
  <c r="N139" i="62898"/>
  <c r="N64" i="5"/>
  <c r="N65" i="5"/>
  <c r="N66" i="5"/>
  <c r="N67" i="5"/>
  <c r="N63" i="5"/>
  <c r="BJ104" i="62898"/>
  <c r="BI104" i="62898"/>
  <c r="BH104" i="62898"/>
  <c r="BA104" i="62898"/>
  <c r="AZ104" i="62898"/>
  <c r="AY104" i="62898"/>
  <c r="AX104" i="62898"/>
  <c r="AW104" i="62898"/>
  <c r="AV104" i="62898"/>
  <c r="AU104" i="62898"/>
  <c r="AT104" i="62898"/>
  <c r="AS104" i="62898"/>
  <c r="BJ103" i="62898"/>
  <c r="BI103" i="62898"/>
  <c r="BH103" i="62898"/>
  <c r="BA103" i="62898"/>
  <c r="AZ103" i="62898"/>
  <c r="AY103" i="62898"/>
  <c r="AX103" i="62898"/>
  <c r="AW103" i="62898"/>
  <c r="AV103" i="62898"/>
  <c r="AU103" i="62898"/>
  <c r="AT103" i="62898"/>
  <c r="AS103" i="62898"/>
  <c r="BJ102" i="62898"/>
  <c r="BI102" i="62898"/>
  <c r="BH102" i="62898"/>
  <c r="BA102" i="62898"/>
  <c r="AZ102" i="62898"/>
  <c r="AY102" i="62898"/>
  <c r="AX102" i="62898"/>
  <c r="AW102" i="62898"/>
  <c r="AV102" i="62898"/>
  <c r="AU102" i="62898"/>
  <c r="AT102" i="62898"/>
  <c r="AS102" i="62898"/>
  <c r="X104" i="62898"/>
  <c r="X103" i="62898"/>
  <c r="X102" i="62898"/>
  <c r="R104" i="62898"/>
  <c r="AK104" i="62898"/>
  <c r="R103" i="62898"/>
  <c r="AQ103" i="62898" s="1"/>
  <c r="R102" i="62898"/>
  <c r="AK102" i="62898" s="1"/>
  <c r="AK106" i="62898" s="1"/>
  <c r="BA340" i="62898"/>
  <c r="BJ342" i="62898"/>
  <c r="BI342" i="62898"/>
  <c r="BH342" i="62898"/>
  <c r="BA342" i="62898"/>
  <c r="AZ342" i="62898"/>
  <c r="AY342" i="62898"/>
  <c r="AY344" i="62898" s="1"/>
  <c r="AX342" i="62898"/>
  <c r="AW342" i="62898"/>
  <c r="AV342" i="62898"/>
  <c r="AU342" i="62898"/>
  <c r="AT342" i="62898"/>
  <c r="AS342" i="62898"/>
  <c r="BJ341" i="62898"/>
  <c r="BI341" i="62898"/>
  <c r="BH341" i="62898"/>
  <c r="BA341" i="62898"/>
  <c r="AZ341" i="62898"/>
  <c r="AY341" i="62898"/>
  <c r="AX341" i="62898"/>
  <c r="AW341" i="62898"/>
  <c r="AV341" i="62898"/>
  <c r="AU341" i="62898"/>
  <c r="AT341" i="62898"/>
  <c r="AS341" i="62898"/>
  <c r="BJ340" i="62898"/>
  <c r="BI340" i="62898"/>
  <c r="BI344" i="62898" s="1"/>
  <c r="BH340" i="62898"/>
  <c r="AZ340" i="62898"/>
  <c r="AY340" i="62898"/>
  <c r="AX340" i="62898"/>
  <c r="AW340" i="62898"/>
  <c r="AV340" i="62898"/>
  <c r="AU340" i="62898"/>
  <c r="AT340" i="62898"/>
  <c r="AS340" i="62898"/>
  <c r="X342" i="62898"/>
  <c r="X341" i="62898"/>
  <c r="X340" i="62898"/>
  <c r="R342" i="62898"/>
  <c r="AK342" i="62898"/>
  <c r="R341" i="62898"/>
  <c r="AK341" i="62898" s="1"/>
  <c r="R340" i="62898"/>
  <c r="AQ340" i="62898" s="1"/>
  <c r="AQ344" i="62898" s="1"/>
  <c r="BJ194" i="62898"/>
  <c r="BI194" i="62898"/>
  <c r="BH194" i="62898"/>
  <c r="BA194" i="62898"/>
  <c r="AZ194" i="62898"/>
  <c r="AY194" i="62898"/>
  <c r="AX194" i="62898"/>
  <c r="AW194" i="62898"/>
  <c r="AV194" i="62898"/>
  <c r="AU194" i="62898"/>
  <c r="AT194" i="62898"/>
  <c r="AS194" i="62898"/>
  <c r="BJ193" i="62898"/>
  <c r="BI193" i="62898"/>
  <c r="BH193" i="62898"/>
  <c r="BA193" i="62898"/>
  <c r="AZ193" i="62898"/>
  <c r="AY193" i="62898"/>
  <c r="AX193" i="62898"/>
  <c r="AW193" i="62898"/>
  <c r="AV193" i="62898"/>
  <c r="AU193" i="62898"/>
  <c r="AU196" i="62898" s="1"/>
  <c r="AT193" i="62898"/>
  <c r="AS193" i="62898"/>
  <c r="BJ192" i="62898"/>
  <c r="BI192" i="62898"/>
  <c r="BH192" i="62898"/>
  <c r="BA192" i="62898"/>
  <c r="AZ192" i="62898"/>
  <c r="AY192" i="62898"/>
  <c r="AX192" i="62898"/>
  <c r="AW192" i="62898"/>
  <c r="AV192" i="62898"/>
  <c r="AU192" i="62898"/>
  <c r="AT192" i="62898"/>
  <c r="AS192" i="62898"/>
  <c r="X194" i="62898"/>
  <c r="X193" i="62898"/>
  <c r="X192" i="62898"/>
  <c r="R194" i="62898"/>
  <c r="AQ194" i="62898"/>
  <c r="R193" i="62898"/>
  <c r="R192" i="62898"/>
  <c r="AQ192" i="62898"/>
  <c r="AS76" i="5"/>
  <c r="AT76" i="5"/>
  <c r="AU76" i="5"/>
  <c r="AV76" i="5"/>
  <c r="AW76" i="5"/>
  <c r="AX76" i="5"/>
  <c r="AY76" i="5"/>
  <c r="AZ76" i="5"/>
  <c r="BA76" i="5"/>
  <c r="BH76" i="5"/>
  <c r="BI76" i="5"/>
  <c r="BJ76" i="5"/>
  <c r="AS77" i="5"/>
  <c r="AT77" i="5"/>
  <c r="AU77" i="5"/>
  <c r="AV77" i="5"/>
  <c r="AW77" i="5"/>
  <c r="AW79" i="5" s="1"/>
  <c r="AX77" i="5"/>
  <c r="AY77" i="5"/>
  <c r="AZ77" i="5"/>
  <c r="BA77" i="5"/>
  <c r="BH77" i="5"/>
  <c r="BI77" i="5"/>
  <c r="BJ77" i="5"/>
  <c r="X76" i="5"/>
  <c r="X77" i="5"/>
  <c r="X75" i="5"/>
  <c r="BJ75" i="5"/>
  <c r="BI75" i="5"/>
  <c r="BH75" i="5"/>
  <c r="BA75" i="5"/>
  <c r="AZ75" i="5"/>
  <c r="AY75" i="5"/>
  <c r="AX75" i="5"/>
  <c r="AW75" i="5"/>
  <c r="AV75" i="5"/>
  <c r="AU75" i="5"/>
  <c r="AU79" i="5" s="1"/>
  <c r="AT75" i="5"/>
  <c r="AS75" i="5"/>
  <c r="BD372" i="62898"/>
  <c r="BC372" i="62898"/>
  <c r="AX372" i="62898"/>
  <c r="AW372" i="62898"/>
  <c r="AV372" i="62898"/>
  <c r="AU372" i="62898"/>
  <c r="AT372" i="62898"/>
  <c r="AS372" i="62898"/>
  <c r="BD371" i="62898"/>
  <c r="BC371" i="62898"/>
  <c r="AX371" i="62898"/>
  <c r="AW371" i="62898"/>
  <c r="AV371" i="62898"/>
  <c r="AU371" i="62898"/>
  <c r="AU374" i="62898" s="1"/>
  <c r="AT371" i="62898"/>
  <c r="AS371" i="62898"/>
  <c r="BD370" i="62898"/>
  <c r="BC370" i="62898"/>
  <c r="BC374" i="62898" s="1"/>
  <c r="AX370" i="62898"/>
  <c r="AW370" i="62898"/>
  <c r="AV370" i="62898"/>
  <c r="AU370" i="62898"/>
  <c r="AT370" i="62898"/>
  <c r="AS370" i="62898"/>
  <c r="X372" i="62898"/>
  <c r="O372" i="62898"/>
  <c r="AO372" i="62898" s="1"/>
  <c r="X371" i="62898"/>
  <c r="O371" i="62898"/>
  <c r="AJ371" i="62898" s="1"/>
  <c r="X370" i="62898"/>
  <c r="O370" i="62898"/>
  <c r="AJ370" i="62898" s="1"/>
  <c r="AS283" i="62898"/>
  <c r="AT283" i="62898"/>
  <c r="AU283" i="62898"/>
  <c r="AV283" i="62898"/>
  <c r="AV286" i="62898" s="1"/>
  <c r="AW283" i="62898"/>
  <c r="AX283" i="62898"/>
  <c r="BC283" i="62898"/>
  <c r="BD283" i="62898"/>
  <c r="AS284" i="62898"/>
  <c r="AT284" i="62898"/>
  <c r="AU284" i="62898"/>
  <c r="AV284" i="62898"/>
  <c r="AW284" i="62898"/>
  <c r="AX284" i="62898"/>
  <c r="BC284" i="62898"/>
  <c r="BD284" i="62898"/>
  <c r="BD282" i="62898"/>
  <c r="BC282" i="62898"/>
  <c r="AX282" i="62898"/>
  <c r="AW282" i="62898"/>
  <c r="AV282" i="62898"/>
  <c r="AU282" i="62898"/>
  <c r="AT282" i="62898"/>
  <c r="AS282" i="62898"/>
  <c r="AS286" i="62898" s="1"/>
  <c r="X283" i="62898"/>
  <c r="X284" i="62898"/>
  <c r="X282" i="62898"/>
  <c r="X64" i="5"/>
  <c r="X65" i="5"/>
  <c r="X66" i="5"/>
  <c r="X67" i="5"/>
  <c r="X63" i="5"/>
  <c r="AH38" i="5"/>
  <c r="BF39" i="5"/>
  <c r="AS36" i="5"/>
  <c r="AT36" i="5"/>
  <c r="AU36" i="5"/>
  <c r="AV36" i="5"/>
  <c r="AW36" i="5"/>
  <c r="AX36" i="5"/>
  <c r="AY36" i="5"/>
  <c r="AZ36" i="5"/>
  <c r="BA36" i="5"/>
  <c r="BH36" i="5"/>
  <c r="BH41" i="5" s="1"/>
  <c r="BI36" i="5"/>
  <c r="BJ36" i="5"/>
  <c r="AS37" i="5"/>
  <c r="AT37" i="5"/>
  <c r="AU37" i="5"/>
  <c r="AV37" i="5"/>
  <c r="AW37" i="5"/>
  <c r="AX37" i="5"/>
  <c r="AY37" i="5"/>
  <c r="AZ37" i="5"/>
  <c r="BA37" i="5"/>
  <c r="BH37" i="5"/>
  <c r="BI37" i="5"/>
  <c r="BJ37" i="5"/>
  <c r="AS38" i="5"/>
  <c r="AT38" i="5"/>
  <c r="AU38" i="5"/>
  <c r="AV38" i="5"/>
  <c r="AW38" i="5"/>
  <c r="AX38" i="5"/>
  <c r="AX41" i="5" s="1"/>
  <c r="AY38" i="5"/>
  <c r="AZ38" i="5"/>
  <c r="BA38" i="5"/>
  <c r="BH38" i="5"/>
  <c r="BI38" i="5"/>
  <c r="BJ38" i="5"/>
  <c r="AS39" i="5"/>
  <c r="AT39" i="5"/>
  <c r="AU39" i="5"/>
  <c r="AV39" i="5"/>
  <c r="AW39" i="5"/>
  <c r="AX39" i="5"/>
  <c r="AY39" i="5"/>
  <c r="AZ39" i="5"/>
  <c r="BA39" i="5"/>
  <c r="BH39" i="5"/>
  <c r="BI39" i="5"/>
  <c r="BJ39" i="5"/>
  <c r="X36" i="5"/>
  <c r="X37" i="5"/>
  <c r="X38" i="5"/>
  <c r="X39" i="5"/>
  <c r="X35" i="5"/>
  <c r="BJ35" i="5"/>
  <c r="BI35" i="5"/>
  <c r="BH35" i="5"/>
  <c r="BA35" i="5"/>
  <c r="AZ35" i="5"/>
  <c r="AY35" i="5"/>
  <c r="AX35" i="5"/>
  <c r="AW35" i="5"/>
  <c r="AV35" i="5"/>
  <c r="AU35" i="5"/>
  <c r="AT35" i="5"/>
  <c r="AS35" i="5"/>
  <c r="AG36" i="5"/>
  <c r="AG37" i="5"/>
  <c r="BE39" i="5"/>
  <c r="AN35" i="5"/>
  <c r="X32" i="5"/>
  <c r="N32" i="5"/>
  <c r="U32" i="5"/>
  <c r="U35" i="5"/>
  <c r="V60" i="5"/>
  <c r="AQ60" i="5"/>
  <c r="V63" i="5"/>
  <c r="U37" i="5"/>
  <c r="AQ37" i="5"/>
  <c r="V66" i="5"/>
  <c r="AQ66" i="5" s="1"/>
  <c r="V65" i="5"/>
  <c r="AK65" i="5"/>
  <c r="V64" i="5"/>
  <c r="U38" i="5"/>
  <c r="AQ38" i="5"/>
  <c r="U36" i="5"/>
  <c r="AK36" i="5" s="1"/>
  <c r="X204" i="5"/>
  <c r="X205" i="5"/>
  <c r="X203" i="5"/>
  <c r="BD165" i="5"/>
  <c r="BC165" i="5"/>
  <c r="BD164" i="5"/>
  <c r="BC164" i="5"/>
  <c r="BD163" i="5"/>
  <c r="BC163" i="5"/>
  <c r="AX165" i="5"/>
  <c r="AW165" i="5"/>
  <c r="AV165" i="5"/>
  <c r="AU165" i="5"/>
  <c r="AT165" i="5"/>
  <c r="AS165" i="5"/>
  <c r="AX164" i="5"/>
  <c r="AW164" i="5"/>
  <c r="AV164" i="5"/>
  <c r="AU164" i="5"/>
  <c r="AT164" i="5"/>
  <c r="AS164" i="5"/>
  <c r="AX163" i="5"/>
  <c r="AW163" i="5"/>
  <c r="AW167" i="5" s="1"/>
  <c r="AV163" i="5"/>
  <c r="AU163" i="5"/>
  <c r="AT163" i="5"/>
  <c r="AS163" i="5"/>
  <c r="X165" i="5"/>
  <c r="X164" i="5"/>
  <c r="X163" i="5"/>
  <c r="BD175" i="5"/>
  <c r="BC175" i="5"/>
  <c r="AX175" i="5"/>
  <c r="AW175" i="5"/>
  <c r="AV175" i="5"/>
  <c r="AU175" i="5"/>
  <c r="AT175" i="5"/>
  <c r="AS175" i="5"/>
  <c r="X175" i="5"/>
  <c r="BD174" i="5"/>
  <c r="BC174" i="5"/>
  <c r="AX174" i="5"/>
  <c r="AW174" i="5"/>
  <c r="AW177" i="5" s="1"/>
  <c r="AV174" i="5"/>
  <c r="AU174" i="5"/>
  <c r="AT174" i="5"/>
  <c r="AS174" i="5"/>
  <c r="X174" i="5"/>
  <c r="BD173" i="5"/>
  <c r="BC173" i="5"/>
  <c r="AX173" i="5"/>
  <c r="AW173" i="5"/>
  <c r="AV173" i="5"/>
  <c r="AU173" i="5"/>
  <c r="AT173" i="5"/>
  <c r="AS173" i="5"/>
  <c r="X173" i="5"/>
  <c r="X185" i="5"/>
  <c r="X184" i="5"/>
  <c r="X183" i="5"/>
  <c r="BD185" i="5"/>
  <c r="BC185" i="5"/>
  <c r="AX185" i="5"/>
  <c r="AX187" i="5" s="1"/>
  <c r="AW185" i="5"/>
  <c r="AV185" i="5"/>
  <c r="AU185" i="5"/>
  <c r="AT185" i="5"/>
  <c r="AS185" i="5"/>
  <c r="BD184" i="5"/>
  <c r="BC184" i="5"/>
  <c r="AX184" i="5"/>
  <c r="AW184" i="5"/>
  <c r="AV184" i="5"/>
  <c r="AU184" i="5"/>
  <c r="AT184" i="5"/>
  <c r="AS184" i="5"/>
  <c r="BD183" i="5"/>
  <c r="BC183" i="5"/>
  <c r="AX183" i="5"/>
  <c r="AW183" i="5"/>
  <c r="AV183" i="5"/>
  <c r="AU183" i="5"/>
  <c r="AU187" i="5"/>
  <c r="AT183" i="5"/>
  <c r="AS183" i="5"/>
  <c r="AS187" i="5"/>
  <c r="BD195" i="5"/>
  <c r="BC195" i="5"/>
  <c r="AX195" i="5"/>
  <c r="AW195" i="5"/>
  <c r="AV195" i="5"/>
  <c r="AU195" i="5"/>
  <c r="AT195" i="5"/>
  <c r="AS195" i="5"/>
  <c r="X195" i="5"/>
  <c r="BD194" i="5"/>
  <c r="BC194" i="5"/>
  <c r="AX194" i="5"/>
  <c r="AW194" i="5"/>
  <c r="AV194" i="5"/>
  <c r="AU194" i="5"/>
  <c r="AT194" i="5"/>
  <c r="AS194" i="5"/>
  <c r="AS197" i="5" s="1"/>
  <c r="X194" i="5"/>
  <c r="BD193" i="5"/>
  <c r="BC193" i="5"/>
  <c r="AX193" i="5"/>
  <c r="AW193" i="5"/>
  <c r="AV193" i="5"/>
  <c r="AU193" i="5"/>
  <c r="AT193" i="5"/>
  <c r="AS193" i="5"/>
  <c r="X193" i="5"/>
  <c r="O175" i="5"/>
  <c r="AJ175" i="5"/>
  <c r="O174" i="5"/>
  <c r="AJ174" i="5" s="1"/>
  <c r="O173" i="5"/>
  <c r="AJ173" i="5" s="1"/>
  <c r="AJ177" i="5" s="1"/>
  <c r="AS351" i="62898"/>
  <c r="AT351" i="62898"/>
  <c r="AV351" i="62898"/>
  <c r="AW351" i="62898"/>
  <c r="AW354" i="62898" s="1"/>
  <c r="AY351" i="62898"/>
  <c r="AZ351" i="62898"/>
  <c r="AS352" i="62898"/>
  <c r="AT352" i="62898"/>
  <c r="AV352" i="62898"/>
  <c r="AW352" i="62898"/>
  <c r="AY352" i="62898"/>
  <c r="AZ352" i="62898"/>
  <c r="BH351" i="62898"/>
  <c r="BI351" i="62898"/>
  <c r="BH352" i="62898"/>
  <c r="BI352" i="62898"/>
  <c r="BI350" i="62898"/>
  <c r="BH350" i="62898"/>
  <c r="AZ350" i="62898"/>
  <c r="AY350" i="62898"/>
  <c r="AW350" i="62898"/>
  <c r="AV350" i="62898"/>
  <c r="AS350" i="62898"/>
  <c r="AT350" i="62898"/>
  <c r="X361" i="62898"/>
  <c r="X362" i="62898"/>
  <c r="X351" i="62898"/>
  <c r="X352" i="62898"/>
  <c r="X350" i="62898"/>
  <c r="X360" i="62898"/>
  <c r="AV361" i="62898"/>
  <c r="AT362" i="62898"/>
  <c r="X256" i="62898"/>
  <c r="X257" i="62898"/>
  <c r="X258" i="62898"/>
  <c r="X255" i="62898"/>
  <c r="AZ257" i="62898"/>
  <c r="BI258" i="62898"/>
  <c r="AS245" i="62898"/>
  <c r="AT245" i="62898"/>
  <c r="AV245" i="62898"/>
  <c r="AW245" i="62898"/>
  <c r="AY245" i="62898"/>
  <c r="AZ245" i="62898"/>
  <c r="AZ249" i="62898" s="1"/>
  <c r="AS246" i="62898"/>
  <c r="AT246" i="62898"/>
  <c r="AV246" i="62898"/>
  <c r="AW246" i="62898"/>
  <c r="AY246" i="62898"/>
  <c r="AZ246" i="62898"/>
  <c r="AS247" i="62898"/>
  <c r="AT247" i="62898"/>
  <c r="AV247" i="62898"/>
  <c r="AW247" i="62898"/>
  <c r="AY247" i="62898"/>
  <c r="AZ247" i="62898"/>
  <c r="BH245" i="62898"/>
  <c r="BI245" i="62898"/>
  <c r="BH246" i="62898"/>
  <c r="BI246" i="62898"/>
  <c r="BH247" i="62898"/>
  <c r="BI247" i="62898"/>
  <c r="BI244" i="62898"/>
  <c r="BH244" i="62898"/>
  <c r="AZ244" i="62898"/>
  <c r="AY244" i="62898"/>
  <c r="AW244" i="62898"/>
  <c r="AV244" i="62898"/>
  <c r="AT244" i="62898"/>
  <c r="AS244" i="62898"/>
  <c r="X245" i="62898"/>
  <c r="X246" i="62898"/>
  <c r="X247" i="62898"/>
  <c r="X244" i="62898"/>
  <c r="BH99" i="5"/>
  <c r="BI99" i="5"/>
  <c r="BH100" i="5"/>
  <c r="BI100" i="5"/>
  <c r="AS99" i="5"/>
  <c r="AT99" i="5"/>
  <c r="AV99" i="5"/>
  <c r="AW99" i="5"/>
  <c r="AY99" i="5"/>
  <c r="AZ99" i="5"/>
  <c r="AS100" i="5"/>
  <c r="AT100" i="5"/>
  <c r="AV100" i="5"/>
  <c r="AW100" i="5"/>
  <c r="AY100" i="5"/>
  <c r="AZ100" i="5"/>
  <c r="BI98" i="5"/>
  <c r="BH98" i="5"/>
  <c r="AZ98" i="5"/>
  <c r="AY98" i="5"/>
  <c r="AW98" i="5"/>
  <c r="AV98" i="5"/>
  <c r="AT98" i="5"/>
  <c r="AS98" i="5"/>
  <c r="X99" i="5"/>
  <c r="X100" i="5"/>
  <c r="O184" i="5"/>
  <c r="AJ184" i="5" s="1"/>
  <c r="O185" i="5"/>
  <c r="AO185" i="5"/>
  <c r="AY255" i="62898"/>
  <c r="AS380" i="62898"/>
  <c r="AX382" i="62898"/>
  <c r="AU382" i="62898"/>
  <c r="AT382" i="62898"/>
  <c r="AS382" i="62898"/>
  <c r="AX381" i="62898"/>
  <c r="AU381" i="62898"/>
  <c r="AT381" i="62898"/>
  <c r="AS381" i="62898"/>
  <c r="AX380" i="62898"/>
  <c r="AU380" i="62898"/>
  <c r="AT380" i="62898"/>
  <c r="AI380" i="62898"/>
  <c r="AX222" i="62898"/>
  <c r="AX223" i="62898"/>
  <c r="AS222" i="62898"/>
  <c r="AT222" i="62898"/>
  <c r="AU222" i="62898"/>
  <c r="AS223" i="62898"/>
  <c r="AS225" i="62898" s="1"/>
  <c r="AT223" i="62898"/>
  <c r="AU223" i="62898"/>
  <c r="AX221" i="62898"/>
  <c r="AU221" i="62898"/>
  <c r="AT221" i="62898"/>
  <c r="AS221" i="62898"/>
  <c r="AS113" i="62898"/>
  <c r="AT113" i="62898"/>
  <c r="AU113" i="62898"/>
  <c r="AX113" i="62898"/>
  <c r="AS114" i="62898"/>
  <c r="AT114" i="62898"/>
  <c r="AU114" i="62898"/>
  <c r="AX114" i="62898"/>
  <c r="AX112" i="62898"/>
  <c r="AU112" i="62898"/>
  <c r="AT112" i="62898"/>
  <c r="AS112" i="62898"/>
  <c r="AG112" i="62898"/>
  <c r="AS138" i="5"/>
  <c r="AT138" i="5"/>
  <c r="AU138" i="5"/>
  <c r="AX138" i="5"/>
  <c r="AS139" i="5"/>
  <c r="AT139" i="5"/>
  <c r="AU139" i="5"/>
  <c r="AX139" i="5"/>
  <c r="AX137" i="5"/>
  <c r="AU137" i="5"/>
  <c r="AT137" i="5"/>
  <c r="AS137" i="5"/>
  <c r="AI82" i="11"/>
  <c r="AG82" i="11"/>
  <c r="M69" i="11"/>
  <c r="N69" i="11"/>
  <c r="M70" i="11"/>
  <c r="N70" i="11" s="1"/>
  <c r="M71" i="11"/>
  <c r="N71" i="11" s="1"/>
  <c r="M68" i="11"/>
  <c r="N68" i="11" s="1"/>
  <c r="S14" i="7"/>
  <c r="W33" i="3"/>
  <c r="W34" i="3"/>
  <c r="W35" i="3"/>
  <c r="W36" i="3"/>
  <c r="W37" i="3"/>
  <c r="W32" i="3"/>
  <c r="P22" i="62911"/>
  <c r="G22" i="62911" s="1"/>
  <c r="AK121" i="62905"/>
  <c r="AL121" i="62905"/>
  <c r="AM121" i="62905"/>
  <c r="AP121" i="62905"/>
  <c r="AK122" i="62905"/>
  <c r="AL122" i="62905"/>
  <c r="AM122" i="62905"/>
  <c r="AP122" i="62905"/>
  <c r="AP120" i="62905"/>
  <c r="AM120" i="62905"/>
  <c r="AM124" i="62905" s="1"/>
  <c r="AL120" i="62905"/>
  <c r="AK120" i="62905"/>
  <c r="V121" i="62905"/>
  <c r="V122" i="62905"/>
  <c r="V120" i="62905"/>
  <c r="AO120" i="62905"/>
  <c r="J51" i="2"/>
  <c r="K51" i="2"/>
  <c r="J41" i="2"/>
  <c r="K41" i="2" s="1"/>
  <c r="K43" i="2" s="1"/>
  <c r="D180" i="2" s="1"/>
  <c r="E180" i="2" s="1"/>
  <c r="J40" i="2"/>
  <c r="K40" i="2"/>
  <c r="X106" i="2"/>
  <c r="Y106" i="2"/>
  <c r="Z106" i="2"/>
  <c r="AC106" i="2"/>
  <c r="X107" i="2"/>
  <c r="Y107" i="2"/>
  <c r="Z107" i="2"/>
  <c r="AC107" i="2"/>
  <c r="AC109" i="2" s="1"/>
  <c r="AC105" i="2"/>
  <c r="Z105" i="2"/>
  <c r="Y105" i="2"/>
  <c r="X105" i="2"/>
  <c r="X41" i="2"/>
  <c r="Y41" i="2"/>
  <c r="Z41" i="2"/>
  <c r="AC41" i="2"/>
  <c r="AC40" i="2"/>
  <c r="Z40" i="2"/>
  <c r="Y40" i="2"/>
  <c r="X40" i="2"/>
  <c r="X17" i="2"/>
  <c r="Y17" i="2"/>
  <c r="Z17" i="2"/>
  <c r="AC17" i="2"/>
  <c r="Y19" i="2"/>
  <c r="Z19" i="2"/>
  <c r="AC19" i="2"/>
  <c r="O41" i="2"/>
  <c r="O40" i="2"/>
  <c r="O107" i="2"/>
  <c r="O106" i="2"/>
  <c r="O105" i="2"/>
  <c r="O19" i="2"/>
  <c r="O18" i="2"/>
  <c r="O17" i="2"/>
  <c r="O16" i="2"/>
  <c r="AB17" i="2"/>
  <c r="E2227" i="62906"/>
  <c r="F2227" i="62906"/>
  <c r="G2227" i="62906"/>
  <c r="E2228" i="62906"/>
  <c r="F2228" i="62906"/>
  <c r="G2228" i="62906"/>
  <c r="E2229" i="62906"/>
  <c r="F2229" i="62906"/>
  <c r="G2229" i="62906"/>
  <c r="E2230" i="62906"/>
  <c r="F2230" i="62906"/>
  <c r="G2230" i="62906"/>
  <c r="E2231" i="62906"/>
  <c r="F2231" i="62906"/>
  <c r="G2231" i="62906"/>
  <c r="E2185" i="62906"/>
  <c r="F2185" i="62906"/>
  <c r="G2185" i="62906"/>
  <c r="E2186" i="62906"/>
  <c r="F2186" i="62906"/>
  <c r="G2186" i="62906"/>
  <c r="E2187" i="62906"/>
  <c r="F2187" i="62906"/>
  <c r="G2187" i="62906"/>
  <c r="E2188" i="62906"/>
  <c r="F2188" i="62906"/>
  <c r="G2188" i="62906"/>
  <c r="X115" i="2"/>
  <c r="X124" i="2"/>
  <c r="K144" i="62904"/>
  <c r="I180" i="62904"/>
  <c r="H180" i="62904"/>
  <c r="AK63" i="62904"/>
  <c r="AL63" i="62904"/>
  <c r="AM63" i="62904"/>
  <c r="AK64" i="62904"/>
  <c r="AL64" i="62904"/>
  <c r="AM64" i="62904"/>
  <c r="AK65" i="62904"/>
  <c r="AL65" i="62904"/>
  <c r="AM65" i="62904"/>
  <c r="AL62" i="62904"/>
  <c r="AK62" i="62904"/>
  <c r="V39" i="62904"/>
  <c r="V40" i="62904"/>
  <c r="V41" i="62904"/>
  <c r="V49" i="62904"/>
  <c r="V50" i="62904"/>
  <c r="V51" i="62904"/>
  <c r="AK85" i="1"/>
  <c r="AL85" i="1"/>
  <c r="AM85" i="1"/>
  <c r="AK86" i="1"/>
  <c r="AL86" i="1"/>
  <c r="AM86" i="1"/>
  <c r="AK87" i="1"/>
  <c r="AL87" i="1"/>
  <c r="AM87" i="1"/>
  <c r="BI236" i="62898"/>
  <c r="BH236" i="62898"/>
  <c r="AZ236" i="62898"/>
  <c r="AY236" i="62898"/>
  <c r="AW236" i="62898"/>
  <c r="AV236" i="62898"/>
  <c r="AT236" i="62898"/>
  <c r="AS236" i="62898"/>
  <c r="X236" i="62898"/>
  <c r="BI235" i="62898"/>
  <c r="BH235" i="62898"/>
  <c r="AZ235" i="62898"/>
  <c r="AY235" i="62898"/>
  <c r="AW235" i="62898"/>
  <c r="AV235" i="62898"/>
  <c r="AT235" i="62898"/>
  <c r="AS235" i="62898"/>
  <c r="X235" i="62898"/>
  <c r="BI234" i="62898"/>
  <c r="BH234" i="62898"/>
  <c r="AZ234" i="62898"/>
  <c r="AY234" i="62898"/>
  <c r="AW234" i="62898"/>
  <c r="AV234" i="62898"/>
  <c r="AT234" i="62898"/>
  <c r="AS234" i="62898"/>
  <c r="X234" i="62898"/>
  <c r="BI90" i="5"/>
  <c r="BH90" i="5"/>
  <c r="AZ90" i="5"/>
  <c r="AY90" i="5"/>
  <c r="AW90" i="5"/>
  <c r="AV90" i="5"/>
  <c r="AT90" i="5"/>
  <c r="AS90" i="5"/>
  <c r="BI89" i="5"/>
  <c r="BH89" i="5"/>
  <c r="AZ89" i="5"/>
  <c r="AY89" i="5"/>
  <c r="AW89" i="5"/>
  <c r="AV89" i="5"/>
  <c r="AT89" i="5"/>
  <c r="AS89" i="5"/>
  <c r="BI88" i="5"/>
  <c r="BH88" i="5"/>
  <c r="BH92" i="5" s="1"/>
  <c r="AZ88" i="5"/>
  <c r="AY88" i="5"/>
  <c r="AW88" i="5"/>
  <c r="AV88" i="5"/>
  <c r="AT88" i="5"/>
  <c r="AS88" i="5"/>
  <c r="Y98" i="9"/>
  <c r="W98" i="9"/>
  <c r="AM98" i="9"/>
  <c r="S98" i="9"/>
  <c r="R98" i="9"/>
  <c r="P98" i="9"/>
  <c r="O98" i="9"/>
  <c r="M98" i="9"/>
  <c r="L98" i="9"/>
  <c r="J98" i="9"/>
  <c r="I98" i="9"/>
  <c r="Y97" i="9"/>
  <c r="W97" i="9"/>
  <c r="AJ97" i="9" s="1"/>
  <c r="S97" i="9"/>
  <c r="R97" i="9"/>
  <c r="P97" i="9"/>
  <c r="O97" i="9"/>
  <c r="M97" i="9"/>
  <c r="L97" i="9"/>
  <c r="J97" i="9"/>
  <c r="I97" i="9"/>
  <c r="Y96" i="9"/>
  <c r="S96" i="9"/>
  <c r="R96" i="9"/>
  <c r="P96" i="9"/>
  <c r="O96" i="9"/>
  <c r="M96" i="9"/>
  <c r="L96" i="9"/>
  <c r="J96" i="9"/>
  <c r="I96" i="9"/>
  <c r="AX16" i="62898"/>
  <c r="BD152" i="5"/>
  <c r="BC152" i="5"/>
  <c r="AX152" i="5"/>
  <c r="AW152" i="5"/>
  <c r="AV152" i="5"/>
  <c r="AU152" i="5"/>
  <c r="AT152" i="5"/>
  <c r="AS152" i="5"/>
  <c r="BD151" i="5"/>
  <c r="BC151" i="5"/>
  <c r="AX151" i="5"/>
  <c r="AW151" i="5"/>
  <c r="AV151" i="5"/>
  <c r="AU151" i="5"/>
  <c r="AT151" i="5"/>
  <c r="AS151" i="5"/>
  <c r="BD150" i="5"/>
  <c r="BC150" i="5"/>
  <c r="AX150" i="5"/>
  <c r="AW150" i="5"/>
  <c r="AV150" i="5"/>
  <c r="AU150" i="5"/>
  <c r="AT150" i="5"/>
  <c r="AS150" i="5"/>
  <c r="BD129" i="5"/>
  <c r="BC129" i="5"/>
  <c r="AX129" i="5"/>
  <c r="AW129" i="5"/>
  <c r="AV129" i="5"/>
  <c r="AU129" i="5"/>
  <c r="AT129" i="5"/>
  <c r="AS129" i="5"/>
  <c r="BD128" i="5"/>
  <c r="BC128" i="5"/>
  <c r="AX128" i="5"/>
  <c r="AW128" i="5"/>
  <c r="AV128" i="5"/>
  <c r="AU128" i="5"/>
  <c r="AT128" i="5"/>
  <c r="AS128" i="5"/>
  <c r="BD127" i="5"/>
  <c r="BC127" i="5"/>
  <c r="AX127" i="5"/>
  <c r="AW127" i="5"/>
  <c r="AV127" i="5"/>
  <c r="AU127" i="5"/>
  <c r="AT127" i="5"/>
  <c r="AS127" i="5"/>
  <c r="Y28" i="9"/>
  <c r="Y27" i="9"/>
  <c r="Y26" i="9"/>
  <c r="S28" i="9"/>
  <c r="R28" i="9"/>
  <c r="P28" i="9"/>
  <c r="O28" i="9"/>
  <c r="M28" i="9"/>
  <c r="L28" i="9"/>
  <c r="J28" i="9"/>
  <c r="I28" i="9"/>
  <c r="S27" i="9"/>
  <c r="R27" i="9"/>
  <c r="P27" i="9"/>
  <c r="O27" i="9"/>
  <c r="M27" i="9"/>
  <c r="L27" i="9"/>
  <c r="J27" i="9"/>
  <c r="I27" i="9"/>
  <c r="S26" i="9"/>
  <c r="R26" i="9"/>
  <c r="P26" i="9"/>
  <c r="O26" i="9"/>
  <c r="M26" i="9"/>
  <c r="L26" i="9"/>
  <c r="J26" i="9"/>
  <c r="I26" i="9"/>
  <c r="AG28" i="9"/>
  <c r="AM28" i="9"/>
  <c r="W28" i="9"/>
  <c r="AJ28" i="9" s="1"/>
  <c r="AV25" i="62905"/>
  <c r="AU25" i="62905"/>
  <c r="AP25" i="62905"/>
  <c r="AO25" i="62905"/>
  <c r="AN25" i="62905"/>
  <c r="AM25" i="62905"/>
  <c r="AL25" i="62905"/>
  <c r="AK25" i="62905"/>
  <c r="V25" i="62905"/>
  <c r="AV24" i="62905"/>
  <c r="AU24" i="62905"/>
  <c r="AP24" i="62905"/>
  <c r="AO24" i="62905"/>
  <c r="AN24" i="62905"/>
  <c r="AM24" i="62905"/>
  <c r="AL24" i="62905"/>
  <c r="AK24" i="62905"/>
  <c r="V24" i="62905"/>
  <c r="AV23" i="62905"/>
  <c r="AU23" i="62905"/>
  <c r="AP23" i="62905"/>
  <c r="AO23" i="62905"/>
  <c r="AN23" i="62905"/>
  <c r="AM23" i="62905"/>
  <c r="AL23" i="62905"/>
  <c r="AK23" i="62905"/>
  <c r="V23" i="62905"/>
  <c r="AV15" i="62905"/>
  <c r="AU15" i="62905"/>
  <c r="AP15" i="62905"/>
  <c r="AO15" i="62905"/>
  <c r="AN15" i="62905"/>
  <c r="AM15" i="62905"/>
  <c r="AL15" i="62905"/>
  <c r="AK15" i="62905"/>
  <c r="V15" i="62905"/>
  <c r="AV14" i="62905"/>
  <c r="AU14" i="62905"/>
  <c r="AP14" i="62905"/>
  <c r="AO14" i="62905"/>
  <c r="AN14" i="62905"/>
  <c r="AM14" i="62905"/>
  <c r="AL14" i="62905"/>
  <c r="AK14" i="62905"/>
  <c r="V14" i="62905"/>
  <c r="AV13" i="62905"/>
  <c r="AU13" i="62905"/>
  <c r="AP13" i="62905"/>
  <c r="AO13" i="62905"/>
  <c r="AN13" i="62905"/>
  <c r="AM13" i="62905"/>
  <c r="AL13" i="62905"/>
  <c r="AK13" i="62905"/>
  <c r="V13" i="62905"/>
  <c r="AV28" i="62904"/>
  <c r="AU28" i="62904"/>
  <c r="AP28" i="62904"/>
  <c r="AO28" i="62904"/>
  <c r="AN28" i="62904"/>
  <c r="AM28" i="62904"/>
  <c r="AL28" i="62904"/>
  <c r="AK28" i="62904"/>
  <c r="V28" i="62904"/>
  <c r="AV27" i="62904"/>
  <c r="AU27" i="62904"/>
  <c r="AP27" i="62904"/>
  <c r="AO27" i="62904"/>
  <c r="AN27" i="62904"/>
  <c r="AM27" i="62904"/>
  <c r="AL27" i="62904"/>
  <c r="AK27" i="62904"/>
  <c r="V27" i="62904"/>
  <c r="AV26" i="62904"/>
  <c r="AU26" i="62904"/>
  <c r="AP26" i="62904"/>
  <c r="AO26" i="62904"/>
  <c r="AN26" i="62904"/>
  <c r="AM26" i="62904"/>
  <c r="AL26" i="62904"/>
  <c r="AK26" i="62904"/>
  <c r="V26" i="62904"/>
  <c r="AV18" i="62904"/>
  <c r="AU18" i="62904"/>
  <c r="AP18" i="62904"/>
  <c r="AO18" i="62904"/>
  <c r="AN18" i="62904"/>
  <c r="AM18" i="62904"/>
  <c r="AL18" i="62904"/>
  <c r="AK18" i="62904"/>
  <c r="V18" i="62904"/>
  <c r="AV17" i="62904"/>
  <c r="AU17" i="62904"/>
  <c r="AP17" i="62904"/>
  <c r="AO17" i="62904"/>
  <c r="AN17" i="62904"/>
  <c r="AM17" i="62904"/>
  <c r="AL17" i="62904"/>
  <c r="AK17" i="62904"/>
  <c r="V17" i="62904"/>
  <c r="AV16" i="62904"/>
  <c r="AU16" i="62904"/>
  <c r="AP16" i="62904"/>
  <c r="AO16" i="62904"/>
  <c r="AN16" i="62904"/>
  <c r="AM16" i="62904"/>
  <c r="AL16" i="62904"/>
  <c r="AK16" i="62904"/>
  <c r="V16" i="62904"/>
  <c r="AV15" i="62904"/>
  <c r="AU15" i="62904"/>
  <c r="AP15" i="62904"/>
  <c r="AO15" i="62904"/>
  <c r="AN15" i="62904"/>
  <c r="AM15" i="62904"/>
  <c r="AL15" i="62904"/>
  <c r="AK15" i="62904"/>
  <c r="V15" i="62904"/>
  <c r="AV14" i="62904"/>
  <c r="AU14" i="62904"/>
  <c r="AP14" i="62904"/>
  <c r="AO14" i="62904"/>
  <c r="AN14" i="62904"/>
  <c r="AM14" i="62904"/>
  <c r="AL14" i="62904"/>
  <c r="AK14" i="62904"/>
  <c r="V14" i="62904"/>
  <c r="AV13" i="62904"/>
  <c r="AU13" i="62904"/>
  <c r="AP13" i="62904"/>
  <c r="AO13" i="62904"/>
  <c r="AN13" i="62904"/>
  <c r="AM13" i="62904"/>
  <c r="AL13" i="62904"/>
  <c r="AK13" i="62904"/>
  <c r="V13" i="62904"/>
  <c r="BD302" i="62898"/>
  <c r="BC302" i="62898"/>
  <c r="AX302" i="62898"/>
  <c r="AW302" i="62898"/>
  <c r="AV302" i="62898"/>
  <c r="AU302" i="62898"/>
  <c r="AT302" i="62898"/>
  <c r="AS302" i="62898"/>
  <c r="X302" i="62898"/>
  <c r="BD301" i="62898"/>
  <c r="BC301" i="62898"/>
  <c r="AX301" i="62898"/>
  <c r="AW301" i="62898"/>
  <c r="AV301" i="62898"/>
  <c r="AU301" i="62898"/>
  <c r="AT301" i="62898"/>
  <c r="AS301" i="62898"/>
  <c r="X301" i="62898"/>
  <c r="BD299" i="62898"/>
  <c r="BC299" i="62898"/>
  <c r="AX299" i="62898"/>
  <c r="AW299" i="62898"/>
  <c r="AV299" i="62898"/>
  <c r="AU299" i="62898"/>
  <c r="AT299" i="62898"/>
  <c r="AS299" i="62898"/>
  <c r="X299" i="62898"/>
  <c r="BD298" i="62898"/>
  <c r="BC298" i="62898"/>
  <c r="AX298" i="62898"/>
  <c r="AW298" i="62898"/>
  <c r="AV298" i="62898"/>
  <c r="AU298" i="62898"/>
  <c r="AT298" i="62898"/>
  <c r="AS298" i="62898"/>
  <c r="X298" i="62898"/>
  <c r="BD297" i="62898"/>
  <c r="BC297" i="62898"/>
  <c r="AX297" i="62898"/>
  <c r="AW297" i="62898"/>
  <c r="AV297" i="62898"/>
  <c r="AU297" i="62898"/>
  <c r="AT297" i="62898"/>
  <c r="AS297" i="62898"/>
  <c r="X297" i="62898"/>
  <c r="BD296" i="62898"/>
  <c r="BC296" i="62898"/>
  <c r="AX296" i="62898"/>
  <c r="AW296" i="62898"/>
  <c r="AV296" i="62898"/>
  <c r="AU296" i="62898"/>
  <c r="AT296" i="62898"/>
  <c r="AS296" i="62898"/>
  <c r="X296" i="62898"/>
  <c r="BD274" i="62898"/>
  <c r="BC274" i="62898"/>
  <c r="AX274" i="62898"/>
  <c r="AW274" i="62898"/>
  <c r="AV274" i="62898"/>
  <c r="AU274" i="62898"/>
  <c r="AT274" i="62898"/>
  <c r="AS274" i="62898"/>
  <c r="X274" i="62898"/>
  <c r="BD273" i="62898"/>
  <c r="BC273" i="62898"/>
  <c r="AX273" i="62898"/>
  <c r="AW273" i="62898"/>
  <c r="AV273" i="62898"/>
  <c r="AU273" i="62898"/>
  <c r="AT273" i="62898"/>
  <c r="AS273" i="62898"/>
  <c r="X273" i="62898"/>
  <c r="BD271" i="62898"/>
  <c r="BC271" i="62898"/>
  <c r="AX271" i="62898"/>
  <c r="AW271" i="62898"/>
  <c r="AV271" i="62898"/>
  <c r="AU271" i="62898"/>
  <c r="AT271" i="62898"/>
  <c r="AS271" i="62898"/>
  <c r="X271" i="62898"/>
  <c r="BD270" i="62898"/>
  <c r="BC270" i="62898"/>
  <c r="AX270" i="62898"/>
  <c r="AW270" i="62898"/>
  <c r="AV270" i="62898"/>
  <c r="AU270" i="62898"/>
  <c r="AT270" i="62898"/>
  <c r="AS270" i="62898"/>
  <c r="X270" i="62898"/>
  <c r="BD269" i="62898"/>
  <c r="BC269" i="62898"/>
  <c r="AX269" i="62898"/>
  <c r="AW269" i="62898"/>
  <c r="AV269" i="62898"/>
  <c r="AU269" i="62898"/>
  <c r="AT269" i="62898"/>
  <c r="AS269" i="62898"/>
  <c r="X269" i="62898"/>
  <c r="BD131" i="62898"/>
  <c r="BC131" i="62898"/>
  <c r="AX131" i="62898"/>
  <c r="AW131" i="62898"/>
  <c r="AV131" i="62898"/>
  <c r="AU131" i="62898"/>
  <c r="AT131" i="62898"/>
  <c r="AS131" i="62898"/>
  <c r="X131" i="62898"/>
  <c r="BD130" i="62898"/>
  <c r="BC130" i="62898"/>
  <c r="AX130" i="62898"/>
  <c r="AW130" i="62898"/>
  <c r="AV130" i="62898"/>
  <c r="AU130" i="62898"/>
  <c r="AT130" i="62898"/>
  <c r="AS130" i="62898"/>
  <c r="X130" i="62898"/>
  <c r="BD128" i="62898"/>
  <c r="BC128" i="62898"/>
  <c r="AX128" i="62898"/>
  <c r="AW128" i="62898"/>
  <c r="AV128" i="62898"/>
  <c r="AU128" i="62898"/>
  <c r="AT128" i="62898"/>
  <c r="AS128" i="62898"/>
  <c r="X128" i="62898"/>
  <c r="BD127" i="62898"/>
  <c r="BC127" i="62898"/>
  <c r="AX127" i="62898"/>
  <c r="AW127" i="62898"/>
  <c r="AV127" i="62898"/>
  <c r="AU127" i="62898"/>
  <c r="AT127" i="62898"/>
  <c r="AS127" i="62898"/>
  <c r="X127" i="62898"/>
  <c r="BD126" i="62898"/>
  <c r="BC126" i="62898"/>
  <c r="AX126" i="62898"/>
  <c r="AW126" i="62898"/>
  <c r="AV126" i="62898"/>
  <c r="AU126" i="62898"/>
  <c r="AT126" i="62898"/>
  <c r="AS126" i="62898"/>
  <c r="X126" i="62898"/>
  <c r="BD22" i="62898"/>
  <c r="BC22" i="62898"/>
  <c r="AX22" i="62898"/>
  <c r="AW22" i="62898"/>
  <c r="AV22" i="62898"/>
  <c r="AU22" i="62898"/>
  <c r="AT22" i="62898"/>
  <c r="AS22" i="62898"/>
  <c r="X22" i="62898"/>
  <c r="BD21" i="62898"/>
  <c r="BC21" i="62898"/>
  <c r="AX21" i="62898"/>
  <c r="AW21" i="62898"/>
  <c r="AV21" i="62898"/>
  <c r="AU21" i="62898"/>
  <c r="AT21" i="62898"/>
  <c r="AS21" i="62898"/>
  <c r="X21" i="62898"/>
  <c r="BD19" i="62898"/>
  <c r="BC19" i="62898"/>
  <c r="AX19" i="62898"/>
  <c r="AW19" i="62898"/>
  <c r="AV19" i="62898"/>
  <c r="AU19" i="62898"/>
  <c r="AT19" i="62898"/>
  <c r="AS19" i="62898"/>
  <c r="X19" i="62898"/>
  <c r="BD18" i="62898"/>
  <c r="BC18" i="62898"/>
  <c r="AX18" i="62898"/>
  <c r="AW18" i="62898"/>
  <c r="AV18" i="62898"/>
  <c r="AU18" i="62898"/>
  <c r="AT18" i="62898"/>
  <c r="AS18" i="62898"/>
  <c r="X18" i="62898"/>
  <c r="BD17" i="62898"/>
  <c r="BC17" i="62898"/>
  <c r="AX17" i="62898"/>
  <c r="AW17" i="62898"/>
  <c r="AV17" i="62898"/>
  <c r="AU17" i="62898"/>
  <c r="AT17" i="62898"/>
  <c r="AS17" i="62898"/>
  <c r="X17" i="62898"/>
  <c r="BD16" i="62898"/>
  <c r="BC16" i="62898"/>
  <c r="AW16" i="62898"/>
  <c r="AV16" i="62898"/>
  <c r="AU16" i="62898"/>
  <c r="AT16" i="62898"/>
  <c r="AS16" i="62898"/>
  <c r="X16" i="62898"/>
  <c r="X88" i="5"/>
  <c r="BD155" i="5"/>
  <c r="BC155" i="5"/>
  <c r="AX155" i="5"/>
  <c r="AW155" i="5"/>
  <c r="AV155" i="5"/>
  <c r="AU155" i="5"/>
  <c r="AT155" i="5"/>
  <c r="AS155" i="5"/>
  <c r="X155" i="5"/>
  <c r="BD154" i="5"/>
  <c r="BC154" i="5"/>
  <c r="AX154" i="5"/>
  <c r="AW154" i="5"/>
  <c r="AV154" i="5"/>
  <c r="AU154" i="5"/>
  <c r="AT154" i="5"/>
  <c r="AS154" i="5"/>
  <c r="X154" i="5"/>
  <c r="X152" i="5"/>
  <c r="X151" i="5"/>
  <c r="X150" i="5"/>
  <c r="AS16" i="5"/>
  <c r="AT16" i="5"/>
  <c r="AU16" i="5"/>
  <c r="AV16" i="5"/>
  <c r="AW16" i="5"/>
  <c r="AX16" i="5"/>
  <c r="BC16" i="5"/>
  <c r="BD16" i="5"/>
  <c r="AS17" i="5"/>
  <c r="AT17" i="5"/>
  <c r="AU17" i="5"/>
  <c r="AV17" i="5"/>
  <c r="AW17" i="5"/>
  <c r="AX17" i="5"/>
  <c r="BC17" i="5"/>
  <c r="BD17" i="5"/>
  <c r="BD15" i="5"/>
  <c r="BC15" i="5"/>
  <c r="AX15" i="5"/>
  <c r="AW15" i="5"/>
  <c r="AV15" i="5"/>
  <c r="AU15" i="5"/>
  <c r="AT15" i="5"/>
  <c r="AS15" i="5"/>
  <c r="X129" i="5"/>
  <c r="X128" i="5"/>
  <c r="X127" i="5"/>
  <c r="X90" i="5"/>
  <c r="X89" i="5"/>
  <c r="AS20" i="5"/>
  <c r="AT20" i="5"/>
  <c r="AU20" i="5"/>
  <c r="AV20" i="5"/>
  <c r="AW20" i="5"/>
  <c r="AX20" i="5"/>
  <c r="BC20" i="5"/>
  <c r="BD20" i="5"/>
  <c r="BD19" i="5"/>
  <c r="BC19" i="5"/>
  <c r="AX19" i="5"/>
  <c r="AW19" i="5"/>
  <c r="AV19" i="5"/>
  <c r="AU19" i="5"/>
  <c r="AT19" i="5"/>
  <c r="AS19" i="5"/>
  <c r="X20" i="5"/>
  <c r="X19" i="5"/>
  <c r="AV28" i="1"/>
  <c r="AU28" i="1"/>
  <c r="AP28" i="1"/>
  <c r="AO28" i="1"/>
  <c r="AN28" i="1"/>
  <c r="AM28" i="1"/>
  <c r="AL28" i="1"/>
  <c r="AK28" i="1"/>
  <c r="AV27" i="1"/>
  <c r="AU27" i="1"/>
  <c r="AP27" i="1"/>
  <c r="AO27" i="1"/>
  <c r="AN27" i="1"/>
  <c r="AM27" i="1"/>
  <c r="AL27" i="1"/>
  <c r="AK27" i="1"/>
  <c r="AV26" i="1"/>
  <c r="AU26" i="1"/>
  <c r="AP26" i="1"/>
  <c r="AO26" i="1"/>
  <c r="AN26" i="1"/>
  <c r="AM26" i="1"/>
  <c r="AL26" i="1"/>
  <c r="AK26" i="1"/>
  <c r="V28" i="1"/>
  <c r="V27" i="1"/>
  <c r="V26" i="1"/>
  <c r="X17" i="5"/>
  <c r="X16" i="5"/>
  <c r="AK37" i="1"/>
  <c r="AL37" i="1"/>
  <c r="AM37" i="1"/>
  <c r="AN37" i="1"/>
  <c r="AO37" i="1"/>
  <c r="AP37" i="1"/>
  <c r="AU37" i="1"/>
  <c r="AV37" i="1"/>
  <c r="AK38" i="1"/>
  <c r="AL38" i="1"/>
  <c r="AM38" i="1"/>
  <c r="AN38" i="1"/>
  <c r="AO38" i="1"/>
  <c r="AP38" i="1"/>
  <c r="AU38" i="1"/>
  <c r="AV38" i="1"/>
  <c r="AK39" i="1"/>
  <c r="AL39" i="1"/>
  <c r="AL41" i="1" s="1"/>
  <c r="AM39" i="1"/>
  <c r="AN39" i="1"/>
  <c r="AO39" i="1"/>
  <c r="AP39" i="1"/>
  <c r="AU39" i="1"/>
  <c r="AV39" i="1"/>
  <c r="AV36" i="1"/>
  <c r="AU36" i="1"/>
  <c r="AP36" i="1"/>
  <c r="AO36" i="1"/>
  <c r="AN36" i="1"/>
  <c r="AM36" i="1"/>
  <c r="AL36" i="1"/>
  <c r="AK36" i="1"/>
  <c r="AG38" i="1"/>
  <c r="AD37" i="1"/>
  <c r="AC37" i="1"/>
  <c r="AU14" i="1"/>
  <c r="AV14" i="1"/>
  <c r="AU15" i="1"/>
  <c r="AV15" i="1"/>
  <c r="AU16" i="1"/>
  <c r="AV16" i="1"/>
  <c r="AU17" i="1"/>
  <c r="AV17" i="1"/>
  <c r="AU18" i="1"/>
  <c r="AV18" i="1"/>
  <c r="AV13" i="1"/>
  <c r="K188" i="1"/>
  <c r="AU13" i="1"/>
  <c r="AK14" i="1"/>
  <c r="AL14" i="1"/>
  <c r="AM14" i="1"/>
  <c r="AN14" i="1"/>
  <c r="AO14" i="1"/>
  <c r="AP14" i="1"/>
  <c r="AK15" i="1"/>
  <c r="AL15" i="1"/>
  <c r="AM15" i="1"/>
  <c r="AN15" i="1"/>
  <c r="AO15" i="1"/>
  <c r="AP15" i="1"/>
  <c r="AK16" i="1"/>
  <c r="AL16" i="1"/>
  <c r="AM16" i="1"/>
  <c r="AN16" i="1"/>
  <c r="AO16" i="1"/>
  <c r="AP16" i="1"/>
  <c r="AK17" i="1"/>
  <c r="AL17" i="1"/>
  <c r="AM17" i="1"/>
  <c r="AN17" i="1"/>
  <c r="AO17" i="1"/>
  <c r="AP17" i="1"/>
  <c r="AK18" i="1"/>
  <c r="AL18" i="1"/>
  <c r="AM18" i="1"/>
  <c r="AN18" i="1"/>
  <c r="AO18" i="1"/>
  <c r="AP18" i="1"/>
  <c r="AP13" i="1"/>
  <c r="G154" i="1"/>
  <c r="AO13" i="1"/>
  <c r="AN13" i="1"/>
  <c r="F154" i="1"/>
  <c r="AM13" i="1"/>
  <c r="AL13" i="1"/>
  <c r="E154" i="1"/>
  <c r="AK13" i="1"/>
  <c r="V14" i="1"/>
  <c r="V15" i="1"/>
  <c r="V16" i="1"/>
  <c r="V17" i="1"/>
  <c r="V18" i="1"/>
  <c r="V13" i="1"/>
  <c r="C2219" i="62906"/>
  <c r="C2218" i="62906"/>
  <c r="C2217" i="62906"/>
  <c r="C2216" i="62906"/>
  <c r="C2215" i="62906"/>
  <c r="C2176" i="62906"/>
  <c r="L17" i="2"/>
  <c r="C2173" i="62906"/>
  <c r="V2182" i="62906"/>
  <c r="V105" i="2"/>
  <c r="I541" i="62911"/>
  <c r="C539" i="62911"/>
  <c r="C548" i="62911"/>
  <c r="I539" i="62911"/>
  <c r="I548" i="62911"/>
  <c r="AF213" i="62898"/>
  <c r="AH213" i="62898"/>
  <c r="T132" i="2"/>
  <c r="AA131" i="2"/>
  <c r="V130" i="2"/>
  <c r="T122" i="2"/>
  <c r="T121" i="2"/>
  <c r="E120" i="2"/>
  <c r="E118" i="2"/>
  <c r="S96" i="3"/>
  <c r="X94" i="3"/>
  <c r="X82" i="3"/>
  <c r="S83" i="3"/>
  <c r="H178" i="3"/>
  <c r="H34" i="62915"/>
  <c r="T34" i="62915"/>
  <c r="X81" i="3"/>
  <c r="U13" i="3"/>
  <c r="U15" i="3"/>
  <c r="E45" i="3"/>
  <c r="E47" i="3"/>
  <c r="B2" i="7"/>
  <c r="B2" i="11"/>
  <c r="B131" i="62905"/>
  <c r="B110" i="62904"/>
  <c r="B76" i="62892" s="1"/>
  <c r="B103" i="62892"/>
  <c r="P103" i="62892" s="1"/>
  <c r="B257" i="9"/>
  <c r="B165" i="2"/>
  <c r="B391" i="62898"/>
  <c r="B618" i="5"/>
  <c r="B92" i="11"/>
  <c r="B197" i="7"/>
  <c r="B105" i="3"/>
  <c r="B13" i="62892"/>
  <c r="B139" i="1"/>
  <c r="B344" i="62913"/>
  <c r="F6" i="62913"/>
  <c r="P5" i="62913"/>
  <c r="N5" i="62913"/>
  <c r="L5" i="62913"/>
  <c r="J5" i="62913"/>
  <c r="H5" i="62913"/>
  <c r="F5" i="62913"/>
  <c r="P4" i="62913"/>
  <c r="N4" i="62913"/>
  <c r="J4" i="62913"/>
  <c r="F4" i="62913"/>
  <c r="B309" i="62913"/>
  <c r="B276" i="62913"/>
  <c r="B243" i="62913"/>
  <c r="B210" i="62913"/>
  <c r="B177" i="62913"/>
  <c r="B141" i="62913"/>
  <c r="B108" i="62913"/>
  <c r="B75" i="62913"/>
  <c r="B42" i="62913"/>
  <c r="B8" i="62913"/>
  <c r="D27" i="62908"/>
  <c r="P362" i="62898"/>
  <c r="AK362" i="62898"/>
  <c r="P360" i="62898"/>
  <c r="AQ360" i="62898" s="1"/>
  <c r="N351" i="62898"/>
  <c r="AQ351" i="62898" s="1"/>
  <c r="AQ354" i="62898" s="1"/>
  <c r="N352" i="62898"/>
  <c r="AK352" i="62898"/>
  <c r="AK354" i="62898" s="1"/>
  <c r="N350" i="62898"/>
  <c r="AK350" i="62898"/>
  <c r="N311" i="62898"/>
  <c r="AK311" i="62898" s="1"/>
  <c r="N312" i="62898"/>
  <c r="AQ312" i="62898" s="1"/>
  <c r="O283" i="62898"/>
  <c r="AO283" i="62898"/>
  <c r="O284" i="62898"/>
  <c r="AJ284" i="62898" s="1"/>
  <c r="O282" i="62898"/>
  <c r="AO282" i="62898"/>
  <c r="P256" i="62898"/>
  <c r="AK256" i="62898"/>
  <c r="P257" i="62898"/>
  <c r="AQ257" i="62898" s="1"/>
  <c r="P258" i="62898"/>
  <c r="AK258" i="62898" s="1"/>
  <c r="P255" i="62898"/>
  <c r="AQ255" i="62898"/>
  <c r="N245" i="62898"/>
  <c r="AQ245" i="62898"/>
  <c r="N246" i="62898"/>
  <c r="AK246" i="62898" s="1"/>
  <c r="AK249" i="62898" s="1"/>
  <c r="N247" i="62898"/>
  <c r="N244" i="62898"/>
  <c r="AQ244" i="62898"/>
  <c r="N160" i="62898"/>
  <c r="AK160" i="62898"/>
  <c r="N161" i="62898"/>
  <c r="AQ161" i="62898" s="1"/>
  <c r="N159" i="62898"/>
  <c r="AQ159" i="62898" s="1"/>
  <c r="Q93" i="62898"/>
  <c r="AK93" i="62898"/>
  <c r="Q94" i="62898"/>
  <c r="AK94" i="62898" s="1"/>
  <c r="AK96" i="62898" s="1"/>
  <c r="Q92" i="62898"/>
  <c r="AQ92" i="62898" s="1"/>
  <c r="N83" i="62898"/>
  <c r="N84" i="62898"/>
  <c r="AQ84" i="62898"/>
  <c r="N82" i="62898"/>
  <c r="AK82" i="62898" s="1"/>
  <c r="N73" i="62898"/>
  <c r="AQ73" i="62898" s="1"/>
  <c r="N74" i="62898"/>
  <c r="AQ74" i="62898"/>
  <c r="N72" i="62898"/>
  <c r="AQ72" i="62898" s="1"/>
  <c r="AQ76" i="62898" s="1"/>
  <c r="N63" i="62898"/>
  <c r="AK63" i="62898"/>
  <c r="N64" i="62898"/>
  <c r="AK64" i="62898"/>
  <c r="N62" i="62898"/>
  <c r="AK62" i="62898" s="1"/>
  <c r="AK66" i="62898" s="1"/>
  <c r="N53" i="62898"/>
  <c r="AQ53" i="62898" s="1"/>
  <c r="N54" i="62898"/>
  <c r="AK54" i="62898"/>
  <c r="N42" i="62898"/>
  <c r="AK42" i="62898"/>
  <c r="N43" i="62898"/>
  <c r="AK43" i="62898" s="1"/>
  <c r="N44" i="62898"/>
  <c r="AK44" i="62898" s="1"/>
  <c r="Q31" i="62898"/>
  <c r="AQ31" i="62898"/>
  <c r="Q32" i="62898"/>
  <c r="Q33" i="62898"/>
  <c r="AK33" i="62898" s="1"/>
  <c r="L204" i="5"/>
  <c r="AJ204" i="5" s="1"/>
  <c r="L205" i="5"/>
  <c r="AO205" i="5"/>
  <c r="O164" i="5"/>
  <c r="AJ164" i="5" s="1"/>
  <c r="O165" i="5"/>
  <c r="AO165" i="5" s="1"/>
  <c r="AO167" i="5" s="1"/>
  <c r="R76" i="5"/>
  <c r="R77" i="5"/>
  <c r="AQ77" i="5"/>
  <c r="V47" i="5"/>
  <c r="AK47" i="5"/>
  <c r="V48" i="5"/>
  <c r="V49" i="5"/>
  <c r="AK49" i="5"/>
  <c r="V50" i="5"/>
  <c r="AQ50" i="5" s="1"/>
  <c r="V51" i="5"/>
  <c r="AK51" i="5"/>
  <c r="V53" i="5"/>
  <c r="AQ53" i="5"/>
  <c r="V54" i="5"/>
  <c r="AQ54" i="5" s="1"/>
  <c r="V55" i="5"/>
  <c r="AK55" i="5" s="1"/>
  <c r="V56" i="5"/>
  <c r="AK56" i="5"/>
  <c r="V57" i="5"/>
  <c r="AQ57" i="5"/>
  <c r="V58" i="5"/>
  <c r="AK58" i="5" s="1"/>
  <c r="AK69" i="5" s="1"/>
  <c r="V59" i="5"/>
  <c r="U29" i="5"/>
  <c r="AQ29" i="5"/>
  <c r="U30" i="5"/>
  <c r="U31" i="5"/>
  <c r="AK31" i="5" s="1"/>
  <c r="J70" i="2"/>
  <c r="K70" i="2"/>
  <c r="O70" i="2"/>
  <c r="AM244" i="62898"/>
  <c r="R71" i="11"/>
  <c r="R70" i="11"/>
  <c r="V107" i="2"/>
  <c r="AC122" i="62905"/>
  <c r="Q2232" i="62906"/>
  <c r="B109" i="62892"/>
  <c r="B110" i="62892"/>
  <c r="G85" i="9"/>
  <c r="G87" i="9" s="1"/>
  <c r="D267" i="9" s="1"/>
  <c r="J50" i="2"/>
  <c r="K50" i="2" s="1"/>
  <c r="K54" i="2" s="1"/>
  <c r="J52" i="2"/>
  <c r="K52" i="2"/>
  <c r="J60" i="2"/>
  <c r="K60" i="2" s="1"/>
  <c r="K64" i="2" s="1"/>
  <c r="J61" i="2"/>
  <c r="K61" i="2"/>
  <c r="J62" i="2"/>
  <c r="K62" i="2"/>
  <c r="J71" i="2"/>
  <c r="K71" i="2" s="1"/>
  <c r="K74" i="2" s="1"/>
  <c r="J72" i="2"/>
  <c r="K72" i="2" s="1"/>
  <c r="J80" i="2"/>
  <c r="K80" i="2"/>
  <c r="K81" i="2"/>
  <c r="J82" i="2"/>
  <c r="K82" i="2"/>
  <c r="K58" i="62905"/>
  <c r="L58" i="62905"/>
  <c r="K59" i="62905"/>
  <c r="L59" i="62905"/>
  <c r="V2189" i="62906"/>
  <c r="B114" i="62892"/>
  <c r="B115" i="62892"/>
  <c r="B116" i="62892"/>
  <c r="AU177" i="9"/>
  <c r="AO85" i="1"/>
  <c r="AO86" i="1"/>
  <c r="AO98" i="1"/>
  <c r="V50" i="1"/>
  <c r="V51" i="1"/>
  <c r="V52" i="1"/>
  <c r="V60" i="1"/>
  <c r="V61" i="1"/>
  <c r="V62" i="1"/>
  <c r="V84" i="1"/>
  <c r="V85" i="1"/>
  <c r="V86" i="1"/>
  <c r="V87" i="1"/>
  <c r="V95" i="1"/>
  <c r="V96" i="1"/>
  <c r="V97" i="1"/>
  <c r="V98" i="1"/>
  <c r="V99" i="1"/>
  <c r="E218" i="9"/>
  <c r="H216" i="9"/>
  <c r="AU216" i="9"/>
  <c r="AU217" i="9"/>
  <c r="I206" i="9"/>
  <c r="AI206" i="9"/>
  <c r="AG178" i="9"/>
  <c r="F11" i="62908"/>
  <c r="F12" i="62908"/>
  <c r="F13" i="62908"/>
  <c r="D16" i="62908"/>
  <c r="D17" i="62908"/>
  <c r="D18" i="62908"/>
  <c r="D19" i="62908"/>
  <c r="D20" i="62908"/>
  <c r="D21" i="62908"/>
  <c r="D22" i="62908"/>
  <c r="D23" i="62908"/>
  <c r="D24" i="62908"/>
  <c r="D25" i="62908"/>
  <c r="D28" i="62908"/>
  <c r="D26" i="62908"/>
  <c r="B2" i="1"/>
  <c r="B2" i="3"/>
  <c r="L81" i="3"/>
  <c r="L82" i="3"/>
  <c r="L83" i="3"/>
  <c r="L94" i="3"/>
  <c r="L95" i="3"/>
  <c r="L96" i="3"/>
  <c r="L14" i="7"/>
  <c r="S15" i="7"/>
  <c r="L15" i="7"/>
  <c r="Q16" i="7"/>
  <c r="L16" i="7"/>
  <c r="S17" i="7"/>
  <c r="L17" i="7"/>
  <c r="L28" i="7"/>
  <c r="Y29" i="7"/>
  <c r="L29" i="7"/>
  <c r="L30" i="7"/>
  <c r="Y31" i="7"/>
  <c r="L31" i="7"/>
  <c r="L42" i="7"/>
  <c r="Q43" i="7"/>
  <c r="L43" i="7"/>
  <c r="L44" i="7"/>
  <c r="N44" i="7" s="1"/>
  <c r="L45" i="7"/>
  <c r="E56" i="7"/>
  <c r="L56" i="7"/>
  <c r="Y57" i="7"/>
  <c r="L57" i="7"/>
  <c r="Q58" i="7"/>
  <c r="L58" i="7"/>
  <c r="S69" i="7"/>
  <c r="F69" i="7"/>
  <c r="L69" i="7"/>
  <c r="S70" i="7"/>
  <c r="F70" i="7"/>
  <c r="L70" i="7"/>
  <c r="S71" i="7"/>
  <c r="F71" i="7"/>
  <c r="L71" i="7"/>
  <c r="Y72" i="7"/>
  <c r="F72" i="7"/>
  <c r="L72" i="7"/>
  <c r="L81" i="7"/>
  <c r="Y94" i="7"/>
  <c r="L94" i="7"/>
  <c r="Q95" i="7"/>
  <c r="L95" i="7"/>
  <c r="Y96" i="7"/>
  <c r="L96" i="7"/>
  <c r="S97" i="7"/>
  <c r="L97" i="7"/>
  <c r="S109" i="7"/>
  <c r="E132" i="7"/>
  <c r="Y133" i="7"/>
  <c r="Q141" i="7"/>
  <c r="L141" i="7"/>
  <c r="L142" i="7"/>
  <c r="Y176" i="7"/>
  <c r="L176" i="7"/>
  <c r="L177" i="7"/>
  <c r="L178" i="7"/>
  <c r="Q13" i="11"/>
  <c r="M1692" i="62906"/>
  <c r="R13" i="11" s="1"/>
  <c r="Y14" i="11"/>
  <c r="Q14" i="11"/>
  <c r="M1693" i="62906"/>
  <c r="V38" i="62905"/>
  <c r="Q15" i="11"/>
  <c r="Y16" i="11"/>
  <c r="Q16" i="11"/>
  <c r="AC27" i="11"/>
  <c r="Q27" i="11"/>
  <c r="M1719" i="62906"/>
  <c r="R27" i="11"/>
  <c r="Y28" i="11"/>
  <c r="Q28" i="11"/>
  <c r="M1724" i="62906"/>
  <c r="V47" i="62905" s="1"/>
  <c r="Q29" i="11"/>
  <c r="M1728" i="62906"/>
  <c r="AO30" i="11"/>
  <c r="Q30" i="11"/>
  <c r="T30" i="11" s="1"/>
  <c r="M1726" i="62906"/>
  <c r="V50" i="62905"/>
  <c r="AO41" i="11"/>
  <c r="Q41" i="11"/>
  <c r="Q42" i="11"/>
  <c r="Q43" i="11"/>
  <c r="Q44" i="11"/>
  <c r="Y55" i="11"/>
  <c r="Q55" i="11"/>
  <c r="AO56" i="11"/>
  <c r="Q56" i="11"/>
  <c r="AC57" i="11"/>
  <c r="Q57" i="11"/>
  <c r="Q68" i="11"/>
  <c r="R68" i="11"/>
  <c r="Q69" i="11"/>
  <c r="AC70" i="11"/>
  <c r="Q70" i="11"/>
  <c r="Y71" i="11"/>
  <c r="Q71" i="11"/>
  <c r="T71" i="11" s="1"/>
  <c r="AO83" i="11"/>
  <c r="B2" i="5"/>
  <c r="AM28" i="5"/>
  <c r="N28" i="5"/>
  <c r="X28" i="5"/>
  <c r="BE29" i="5"/>
  <c r="N29" i="5"/>
  <c r="X29" i="5"/>
  <c r="BE30" i="5"/>
  <c r="N30" i="5"/>
  <c r="X30" i="5"/>
  <c r="BE31" i="5"/>
  <c r="N31" i="5"/>
  <c r="X31" i="5"/>
  <c r="AO78" i="5"/>
  <c r="AQ78" i="5"/>
  <c r="AG99" i="5"/>
  <c r="AG100" i="5"/>
  <c r="AF119" i="5"/>
  <c r="AH119" i="5"/>
  <c r="AW137" i="5"/>
  <c r="AG203" i="5"/>
  <c r="BB203" i="5"/>
  <c r="L203" i="5"/>
  <c r="AO203" i="5" s="1"/>
  <c r="AO207" i="5" s="1"/>
  <c r="BA204" i="5"/>
  <c r="AH204" i="5"/>
  <c r="BA205" i="5"/>
  <c r="B2" i="62898"/>
  <c r="X30" i="62898"/>
  <c r="X31" i="62898"/>
  <c r="X32" i="62898"/>
  <c r="X33" i="62898"/>
  <c r="AN41" i="62898"/>
  <c r="BG41" i="62898"/>
  <c r="X41" i="62898"/>
  <c r="AM42" i="62898"/>
  <c r="AN42" i="62898"/>
  <c r="BG42" i="62898"/>
  <c r="BG46" i="62898" s="1"/>
  <c r="X42" i="62898"/>
  <c r="BE43" i="62898"/>
  <c r="AH43" i="62898"/>
  <c r="AI43" i="62898"/>
  <c r="X43" i="62898"/>
  <c r="AM44" i="62898"/>
  <c r="AN44" i="62898"/>
  <c r="AI44" i="62898"/>
  <c r="X44" i="62898"/>
  <c r="E113" i="62898"/>
  <c r="BF159" i="62898"/>
  <c r="X159" i="62898"/>
  <c r="AG160" i="62898"/>
  <c r="AI160" i="62898"/>
  <c r="X160" i="62898"/>
  <c r="BE161" i="62898"/>
  <c r="BF161" i="62898"/>
  <c r="AO161" i="62898"/>
  <c r="X161" i="62898"/>
  <c r="AQ185" i="62898"/>
  <c r="AO195" i="62898"/>
  <c r="AQ195" i="62898"/>
  <c r="F213" i="62898"/>
  <c r="AW221" i="62898"/>
  <c r="AI222" i="62898"/>
  <c r="AI223" i="62898"/>
  <c r="BE245" i="62898"/>
  <c r="BE246" i="62898"/>
  <c r="AG247" i="62898"/>
  <c r="AM310" i="62898"/>
  <c r="AN310" i="62898"/>
  <c r="N310" i="62898"/>
  <c r="AQ310" i="62898" s="1"/>
  <c r="AQ314" i="62898" s="1"/>
  <c r="X310" i="62898"/>
  <c r="AM311" i="62898"/>
  <c r="AN311" i="62898"/>
  <c r="AI311" i="62898"/>
  <c r="X311" i="62898"/>
  <c r="BE312" i="62898"/>
  <c r="AI312" i="62898"/>
  <c r="X312" i="62898"/>
  <c r="AQ323" i="62898"/>
  <c r="AM352" i="62898"/>
  <c r="AI381" i="62898"/>
  <c r="AI382" i="62898"/>
  <c r="B2" i="2"/>
  <c r="O50" i="2"/>
  <c r="O51" i="2"/>
  <c r="O52" i="2"/>
  <c r="O60" i="2"/>
  <c r="O61" i="2"/>
  <c r="O62" i="2"/>
  <c r="O71" i="2"/>
  <c r="O72" i="2"/>
  <c r="O80" i="2"/>
  <c r="O81" i="2"/>
  <c r="O82" i="2"/>
  <c r="O120" i="2"/>
  <c r="O121" i="2"/>
  <c r="O122" i="2"/>
  <c r="Q122" i="2" s="1"/>
  <c r="O130" i="2"/>
  <c r="O131" i="2"/>
  <c r="O132" i="2"/>
  <c r="B2" i="9"/>
  <c r="AG15" i="9"/>
  <c r="Y15" i="9"/>
  <c r="AG16" i="9"/>
  <c r="H16" i="9"/>
  <c r="Y16" i="9"/>
  <c r="AU17" i="9"/>
  <c r="H17" i="9"/>
  <c r="Y17" i="9"/>
  <c r="AU18" i="9"/>
  <c r="H18" i="9"/>
  <c r="Y18" i="9"/>
  <c r="G36" i="9"/>
  <c r="AG36" i="9"/>
  <c r="Y36" i="9"/>
  <c r="AG37" i="9"/>
  <c r="G37" i="9"/>
  <c r="I37" i="9"/>
  <c r="Y37" i="9"/>
  <c r="AU38" i="9"/>
  <c r="G38" i="9"/>
  <c r="I38" i="9"/>
  <c r="Y38" i="9"/>
  <c r="AU46" i="9"/>
  <c r="Y46" i="9"/>
  <c r="E47" i="9"/>
  <c r="Y48" i="9"/>
  <c r="AI56" i="9"/>
  <c r="I56" i="9"/>
  <c r="Y56" i="9"/>
  <c r="AG57" i="9"/>
  <c r="I57" i="9"/>
  <c r="Y57" i="9"/>
  <c r="AG58" i="9"/>
  <c r="I58" i="9"/>
  <c r="Y58" i="9"/>
  <c r="E66" i="9"/>
  <c r="I66" i="9"/>
  <c r="Y66" i="9"/>
  <c r="AU67" i="9"/>
  <c r="I67" i="9"/>
  <c r="Y67" i="9"/>
  <c r="AU68" i="9"/>
  <c r="I68" i="9"/>
  <c r="Y68" i="9"/>
  <c r="E76" i="9"/>
  <c r="I76" i="9"/>
  <c r="Y76" i="9"/>
  <c r="AG77" i="9"/>
  <c r="Y77" i="9"/>
  <c r="Y78" i="9"/>
  <c r="G106" i="9"/>
  <c r="AA107" i="9"/>
  <c r="G107" i="9"/>
  <c r="AI108" i="9"/>
  <c r="G108" i="9"/>
  <c r="AI116" i="9"/>
  <c r="AI117" i="9"/>
  <c r="E118" i="9"/>
  <c r="AI126" i="9"/>
  <c r="AG127" i="9"/>
  <c r="AG136" i="9"/>
  <c r="I136" i="9"/>
  <c r="Y136" i="9"/>
  <c r="I137" i="9"/>
  <c r="Y137" i="9"/>
  <c r="AG138" i="9"/>
  <c r="I138" i="9"/>
  <c r="Y138" i="9"/>
  <c r="AG146" i="9"/>
  <c r="I146" i="9"/>
  <c r="Y146" i="9"/>
  <c r="E147" i="9"/>
  <c r="I147" i="9"/>
  <c r="Y147" i="9"/>
  <c r="AI148" i="9"/>
  <c r="I148" i="9"/>
  <c r="Y148" i="9"/>
  <c r="E156" i="9"/>
  <c r="I156" i="9"/>
  <c r="Y156" i="9"/>
  <c r="Y157" i="9"/>
  <c r="Y158" i="9"/>
  <c r="H176" i="9"/>
  <c r="Y176" i="9"/>
  <c r="H177" i="9"/>
  <c r="Y177" i="9"/>
  <c r="H178" i="9"/>
  <c r="Y178" i="9"/>
  <c r="AG186" i="9"/>
  <c r="I186" i="9"/>
  <c r="Y186" i="9"/>
  <c r="AI187" i="9"/>
  <c r="I187" i="9"/>
  <c r="Y187" i="9"/>
  <c r="AG188" i="9"/>
  <c r="I188" i="9"/>
  <c r="Y188" i="9"/>
  <c r="Y196" i="9"/>
  <c r="I197" i="9"/>
  <c r="Y197" i="9"/>
  <c r="E198" i="9"/>
  <c r="I198" i="9"/>
  <c r="Y198" i="9"/>
  <c r="Y206" i="9"/>
  <c r="AU207" i="9"/>
  <c r="Y207" i="9"/>
  <c r="AU208" i="9"/>
  <c r="Y208" i="9"/>
  <c r="Y216" i="9"/>
  <c r="H217" i="9"/>
  <c r="Y217" i="9"/>
  <c r="H218" i="9"/>
  <c r="Y218" i="9"/>
  <c r="AG236" i="9"/>
  <c r="AG238" i="9"/>
  <c r="AG239" i="9"/>
  <c r="AU240" i="9"/>
  <c r="Y240" i="9"/>
  <c r="AG248" i="9"/>
  <c r="AG250" i="9" s="1"/>
  <c r="B2" i="62904"/>
  <c r="AO63" i="62904"/>
  <c r="V63" i="62904"/>
  <c r="AO64" i="62904"/>
  <c r="V64" i="62904"/>
  <c r="AO65" i="62904"/>
  <c r="V65" i="62904"/>
  <c r="F73" i="62904"/>
  <c r="V89" i="62904"/>
  <c r="V90" i="62904"/>
  <c r="V91" i="62904"/>
  <c r="V99" i="62904"/>
  <c r="V100" i="62904"/>
  <c r="V101" i="62904"/>
  <c r="B2" i="62905"/>
  <c r="M1729" i="62906"/>
  <c r="M1704" i="62906"/>
  <c r="M1705" i="62906"/>
  <c r="M1706" i="62906"/>
  <c r="M1707" i="62906" s="1"/>
  <c r="V70" i="62905"/>
  <c r="V97" i="62905"/>
  <c r="E98" i="62905"/>
  <c r="V98" i="62905"/>
  <c r="V99" i="62905"/>
  <c r="V107" i="62905"/>
  <c r="V108" i="62905"/>
  <c r="AC109" i="62905"/>
  <c r="V109" i="62905"/>
  <c r="B7" i="62892"/>
  <c r="B8" i="62892"/>
  <c r="B9" i="62892"/>
  <c r="B10" i="62892"/>
  <c r="B11" i="62892"/>
  <c r="B14" i="62892"/>
  <c r="B15" i="62892"/>
  <c r="B16" i="62892"/>
  <c r="B17" i="62892"/>
  <c r="B18" i="62892"/>
  <c r="B21" i="62892"/>
  <c r="B22" i="62892"/>
  <c r="B23" i="62892"/>
  <c r="B24" i="62892"/>
  <c r="B25" i="62892"/>
  <c r="B26" i="62892"/>
  <c r="B27" i="62892"/>
  <c r="B28" i="62892"/>
  <c r="B29" i="62892"/>
  <c r="B32" i="62892"/>
  <c r="B33" i="62892"/>
  <c r="B34" i="62892"/>
  <c r="B35" i="62892"/>
  <c r="B36" i="62892"/>
  <c r="B37" i="62892"/>
  <c r="B44" i="62892"/>
  <c r="B45" i="62892"/>
  <c r="B46" i="62892"/>
  <c r="B47" i="62892"/>
  <c r="B48" i="62892"/>
  <c r="B49" i="62892"/>
  <c r="B50" i="62892"/>
  <c r="B51" i="62892"/>
  <c r="B40" i="62892"/>
  <c r="B41" i="62892"/>
  <c r="B42" i="62892"/>
  <c r="B43" i="62892"/>
  <c r="B54" i="62892"/>
  <c r="B55" i="62892"/>
  <c r="B56" i="62892"/>
  <c r="B57" i="62892"/>
  <c r="B58" i="62892"/>
  <c r="B59" i="62892"/>
  <c r="B60" i="62892"/>
  <c r="B63" i="62892"/>
  <c r="B64" i="62892"/>
  <c r="B65" i="62892"/>
  <c r="B66" i="62892"/>
  <c r="B67" i="62892"/>
  <c r="B68" i="62892"/>
  <c r="B71" i="62892"/>
  <c r="B72" i="62892"/>
  <c r="B73" i="62892"/>
  <c r="B74" i="62892"/>
  <c r="B77" i="62892"/>
  <c r="B78" i="62892"/>
  <c r="B79" i="62892"/>
  <c r="B80" i="62892"/>
  <c r="B83" i="62892"/>
  <c r="B84" i="62892"/>
  <c r="B85" i="62892"/>
  <c r="B86" i="62892"/>
  <c r="B87" i="62892"/>
  <c r="B88" i="62892"/>
  <c r="B89" i="62892"/>
  <c r="B90" i="62892"/>
  <c r="E40" i="2"/>
  <c r="M1723" i="62906"/>
  <c r="M1725" i="62906"/>
  <c r="M1727" i="62906"/>
  <c r="P1914" i="62906"/>
  <c r="P1954" i="62906"/>
  <c r="Q2225" i="62906"/>
  <c r="Q2226" i="62906"/>
  <c r="D10" i="62911"/>
  <c r="D11" i="62911"/>
  <c r="D12" i="62911"/>
  <c r="D13" i="62911"/>
  <c r="D14" i="62911"/>
  <c r="D15" i="62911"/>
  <c r="D20" i="62911"/>
  <c r="F20" i="62911"/>
  <c r="Q22" i="62911"/>
  <c r="Q20" i="62911" s="1"/>
  <c r="I20" i="62911"/>
  <c r="E21" i="62911"/>
  <c r="M22" i="62911"/>
  <c r="D22" i="62911"/>
  <c r="F22" i="62911"/>
  <c r="M25" i="62911"/>
  <c r="O26" i="62911"/>
  <c r="F26" i="62911" s="1"/>
  <c r="F23" i="62911"/>
  <c r="G23" i="62911"/>
  <c r="S23" i="62911"/>
  <c r="J23" i="62911" s="1"/>
  <c r="F24" i="62911"/>
  <c r="H24" i="62911"/>
  <c r="I25" i="62911"/>
  <c r="G26" i="62911"/>
  <c r="J26" i="62911"/>
  <c r="Y126" i="9"/>
  <c r="H48" i="9"/>
  <c r="L83" i="7"/>
  <c r="Q81" i="7"/>
  <c r="H46" i="9"/>
  <c r="L80" i="7"/>
  <c r="H126" i="9"/>
  <c r="O194" i="5"/>
  <c r="AO194" i="5"/>
  <c r="O195" i="5"/>
  <c r="AO195" i="5" s="1"/>
  <c r="Q82" i="7"/>
  <c r="I157" i="9"/>
  <c r="I77" i="9"/>
  <c r="I207" i="9"/>
  <c r="K60" i="62905"/>
  <c r="L60" i="62905" s="1"/>
  <c r="L63" i="62905" s="1"/>
  <c r="D147" i="62905" s="1"/>
  <c r="E147" i="62905" s="1"/>
  <c r="I208" i="9"/>
  <c r="K61" i="62905"/>
  <c r="L61" i="62905"/>
  <c r="H127" i="9"/>
  <c r="I158" i="9"/>
  <c r="Y127" i="9"/>
  <c r="Y47" i="9"/>
  <c r="L82" i="7"/>
  <c r="H128" i="9"/>
  <c r="Y128" i="9"/>
  <c r="H47" i="9"/>
  <c r="Y44" i="7"/>
  <c r="I78" i="9"/>
  <c r="N99" i="5"/>
  <c r="N98" i="5"/>
  <c r="AQ98" i="5"/>
  <c r="U39" i="5"/>
  <c r="AQ39" i="5" s="1"/>
  <c r="V67" i="5"/>
  <c r="N41" i="62898"/>
  <c r="AQ41" i="62898"/>
  <c r="W96" i="9"/>
  <c r="AO96" i="9"/>
  <c r="N100" i="5"/>
  <c r="AK100" i="5" s="1"/>
  <c r="AX207" i="62898"/>
  <c r="K455" i="62898" s="1"/>
  <c r="K457" i="62898" s="1"/>
  <c r="R75" i="5"/>
  <c r="O163" i="5"/>
  <c r="AU207" i="62898"/>
  <c r="G420" i="62898"/>
  <c r="G422" i="62898"/>
  <c r="AS207" i="62898"/>
  <c r="E455" i="62898"/>
  <c r="E457" i="62898"/>
  <c r="AT113" i="5"/>
  <c r="AX113" i="5"/>
  <c r="AS113" i="5"/>
  <c r="AT207" i="62898"/>
  <c r="F455" i="62898"/>
  <c r="F457" i="62898" s="1"/>
  <c r="AU113" i="5"/>
  <c r="Q30" i="62898"/>
  <c r="AQ30" i="62898" s="1"/>
  <c r="O193" i="5"/>
  <c r="O183" i="5"/>
  <c r="P361" i="62898"/>
  <c r="V52" i="5"/>
  <c r="AT73" i="1"/>
  <c r="C2186" i="62906"/>
  <c r="C2231" i="62906"/>
  <c r="C2185" i="62906"/>
  <c r="V80" i="2"/>
  <c r="C2187" i="62906"/>
  <c r="D2228" i="62906"/>
  <c r="C2227" i="62906"/>
  <c r="C2188" i="62906"/>
  <c r="C2229" i="62906"/>
  <c r="C2230" i="62906"/>
  <c r="C2228" i="62906"/>
  <c r="AH27" i="9"/>
  <c r="AH96" i="9"/>
  <c r="D2229" i="62906"/>
  <c r="D2185" i="62906"/>
  <c r="D2230" i="62906"/>
  <c r="D2186" i="62906"/>
  <c r="AL27" i="9"/>
  <c r="AL96" i="9"/>
  <c r="AH97" i="9"/>
  <c r="F466" i="62898"/>
  <c r="K466" i="62898"/>
  <c r="F188" i="1"/>
  <c r="F10" i="62915" s="1"/>
  <c r="R10" i="62915" s="1"/>
  <c r="E670" i="5"/>
  <c r="E466" i="62898"/>
  <c r="G466" i="62898"/>
  <c r="AG26" i="9"/>
  <c r="F463" i="62898"/>
  <c r="F429" i="62898"/>
  <c r="K463" i="62898"/>
  <c r="M429" i="62898"/>
  <c r="E463" i="62898"/>
  <c r="E429" i="62898"/>
  <c r="G463" i="62898"/>
  <c r="G429" i="62898"/>
  <c r="E441" i="62898"/>
  <c r="G441" i="62898"/>
  <c r="F441" i="62898"/>
  <c r="M441" i="62898"/>
  <c r="F472" i="62898"/>
  <c r="F33" i="62915" s="1"/>
  <c r="R33" i="62915" s="1"/>
  <c r="F430" i="62898"/>
  <c r="M430" i="62898"/>
  <c r="M25" i="62914" s="1"/>
  <c r="Y25" i="62914" s="1"/>
  <c r="K472" i="62898"/>
  <c r="K33" i="62915" s="1"/>
  <c r="W33" i="62915" s="1"/>
  <c r="E430" i="62898"/>
  <c r="E25" i="62914" s="1"/>
  <c r="Q25" i="62914" s="1"/>
  <c r="E472" i="62898"/>
  <c r="G430" i="62898"/>
  <c r="G472" i="62898"/>
  <c r="M416" i="62898"/>
  <c r="K450" i="62898"/>
  <c r="K454" i="62898" s="1"/>
  <c r="F450" i="62898"/>
  <c r="F416" i="62898"/>
  <c r="F419" i="62898" s="1"/>
  <c r="E416" i="62898"/>
  <c r="E419" i="62898" s="1"/>
  <c r="E450" i="62898"/>
  <c r="E454" i="62898" s="1"/>
  <c r="G416" i="62898"/>
  <c r="G419" i="62898" s="1"/>
  <c r="G450" i="62898"/>
  <c r="G454" i="62898" s="1"/>
  <c r="K707" i="5"/>
  <c r="M661" i="5"/>
  <c r="M24" i="62914" s="1"/>
  <c r="Y24" i="62914" s="1"/>
  <c r="G661" i="5"/>
  <c r="G24" i="62914" s="1"/>
  <c r="S24" i="62914" s="1"/>
  <c r="G700" i="5"/>
  <c r="E700" i="5"/>
  <c r="E698" i="5" s="1"/>
  <c r="E661" i="5"/>
  <c r="E24" i="62914" s="1"/>
  <c r="Q24" i="62914" s="1"/>
  <c r="F661" i="5"/>
  <c r="F700" i="5"/>
  <c r="E686" i="5"/>
  <c r="E11" i="62915" s="1"/>
  <c r="Q11" i="62915" s="1"/>
  <c r="E648" i="5"/>
  <c r="F686" i="5"/>
  <c r="F648" i="5"/>
  <c r="K686" i="5"/>
  <c r="M648" i="5"/>
  <c r="G648" i="5"/>
  <c r="G686" i="5"/>
  <c r="K147" i="62904"/>
  <c r="K33" i="62914" s="1"/>
  <c r="W33" i="62914" s="1"/>
  <c r="W27" i="9"/>
  <c r="W26" i="9"/>
  <c r="G285" i="9"/>
  <c r="F285" i="9"/>
  <c r="M275" i="9"/>
  <c r="M278" i="9" s="1"/>
  <c r="F275" i="9"/>
  <c r="F11" i="62914" s="1"/>
  <c r="R11" i="62914" s="1"/>
  <c r="G275" i="9"/>
  <c r="G278" i="9"/>
  <c r="K122" i="3"/>
  <c r="K12" i="62914"/>
  <c r="W12" i="62914"/>
  <c r="I156" i="3"/>
  <c r="I12" i="62915"/>
  <c r="U12" i="62915" s="1"/>
  <c r="U15" i="62915" s="1"/>
  <c r="H156" i="3"/>
  <c r="H12" i="62915" s="1"/>
  <c r="T12" i="62915" s="1"/>
  <c r="D2231" i="62906"/>
  <c r="D2187" i="62906"/>
  <c r="D2227" i="62906"/>
  <c r="D2188" i="62906"/>
  <c r="R57" i="11"/>
  <c r="F21" i="62911"/>
  <c r="R56" i="11"/>
  <c r="R16" i="11"/>
  <c r="V39" i="62905"/>
  <c r="H157" i="3"/>
  <c r="H13" i="62915"/>
  <c r="T13" i="62915" s="1"/>
  <c r="K137" i="3"/>
  <c r="K27" i="62914"/>
  <c r="W27" i="62914" s="1"/>
  <c r="I178" i="3"/>
  <c r="I34" i="62915" s="1"/>
  <c r="U34" i="62915" s="1"/>
  <c r="I157" i="3"/>
  <c r="I13" i="62915"/>
  <c r="U13" i="62915" s="1"/>
  <c r="K123" i="3"/>
  <c r="K13" i="62914" s="1"/>
  <c r="W13" i="62914" s="1"/>
  <c r="L275" i="9"/>
  <c r="L278" i="9" s="1"/>
  <c r="M285" i="9"/>
  <c r="L160" i="1"/>
  <c r="L16" i="62914" s="1"/>
  <c r="X16" i="62914" s="1"/>
  <c r="J466" i="62898"/>
  <c r="J27" i="62915" s="1"/>
  <c r="F55" i="62915" s="1"/>
  <c r="L441" i="62898"/>
  <c r="BF43" i="62898"/>
  <c r="J472" i="62898" s="1"/>
  <c r="J33" i="62915" s="1"/>
  <c r="F61" i="62915" s="1"/>
  <c r="BG43" i="62898"/>
  <c r="J686" i="5"/>
  <c r="L648" i="5"/>
  <c r="L285" i="9"/>
  <c r="J195" i="1"/>
  <c r="J17" i="62915" s="1"/>
  <c r="V17" i="62915" s="1"/>
  <c r="E285" i="9"/>
  <c r="Z31" i="62898"/>
  <c r="Z32" i="62898"/>
  <c r="Z33" i="62898"/>
  <c r="Z41" i="62898"/>
  <c r="Z46" i="62898" s="1"/>
  <c r="Z42" i="62898"/>
  <c r="Z43" i="62898"/>
  <c r="Z44" i="62898"/>
  <c r="Z52" i="62898"/>
  <c r="Z53" i="62898"/>
  <c r="Z56" i="62898" s="1"/>
  <c r="Z54" i="62898"/>
  <c r="Z62" i="62898"/>
  <c r="Z63" i="62898"/>
  <c r="Z66" i="62898" s="1"/>
  <c r="Z64" i="62898"/>
  <c r="Z72" i="62898"/>
  <c r="Z76" i="62898" s="1"/>
  <c r="Z73" i="62898"/>
  <c r="Z74" i="62898"/>
  <c r="Z82" i="62898"/>
  <c r="Z83" i="62898"/>
  <c r="Z86" i="62898" s="1"/>
  <c r="Z84" i="62898"/>
  <c r="Z92" i="62898"/>
  <c r="Z93" i="62898"/>
  <c r="Z102" i="62898"/>
  <c r="Z103" i="62898"/>
  <c r="Z106" i="62898" s="1"/>
  <c r="Z104" i="62898"/>
  <c r="Z139" i="62898"/>
  <c r="Z140" i="62898"/>
  <c r="Z143" i="62898" s="1"/>
  <c r="Z141" i="62898"/>
  <c r="Z149" i="62898"/>
  <c r="Z153" i="62898" s="1"/>
  <c r="Z150" i="62898"/>
  <c r="Z151" i="62898"/>
  <c r="Z159" i="62898"/>
  <c r="Z160" i="62898"/>
  <c r="Z163" i="62898" s="1"/>
  <c r="Z161" i="62898"/>
  <c r="Z172" i="62898"/>
  <c r="Z173" i="62898"/>
  <c r="Z174" i="62898"/>
  <c r="Z176" i="62898"/>
  <c r="Z182" i="62898"/>
  <c r="Z183" i="62898"/>
  <c r="Z186" i="62898" s="1"/>
  <c r="Z184" i="62898"/>
  <c r="Z192" i="62898"/>
  <c r="Z193" i="62898"/>
  <c r="Z196" i="62898" s="1"/>
  <c r="Z194" i="62898"/>
  <c r="Z310" i="62898"/>
  <c r="Z311" i="62898"/>
  <c r="Z312" i="62898"/>
  <c r="Z320" i="62898"/>
  <c r="Z321" i="62898"/>
  <c r="Z324" i="62898" s="1"/>
  <c r="Z322" i="62898"/>
  <c r="Z330" i="62898"/>
  <c r="Z331" i="62898"/>
  <c r="Z332" i="62898"/>
  <c r="Z334" i="62898"/>
  <c r="Z340" i="62898"/>
  <c r="Z341" i="62898"/>
  <c r="Z344" i="62898" s="1"/>
  <c r="Z342" i="62898"/>
  <c r="E460" i="62898"/>
  <c r="L460" i="62898"/>
  <c r="L21" i="62915" s="1"/>
  <c r="X21" i="62915" s="1"/>
  <c r="K460" i="62898"/>
  <c r="BE41" i="62898"/>
  <c r="BE42" i="62898"/>
  <c r="J460" i="62898"/>
  <c r="F460" i="62898"/>
  <c r="I460" i="62898"/>
  <c r="G460" i="62898"/>
  <c r="H460" i="62898"/>
  <c r="H474" i="62898" s="1"/>
  <c r="AW374" i="62898"/>
  <c r="L59" i="3"/>
  <c r="L56" i="3"/>
  <c r="L57" i="3"/>
  <c r="R41" i="11"/>
  <c r="P1962" i="62906"/>
  <c r="Y16" i="2"/>
  <c r="Z16" i="2"/>
  <c r="H313" i="9"/>
  <c r="H11" i="62915"/>
  <c r="T11" i="62915"/>
  <c r="E362" i="62906"/>
  <c r="AC18" i="2"/>
  <c r="AC16" i="2"/>
  <c r="AV374" i="62898"/>
  <c r="K16" i="2"/>
  <c r="L16" i="2" s="1"/>
  <c r="BE352" i="62898"/>
  <c r="F670" i="5"/>
  <c r="F668" i="5" s="1"/>
  <c r="F707" i="5"/>
  <c r="F705" i="5" s="1"/>
  <c r="E707" i="5"/>
  <c r="E705" i="5" s="1"/>
  <c r="X16" i="2"/>
  <c r="BJ250" i="9"/>
  <c r="F24" i="62915"/>
  <c r="R24" i="62915" s="1"/>
  <c r="E188" i="1"/>
  <c r="E193" i="1" s="1"/>
  <c r="M154" i="1"/>
  <c r="M10" i="62914" s="1"/>
  <c r="Y10" i="62914" s="1"/>
  <c r="G188" i="1"/>
  <c r="G193" i="1" s="1"/>
  <c r="AV30" i="1"/>
  <c r="AO92" i="62905"/>
  <c r="H32" i="62915"/>
  <c r="T32" i="62915"/>
  <c r="I32" i="62915"/>
  <c r="U32" i="62915"/>
  <c r="K30" i="62914"/>
  <c r="W30" i="62914"/>
  <c r="E11" i="62914"/>
  <c r="Q11" i="62914" s="1"/>
  <c r="BG150" i="9"/>
  <c r="BD120" i="9"/>
  <c r="E27" i="62915"/>
  <c r="Q27" i="62915" s="1"/>
  <c r="G27" i="62915"/>
  <c r="S27" i="62915" s="1"/>
  <c r="L474" i="62898"/>
  <c r="E24" i="62915"/>
  <c r="Q24" i="62915"/>
  <c r="G36" i="62914"/>
  <c r="S36" i="62914"/>
  <c r="G24" i="62915"/>
  <c r="S24" i="62915" s="1"/>
  <c r="M36" i="62914"/>
  <c r="Y36" i="62914"/>
  <c r="F36" i="62914"/>
  <c r="R36" i="62914"/>
  <c r="AW93" i="62898"/>
  <c r="K11" i="62915"/>
  <c r="W11" i="62915" s="1"/>
  <c r="W15" i="62915" s="1"/>
  <c r="K27" i="62915"/>
  <c r="W27" i="62915" s="1"/>
  <c r="L24" i="62914"/>
  <c r="L36" i="62914"/>
  <c r="G33" i="62915"/>
  <c r="S33" i="62915" s="1"/>
  <c r="G25" i="62914"/>
  <c r="S25" i="62914" s="1"/>
  <c r="E33" i="62915"/>
  <c r="Q33" i="62915" s="1"/>
  <c r="F24" i="62914"/>
  <c r="R24" i="62914"/>
  <c r="E36" i="62914"/>
  <c r="Q36" i="62914"/>
  <c r="F25" i="62914"/>
  <c r="R25" i="62914" s="1"/>
  <c r="F27" i="62915"/>
  <c r="R27" i="62915" s="1"/>
  <c r="K24" i="62915"/>
  <c r="W24" i="62915" s="1"/>
  <c r="I23" i="62915"/>
  <c r="U23" i="62915"/>
  <c r="L23" i="62915"/>
  <c r="X23" i="62915"/>
  <c r="H22" i="62914"/>
  <c r="T22" i="62914" s="1"/>
  <c r="F690" i="5"/>
  <c r="I22" i="62914"/>
  <c r="U22" i="62914"/>
  <c r="F651" i="5"/>
  <c r="L651" i="5"/>
  <c r="K22" i="62914"/>
  <c r="W22" i="62914" s="1"/>
  <c r="G690" i="5"/>
  <c r="J22" i="62914"/>
  <c r="V22" i="62914"/>
  <c r="L30" i="62915"/>
  <c r="X30" i="62915" s="1"/>
  <c r="E13" i="3"/>
  <c r="E15" i="3" s="1"/>
  <c r="G158" i="1"/>
  <c r="G10" i="62914"/>
  <c r="S10" i="62914" s="1"/>
  <c r="K193" i="1"/>
  <c r="K10" i="62915"/>
  <c r="W10" i="62915" s="1"/>
  <c r="E158" i="1"/>
  <c r="E10" i="62914"/>
  <c r="Q10" i="62914" s="1"/>
  <c r="F158" i="1"/>
  <c r="F10" i="62914"/>
  <c r="R10" i="62914" s="1"/>
  <c r="AP107" i="1"/>
  <c r="F130" i="1"/>
  <c r="G161" i="1"/>
  <c r="AU66" i="62898"/>
  <c r="BA143" i="62898"/>
  <c r="AX86" i="62898"/>
  <c r="AW176" i="62898"/>
  <c r="BH186" i="62898"/>
  <c r="AY334" i="62898"/>
  <c r="AU324" i="62898"/>
  <c r="BI324" i="62898"/>
  <c r="G455" i="62898"/>
  <c r="G457" i="62898"/>
  <c r="BA283" i="62898"/>
  <c r="AS196" i="62898"/>
  <c r="BA196" i="62898"/>
  <c r="AS106" i="62898"/>
  <c r="BA106" i="62898"/>
  <c r="AX344" i="62898"/>
  <c r="E420" i="62898"/>
  <c r="E422" i="62898" s="1"/>
  <c r="AX374" i="62898"/>
  <c r="BI66" i="62898"/>
  <c r="AW187" i="5"/>
  <c r="BC187" i="5"/>
  <c r="AS41" i="5"/>
  <c r="AZ79" i="5"/>
  <c r="Z442" i="5"/>
  <c r="BD131" i="5"/>
  <c r="BD187" i="5"/>
  <c r="AG541" i="5"/>
  <c r="X453" i="5"/>
  <c r="AD453" i="5" s="1"/>
  <c r="AT523" i="5"/>
  <c r="AT525" i="5"/>
  <c r="BA41" i="5"/>
  <c r="AV483" i="5"/>
  <c r="BJ483" i="5"/>
  <c r="BE480" i="5"/>
  <c r="AS483" i="5"/>
  <c r="H714" i="5"/>
  <c r="E374" i="62906"/>
  <c r="N22" i="62911"/>
  <c r="E22" i="62911"/>
  <c r="E583" i="62906"/>
  <c r="E515" i="62906"/>
  <c r="P21" i="62911"/>
  <c r="N23" i="62911"/>
  <c r="E23" i="62911"/>
  <c r="E228" i="62906"/>
  <c r="AE92" i="62905"/>
  <c r="X92" i="62905"/>
  <c r="AC92" i="62905"/>
  <c r="D92" i="62905"/>
  <c r="D101" i="62905" s="1"/>
  <c r="E92" i="62905"/>
  <c r="BE190" i="9"/>
  <c r="BF250" i="9"/>
  <c r="BD20" i="9"/>
  <c r="BI120" i="9"/>
  <c r="BF150" i="9"/>
  <c r="BE180" i="9"/>
  <c r="BE140" i="9"/>
  <c r="BI140" i="9"/>
  <c r="AH321" i="62898"/>
  <c r="M420" i="62898"/>
  <c r="M422" i="62898"/>
  <c r="BB284" i="62898"/>
  <c r="AX143" i="62898"/>
  <c r="BH143" i="62898"/>
  <c r="AT153" i="62898"/>
  <c r="BH153" i="62898"/>
  <c r="AU86" i="62898"/>
  <c r="AT176" i="62898"/>
  <c r="AY186" i="62898"/>
  <c r="BJ334" i="62898"/>
  <c r="AZ334" i="62898"/>
  <c r="AZ324" i="62898"/>
  <c r="BF174" i="62898"/>
  <c r="BI93" i="62898"/>
  <c r="BF321" i="62898"/>
  <c r="BD601" i="5"/>
  <c r="AX523" i="5"/>
  <c r="AX525" i="5"/>
  <c r="B53" i="62892"/>
  <c r="B39" i="62892"/>
  <c r="B70" i="62892"/>
  <c r="B102" i="62892"/>
  <c r="AN30" i="1"/>
  <c r="AX196" i="62898"/>
  <c r="AS374" i="62898"/>
  <c r="AO62" i="62904"/>
  <c r="AO67" i="62904" s="1"/>
  <c r="AU41" i="5"/>
  <c r="BI196" i="62898"/>
  <c r="BI106" i="62898"/>
  <c r="AU143" i="62898"/>
  <c r="BI143" i="62898"/>
  <c r="AZ86" i="62898"/>
  <c r="AY176" i="62898"/>
  <c r="AV186" i="62898"/>
  <c r="BJ186" i="62898"/>
  <c r="AS334" i="62898"/>
  <c r="BA334" i="62898"/>
  <c r="AW324" i="62898"/>
  <c r="BA483" i="5"/>
  <c r="X460" i="5"/>
  <c r="AD460" i="5" s="1"/>
  <c r="BJ196" i="62898"/>
  <c r="BJ106" i="62898"/>
  <c r="AX66" i="62898"/>
  <c r="BJ143" i="62898"/>
  <c r="AS86" i="62898"/>
  <c r="BA86" i="62898"/>
  <c r="BH334" i="62898"/>
  <c r="AT483" i="5"/>
  <c r="BH483" i="5"/>
  <c r="X48" i="5"/>
  <c r="AD48" i="5" s="1"/>
  <c r="AE107" i="1"/>
  <c r="AO30" i="1"/>
  <c r="BA66" i="62898"/>
  <c r="AY143" i="62898"/>
  <c r="AU176" i="62898"/>
  <c r="AW334" i="62898"/>
  <c r="P1948" i="62906"/>
  <c r="BD374" i="62898"/>
  <c r="AX79" i="5"/>
  <c r="AY196" i="62898"/>
  <c r="BJ344" i="62898"/>
  <c r="AY106" i="62898"/>
  <c r="AS66" i="62898"/>
  <c r="BI153" i="62898"/>
  <c r="BJ86" i="62898"/>
  <c r="AZ186" i="62898"/>
  <c r="AS324" i="62898"/>
  <c r="AV523" i="5"/>
  <c r="AV525" i="5" s="1"/>
  <c r="AQ277" i="5"/>
  <c r="AQ151" i="62898"/>
  <c r="AU523" i="5"/>
  <c r="AU525" i="5"/>
  <c r="V61" i="62905"/>
  <c r="AZ196" i="62898"/>
  <c r="AZ106" i="62898"/>
  <c r="BH66" i="62898"/>
  <c r="AZ143" i="62898"/>
  <c r="AV153" i="62898"/>
  <c r="BJ153" i="62898"/>
  <c r="AW86" i="62898"/>
  <c r="BJ176" i="62898"/>
  <c r="AT324" i="62898"/>
  <c r="V59" i="3"/>
  <c r="BG242" i="9"/>
  <c r="BG250" i="9"/>
  <c r="F188" i="7"/>
  <c r="F190" i="7"/>
  <c r="D212" i="7" s="1"/>
  <c r="E212" i="7" s="1"/>
  <c r="C109" i="62892" s="1"/>
  <c r="AV281" i="5"/>
  <c r="AX483" i="5"/>
  <c r="AX581" i="5"/>
  <c r="AY41" i="5"/>
  <c r="AU153" i="62898"/>
  <c r="BI176" i="62898"/>
  <c r="BA324" i="62898"/>
  <c r="BD130" i="9"/>
  <c r="AW483" i="5"/>
  <c r="P2113" i="62906"/>
  <c r="BD250" i="9"/>
  <c r="Y18" i="2"/>
  <c r="Y21" i="2"/>
  <c r="V49" i="62905"/>
  <c r="AT196" i="62898"/>
  <c r="BH196" i="62898"/>
  <c r="BH106" i="62898"/>
  <c r="AD139" i="62898"/>
  <c r="BJ66" i="62898"/>
  <c r="AX153" i="62898"/>
  <c r="AY86" i="62898"/>
  <c r="AX176" i="62898"/>
  <c r="AU186" i="62898"/>
  <c r="BI186" i="62898"/>
  <c r="AV324" i="62898"/>
  <c r="BJ324" i="62898"/>
  <c r="BD160" i="9"/>
  <c r="BF190" i="9"/>
  <c r="BI220" i="9"/>
  <c r="BH250" i="9"/>
  <c r="AZ483" i="5"/>
  <c r="E471" i="62906"/>
  <c r="BH79" i="5"/>
  <c r="X52" i="5"/>
  <c r="AD52" i="5" s="1"/>
  <c r="AU384" i="62898"/>
  <c r="R29" i="11"/>
  <c r="AT581" i="5"/>
  <c r="P2060" i="62906"/>
  <c r="AG41" i="62898"/>
  <c r="B20" i="62892"/>
  <c r="S59" i="3"/>
  <c r="AH405" i="5"/>
  <c r="AW41" i="5"/>
  <c r="BD286" i="62898"/>
  <c r="AV79" i="5"/>
  <c r="AW196" i="62898"/>
  <c r="AW106" i="62898"/>
  <c r="AS176" i="62898"/>
  <c r="BA176" i="62898"/>
  <c r="AU334" i="62898"/>
  <c r="BI334" i="62898"/>
  <c r="BF120" i="9"/>
  <c r="BI190" i="9"/>
  <c r="AS321" i="5"/>
  <c r="AS323" i="5" s="1"/>
  <c r="AU483" i="5"/>
  <c r="BI483" i="5"/>
  <c r="AA178" i="9"/>
  <c r="BE220" i="9"/>
  <c r="Z300" i="5"/>
  <c r="AC300" i="5" s="1"/>
  <c r="AC304" i="5" s="1"/>
  <c r="AS571" i="5"/>
  <c r="AW571" i="5"/>
  <c r="AU591" i="5"/>
  <c r="X55" i="5"/>
  <c r="AD55" i="5"/>
  <c r="AT271" i="5"/>
  <c r="AX271" i="5"/>
  <c r="BH271" i="5"/>
  <c r="AS545" i="5"/>
  <c r="AV591" i="5"/>
  <c r="BD591" i="5"/>
  <c r="AX384" i="62898"/>
  <c r="E400" i="62906"/>
  <c r="E474" i="62906"/>
  <c r="E470" i="62906"/>
  <c r="E286" i="62906"/>
  <c r="E355" i="62906"/>
  <c r="P25" i="62911"/>
  <c r="R23" i="62911" s="1"/>
  <c r="I23" i="62911"/>
  <c r="E344" i="62906"/>
  <c r="E203" i="62906"/>
  <c r="E549" i="62906"/>
  <c r="E546" i="62906"/>
  <c r="E516" i="62906"/>
  <c r="E261" i="62906"/>
  <c r="E280" i="62906"/>
  <c r="E257" i="62906"/>
  <c r="E250" i="62906"/>
  <c r="E317" i="62906"/>
  <c r="E552" i="62906"/>
  <c r="K678" i="5"/>
  <c r="AP124" i="62905"/>
  <c r="D84" i="62904"/>
  <c r="E496" i="62906"/>
  <c r="E440" i="62906"/>
  <c r="E388" i="62906"/>
  <c r="E324" i="62906"/>
  <c r="E272" i="62906"/>
  <c r="E216" i="62906"/>
  <c r="E259" i="62906"/>
  <c r="E187" i="62906"/>
  <c r="E281" i="62906"/>
  <c r="E394" i="62906"/>
  <c r="E495" i="62906"/>
  <c r="E565" i="62906"/>
  <c r="E299" i="62906"/>
  <c r="E390" i="62906"/>
  <c r="E491" i="62906"/>
  <c r="E578" i="62906"/>
  <c r="E359" i="62906"/>
  <c r="E539" i="62906"/>
  <c r="E361" i="62906"/>
  <c r="E548" i="62906"/>
  <c r="E536" i="62906"/>
  <c r="E439" i="62906"/>
  <c r="E343" i="62906"/>
  <c r="E229" i="62906"/>
  <c r="E484" i="62906"/>
  <c r="E432" i="62906"/>
  <c r="E368" i="62906"/>
  <c r="E312" i="62906"/>
  <c r="E260" i="62906"/>
  <c r="E196" i="62906"/>
  <c r="E247" i="62906"/>
  <c r="D600" i="62906"/>
  <c r="E325" i="62906"/>
  <c r="E415" i="62906"/>
  <c r="E509" i="62906"/>
  <c r="E186" i="62906"/>
  <c r="E321" i="62906"/>
  <c r="E411" i="62906"/>
  <c r="E518" i="62906"/>
  <c r="E402" i="62906"/>
  <c r="E190" i="62906"/>
  <c r="E403" i="62906"/>
  <c r="E564" i="62906"/>
  <c r="E511" i="62906"/>
  <c r="E418" i="62906"/>
  <c r="E322" i="62906"/>
  <c r="M26" i="62911"/>
  <c r="S20" i="62911" s="1"/>
  <c r="J20" i="62911" s="1"/>
  <c r="E472" i="62906"/>
  <c r="E408" i="62906"/>
  <c r="E356" i="62906"/>
  <c r="E304" i="62906"/>
  <c r="E240" i="62906"/>
  <c r="E231" i="62906"/>
  <c r="E225" i="62906"/>
  <c r="E341" i="62906"/>
  <c r="E437" i="62906"/>
  <c r="E541" i="62906"/>
  <c r="E218" i="62906"/>
  <c r="E331" i="62906"/>
  <c r="E449" i="62906"/>
  <c r="E534" i="62906"/>
  <c r="E237" i="62906"/>
  <c r="E477" i="62906"/>
  <c r="E222" i="62906"/>
  <c r="E446" i="62906"/>
  <c r="E567" i="62906"/>
  <c r="E493" i="62906"/>
  <c r="E398" i="62906"/>
  <c r="E290" i="62906"/>
  <c r="E584" i="62906"/>
  <c r="P2059" i="62906"/>
  <c r="P1926" i="62906"/>
  <c r="P1916" i="62906"/>
  <c r="P2052" i="62906"/>
  <c r="P2003" i="62906"/>
  <c r="P2079" i="62906"/>
  <c r="P1994" i="62906"/>
  <c r="P2107" i="62906"/>
  <c r="P1979" i="62906"/>
  <c r="P2041" i="62906"/>
  <c r="P1922" i="62906"/>
  <c r="P2037" i="62906"/>
  <c r="V36" i="62905"/>
  <c r="AC80" i="2"/>
  <c r="Z18" i="2"/>
  <c r="Z21" i="2"/>
  <c r="AC61" i="2"/>
  <c r="AY324" i="62898"/>
  <c r="E331" i="62898"/>
  <c r="AK30" i="1"/>
  <c r="AL30" i="62904"/>
  <c r="AP30" i="62904"/>
  <c r="AV27" i="62905"/>
  <c r="T118" i="2"/>
  <c r="S81" i="3"/>
  <c r="X84" i="62904"/>
  <c r="AC84" i="62904"/>
  <c r="AO84" i="62904"/>
  <c r="AE84" i="62904"/>
  <c r="AN27" i="62905"/>
  <c r="AO27" i="62905"/>
  <c r="BH76" i="62898"/>
  <c r="BI86" i="62898"/>
  <c r="BE84" i="62898"/>
  <c r="AZ93" i="62898"/>
  <c r="AV56" i="62898"/>
  <c r="AA64" i="62898"/>
  <c r="AT93" i="62898"/>
  <c r="AS93" i="62898"/>
  <c r="AH64" i="62898"/>
  <c r="BE63" i="62898"/>
  <c r="BE66" i="62898" s="1"/>
  <c r="BJ93" i="62898"/>
  <c r="AX93" i="62898"/>
  <c r="BF64" i="62898"/>
  <c r="BH93" i="62898"/>
  <c r="AI104" i="62898"/>
  <c r="AZ56" i="62898"/>
  <c r="AT76" i="62898"/>
  <c r="AX76" i="62898"/>
  <c r="AE87" i="62904"/>
  <c r="AM30" i="62904"/>
  <c r="AU30" i="62904"/>
  <c r="AK30" i="62904"/>
  <c r="AK20" i="62904"/>
  <c r="BE242" i="9"/>
  <c r="BF242" i="9"/>
  <c r="AI248" i="9"/>
  <c r="AI250" i="9" s="1"/>
  <c r="BI242" i="9"/>
  <c r="BD242" i="9"/>
  <c r="BI250" i="9"/>
  <c r="BE250" i="9"/>
  <c r="BG190" i="9"/>
  <c r="BE200" i="9"/>
  <c r="BD200" i="9"/>
  <c r="BF200" i="9"/>
  <c r="BG210" i="9"/>
  <c r="BF220" i="9"/>
  <c r="BG220" i="9"/>
  <c r="BD220" i="9"/>
  <c r="BG180" i="9"/>
  <c r="BD180" i="9"/>
  <c r="BI200" i="9"/>
  <c r="BI210" i="9"/>
  <c r="BE210" i="9"/>
  <c r="BF180" i="9"/>
  <c r="BI180" i="9"/>
  <c r="BG200" i="9"/>
  <c r="BD190" i="9"/>
  <c r="BD210" i="9"/>
  <c r="BF210" i="9"/>
  <c r="AI176" i="9"/>
  <c r="AG108" i="9"/>
  <c r="BI130" i="9"/>
  <c r="BF140" i="9"/>
  <c r="BK100" i="9"/>
  <c r="AA108" i="9"/>
  <c r="BG110" i="9"/>
  <c r="BI110" i="9"/>
  <c r="BE110" i="9"/>
  <c r="BG120" i="9"/>
  <c r="BD110" i="9"/>
  <c r="BF110" i="9"/>
  <c r="BE120" i="9"/>
  <c r="BF130" i="9"/>
  <c r="BG130" i="9"/>
  <c r="BD140" i="9"/>
  <c r="BI150" i="9"/>
  <c r="BE150" i="9"/>
  <c r="BG160" i="9"/>
  <c r="BD150" i="9"/>
  <c r="BE130" i="9"/>
  <c r="BG140" i="9"/>
  <c r="BF160" i="9"/>
  <c r="BI160" i="9"/>
  <c r="BE160" i="9"/>
  <c r="E178" i="9"/>
  <c r="AG68" i="9"/>
  <c r="BF70" i="9"/>
  <c r="AA68" i="9"/>
  <c r="BI80" i="9"/>
  <c r="BD40" i="9"/>
  <c r="BI20" i="9"/>
  <c r="BD80" i="9"/>
  <c r="BD50" i="9"/>
  <c r="BF50" i="9"/>
  <c r="BG60" i="9"/>
  <c r="BG70" i="9"/>
  <c r="BK30" i="9"/>
  <c r="BD70" i="9"/>
  <c r="BF20" i="9"/>
  <c r="BJ100" i="9"/>
  <c r="BE80" i="9"/>
  <c r="BD60" i="9"/>
  <c r="BE50" i="9"/>
  <c r="BF40" i="9"/>
  <c r="BE20" i="9"/>
  <c r="BG20" i="9"/>
  <c r="BG50" i="9"/>
  <c r="BJ30" i="9"/>
  <c r="BG40" i="9"/>
  <c r="BI40" i="9"/>
  <c r="BE40" i="9"/>
  <c r="BI50" i="9"/>
  <c r="BI60" i="9"/>
  <c r="BE60" i="9"/>
  <c r="BF60" i="9"/>
  <c r="BI70" i="9"/>
  <c r="BE70" i="9"/>
  <c r="BF80" i="9"/>
  <c r="BG80" i="9"/>
  <c r="Z43" i="2"/>
  <c r="X109" i="2"/>
  <c r="E107" i="2"/>
  <c r="Y109" i="2"/>
  <c r="AC43" i="2"/>
  <c r="V117" i="2"/>
  <c r="X43" i="2"/>
  <c r="AB61" i="2"/>
  <c r="H678" i="5"/>
  <c r="J678" i="5"/>
  <c r="AV334" i="62898"/>
  <c r="AM324" i="62898"/>
  <c r="BI354" i="62898"/>
  <c r="AS344" i="62898"/>
  <c r="AW344" i="62898"/>
  <c r="AT344" i="62898"/>
  <c r="AD361" i="62898"/>
  <c r="AD364" i="62898" s="1"/>
  <c r="AG352" i="62898"/>
  <c r="AV354" i="62898"/>
  <c r="AY354" i="62898"/>
  <c r="K354" i="62898"/>
  <c r="AS354" i="62898"/>
  <c r="AZ354" i="62898"/>
  <c r="AV344" i="62898"/>
  <c r="AZ344" i="62898"/>
  <c r="BA344" i="62898"/>
  <c r="AU344" i="62898"/>
  <c r="L324" i="62898"/>
  <c r="M324" i="62898"/>
  <c r="AY66" i="62898"/>
  <c r="AY56" i="62898"/>
  <c r="AG82" i="62898"/>
  <c r="AM150" i="62898"/>
  <c r="AZ153" i="62898"/>
  <c r="AN151" i="62898"/>
  <c r="AA193" i="62898"/>
  <c r="AT186" i="62898"/>
  <c r="F420" i="62898"/>
  <c r="F422" i="62898" s="1"/>
  <c r="AT286" i="62898"/>
  <c r="AX286" i="62898"/>
  <c r="AU286" i="62898"/>
  <c r="BC286" i="62898"/>
  <c r="AT249" i="62898"/>
  <c r="AJ282" i="62898"/>
  <c r="AW249" i="62898"/>
  <c r="BI249" i="62898"/>
  <c r="AV249" i="62898"/>
  <c r="AS249" i="62898"/>
  <c r="AY249" i="62898"/>
  <c r="AV143" i="62898"/>
  <c r="BG150" i="62898"/>
  <c r="AX186" i="62898"/>
  <c r="BA186" i="62898"/>
  <c r="AX213" i="62898"/>
  <c r="AX215" i="62898"/>
  <c r="K458" i="62898" s="1"/>
  <c r="K474" i="62898" s="1"/>
  <c r="BF244" i="62898"/>
  <c r="AZ258" i="62898"/>
  <c r="AX225" i="62898"/>
  <c r="AU225" i="62898"/>
  <c r="AP173" i="62898"/>
  <c r="BG173" i="62898"/>
  <c r="BG184" i="62898"/>
  <c r="BA153" i="62898"/>
  <c r="E183" i="62898"/>
  <c r="AO184" i="62898"/>
  <c r="AS153" i="62898"/>
  <c r="AT143" i="62898"/>
  <c r="K691" i="5"/>
  <c r="K693" i="5"/>
  <c r="AT343" i="5"/>
  <c r="AH151" i="62898"/>
  <c r="AB150" i="62898"/>
  <c r="AU56" i="62898"/>
  <c r="AU116" i="62898"/>
  <c r="AS116" i="62898"/>
  <c r="AV106" i="62898"/>
  <c r="L86" i="62898"/>
  <c r="AP74" i="62898"/>
  <c r="AS76" i="62898"/>
  <c r="AW76" i="62898"/>
  <c r="BA76" i="62898"/>
  <c r="M76" i="62898"/>
  <c r="AV76" i="62898"/>
  <c r="BJ76" i="62898"/>
  <c r="AU76" i="62898"/>
  <c r="AY76" i="62898"/>
  <c r="BI76" i="62898"/>
  <c r="AM63" i="62898"/>
  <c r="AP63" i="62898" s="1"/>
  <c r="AT56" i="62898"/>
  <c r="AW56" i="62898"/>
  <c r="BA56" i="62898"/>
  <c r="L46" i="62898"/>
  <c r="I678" i="5"/>
  <c r="L714" i="5"/>
  <c r="AT601" i="5"/>
  <c r="AX601" i="5"/>
  <c r="AM598" i="5"/>
  <c r="AV571" i="5"/>
  <c r="BD571" i="5"/>
  <c r="AS581" i="5"/>
  <c r="AW581" i="5"/>
  <c r="AU601" i="5"/>
  <c r="BC601" i="5"/>
  <c r="AV601" i="5"/>
  <c r="F691" i="5"/>
  <c r="F693" i="5"/>
  <c r="AS523" i="5"/>
  <c r="AS525" i="5" s="1"/>
  <c r="AT545" i="5"/>
  <c r="AT591" i="5"/>
  <c r="AX591" i="5"/>
  <c r="AS591" i="5"/>
  <c r="AW591" i="5"/>
  <c r="AV581" i="5"/>
  <c r="BD581" i="5"/>
  <c r="AT571" i="5"/>
  <c r="AX571" i="5"/>
  <c r="AU571" i="5"/>
  <c r="BC571" i="5"/>
  <c r="AH599" i="5"/>
  <c r="AX545" i="5"/>
  <c r="AI502" i="5"/>
  <c r="BE481" i="5"/>
  <c r="AY473" i="5"/>
  <c r="AV445" i="5"/>
  <c r="BJ445" i="5"/>
  <c r="AU445" i="5"/>
  <c r="AY445" i="5"/>
  <c r="BI445" i="5"/>
  <c r="AT445" i="5"/>
  <c r="AX445" i="5"/>
  <c r="BH445" i="5"/>
  <c r="AV379" i="5"/>
  <c r="BD379" i="5"/>
  <c r="BE479" i="5"/>
  <c r="BF480" i="5"/>
  <c r="AH481" i="5"/>
  <c r="AX379" i="5"/>
  <c r="AT379" i="5"/>
  <c r="BC389" i="5"/>
  <c r="AV399" i="5"/>
  <c r="BD399" i="5"/>
  <c r="AT399" i="5"/>
  <c r="AX399" i="5"/>
  <c r="AS399" i="5"/>
  <c r="AU399" i="5"/>
  <c r="BC399" i="5"/>
  <c r="AV389" i="5"/>
  <c r="BD389" i="5"/>
  <c r="AT389" i="5"/>
  <c r="AX389" i="5"/>
  <c r="BC379" i="5"/>
  <c r="AS379" i="5"/>
  <c r="AW379" i="5"/>
  <c r="BC369" i="5"/>
  <c r="AX369" i="5"/>
  <c r="AV369" i="5"/>
  <c r="AU343" i="5"/>
  <c r="G652" i="5"/>
  <c r="G654" i="5" s="1"/>
  <c r="AM397" i="5"/>
  <c r="Z375" i="5"/>
  <c r="Z395" i="5"/>
  <c r="BB405" i="5"/>
  <c r="AS343" i="5"/>
  <c r="AV321" i="5"/>
  <c r="AV323" i="5" s="1"/>
  <c r="E652" i="5"/>
  <c r="E654" i="5"/>
  <c r="AO300" i="5"/>
  <c r="AT243" i="5"/>
  <c r="AX243" i="5"/>
  <c r="BH243" i="5"/>
  <c r="E265" i="5"/>
  <c r="AZ281" i="5"/>
  <c r="BJ281" i="5"/>
  <c r="AT281" i="5"/>
  <c r="AX281" i="5"/>
  <c r="BH281" i="5"/>
  <c r="AU281" i="5"/>
  <c r="AY281" i="5"/>
  <c r="BI281" i="5"/>
  <c r="AS281" i="5"/>
  <c r="AW281" i="5"/>
  <c r="BA281" i="5"/>
  <c r="AU271" i="5"/>
  <c r="AY271" i="5"/>
  <c r="BI271" i="5"/>
  <c r="AZ271" i="5"/>
  <c r="AS271" i="5"/>
  <c r="AW271" i="5"/>
  <c r="BA271" i="5"/>
  <c r="AV243" i="5"/>
  <c r="AZ243" i="5"/>
  <c r="BJ243" i="5"/>
  <c r="AT197" i="5"/>
  <c r="AG173" i="5"/>
  <c r="AX177" i="5"/>
  <c r="AU167" i="5"/>
  <c r="BC167" i="5"/>
  <c r="AV157" i="5"/>
  <c r="BD157" i="5"/>
  <c r="AS177" i="5"/>
  <c r="Z278" i="5"/>
  <c r="BF279" i="5"/>
  <c r="AM279" i="5"/>
  <c r="AT167" i="5"/>
  <c r="AX167" i="5"/>
  <c r="AL205" i="5"/>
  <c r="AU197" i="5"/>
  <c r="BC197" i="5"/>
  <c r="AW197" i="5"/>
  <c r="AT177" i="5"/>
  <c r="AU177" i="5"/>
  <c r="BC177" i="5"/>
  <c r="AS167" i="5"/>
  <c r="BC131" i="5"/>
  <c r="E691" i="5"/>
  <c r="E693" i="5" s="1"/>
  <c r="AX157" i="5"/>
  <c r="BC157" i="5"/>
  <c r="AT157" i="5"/>
  <c r="AT141" i="5"/>
  <c r="AX119" i="5"/>
  <c r="AX121" i="5" s="1"/>
  <c r="M652" i="5"/>
  <c r="M654" i="5" s="1"/>
  <c r="AH203" i="5"/>
  <c r="AI203" i="5" s="1"/>
  <c r="AC183" i="5"/>
  <c r="AX141" i="5"/>
  <c r="AU141" i="5"/>
  <c r="AN75" i="5"/>
  <c r="BI41" i="5"/>
  <c r="BJ79" i="5"/>
  <c r="AY69" i="5"/>
  <c r="AI77" i="5"/>
  <c r="AS79" i="5"/>
  <c r="BA79" i="5"/>
  <c r="AY79" i="5"/>
  <c r="BI79" i="5"/>
  <c r="BI69" i="5"/>
  <c r="AS69" i="5"/>
  <c r="BA69" i="5"/>
  <c r="AV69" i="5"/>
  <c r="AZ69" i="5"/>
  <c r="BJ69" i="5"/>
  <c r="AT69" i="5"/>
  <c r="AX69" i="5"/>
  <c r="AV41" i="5"/>
  <c r="AZ41" i="5"/>
  <c r="BJ41" i="5"/>
  <c r="AT41" i="5"/>
  <c r="Z77" i="5"/>
  <c r="X135" i="7"/>
  <c r="W135" i="7"/>
  <c r="G228" i="7"/>
  <c r="V135" i="7"/>
  <c r="Z135" i="7"/>
  <c r="U135" i="7"/>
  <c r="E263" i="7"/>
  <c r="E143" i="7"/>
  <c r="E57" i="3"/>
  <c r="L61" i="3"/>
  <c r="J157" i="3"/>
  <c r="J13" i="62915" s="1"/>
  <c r="V13" i="62915" s="1"/>
  <c r="J169" i="3"/>
  <c r="E137" i="3"/>
  <c r="L157" i="3"/>
  <c r="L13" i="62915"/>
  <c r="X13" i="62915" s="1"/>
  <c r="G123" i="3"/>
  <c r="G13" i="62914" s="1"/>
  <c r="S13" i="62914" s="1"/>
  <c r="M136" i="3"/>
  <c r="Y32" i="3"/>
  <c r="Y56" i="3"/>
  <c r="Y57" i="3"/>
  <c r="E157" i="3"/>
  <c r="E13" i="62915" s="1"/>
  <c r="Q13" i="62915" s="1"/>
  <c r="M123" i="3"/>
  <c r="M13" i="62914" s="1"/>
  <c r="Y13" i="62914"/>
  <c r="F136" i="3"/>
  <c r="V60" i="3"/>
  <c r="V58" i="3"/>
  <c r="F178" i="3"/>
  <c r="F123" i="3"/>
  <c r="F13" i="62914" s="1"/>
  <c r="R13" i="62914" s="1"/>
  <c r="E178" i="3"/>
  <c r="L178" i="3"/>
  <c r="L34" i="62915" s="1"/>
  <c r="X34" i="62915" s="1"/>
  <c r="W45" i="3"/>
  <c r="V61" i="3"/>
  <c r="S58" i="3"/>
  <c r="V56" i="3"/>
  <c r="V57" i="3"/>
  <c r="E156" i="3"/>
  <c r="E12" i="62915"/>
  <c r="Q12" i="62915" s="1"/>
  <c r="F169" i="3"/>
  <c r="M122" i="3"/>
  <c r="E122" i="3"/>
  <c r="E12" i="62914" s="1"/>
  <c r="Q12" i="62914" s="1"/>
  <c r="L58" i="3"/>
  <c r="L60" i="3"/>
  <c r="L123" i="3"/>
  <c r="L13" i="62914" s="1"/>
  <c r="X13" i="62914" s="1"/>
  <c r="F137" i="3"/>
  <c r="J178" i="3"/>
  <c r="L156" i="3"/>
  <c r="L12" i="62915" s="1"/>
  <c r="X12" i="62915" s="1"/>
  <c r="L136" i="3"/>
  <c r="M137" i="3"/>
  <c r="G178" i="3"/>
  <c r="E136" i="3"/>
  <c r="E123" i="3"/>
  <c r="E13" i="62914"/>
  <c r="Q13" i="62914" s="1"/>
  <c r="S56" i="3"/>
  <c r="G136" i="3"/>
  <c r="L137" i="3"/>
  <c r="F157" i="3"/>
  <c r="F13" i="62915"/>
  <c r="R13" i="62915" s="1"/>
  <c r="G157" i="3"/>
  <c r="G13" i="62915"/>
  <c r="S13" i="62915" s="1"/>
  <c r="L169" i="3"/>
  <c r="L25" i="62915" s="1"/>
  <c r="X25" i="62915" s="1"/>
  <c r="G169" i="3"/>
  <c r="E169" i="3"/>
  <c r="G137" i="3"/>
  <c r="E61" i="3"/>
  <c r="I15" i="3"/>
  <c r="Y13" i="3"/>
  <c r="L122" i="3" s="1"/>
  <c r="L12" i="62914" s="1"/>
  <c r="X12" i="62914" s="1"/>
  <c r="Y15" i="3"/>
  <c r="S13" i="3"/>
  <c r="S15" i="3" s="1"/>
  <c r="L107" i="3" s="1"/>
  <c r="Q13" i="3"/>
  <c r="Q15" i="3" s="1"/>
  <c r="K107" i="3"/>
  <c r="N13" i="3"/>
  <c r="N15" i="3"/>
  <c r="H107" i="3"/>
  <c r="I107" i="3" s="1"/>
  <c r="Z15" i="62915"/>
  <c r="H18" i="62915"/>
  <c r="W17" i="62914"/>
  <c r="J17" i="62914"/>
  <c r="D606" i="62906"/>
  <c r="E464" i="62906"/>
  <c r="E420" i="62906"/>
  <c r="E376" i="62906"/>
  <c r="E336" i="62906"/>
  <c r="E292" i="62906"/>
  <c r="E248" i="62906"/>
  <c r="E208" i="62906"/>
  <c r="E275" i="62906"/>
  <c r="E215" i="62906"/>
  <c r="E193" i="62906"/>
  <c r="E303" i="62906"/>
  <c r="E383" i="62906"/>
  <c r="E453" i="62906"/>
  <c r="E525" i="62906"/>
  <c r="E582" i="62906"/>
  <c r="E274" i="62906"/>
  <c r="E353" i="62906"/>
  <c r="E433" i="62906"/>
  <c r="E502" i="62906"/>
  <c r="E562" i="62906"/>
  <c r="E295" i="62906"/>
  <c r="E434" i="62906"/>
  <c r="E571" i="62906"/>
  <c r="E329" i="62906"/>
  <c r="E478" i="62906"/>
  <c r="E589" i="62906"/>
  <c r="E520" i="62906"/>
  <c r="E461" i="62906"/>
  <c r="E377" i="62906"/>
  <c r="E301" i="62906"/>
  <c r="E198" i="62906"/>
  <c r="F652" i="5"/>
  <c r="F654" i="5" s="1"/>
  <c r="G691" i="5"/>
  <c r="G693" i="5"/>
  <c r="AT119" i="5"/>
  <c r="AT121" i="5" s="1"/>
  <c r="F59" i="62915"/>
  <c r="T18" i="62915"/>
  <c r="V17" i="62914"/>
  <c r="O17" i="62914"/>
  <c r="E62" i="62914"/>
  <c r="O14" i="62914"/>
  <c r="AA17" i="62914"/>
  <c r="K17" i="62914"/>
  <c r="U17" i="62914"/>
  <c r="H17" i="62914"/>
  <c r="AA14" i="62914"/>
  <c r="T17" i="62914"/>
  <c r="H62" i="62914"/>
  <c r="F62" i="62914"/>
  <c r="I17" i="62914"/>
  <c r="N15" i="62915"/>
  <c r="X18" i="62915"/>
  <c r="L18" i="62915"/>
  <c r="AA18" i="62915"/>
  <c r="E500" i="62906"/>
  <c r="E480" i="62906"/>
  <c r="E456" i="62906"/>
  <c r="E436" i="62906"/>
  <c r="E416" i="62906"/>
  <c r="E392" i="62906"/>
  <c r="E372" i="62906"/>
  <c r="E352" i="62906"/>
  <c r="E328" i="62906"/>
  <c r="E308" i="62906"/>
  <c r="E288" i="62906"/>
  <c r="E264" i="62906"/>
  <c r="E244" i="62906"/>
  <c r="E224" i="62906"/>
  <c r="E200" i="62906"/>
  <c r="D605" i="62906"/>
  <c r="E267" i="62906"/>
  <c r="E235" i="62906"/>
  <c r="E211" i="62906"/>
  <c r="E183" i="62906"/>
  <c r="E217" i="62906"/>
  <c r="E273" i="62906"/>
  <c r="E309" i="62906"/>
  <c r="E351" i="62906"/>
  <c r="E389" i="62906"/>
  <c r="E426" i="62906"/>
  <c r="E469" i="62906"/>
  <c r="E501" i="62906"/>
  <c r="E529" i="62906"/>
  <c r="E561" i="62906"/>
  <c r="D599" i="62906"/>
  <c r="E226" i="62906"/>
  <c r="E289" i="62906"/>
  <c r="E326" i="62906"/>
  <c r="E363" i="62906"/>
  <c r="E438" i="62906"/>
  <c r="E475" i="62906"/>
  <c r="E514" i="62906"/>
  <c r="E542" i="62906"/>
  <c r="E566" i="62906"/>
  <c r="E205" i="62906"/>
  <c r="E306" i="62906"/>
  <c r="E381" i="62906"/>
  <c r="E466" i="62906"/>
  <c r="E523" i="62906"/>
  <c r="E580" i="62906"/>
  <c r="E270" i="62906"/>
  <c r="E350" i="62906"/>
  <c r="E414" i="62906"/>
  <c r="E499" i="62906"/>
  <c r="E556" i="62906"/>
  <c r="E575" i="62906"/>
  <c r="E543" i="62906"/>
  <c r="E519" i="62906"/>
  <c r="E483" i="62906"/>
  <c r="E441" i="62906"/>
  <c r="E407" i="62906"/>
  <c r="E375" i="62906"/>
  <c r="E333" i="62906"/>
  <c r="E291" i="62906"/>
  <c r="E245" i="62906"/>
  <c r="G20" i="62911"/>
  <c r="D603" i="62906"/>
  <c r="E488" i="62906"/>
  <c r="E468" i="62906"/>
  <c r="E448" i="62906"/>
  <c r="E424" i="62906"/>
  <c r="E404" i="62906"/>
  <c r="E384" i="62906"/>
  <c r="E360" i="62906"/>
  <c r="E340" i="62906"/>
  <c r="E320" i="62906"/>
  <c r="E296" i="62906"/>
  <c r="E276" i="62906"/>
  <c r="E256" i="62906"/>
  <c r="E232" i="62906"/>
  <c r="E212" i="62906"/>
  <c r="E192" i="62906"/>
  <c r="E279" i="62906"/>
  <c r="E251" i="62906"/>
  <c r="E227" i="62906"/>
  <c r="E195" i="62906"/>
  <c r="E185" i="62906"/>
  <c r="E241" i="62906"/>
  <c r="E298" i="62906"/>
  <c r="E330" i="62906"/>
  <c r="E367" i="62906"/>
  <c r="E410" i="62906"/>
  <c r="E447" i="62906"/>
  <c r="E479" i="62906"/>
  <c r="E517" i="62906"/>
  <c r="E545" i="62906"/>
  <c r="E573" i="62906"/>
  <c r="E210" i="62906"/>
  <c r="E258" i="62906"/>
  <c r="E305" i="62906"/>
  <c r="E347" i="62906"/>
  <c r="E385" i="62906"/>
  <c r="E417" i="62906"/>
  <c r="E459" i="62906"/>
  <c r="E497" i="62906"/>
  <c r="E526" i="62906"/>
  <c r="E558" i="62906"/>
  <c r="E588" i="62906"/>
  <c r="E253" i="62906"/>
  <c r="E349" i="62906"/>
  <c r="E423" i="62906"/>
  <c r="E487" i="62906"/>
  <c r="E555" i="62906"/>
  <c r="E206" i="62906"/>
  <c r="E307" i="62906"/>
  <c r="E393" i="62906"/>
  <c r="E457" i="62906"/>
  <c r="E524" i="62906"/>
  <c r="E590" i="62906"/>
  <c r="E559" i="62906"/>
  <c r="E535" i="62906"/>
  <c r="E503" i="62906"/>
  <c r="E462" i="62906"/>
  <c r="E429" i="62906"/>
  <c r="E386" i="62906"/>
  <c r="E354" i="62906"/>
  <c r="E313" i="62906"/>
  <c r="E262" i="62906"/>
  <c r="E213" i="62906"/>
  <c r="E587" i="62906"/>
  <c r="AG75" i="1"/>
  <c r="E109" i="1"/>
  <c r="AT321" i="5"/>
  <c r="AT323" i="5" s="1"/>
  <c r="AX321" i="5"/>
  <c r="AX323" i="5" s="1"/>
  <c r="K694" i="5" s="1"/>
  <c r="K714" i="5" s="1"/>
  <c r="AU321" i="5"/>
  <c r="AU323" i="5" s="1"/>
  <c r="R28" i="11"/>
  <c r="AC51" i="2"/>
  <c r="AC50" i="2"/>
  <c r="V48" i="62905"/>
  <c r="AA116" i="9"/>
  <c r="AI107" i="9"/>
  <c r="AI238" i="9"/>
  <c r="AI178" i="9"/>
  <c r="O25" i="62911"/>
  <c r="R22" i="62911"/>
  <c r="I22" i="62911" s="1"/>
  <c r="D25" i="62911"/>
  <c r="G21" i="62911"/>
  <c r="AQ342" i="62898"/>
  <c r="D598" i="62906"/>
  <c r="E492" i="62906"/>
  <c r="E476" i="62906"/>
  <c r="E460" i="62906"/>
  <c r="E444" i="62906"/>
  <c r="E428" i="62906"/>
  <c r="E412" i="62906"/>
  <c r="E396" i="62906"/>
  <c r="E380" i="62906"/>
  <c r="E364" i="62906"/>
  <c r="E348" i="62906"/>
  <c r="E332" i="62906"/>
  <c r="E316" i="62906"/>
  <c r="E300" i="62906"/>
  <c r="E284" i="62906"/>
  <c r="E268" i="62906"/>
  <c r="E252" i="62906"/>
  <c r="E236" i="62906"/>
  <c r="E220" i="62906"/>
  <c r="E204" i="62906"/>
  <c r="E188" i="62906"/>
  <c r="E283" i="62906"/>
  <c r="E263" i="62906"/>
  <c r="E243" i="62906"/>
  <c r="E219" i="62906"/>
  <c r="E199" i="62906"/>
  <c r="D596" i="62906"/>
  <c r="E209" i="62906"/>
  <c r="E249" i="62906"/>
  <c r="E287" i="62906"/>
  <c r="E319" i="62906"/>
  <c r="E346" i="62906"/>
  <c r="E373" i="62906"/>
  <c r="E405" i="62906"/>
  <c r="E431" i="62906"/>
  <c r="E458" i="62906"/>
  <c r="E490" i="62906"/>
  <c r="E513" i="62906"/>
  <c r="E533" i="62906"/>
  <c r="E557" i="62906"/>
  <c r="E577" i="62906"/>
  <c r="E194" i="62906"/>
  <c r="E242" i="62906"/>
  <c r="E282" i="62906"/>
  <c r="E310" i="62906"/>
  <c r="E342" i="62906"/>
  <c r="E369" i="62906"/>
  <c r="E395" i="62906"/>
  <c r="E427" i="62906"/>
  <c r="E454" i="62906"/>
  <c r="E481" i="62906"/>
  <c r="E510" i="62906"/>
  <c r="E530" i="62906"/>
  <c r="E550" i="62906"/>
  <c r="E574" i="62906"/>
  <c r="E189" i="62906"/>
  <c r="E269" i="62906"/>
  <c r="E338" i="62906"/>
  <c r="E391" i="62906"/>
  <c r="E445" i="62906"/>
  <c r="E507" i="62906"/>
  <c r="E547" i="62906"/>
  <c r="E197" i="62906"/>
  <c r="E254" i="62906"/>
  <c r="E318" i="62906"/>
  <c r="E371" i="62906"/>
  <c r="E435" i="62906"/>
  <c r="E489" i="62906"/>
  <c r="E532" i="62906"/>
  <c r="E581" i="62906"/>
  <c r="E568" i="62906"/>
  <c r="E551" i="62906"/>
  <c r="E527" i="62906"/>
  <c r="E504" i="62906"/>
  <c r="E482" i="62906"/>
  <c r="E450" i="62906"/>
  <c r="E419" i="62906"/>
  <c r="E397" i="62906"/>
  <c r="E365" i="62906"/>
  <c r="E334" i="62906"/>
  <c r="E311" i="62906"/>
  <c r="E277" i="62906"/>
  <c r="E230" i="62906"/>
  <c r="E579" i="62906"/>
  <c r="AK194" i="62898"/>
  <c r="H22" i="62911"/>
  <c r="AK103" i="62898"/>
  <c r="AO370" i="62898"/>
  <c r="Q21" i="62911"/>
  <c r="E585" i="62906"/>
  <c r="E214" i="62906"/>
  <c r="E246" i="62906"/>
  <c r="E278" i="62906"/>
  <c r="E302" i="62906"/>
  <c r="E323" i="62906"/>
  <c r="E345" i="62906"/>
  <c r="E366" i="62906"/>
  <c r="E387" i="62906"/>
  <c r="E409" i="62906"/>
  <c r="E430" i="62906"/>
  <c r="E451" i="62906"/>
  <c r="E473" i="62906"/>
  <c r="E494" i="62906"/>
  <c r="E512" i="62906"/>
  <c r="E528" i="62906"/>
  <c r="E544" i="62906"/>
  <c r="E560" i="62906"/>
  <c r="E576" i="62906"/>
  <c r="E572" i="62906"/>
  <c r="E540" i="62906"/>
  <c r="E508" i="62906"/>
  <c r="E467" i="62906"/>
  <c r="E425" i="62906"/>
  <c r="E382" i="62906"/>
  <c r="E339" i="62906"/>
  <c r="E297" i="62906"/>
  <c r="E238" i="62906"/>
  <c r="D607" i="62906"/>
  <c r="E563" i="62906"/>
  <c r="E531" i="62906"/>
  <c r="E498" i="62906"/>
  <c r="E455" i="62906"/>
  <c r="E413" i="62906"/>
  <c r="E370" i="62906"/>
  <c r="E327" i="62906"/>
  <c r="E285" i="62906"/>
  <c r="E221" i="62906"/>
  <c r="M23" i="62911"/>
  <c r="D23" i="62911"/>
  <c r="E570" i="62906"/>
  <c r="E554" i="62906"/>
  <c r="E538" i="62906"/>
  <c r="E522" i="62906"/>
  <c r="E506" i="62906"/>
  <c r="E486" i="62906"/>
  <c r="E465" i="62906"/>
  <c r="E443" i="62906"/>
  <c r="E422" i="62906"/>
  <c r="E401" i="62906"/>
  <c r="E379" i="62906"/>
  <c r="E358" i="62906"/>
  <c r="E337" i="62906"/>
  <c r="E315" i="62906"/>
  <c r="E294" i="62906"/>
  <c r="E266" i="62906"/>
  <c r="E234" i="62906"/>
  <c r="E202" i="62906"/>
  <c r="E569" i="62906"/>
  <c r="E553" i="62906"/>
  <c r="E537" i="62906"/>
  <c r="E521" i="62906"/>
  <c r="E505" i="62906"/>
  <c r="E485" i="62906"/>
  <c r="E463" i="62906"/>
  <c r="E442" i="62906"/>
  <c r="E421" i="62906"/>
  <c r="E399" i="62906"/>
  <c r="E378" i="62906"/>
  <c r="E357" i="62906"/>
  <c r="E335" i="62906"/>
  <c r="E314" i="62906"/>
  <c r="E293" i="62906"/>
  <c r="E265" i="62906"/>
  <c r="E233" i="62906"/>
  <c r="E201" i="62906"/>
  <c r="D604" i="62906"/>
  <c r="E191" i="62906"/>
  <c r="E207" i="62906"/>
  <c r="E223" i="62906"/>
  <c r="E239" i="62906"/>
  <c r="E255" i="62906"/>
  <c r="E271" i="62906"/>
  <c r="D597" i="62906"/>
  <c r="E184" i="62906"/>
  <c r="AQ43" i="62898"/>
  <c r="AO366" i="5"/>
  <c r="AK149" i="62898"/>
  <c r="AK153" i="62898"/>
  <c r="AO406" i="5"/>
  <c r="AJ205" i="5"/>
  <c r="AJ194" i="5"/>
  <c r="AJ197" i="5" s="1"/>
  <c r="AK278" i="5"/>
  <c r="AK281" i="5"/>
  <c r="AM121" i="1"/>
  <c r="AK108" i="1"/>
  <c r="AM110" i="1"/>
  <c r="AN110" i="1"/>
  <c r="AK110" i="1"/>
  <c r="AK118" i="1"/>
  <c r="AL121" i="1"/>
  <c r="AL108" i="1"/>
  <c r="X108" i="1"/>
  <c r="AP120" i="1"/>
  <c r="AP110" i="1"/>
  <c r="AK121" i="1"/>
  <c r="AL109" i="1"/>
  <c r="AP121" i="1"/>
  <c r="BH110" i="9"/>
  <c r="E108" i="9"/>
  <c r="E110" i="9" s="1"/>
  <c r="AU108" i="9"/>
  <c r="E20" i="62911"/>
  <c r="N25" i="62911"/>
  <c r="E25" i="62911"/>
  <c r="S22" i="62911"/>
  <c r="J22" i="62911"/>
  <c r="R21" i="62911"/>
  <c r="I21" i="62911"/>
  <c r="AK109" i="1"/>
  <c r="AM109" i="1"/>
  <c r="AP109" i="1"/>
  <c r="AK120" i="1"/>
  <c r="AK123" i="1" s="1"/>
  <c r="AL107" i="1"/>
  <c r="AM107" i="1"/>
  <c r="AK107" i="1"/>
  <c r="AM120" i="1"/>
  <c r="AM108" i="1"/>
  <c r="AN107" i="1"/>
  <c r="AM30" i="1"/>
  <c r="AU30" i="1"/>
  <c r="F161" i="1"/>
  <c r="G196" i="1"/>
  <c r="B96" i="62892"/>
  <c r="B6" i="62892"/>
  <c r="B31" i="62892"/>
  <c r="B82" i="62892"/>
  <c r="B62" i="62892"/>
  <c r="AQ140" i="62898"/>
  <c r="AQ341" i="62898"/>
  <c r="AC396" i="5"/>
  <c r="AQ332" i="62898"/>
  <c r="AJ588" i="5"/>
  <c r="F196" i="1"/>
  <c r="AQ481" i="5"/>
  <c r="AQ258" i="62898"/>
  <c r="AK74" i="62898"/>
  <c r="AQ62" i="62898"/>
  <c r="AJ395" i="5"/>
  <c r="AC205" i="5"/>
  <c r="AO85" i="62904"/>
  <c r="X251" i="5"/>
  <c r="AD251" i="5" s="1"/>
  <c r="AC163" i="5"/>
  <c r="X454" i="5"/>
  <c r="AD454" i="5"/>
  <c r="AJ375" i="5"/>
  <c r="X250" i="5"/>
  <c r="AD250" i="5" s="1"/>
  <c r="X57" i="5"/>
  <c r="AD57" i="5" s="1"/>
  <c r="X261" i="5"/>
  <c r="AD261" i="5"/>
  <c r="X259" i="5"/>
  <c r="AD259" i="5"/>
  <c r="X452" i="5"/>
  <c r="AD452" i="5" s="1"/>
  <c r="AG542" i="5"/>
  <c r="AC607" i="5"/>
  <c r="AG567" i="5"/>
  <c r="AH607" i="5"/>
  <c r="BA407" i="5"/>
  <c r="BA409" i="5" s="1"/>
  <c r="AJ376" i="5"/>
  <c r="AM192" i="62898"/>
  <c r="AD104" i="62898"/>
  <c r="AG284" i="62898"/>
  <c r="AQ42" i="62898"/>
  <c r="AA194" i="62898"/>
  <c r="AN342" i="62898"/>
  <c r="AG103" i="62898"/>
  <c r="AN104" i="62898"/>
  <c r="AB84" i="62898"/>
  <c r="AG75" i="5"/>
  <c r="AO194" i="62898"/>
  <c r="AH341" i="62898"/>
  <c r="BG342" i="62898"/>
  <c r="AA103" i="62898"/>
  <c r="AO150" i="62898"/>
  <c r="K324" i="62898"/>
  <c r="AO182" i="62898"/>
  <c r="AG184" i="62898"/>
  <c r="K86" i="62898"/>
  <c r="BG322" i="62898"/>
  <c r="AB182" i="62898"/>
  <c r="AN76" i="5"/>
  <c r="AI245" i="62898"/>
  <c r="AS361" i="62898"/>
  <c r="Z244" i="62898"/>
  <c r="AG350" i="62898"/>
  <c r="AT258" i="62898"/>
  <c r="E38" i="9"/>
  <c r="P2038" i="62906"/>
  <c r="P1945" i="62906"/>
  <c r="P1982" i="62906"/>
  <c r="P1959" i="62906"/>
  <c r="P2002" i="62906"/>
  <c r="P2073" i="62906"/>
  <c r="P2050" i="62906"/>
  <c r="P1991" i="62906"/>
  <c r="P1958" i="62906"/>
  <c r="P1919" i="62906"/>
  <c r="P2030" i="62906"/>
  <c r="P1974" i="62906"/>
  <c r="P2043" i="62906"/>
  <c r="P1984" i="62906"/>
  <c r="P1950" i="62906"/>
  <c r="P1920" i="62906"/>
  <c r="P2087" i="62906"/>
  <c r="P2088" i="62906"/>
  <c r="P2122" i="62906"/>
  <c r="P2090" i="62906"/>
  <c r="P2051" i="62906"/>
  <c r="P2055" i="62906"/>
  <c r="P2031" i="62906"/>
  <c r="P1975" i="62906"/>
  <c r="P1941" i="62906"/>
  <c r="P2070" i="62906"/>
  <c r="P1940" i="62906"/>
  <c r="P2069" i="62906"/>
  <c r="P2077" i="62906"/>
  <c r="P2046" i="62906"/>
  <c r="P2027" i="62906"/>
  <c r="P1987" i="62906"/>
  <c r="P1970" i="62906"/>
  <c r="P1953" i="62906"/>
  <c r="P1937" i="62906"/>
  <c r="P1933" i="62906"/>
  <c r="P2061" i="62906"/>
  <c r="R83" i="11" s="1"/>
  <c r="P2006" i="62906"/>
  <c r="P1965" i="62906"/>
  <c r="P1929" i="62906"/>
  <c r="P2034" i="62906"/>
  <c r="P1976" i="62906"/>
  <c r="P1942" i="62906"/>
  <c r="P2109" i="62906"/>
  <c r="P2110" i="62906"/>
  <c r="P2067" i="62906"/>
  <c r="P2108" i="62906"/>
  <c r="P2064" i="62906"/>
  <c r="P2068" i="62906"/>
  <c r="P2042" i="62906"/>
  <c r="P2023" i="62906"/>
  <c r="P1983" i="62906"/>
  <c r="P1966" i="62906"/>
  <c r="P1949" i="62906"/>
  <c r="P1930" i="62906"/>
  <c r="P1917" i="62906"/>
  <c r="P2049" i="62906"/>
  <c r="P1990" i="62906"/>
  <c r="P1956" i="62906"/>
  <c r="P1918" i="62906"/>
  <c r="P2024" i="62906"/>
  <c r="P1967" i="62906"/>
  <c r="P1931" i="62906"/>
  <c r="P2000" i="62906"/>
  <c r="P2119" i="62906"/>
  <c r="P2120" i="62906"/>
  <c r="P2085" i="62906"/>
  <c r="P2117" i="62906"/>
  <c r="Q50" i="2"/>
  <c r="Z72" i="2"/>
  <c r="AB60" i="2"/>
  <c r="S16" i="7"/>
  <c r="S19" i="7" s="1"/>
  <c r="L199" i="7" s="1"/>
  <c r="E68" i="9"/>
  <c r="AI68" i="9"/>
  <c r="AO14" i="11"/>
  <c r="BB283" i="62898"/>
  <c r="AO371" i="62898"/>
  <c r="AI351" i="62898"/>
  <c r="AK245" i="62898"/>
  <c r="BD244" i="62898"/>
  <c r="AK351" i="62898"/>
  <c r="AG244" i="62898"/>
  <c r="AH244" i="62898"/>
  <c r="K143" i="62898"/>
  <c r="AN52" i="62898"/>
  <c r="AN56" i="62898" s="1"/>
  <c r="BF322" i="62898"/>
  <c r="AI277" i="5"/>
  <c r="AI278" i="5"/>
  <c r="AB479" i="5"/>
  <c r="AK141" i="62898"/>
  <c r="AN159" i="62898"/>
  <c r="AG139" i="62898"/>
  <c r="AQ102" i="62898"/>
  <c r="L56" i="62898"/>
  <c r="BF63" i="62898"/>
  <c r="BE53" i="62898"/>
  <c r="AQ320" i="62898"/>
  <c r="BA609" i="5"/>
  <c r="AO174" i="5"/>
  <c r="AJ609" i="5"/>
  <c r="AJ163" i="5"/>
  <c r="BD350" i="62898"/>
  <c r="X59" i="5"/>
  <c r="AD59" i="5" s="1"/>
  <c r="X457" i="5"/>
  <c r="AD457" i="5" s="1"/>
  <c r="AD73" i="1"/>
  <c r="Y73" i="1"/>
  <c r="S45" i="3"/>
  <c r="S47" i="3"/>
  <c r="Q45" i="3"/>
  <c r="Q47" i="3" s="1"/>
  <c r="AH73" i="1"/>
  <c r="AU119" i="5"/>
  <c r="AU121" i="5"/>
  <c r="AS119" i="5"/>
  <c r="AS121" i="5" s="1"/>
  <c r="Z52" i="2"/>
  <c r="Q40" i="2"/>
  <c r="J250" i="9"/>
  <c r="AA250" i="9"/>
  <c r="AU250" i="9"/>
  <c r="AU176" i="9"/>
  <c r="AI177" i="9"/>
  <c r="BH180" i="9"/>
  <c r="J180" i="9"/>
  <c r="BJ180" i="9"/>
  <c r="AG237" i="9"/>
  <c r="AG240" i="9"/>
  <c r="AI237" i="9"/>
  <c r="E237" i="9"/>
  <c r="BJ242" i="9"/>
  <c r="E238" i="9"/>
  <c r="BH242" i="9"/>
  <c r="BH120" i="9"/>
  <c r="BJ110" i="9"/>
  <c r="AU106" i="9"/>
  <c r="AG116" i="9"/>
  <c r="J120" i="9"/>
  <c r="E117" i="9"/>
  <c r="BJ120" i="9"/>
  <c r="AA117" i="9"/>
  <c r="E15" i="9"/>
  <c r="AI15" i="9"/>
  <c r="AG17" i="9"/>
  <c r="AI17" i="9"/>
  <c r="AU16" i="9"/>
  <c r="AA16" i="9"/>
  <c r="AA15" i="9"/>
  <c r="BJ15" i="9"/>
  <c r="BJ20" i="9"/>
  <c r="AM118" i="1"/>
  <c r="AL118" i="1"/>
  <c r="AL120" i="1"/>
  <c r="AN118" i="1"/>
  <c r="AN123" i="1" s="1"/>
  <c r="AL119" i="1"/>
  <c r="AM119" i="1"/>
  <c r="AK119" i="1"/>
  <c r="Y60" i="2"/>
  <c r="AC81" i="2"/>
  <c r="AC52" i="2"/>
  <c r="AC71" i="2"/>
  <c r="AC62" i="2"/>
  <c r="AK124" i="62905"/>
  <c r="E122" i="62905"/>
  <c r="AE122" i="62905"/>
  <c r="AB105" i="2"/>
  <c r="Q105" i="2"/>
  <c r="X122" i="62905"/>
  <c r="AL124" i="62905"/>
  <c r="T105" i="2"/>
  <c r="E105" i="2"/>
  <c r="Z109" i="2"/>
  <c r="E176" i="9"/>
  <c r="E17" i="9"/>
  <c r="AA17" i="9"/>
  <c r="AG177" i="9"/>
  <c r="E177" i="9"/>
  <c r="AI106" i="9"/>
  <c r="AA118" i="9"/>
  <c r="AA18" i="9"/>
  <c r="AA106" i="9"/>
  <c r="AU118" i="9"/>
  <c r="AG118" i="9"/>
  <c r="O110" i="9"/>
  <c r="AG18" i="9"/>
  <c r="E240" i="9"/>
  <c r="AA240" i="9"/>
  <c r="AA177" i="9"/>
  <c r="AG106" i="9"/>
  <c r="AI118" i="9"/>
  <c r="AU15" i="9"/>
  <c r="BH15" i="9"/>
  <c r="BH20" i="9"/>
  <c r="AU117" i="9"/>
  <c r="AG117" i="9"/>
  <c r="AU178" i="9"/>
  <c r="E18" i="9"/>
  <c r="AI18" i="9"/>
  <c r="AI240" i="9"/>
  <c r="T107" i="2"/>
  <c r="AB107" i="2"/>
  <c r="AE120" i="62905"/>
  <c r="Q107" i="2"/>
  <c r="AC120" i="62905"/>
  <c r="X120" i="62905"/>
  <c r="Y43" i="2"/>
  <c r="Y51" i="2"/>
  <c r="V72" i="2"/>
  <c r="Q41" i="2"/>
  <c r="V41" i="2"/>
  <c r="Q80" i="2"/>
  <c r="AB80" i="2"/>
  <c r="E80" i="2"/>
  <c r="T80" i="2"/>
  <c r="R30" i="11"/>
  <c r="AB40" i="2"/>
  <c r="V40" i="2"/>
  <c r="T40" i="2"/>
  <c r="Y62" i="2"/>
  <c r="Y70" i="2"/>
  <c r="Y52" i="2"/>
  <c r="Q52" i="2"/>
  <c r="Y81" i="2"/>
  <c r="Y72" i="2"/>
  <c r="Y80" i="2"/>
  <c r="T70" i="2"/>
  <c r="Y82" i="2"/>
  <c r="AC82" i="2"/>
  <c r="Y50" i="2"/>
  <c r="Y71" i="2"/>
  <c r="AC70" i="2"/>
  <c r="AC72" i="2"/>
  <c r="V79" i="62905"/>
  <c r="V80" i="62905"/>
  <c r="V81" i="62905"/>
  <c r="O91" i="2"/>
  <c r="AC31" i="2"/>
  <c r="Z31" i="2"/>
  <c r="O30" i="2"/>
  <c r="J31" i="2"/>
  <c r="K31" i="2"/>
  <c r="AC29" i="2"/>
  <c r="AC28" i="2"/>
  <c r="E28" i="2"/>
  <c r="T30" i="2"/>
  <c r="K1697" i="62906"/>
  <c r="L1697" i="62906" s="1"/>
  <c r="J28" i="2"/>
  <c r="K28" i="2" s="1"/>
  <c r="O28" i="2"/>
  <c r="T29" i="2"/>
  <c r="X28" i="2"/>
  <c r="AB31" i="2"/>
  <c r="Z30" i="2"/>
  <c r="Z29" i="2"/>
  <c r="Y30" i="2"/>
  <c r="O92" i="2"/>
  <c r="Y28" i="2"/>
  <c r="AC30" i="2"/>
  <c r="O31" i="2"/>
  <c r="O93" i="2"/>
  <c r="O94" i="2"/>
  <c r="X29" i="2"/>
  <c r="O29" i="2"/>
  <c r="X31" i="2"/>
  <c r="Y29" i="2"/>
  <c r="Y31" i="2"/>
  <c r="Z28" i="2"/>
  <c r="Z82" i="2"/>
  <c r="Z80" i="2"/>
  <c r="Z62" i="2"/>
  <c r="Z51" i="2"/>
  <c r="Z71" i="2"/>
  <c r="Z60" i="2"/>
  <c r="Z70" i="2"/>
  <c r="Z81" i="2"/>
  <c r="Z61" i="2"/>
  <c r="AU138" i="9"/>
  <c r="E187" i="9"/>
  <c r="AG187" i="9"/>
  <c r="AG190" i="9"/>
  <c r="E138" i="9"/>
  <c r="AA187" i="9"/>
  <c r="AA138" i="9"/>
  <c r="Q94" i="7"/>
  <c r="AG67" i="9"/>
  <c r="AO57" i="11"/>
  <c r="N43" i="7"/>
  <c r="N142" i="7"/>
  <c r="S141" i="7"/>
  <c r="Q152" i="7"/>
  <c r="E152" i="7"/>
  <c r="N141" i="7"/>
  <c r="E141" i="7"/>
  <c r="S152" i="7"/>
  <c r="N109" i="7"/>
  <c r="S129" i="7"/>
  <c r="Q122" i="7"/>
  <c r="Y109" i="7"/>
  <c r="E110" i="7"/>
  <c r="N129" i="7"/>
  <c r="N126" i="7"/>
  <c r="S126" i="7"/>
  <c r="E126" i="7"/>
  <c r="S122" i="7"/>
  <c r="Q109" i="7"/>
  <c r="Y122" i="7"/>
  <c r="Y130" i="7"/>
  <c r="N112" i="7"/>
  <c r="Y126" i="7"/>
  <c r="N122" i="7"/>
  <c r="Q112" i="7"/>
  <c r="E109" i="7"/>
  <c r="E108" i="7"/>
  <c r="N108" i="7"/>
  <c r="Y131" i="7"/>
  <c r="Q131" i="7"/>
  <c r="S131" i="7"/>
  <c r="E131" i="7"/>
  <c r="N131" i="7"/>
  <c r="Q111" i="7"/>
  <c r="N111" i="7"/>
  <c r="Y111" i="7"/>
  <c r="S111" i="7"/>
  <c r="E111" i="7"/>
  <c r="Q143" i="7"/>
  <c r="E129" i="7"/>
  <c r="N118" i="7"/>
  <c r="S112" i="7"/>
  <c r="S130" i="7"/>
  <c r="N130" i="7"/>
  <c r="S108" i="7"/>
  <c r="N152" i="7"/>
  <c r="S124" i="7"/>
  <c r="Y112" i="7"/>
  <c r="Q130" i="7"/>
  <c r="Q108" i="7"/>
  <c r="Q118" i="7"/>
  <c r="Y108" i="7"/>
  <c r="Y124" i="7"/>
  <c r="E14" i="7"/>
  <c r="E126" i="9"/>
  <c r="BH70" i="9"/>
  <c r="N14" i="7"/>
  <c r="AA206" i="9"/>
  <c r="Q163" i="7"/>
  <c r="Y165" i="7"/>
  <c r="Q165" i="7"/>
  <c r="S165" i="7"/>
  <c r="E165" i="7"/>
  <c r="N165" i="7"/>
  <c r="E163" i="7"/>
  <c r="S163" i="7"/>
  <c r="N163" i="7"/>
  <c r="E217" i="9"/>
  <c r="AI217" i="9"/>
  <c r="AG217" i="9"/>
  <c r="AA217" i="9"/>
  <c r="Q176" i="7"/>
  <c r="E216" i="9"/>
  <c r="BJ220" i="9"/>
  <c r="BH220" i="9"/>
  <c r="S94" i="7"/>
  <c r="Q96" i="7"/>
  <c r="S96" i="7"/>
  <c r="E96" i="7"/>
  <c r="N96" i="7"/>
  <c r="T69" i="11"/>
  <c r="Y95" i="7"/>
  <c r="N94" i="7"/>
  <c r="Q97" i="7"/>
  <c r="AC71" i="11"/>
  <c r="S95" i="7"/>
  <c r="E97" i="7"/>
  <c r="AG47" i="9"/>
  <c r="AU127" i="9"/>
  <c r="AI127" i="9"/>
  <c r="AA46" i="9"/>
  <c r="S80" i="7"/>
  <c r="BH50" i="9"/>
  <c r="BJ50" i="9"/>
  <c r="E80" i="7"/>
  <c r="Y80" i="7"/>
  <c r="Q80" i="7"/>
  <c r="AI46" i="9"/>
  <c r="Y81" i="7"/>
  <c r="E46" i="9"/>
  <c r="N80" i="7"/>
  <c r="BH130" i="9"/>
  <c r="BJ130" i="9"/>
  <c r="AG46" i="9"/>
  <c r="S81" i="7"/>
  <c r="AU126" i="9"/>
  <c r="AG126" i="9"/>
  <c r="AA47" i="9"/>
  <c r="AA126" i="9"/>
  <c r="Q72" i="7"/>
  <c r="E36" i="9"/>
  <c r="S72" i="7"/>
  <c r="S74" i="7" s="1"/>
  <c r="E37" i="9"/>
  <c r="AI36" i="9"/>
  <c r="AA38" i="9"/>
  <c r="AA36" i="9"/>
  <c r="BJ36" i="9"/>
  <c r="BJ40" i="9" s="1"/>
  <c r="AU37" i="9"/>
  <c r="AU36" i="9"/>
  <c r="BH36" i="9"/>
  <c r="BH40" i="9" s="1"/>
  <c r="AG38" i="9"/>
  <c r="AG40" i="9" s="1"/>
  <c r="AI37" i="9"/>
  <c r="AA37" i="9"/>
  <c r="L40" i="9"/>
  <c r="E72" i="7"/>
  <c r="AI38" i="9"/>
  <c r="Q71" i="7"/>
  <c r="Q69" i="7"/>
  <c r="E69" i="7"/>
  <c r="Y71" i="7"/>
  <c r="N72" i="7"/>
  <c r="Q70" i="7"/>
  <c r="AC55" i="11"/>
  <c r="Q56" i="7"/>
  <c r="N58" i="7"/>
  <c r="K84" i="2"/>
  <c r="D179" i="2" s="1"/>
  <c r="E179" i="2" s="1"/>
  <c r="S56" i="7"/>
  <c r="Y57" i="11"/>
  <c r="Q57" i="7"/>
  <c r="E58" i="7"/>
  <c r="AO55" i="11"/>
  <c r="Y56" i="7"/>
  <c r="N56" i="7"/>
  <c r="S31" i="7"/>
  <c r="AU198" i="9"/>
  <c r="AU66" i="9"/>
  <c r="AU70" i="9" s="1"/>
  <c r="AA147" i="9"/>
  <c r="AO28" i="11"/>
  <c r="N31" i="7"/>
  <c r="AI67" i="9"/>
  <c r="BJ200" i="9"/>
  <c r="AG198" i="9"/>
  <c r="AI198" i="9"/>
  <c r="S29" i="7"/>
  <c r="AI147" i="9"/>
  <c r="Q29" i="7"/>
  <c r="AC28" i="11"/>
  <c r="Y27" i="11"/>
  <c r="E31" i="7"/>
  <c r="AA66" i="9"/>
  <c r="E67" i="9"/>
  <c r="AG147" i="9"/>
  <c r="AO27" i="11"/>
  <c r="AA198" i="9"/>
  <c r="AU147" i="9"/>
  <c r="E29" i="7"/>
  <c r="L70" i="9"/>
  <c r="Q31" i="7"/>
  <c r="N29" i="7"/>
  <c r="AA67" i="9"/>
  <c r="Y41" i="11"/>
  <c r="E77" i="9"/>
  <c r="BH210" i="9"/>
  <c r="AI76" i="9"/>
  <c r="E208" i="9"/>
  <c r="AG156" i="9"/>
  <c r="AI156" i="9"/>
  <c r="AI77" i="9"/>
  <c r="S44" i="7"/>
  <c r="AC41" i="11"/>
  <c r="T43" i="11"/>
  <c r="AA156" i="9"/>
  <c r="E44" i="7"/>
  <c r="Q44" i="7"/>
  <c r="BJ80" i="9"/>
  <c r="AG208" i="9"/>
  <c r="AI208" i="9"/>
  <c r="AA208" i="9"/>
  <c r="T42" i="11"/>
  <c r="AU156" i="9"/>
  <c r="AC43" i="11"/>
  <c r="AC46" i="11" s="1"/>
  <c r="AU76" i="9"/>
  <c r="AG76" i="9"/>
  <c r="BH160" i="9"/>
  <c r="BJ160" i="9"/>
  <c r="BH80" i="9"/>
  <c r="T41" i="11"/>
  <c r="BJ210" i="9"/>
  <c r="E146" i="9"/>
  <c r="BH150" i="9"/>
  <c r="BJ70" i="9"/>
  <c r="BJ150" i="9"/>
  <c r="AG206" i="9"/>
  <c r="AA77" i="9"/>
  <c r="L210" i="9"/>
  <c r="S43" i="7"/>
  <c r="Y43" i="11"/>
  <c r="AI207" i="9"/>
  <c r="AO43" i="11"/>
  <c r="AU206" i="9"/>
  <c r="AU210" i="9"/>
  <c r="Y43" i="7"/>
  <c r="AA207" i="9"/>
  <c r="AU77" i="9"/>
  <c r="E43" i="7"/>
  <c r="AG207" i="9"/>
  <c r="E207" i="9"/>
  <c r="AA76" i="9"/>
  <c r="E17" i="7"/>
  <c r="E16" i="7"/>
  <c r="AU187" i="9"/>
  <c r="AI138" i="9"/>
  <c r="AC14" i="11"/>
  <c r="Y16" i="7"/>
  <c r="E136" i="9"/>
  <c r="T14" i="11"/>
  <c r="N16" i="7"/>
  <c r="AU56" i="9"/>
  <c r="N15" i="7"/>
  <c r="AA56" i="9"/>
  <c r="BJ140" i="9"/>
  <c r="N17" i="7"/>
  <c r="AA136" i="9"/>
  <c r="BJ60" i="9"/>
  <c r="E57" i="9"/>
  <c r="Y15" i="7"/>
  <c r="AU136" i="9"/>
  <c r="AI136" i="9"/>
  <c r="E15" i="7"/>
  <c r="BJ190" i="9"/>
  <c r="AU57" i="9"/>
  <c r="Q15" i="7"/>
  <c r="AI57" i="9"/>
  <c r="AA57" i="9"/>
  <c r="J19" i="7"/>
  <c r="AI188" i="9"/>
  <c r="E56" i="9"/>
  <c r="Q14" i="7"/>
  <c r="AG56" i="9"/>
  <c r="AG60" i="9" s="1"/>
  <c r="Y14" i="7"/>
  <c r="BH60" i="9"/>
  <c r="BH140" i="9"/>
  <c r="BH190" i="9"/>
  <c r="Y13" i="11"/>
  <c r="AO13" i="11"/>
  <c r="AC13" i="11"/>
  <c r="AG113" i="62898"/>
  <c r="AM247" i="62898"/>
  <c r="BA94" i="62898"/>
  <c r="Z113" i="62898"/>
  <c r="AD62" i="62898"/>
  <c r="AY258" i="62898"/>
  <c r="AK184" i="62898"/>
  <c r="AM140" i="62898"/>
  <c r="AH352" i="62898"/>
  <c r="AH52" i="62898"/>
  <c r="AZ94" i="62898"/>
  <c r="AM53" i="62898"/>
  <c r="AM56" i="62898" s="1"/>
  <c r="AD192" i="62898"/>
  <c r="AW361" i="62898"/>
  <c r="AG140" i="62898"/>
  <c r="AM139" i="62898"/>
  <c r="AP139" i="62898"/>
  <c r="BH258" i="62898"/>
  <c r="AY361" i="62898"/>
  <c r="BH361" i="62898"/>
  <c r="AO176" i="62898"/>
  <c r="Q164" i="7"/>
  <c r="S164" i="7"/>
  <c r="AG137" i="9"/>
  <c r="AG140" i="9" s="1"/>
  <c r="L140" i="9"/>
  <c r="AU137" i="9"/>
  <c r="AI137" i="9"/>
  <c r="AU128" i="9"/>
  <c r="AA128" i="9"/>
  <c r="E128" i="9"/>
  <c r="AG128" i="9"/>
  <c r="AU78" i="9"/>
  <c r="E78" i="9"/>
  <c r="AI78" i="9"/>
  <c r="AA78" i="9"/>
  <c r="AI58" i="9"/>
  <c r="AU58" i="9"/>
  <c r="AA58" i="9"/>
  <c r="E58" i="9"/>
  <c r="AA48" i="9"/>
  <c r="AU48" i="9"/>
  <c r="K50" i="9"/>
  <c r="AI48" i="9"/>
  <c r="AC44" i="11"/>
  <c r="Y44" i="11"/>
  <c r="AO44" i="11"/>
  <c r="K46" i="11"/>
  <c r="T44" i="11"/>
  <c r="BH200" i="9"/>
  <c r="R43" i="11"/>
  <c r="S42" i="7"/>
  <c r="N42" i="7"/>
  <c r="Q42" i="7"/>
  <c r="Y42" i="7"/>
  <c r="S82" i="7"/>
  <c r="Q83" i="7"/>
  <c r="S83" i="7"/>
  <c r="AO69" i="11"/>
  <c r="AC69" i="11"/>
  <c r="AU186" i="9"/>
  <c r="AU190" i="9" s="1"/>
  <c r="AI186" i="9"/>
  <c r="E186" i="9"/>
  <c r="AA158" i="9"/>
  <c r="AI158" i="9"/>
  <c r="E158" i="9"/>
  <c r="L160" i="9"/>
  <c r="AG158" i="9"/>
  <c r="AU158" i="9"/>
  <c r="AU148" i="9"/>
  <c r="E148" i="9"/>
  <c r="AG148" i="9"/>
  <c r="T68" i="11"/>
  <c r="T73" i="11" s="1"/>
  <c r="Y68" i="11"/>
  <c r="AC68" i="11"/>
  <c r="AO68" i="11"/>
  <c r="AC56" i="11"/>
  <c r="K59" i="11"/>
  <c r="Y56" i="11"/>
  <c r="AC30" i="11"/>
  <c r="Y30" i="11"/>
  <c r="Y32" i="11" s="1"/>
  <c r="AU196" i="9"/>
  <c r="E196" i="9"/>
  <c r="AA196" i="9"/>
  <c r="AI196" i="9"/>
  <c r="L80" i="9"/>
  <c r="L60" i="9"/>
  <c r="AG78" i="9"/>
  <c r="T70" i="11"/>
  <c r="Y70" i="11"/>
  <c r="AC15" i="11"/>
  <c r="Y15" i="11"/>
  <c r="K18" i="11"/>
  <c r="T15" i="11"/>
  <c r="S177" i="7"/>
  <c r="N177" i="7"/>
  <c r="E57" i="7"/>
  <c r="J60" i="7"/>
  <c r="N57" i="7"/>
  <c r="S57" i="7"/>
  <c r="E45" i="7"/>
  <c r="N45" i="7"/>
  <c r="J33" i="7"/>
  <c r="AG218" i="9"/>
  <c r="AU218" i="9"/>
  <c r="AU220" i="9"/>
  <c r="K220" i="9"/>
  <c r="AI218" i="9"/>
  <c r="AG48" i="9"/>
  <c r="AI128" i="9"/>
  <c r="AO15" i="11"/>
  <c r="K32" i="11"/>
  <c r="Y29" i="11"/>
  <c r="AO29" i="11"/>
  <c r="AC29" i="11"/>
  <c r="AO16" i="11"/>
  <c r="AC16" i="11"/>
  <c r="T16" i="11"/>
  <c r="T13" i="11"/>
  <c r="AA186" i="9"/>
  <c r="AA148" i="9"/>
  <c r="AA150" i="9" s="1"/>
  <c r="AA146" i="9"/>
  <c r="AA137" i="9"/>
  <c r="AA218" i="9"/>
  <c r="T56" i="11"/>
  <c r="AJ372" i="62898"/>
  <c r="AC370" i="62898"/>
  <c r="AH282" i="62898"/>
  <c r="BA370" i="62898"/>
  <c r="BA371" i="62898"/>
  <c r="AL372" i="62898"/>
  <c r="O374" i="62898"/>
  <c r="S178" i="7"/>
  <c r="E178" i="7"/>
  <c r="Y178" i="7"/>
  <c r="Q178" i="7"/>
  <c r="E116" i="7"/>
  <c r="S116" i="7"/>
  <c r="AL282" i="62898"/>
  <c r="AM370" i="62898"/>
  <c r="AM372" i="62898"/>
  <c r="AN372" i="62898" s="1"/>
  <c r="E133" i="7"/>
  <c r="N132" i="7"/>
  <c r="Y132" i="7"/>
  <c r="J73" i="11"/>
  <c r="Y69" i="11"/>
  <c r="Y177" i="7"/>
  <c r="AI216" i="9"/>
  <c r="AO71" i="11"/>
  <c r="N178" i="7"/>
  <c r="E94" i="7"/>
  <c r="Q132" i="7"/>
  <c r="S132" i="7"/>
  <c r="I180" i="7"/>
  <c r="AA216" i="9"/>
  <c r="AO70" i="11"/>
  <c r="AG216" i="9"/>
  <c r="N176" i="7"/>
  <c r="E176" i="7"/>
  <c r="S176" i="7"/>
  <c r="AC282" i="62898"/>
  <c r="AA371" i="62898"/>
  <c r="AC371" i="62898"/>
  <c r="AC372" i="62898"/>
  <c r="AW286" i="62898"/>
  <c r="AC284" i="62898"/>
  <c r="AC283" i="62898"/>
  <c r="AT374" i="62898"/>
  <c r="O286" i="62898"/>
  <c r="AO284" i="62898"/>
  <c r="AO286" i="62898" s="1"/>
  <c r="AD256" i="62898"/>
  <c r="AM350" i="62898"/>
  <c r="AQ362" i="62898"/>
  <c r="BE350" i="62898"/>
  <c r="AK361" i="62898"/>
  <c r="BG246" i="62898"/>
  <c r="BH249" i="62898"/>
  <c r="AD258" i="62898"/>
  <c r="Z351" i="62898"/>
  <c r="BI361" i="62898"/>
  <c r="AA244" i="62898"/>
  <c r="AQ256" i="62898"/>
  <c r="BE244" i="62898"/>
  <c r="BE361" i="62898"/>
  <c r="AT361" i="62898"/>
  <c r="AW258" i="62898"/>
  <c r="AH361" i="62898"/>
  <c r="AV258" i="62898"/>
  <c r="AD351" i="62898"/>
  <c r="AZ361" i="62898"/>
  <c r="AS258" i="62898"/>
  <c r="AD247" i="62898"/>
  <c r="AD362" i="62898"/>
  <c r="AK255" i="62898"/>
  <c r="AK360" i="62898"/>
  <c r="AA247" i="62898"/>
  <c r="N354" i="62898"/>
  <c r="AG245" i="62898"/>
  <c r="BH362" i="62898"/>
  <c r="AY257" i="62898"/>
  <c r="AH247" i="62898"/>
  <c r="BE247" i="62898"/>
  <c r="P364" i="62898"/>
  <c r="AK244" i="62898"/>
  <c r="BG247" i="62898"/>
  <c r="AD245" i="62898"/>
  <c r="AD255" i="62898"/>
  <c r="Z352" i="62898"/>
  <c r="AW257" i="62898"/>
  <c r="BF352" i="62898"/>
  <c r="AD244" i="62898"/>
  <c r="Z247" i="62898"/>
  <c r="AS257" i="62898"/>
  <c r="AD360" i="62898"/>
  <c r="N249" i="62898"/>
  <c r="AM245" i="62898"/>
  <c r="Z258" i="62898"/>
  <c r="AA352" i="62898"/>
  <c r="AT354" i="62898"/>
  <c r="AW362" i="62898"/>
  <c r="BI255" i="62898"/>
  <c r="AV362" i="62898"/>
  <c r="BI362" i="62898"/>
  <c r="AQ246" i="62898"/>
  <c r="BH255" i="62898"/>
  <c r="AD352" i="62898"/>
  <c r="AZ362" i="62898"/>
  <c r="AY362" i="62898"/>
  <c r="AQ352" i="62898"/>
  <c r="AS362" i="62898"/>
  <c r="AK257" i="62898"/>
  <c r="AV255" i="62898"/>
  <c r="Z350" i="62898"/>
  <c r="BH354" i="62898"/>
  <c r="BH256" i="62898"/>
  <c r="AH256" i="62898"/>
  <c r="AT256" i="62898"/>
  <c r="AW256" i="62898"/>
  <c r="AZ256" i="62898"/>
  <c r="AY256" i="62898"/>
  <c r="AV256" i="62898"/>
  <c r="AS256" i="62898"/>
  <c r="BI256" i="62898"/>
  <c r="P260" i="62898"/>
  <c r="AD257" i="62898"/>
  <c r="AD350" i="62898"/>
  <c r="AS255" i="62898"/>
  <c r="Z245" i="62898"/>
  <c r="L354" i="62898"/>
  <c r="AQ361" i="62898"/>
  <c r="AQ350" i="62898"/>
  <c r="AZ255" i="62898"/>
  <c r="BF351" i="62898"/>
  <c r="K249" i="62898"/>
  <c r="AD246" i="62898"/>
  <c r="AW255" i="62898"/>
  <c r="AT255" i="62898"/>
  <c r="Z380" i="62898"/>
  <c r="AW380" i="62898"/>
  <c r="AI113" i="62898"/>
  <c r="AI112" i="62898"/>
  <c r="Z222" i="62898"/>
  <c r="E112" i="62898"/>
  <c r="AW112" i="62898"/>
  <c r="AW113" i="62898"/>
  <c r="AW222" i="62898"/>
  <c r="Z223" i="62898"/>
  <c r="Z225" i="62898" s="1"/>
  <c r="AW382" i="62898"/>
  <c r="Z112" i="62898"/>
  <c r="AT384" i="62898"/>
  <c r="AT225" i="62898"/>
  <c r="E223" i="62898"/>
  <c r="AW223" i="62898"/>
  <c r="AG381" i="62898"/>
  <c r="AG223" i="62898"/>
  <c r="E381" i="62898"/>
  <c r="AW381" i="62898"/>
  <c r="AX116" i="62898"/>
  <c r="AI384" i="62898"/>
  <c r="AS384" i="62898"/>
  <c r="Z381" i="62898"/>
  <c r="I116" i="62898"/>
  <c r="Z114" i="62898"/>
  <c r="E222" i="62898"/>
  <c r="E380" i="62898"/>
  <c r="AT116" i="62898"/>
  <c r="AG222" i="62898"/>
  <c r="AG380" i="62898"/>
  <c r="Z221" i="62898"/>
  <c r="Z116" i="2"/>
  <c r="Z124" i="2"/>
  <c r="E116" i="2"/>
  <c r="N94" i="3"/>
  <c r="AA174" i="62898"/>
  <c r="AA330" i="62898"/>
  <c r="AA321" i="62898"/>
  <c r="AO192" i="62898"/>
  <c r="BE194" i="62898"/>
  <c r="AI340" i="62898"/>
  <c r="AG342" i="62898"/>
  <c r="AD341" i="62898"/>
  <c r="AI102" i="62898"/>
  <c r="AG104" i="62898"/>
  <c r="AD103" i="62898"/>
  <c r="AA277" i="5"/>
  <c r="BG279" i="5"/>
  <c r="AA479" i="5"/>
  <c r="AB480" i="5"/>
  <c r="AK340" i="62898"/>
  <c r="AK344" i="62898" s="1"/>
  <c r="AO76" i="5"/>
  <c r="AN77" i="5"/>
  <c r="AH192" i="62898"/>
  <c r="AB193" i="62898"/>
  <c r="AA340" i="62898"/>
  <c r="AI341" i="62898"/>
  <c r="AJ341" i="62898" s="1"/>
  <c r="BF102" i="62898"/>
  <c r="AB103" i="62898"/>
  <c r="AC103" i="62898" s="1"/>
  <c r="AM277" i="5"/>
  <c r="AI83" i="62898"/>
  <c r="AP321" i="62898"/>
  <c r="AI183" i="62898"/>
  <c r="AH184" i="62898"/>
  <c r="AV92" i="62898"/>
  <c r="AN184" i="62898"/>
  <c r="AD72" i="62898"/>
  <c r="AD331" i="62898"/>
  <c r="AH72" i="62898"/>
  <c r="AN72" i="62898"/>
  <c r="AQ172" i="62898"/>
  <c r="AN174" i="62898"/>
  <c r="AK72" i="62898"/>
  <c r="AH330" i="62898"/>
  <c r="AD172" i="62898"/>
  <c r="AM330" i="62898"/>
  <c r="K334" i="62898"/>
  <c r="BE74" i="62898"/>
  <c r="E330" i="62898"/>
  <c r="L76" i="62898"/>
  <c r="AG74" i="62898"/>
  <c r="AG330" i="62898"/>
  <c r="AK331" i="62898"/>
  <c r="N334" i="62898"/>
  <c r="AB331" i="62898"/>
  <c r="AN320" i="62898"/>
  <c r="AN324" i="62898"/>
  <c r="BA92" i="62898"/>
  <c r="AQ93" i="62898"/>
  <c r="E321" i="62898"/>
  <c r="BF320" i="62898"/>
  <c r="AH82" i="62898"/>
  <c r="AG321" i="62898"/>
  <c r="AJ321" i="62898" s="1"/>
  <c r="AG322" i="62898"/>
  <c r="BE182" i="62898"/>
  <c r="BA93" i="62898"/>
  <c r="AB82" i="62898"/>
  <c r="BE322" i="62898"/>
  <c r="AD322" i="62898"/>
  <c r="BG83" i="62898"/>
  <c r="AU93" i="62898"/>
  <c r="AU96" i="62898"/>
  <c r="AO320" i="62898"/>
  <c r="AO324" i="62898"/>
  <c r="AB321" i="62898"/>
  <c r="AI320" i="62898"/>
  <c r="AH320" i="62898"/>
  <c r="K186" i="62898"/>
  <c r="AB83" i="62898"/>
  <c r="AG182" i="62898"/>
  <c r="AG93" i="62898"/>
  <c r="AX92" i="62898"/>
  <c r="AK183" i="62898"/>
  <c r="AY93" i="62898"/>
  <c r="BE321" i="62898"/>
  <c r="BG183" i="62898"/>
  <c r="AQ182" i="62898"/>
  <c r="AK84" i="62898"/>
  <c r="AK322" i="62898"/>
  <c r="AH93" i="62898"/>
  <c r="AD183" i="62898"/>
  <c r="AI321" i="62898"/>
  <c r="BH94" i="62898"/>
  <c r="AY94" i="62898"/>
  <c r="AA94" i="62898"/>
  <c r="AV94" i="62898"/>
  <c r="BE94" i="62898"/>
  <c r="AA322" i="62898"/>
  <c r="BG321" i="62898"/>
  <c r="AK92" i="62898"/>
  <c r="AG183" i="62898"/>
  <c r="AB183" i="62898"/>
  <c r="AD92" i="62898"/>
  <c r="AT94" i="62898"/>
  <c r="AS94" i="62898"/>
  <c r="AX94" i="62898"/>
  <c r="BI94" i="62898"/>
  <c r="AW94" i="62898"/>
  <c r="AG83" i="62898"/>
  <c r="BE83" i="62898"/>
  <c r="AH322" i="62898"/>
  <c r="BJ94" i="62898"/>
  <c r="AG172" i="62898"/>
  <c r="K176" i="62898"/>
  <c r="AB330" i="62898"/>
  <c r="AM172" i="62898"/>
  <c r="AK73" i="62898"/>
  <c r="AD73" i="62898"/>
  <c r="BG74" i="62898"/>
  <c r="AI74" i="62898"/>
  <c r="AN331" i="62898"/>
  <c r="AI330" i="62898"/>
  <c r="AA173" i="62898"/>
  <c r="AA320" i="62898"/>
  <c r="AP322" i="62898"/>
  <c r="BG84" i="62898"/>
  <c r="AQ82" i="62898"/>
  <c r="BE82" i="62898"/>
  <c r="N324" i="62898"/>
  <c r="AG320" i="62898"/>
  <c r="AH83" i="62898"/>
  <c r="AI84" i="62898"/>
  <c r="AB322" i="62898"/>
  <c r="AQ321" i="62898"/>
  <c r="AA83" i="62898"/>
  <c r="AD321" i="62898"/>
  <c r="BF83" i="62898"/>
  <c r="BF332" i="62898"/>
  <c r="BF334" i="62898"/>
  <c r="K76" i="62898"/>
  <c r="AH332" i="62898"/>
  <c r="BE73" i="62898"/>
  <c r="BF74" i="62898"/>
  <c r="AG73" i="62898"/>
  <c r="AQ174" i="62898"/>
  <c r="AK330" i="62898"/>
  <c r="AG72" i="62898"/>
  <c r="AH74" i="62898"/>
  <c r="AA74" i="62898"/>
  <c r="AM72" i="62898"/>
  <c r="AM76" i="62898" s="1"/>
  <c r="AD332" i="62898"/>
  <c r="AN182" i="62898"/>
  <c r="BF182" i="62898"/>
  <c r="AA182" i="62898"/>
  <c r="L186" i="62898"/>
  <c r="AH182" i="62898"/>
  <c r="AD82" i="62898"/>
  <c r="AD184" i="62898"/>
  <c r="AD93" i="62898"/>
  <c r="BF84" i="62898"/>
  <c r="AA84" i="62898"/>
  <c r="AH84" i="62898"/>
  <c r="AN84" i="62898"/>
  <c r="AD320" i="62898"/>
  <c r="AA184" i="62898"/>
  <c r="BE184" i="62898"/>
  <c r="AQ83" i="62898"/>
  <c r="AK83" i="62898"/>
  <c r="BI92" i="62898"/>
  <c r="AO82" i="62898"/>
  <c r="AO86" i="62898" s="1"/>
  <c r="AP320" i="62898"/>
  <c r="BE320" i="62898"/>
  <c r="AB320" i="62898"/>
  <c r="E320" i="62898"/>
  <c r="AH183" i="62898"/>
  <c r="AS92" i="62898"/>
  <c r="AT92" i="62898"/>
  <c r="AB184" i="62898"/>
  <c r="BF183" i="62898"/>
  <c r="AN92" i="62898"/>
  <c r="E184" i="62898"/>
  <c r="M86" i="62898"/>
  <c r="AM84" i="62898"/>
  <c r="E84" i="62898"/>
  <c r="AI182" i="62898"/>
  <c r="AA183" i="62898"/>
  <c r="AY92" i="62898"/>
  <c r="AZ92" i="62898"/>
  <c r="BH92" i="62898"/>
  <c r="M186" i="62898"/>
  <c r="AI82" i="62898"/>
  <c r="BJ92" i="62898"/>
  <c r="AW92" i="62898"/>
  <c r="BE332" i="62898"/>
  <c r="BE334" i="62898" s="1"/>
  <c r="AG174" i="62898"/>
  <c r="BG331" i="62898"/>
  <c r="AA332" i="62898"/>
  <c r="AQ330" i="62898"/>
  <c r="AO331" i="62898"/>
  <c r="M176" i="62898"/>
  <c r="AO72" i="62898"/>
  <c r="AI331" i="62898"/>
  <c r="AD330" i="62898"/>
  <c r="BF173" i="62898"/>
  <c r="BG72" i="62898"/>
  <c r="AH173" i="62898"/>
  <c r="AI172" i="62898"/>
  <c r="BG172" i="62898"/>
  <c r="AD173" i="62898"/>
  <c r="AN172" i="62898"/>
  <c r="BF172" i="62898"/>
  <c r="AH172" i="62898"/>
  <c r="AA172" i="62898"/>
  <c r="BG332" i="62898"/>
  <c r="AB332" i="62898"/>
  <c r="AI332" i="62898"/>
  <c r="AG332" i="62898"/>
  <c r="AB74" i="62898"/>
  <c r="AD174" i="62898"/>
  <c r="M334" i="62898"/>
  <c r="BG330" i="62898"/>
  <c r="AM332" i="62898"/>
  <c r="AD74" i="62898"/>
  <c r="E332" i="62898"/>
  <c r="E334" i="62898" s="1"/>
  <c r="AI73" i="62898"/>
  <c r="AH331" i="62898"/>
  <c r="AA72" i="62898"/>
  <c r="AB172" i="62898"/>
  <c r="AA331" i="62898"/>
  <c r="AC331" i="62898" s="1"/>
  <c r="AN73" i="62898"/>
  <c r="AA73" i="62898"/>
  <c r="BF73" i="62898"/>
  <c r="AH73" i="62898"/>
  <c r="AJ73" i="62898" s="1"/>
  <c r="AI72" i="62898"/>
  <c r="AB72" i="62898"/>
  <c r="N176" i="62898"/>
  <c r="AB73" i="62898"/>
  <c r="BE331" i="62898"/>
  <c r="AQ173" i="62898"/>
  <c r="AI174" i="62898"/>
  <c r="L334" i="62898"/>
  <c r="L176" i="62898"/>
  <c r="AO73" i="62898"/>
  <c r="N76" i="62898"/>
  <c r="AB174" i="62898"/>
  <c r="AN330" i="62898"/>
  <c r="BG174" i="62898"/>
  <c r="AO332" i="62898"/>
  <c r="AK312" i="62898"/>
  <c r="BF311" i="62898"/>
  <c r="AH159" i="62898"/>
  <c r="AA159" i="62898"/>
  <c r="AM160" i="62898"/>
  <c r="AD312" i="62898"/>
  <c r="BE160" i="62898"/>
  <c r="BE311" i="62898"/>
  <c r="AQ160" i="62898"/>
  <c r="AO312" i="62898"/>
  <c r="AG312" i="62898"/>
  <c r="L314" i="62898"/>
  <c r="AH310" i="62898"/>
  <c r="AM161" i="62898"/>
  <c r="BF310" i="62898"/>
  <c r="N163" i="62898"/>
  <c r="AA160" i="62898"/>
  <c r="AG310" i="62898"/>
  <c r="AD160" i="62898"/>
  <c r="BE310" i="62898"/>
  <c r="AD161" i="62898"/>
  <c r="AK41" i="62898"/>
  <c r="AK46" i="62898"/>
  <c r="AA43" i="62898"/>
  <c r="AK31" i="62898"/>
  <c r="AH42" i="62898"/>
  <c r="BF42" i="62898"/>
  <c r="AA44" i="62898"/>
  <c r="AA32" i="62898"/>
  <c r="AD31" i="62898"/>
  <c r="AD33" i="62898"/>
  <c r="AQ33" i="62898"/>
  <c r="AB41" i="62898"/>
  <c r="AK30" i="62898"/>
  <c r="AD43" i="62898"/>
  <c r="BG32" i="62898"/>
  <c r="BE31" i="62898"/>
  <c r="AD30" i="62898"/>
  <c r="AA42" i="62898"/>
  <c r="AA41" i="62898"/>
  <c r="AD41" i="62898"/>
  <c r="AB42" i="62898"/>
  <c r="AN43" i="62898"/>
  <c r="AN46" i="62898" s="1"/>
  <c r="AM43" i="62898"/>
  <c r="AQ44" i="62898"/>
  <c r="AD32" i="62898"/>
  <c r="AD42" i="62898"/>
  <c r="AB43" i="62898"/>
  <c r="AB30" i="62898"/>
  <c r="AO41" i="62898"/>
  <c r="N46" i="62898"/>
  <c r="AQ32" i="62898"/>
  <c r="AI42" i="62898"/>
  <c r="AI41" i="62898"/>
  <c r="AK32" i="62898"/>
  <c r="AO42" i="62898"/>
  <c r="AP42" i="62898"/>
  <c r="AI33" i="62898"/>
  <c r="AG44" i="62898"/>
  <c r="AD44" i="62898"/>
  <c r="AM33" i="62898"/>
  <c r="AG43" i="62898"/>
  <c r="AJ43" i="62898" s="1"/>
  <c r="AG42" i="62898"/>
  <c r="Q35" i="62898"/>
  <c r="AA52" i="62898"/>
  <c r="BE52" i="62898"/>
  <c r="AK139" i="62898"/>
  <c r="AO141" i="62898"/>
  <c r="AO143" i="62898" s="1"/>
  <c r="AB310" i="62898"/>
  <c r="AM159" i="62898"/>
  <c r="AD159" i="62898"/>
  <c r="E159" i="62898"/>
  <c r="AO311" i="62898"/>
  <c r="AP311" i="62898" s="1"/>
  <c r="AG159" i="62898"/>
  <c r="AD311" i="62898"/>
  <c r="AB160" i="62898"/>
  <c r="BG311" i="62898"/>
  <c r="BE159" i="62898"/>
  <c r="BF160" i="62898"/>
  <c r="BF163" i="62898"/>
  <c r="BG160" i="62898"/>
  <c r="BG161" i="62898"/>
  <c r="AI161" i="62898"/>
  <c r="AK159" i="62898"/>
  <c r="AB161" i="62898"/>
  <c r="AD310" i="62898"/>
  <c r="AQ311" i="62898"/>
  <c r="N314" i="62898"/>
  <c r="AB311" i="62898"/>
  <c r="K163" i="62898"/>
  <c r="AM312" i="62898"/>
  <c r="AM314" i="62898" s="1"/>
  <c r="AO160" i="62898"/>
  <c r="AA310" i="62898"/>
  <c r="AK310" i="62898"/>
  <c r="AG161" i="62898"/>
  <c r="AH311" i="62898"/>
  <c r="AK161" i="62898"/>
  <c r="I47" i="3"/>
  <c r="AD149" i="62898"/>
  <c r="AI62" i="62898"/>
  <c r="BG62" i="62898"/>
  <c r="N153" i="62898"/>
  <c r="AQ150" i="62898"/>
  <c r="AM64" i="62898"/>
  <c r="AP64" i="62898" s="1"/>
  <c r="AA151" i="62898"/>
  <c r="AM149" i="62898"/>
  <c r="AD150" i="62898"/>
  <c r="AG149" i="62898"/>
  <c r="AG64" i="62898"/>
  <c r="AB54" i="62898"/>
  <c r="AD53" i="62898"/>
  <c r="AB140" i="62898"/>
  <c r="AD140" i="62898"/>
  <c r="AI140" i="62898"/>
  <c r="AB52" i="62898"/>
  <c r="AO52" i="62898"/>
  <c r="BG52" i="62898"/>
  <c r="AB139" i="62898"/>
  <c r="BG141" i="62898"/>
  <c r="AK53" i="62898"/>
  <c r="AK56" i="62898"/>
  <c r="AG52" i="62898"/>
  <c r="BG54" i="62898"/>
  <c r="AO54" i="62898"/>
  <c r="AP54" i="62898" s="1"/>
  <c r="AQ139" i="62898"/>
  <c r="N143" i="62898"/>
  <c r="AD141" i="62898"/>
  <c r="AD278" i="5"/>
  <c r="BG75" i="5"/>
  <c r="R196" i="62898"/>
  <c r="AQ479" i="5"/>
  <c r="AD342" i="62898"/>
  <c r="AD479" i="5"/>
  <c r="AQ104" i="62898"/>
  <c r="AD194" i="62898"/>
  <c r="AQ279" i="5"/>
  <c r="AD77" i="5"/>
  <c r="R483" i="5"/>
  <c r="AD277" i="5"/>
  <c r="AD340" i="62898"/>
  <c r="R344" i="62898"/>
  <c r="AK192" i="62898"/>
  <c r="AU106" i="62898"/>
  <c r="AD480" i="5"/>
  <c r="R281" i="5"/>
  <c r="AD481" i="5"/>
  <c r="AQ480" i="5"/>
  <c r="AD279" i="5"/>
  <c r="AK77" i="5"/>
  <c r="R106" i="62898"/>
  <c r="AD102" i="62898"/>
  <c r="AY153" i="62898"/>
  <c r="AG62" i="62898"/>
  <c r="E151" i="62898"/>
  <c r="AD64" i="62898"/>
  <c r="AM62" i="62898"/>
  <c r="AP62" i="62898" s="1"/>
  <c r="AI64" i="62898"/>
  <c r="AA63" i="62898"/>
  <c r="N66" i="62898"/>
  <c r="AB62" i="62898"/>
  <c r="AQ64" i="62898"/>
  <c r="AH63" i="62898"/>
  <c r="K66" i="62898"/>
  <c r="AN150" i="62898"/>
  <c r="BF149" i="62898"/>
  <c r="AH149" i="62898"/>
  <c r="L153" i="62898"/>
  <c r="AN149" i="62898"/>
  <c r="AA149" i="62898"/>
  <c r="BE151" i="62898"/>
  <c r="AQ63" i="62898"/>
  <c r="E150" i="62898"/>
  <c r="K153" i="62898"/>
  <c r="BF150" i="62898"/>
  <c r="AD63" i="62898"/>
  <c r="AB149" i="62898"/>
  <c r="AB151" i="62898"/>
  <c r="AO149" i="62898"/>
  <c r="BG149" i="62898"/>
  <c r="L66" i="62898"/>
  <c r="AA150" i="62898"/>
  <c r="BF62" i="62898"/>
  <c r="AD151" i="62898"/>
  <c r="AA62" i="62898"/>
  <c r="AH62" i="62898"/>
  <c r="AH54" i="62898"/>
  <c r="AA54" i="62898"/>
  <c r="AH139" i="62898"/>
  <c r="AB141" i="62898"/>
  <c r="BF53" i="62898"/>
  <c r="AD52" i="62898"/>
  <c r="BF54" i="62898"/>
  <c r="AA139" i="62898"/>
  <c r="AM141" i="62898"/>
  <c r="AA53" i="62898"/>
  <c r="N56" i="62898"/>
  <c r="AA141" i="62898"/>
  <c r="AG141" i="62898"/>
  <c r="AQ54" i="62898"/>
  <c r="AD54" i="62898"/>
  <c r="AH53" i="62898"/>
  <c r="BF139" i="62898"/>
  <c r="AQ52" i="62898"/>
  <c r="AX56" i="62898"/>
  <c r="E53" i="62898"/>
  <c r="BG53" i="62898"/>
  <c r="AB53" i="62898"/>
  <c r="M56" i="62898"/>
  <c r="AI53" i="62898"/>
  <c r="AO53" i="62898"/>
  <c r="BI56" i="62898"/>
  <c r="BG139" i="62898"/>
  <c r="L143" i="62898"/>
  <c r="K56" i="62898"/>
  <c r="E141" i="62898"/>
  <c r="M143" i="62898"/>
  <c r="BF141" i="62898"/>
  <c r="AI139" i="62898"/>
  <c r="E139" i="62898"/>
  <c r="E52" i="62898"/>
  <c r="AH141" i="62898"/>
  <c r="BG140" i="62898"/>
  <c r="AG54" i="62898"/>
  <c r="AA140" i="62898"/>
  <c r="AN140" i="62898"/>
  <c r="AN143" i="62898"/>
  <c r="AH312" i="62898"/>
  <c r="AN312" i="62898"/>
  <c r="AA312" i="62898"/>
  <c r="BF312" i="62898"/>
  <c r="BE174" i="62898"/>
  <c r="E174" i="62898"/>
  <c r="AM174" i="62898"/>
  <c r="BG63" i="62898"/>
  <c r="AB63" i="62898"/>
  <c r="M66" i="62898"/>
  <c r="AB173" i="62898"/>
  <c r="AI173" i="62898"/>
  <c r="E173" i="62898"/>
  <c r="AI63" i="62898"/>
  <c r="BF140" i="62898"/>
  <c r="BE54" i="62898"/>
  <c r="AB64" i="62898"/>
  <c r="BG64" i="62898"/>
  <c r="BF82" i="62898"/>
  <c r="AA82" i="62898"/>
  <c r="AN82" i="62898"/>
  <c r="AX106" i="62898"/>
  <c r="AP83" i="62898"/>
  <c r="AA311" i="62898"/>
  <c r="BA193" i="5"/>
  <c r="AC406" i="5"/>
  <c r="E607" i="5"/>
  <c r="K611" i="5"/>
  <c r="AJ607" i="5"/>
  <c r="AG406" i="5"/>
  <c r="Z407" i="5"/>
  <c r="AM203" i="5"/>
  <c r="E203" i="5"/>
  <c r="AL406" i="5"/>
  <c r="AN406" i="5" s="1"/>
  <c r="AG205" i="5"/>
  <c r="J611" i="5"/>
  <c r="AA406" i="5"/>
  <c r="AG204" i="5"/>
  <c r="AI204" i="5"/>
  <c r="AG608" i="5"/>
  <c r="AJ203" i="5"/>
  <c r="AC407" i="5"/>
  <c r="AH406" i="5"/>
  <c r="AO611" i="5"/>
  <c r="AA407" i="5"/>
  <c r="AH407" i="5"/>
  <c r="AM407" i="5"/>
  <c r="AN407" i="5" s="1"/>
  <c r="E407" i="5"/>
  <c r="BB407" i="5"/>
  <c r="BB409" i="5" s="1"/>
  <c r="Z204" i="5"/>
  <c r="AO405" i="5"/>
  <c r="AM607" i="5"/>
  <c r="Z405" i="5"/>
  <c r="Z607" i="5"/>
  <c r="AC608" i="5"/>
  <c r="AC609" i="5"/>
  <c r="K409" i="5"/>
  <c r="E204" i="5"/>
  <c r="J207" i="5"/>
  <c r="AA607" i="5"/>
  <c r="AO204" i="5"/>
  <c r="AC204" i="5"/>
  <c r="AJ608" i="5"/>
  <c r="AL204" i="5"/>
  <c r="L611" i="5"/>
  <c r="BB406" i="5"/>
  <c r="AA204" i="5"/>
  <c r="K207" i="5"/>
  <c r="AA205" i="5"/>
  <c r="AB205" i="5" s="1"/>
  <c r="Z406" i="5"/>
  <c r="L409" i="5"/>
  <c r="L207" i="5"/>
  <c r="AC405" i="5"/>
  <c r="AA405" i="5"/>
  <c r="AK483" i="5"/>
  <c r="AN66" i="62898"/>
  <c r="P2123" i="62906"/>
  <c r="AQ75" i="5"/>
  <c r="AK75" i="5"/>
  <c r="AD75" i="5"/>
  <c r="P2078" i="62906"/>
  <c r="P2080" i="62906"/>
  <c r="P2072" i="62906"/>
  <c r="P2044" i="62906"/>
  <c r="P2025" i="62906"/>
  <c r="P1985" i="62906"/>
  <c r="P1968" i="62906"/>
  <c r="P1951" i="62906"/>
  <c r="P1932" i="62906"/>
  <c r="P1921" i="62906"/>
  <c r="P2056" i="62906"/>
  <c r="P1997" i="62906"/>
  <c r="P1961" i="62906"/>
  <c r="P1925" i="62906"/>
  <c r="P2028" i="62906"/>
  <c r="P1971" i="62906"/>
  <c r="P1938" i="62906"/>
  <c r="P1995" i="62906"/>
  <c r="P2114" i="62906"/>
  <c r="P2092" i="62906"/>
  <c r="P1993" i="62906"/>
  <c r="P2082" i="62906"/>
  <c r="P2075" i="62906"/>
  <c r="P2062" i="62906"/>
  <c r="P2063" i="62906"/>
  <c r="P2040" i="62906"/>
  <c r="P2005" i="62906"/>
  <c r="P1981" i="62906"/>
  <c r="P1964" i="62906"/>
  <c r="P1947" i="62906"/>
  <c r="P1928" i="62906"/>
  <c r="P1915" i="62906"/>
  <c r="P2045" i="62906"/>
  <c r="P1986" i="62906"/>
  <c r="P1952" i="62906"/>
  <c r="P1924" i="62906"/>
  <c r="P2004" i="62906"/>
  <c r="P1963" i="62906"/>
  <c r="P1927" i="62906"/>
  <c r="P2021" i="62906"/>
  <c r="P2124" i="62906"/>
  <c r="P2115" i="62906"/>
  <c r="P2112" i="62906"/>
  <c r="P1999" i="62906"/>
  <c r="P2071" i="62906"/>
  <c r="P2054" i="62906"/>
  <c r="P1996" i="62906"/>
  <c r="P1960" i="62906"/>
  <c r="P1923" i="62906"/>
  <c r="P2036" i="62906"/>
  <c r="P1944" i="62906"/>
  <c r="P1988" i="62906"/>
  <c r="P1934" i="62906"/>
  <c r="P2084" i="62906"/>
  <c r="P2033" i="62906"/>
  <c r="P2066" i="62906"/>
  <c r="P2048" i="62906"/>
  <c r="P1989" i="62906"/>
  <c r="P1955" i="62906"/>
  <c r="P1935" i="62906"/>
  <c r="P2026" i="62906"/>
  <c r="P1936" i="62906"/>
  <c r="P1980" i="62906"/>
  <c r="P2083" i="62906"/>
  <c r="P2089" i="62906"/>
  <c r="P2086" i="62906"/>
  <c r="P2058" i="62906"/>
  <c r="P1977" i="62906"/>
  <c r="P2074" i="62906"/>
  <c r="P2047" i="62906"/>
  <c r="P2022" i="62906"/>
  <c r="P2053" i="62906"/>
  <c r="P1972" i="62906"/>
  <c r="P2065" i="62906"/>
  <c r="P2039" i="62906"/>
  <c r="P2116" i="62906"/>
  <c r="P2029" i="62906"/>
  <c r="P1939" i="62906"/>
  <c r="P1969" i="62906"/>
  <c r="P1946" i="62906"/>
  <c r="P2091" i="62906"/>
  <c r="P1943" i="62906"/>
  <c r="P1978" i="62906"/>
  <c r="P2035" i="62906"/>
  <c r="I43" i="2"/>
  <c r="T41" i="2"/>
  <c r="AB41" i="2"/>
  <c r="R55" i="11"/>
  <c r="V69" i="62905"/>
  <c r="AB159" i="62898"/>
  <c r="J242" i="9"/>
  <c r="S142" i="7"/>
  <c r="AI239" i="9"/>
  <c r="E239" i="9"/>
  <c r="AI236" i="9"/>
  <c r="AG197" i="9"/>
  <c r="L200" i="9"/>
  <c r="AU197" i="9"/>
  <c r="AA197" i="9"/>
  <c r="AU188" i="9"/>
  <c r="AA188" i="9"/>
  <c r="L190" i="9"/>
  <c r="E188" i="9"/>
  <c r="E190" i="9" s="1"/>
  <c r="AU157" i="9"/>
  <c r="AI157" i="9"/>
  <c r="AG157" i="9"/>
  <c r="AI146" i="9"/>
  <c r="AU146" i="9"/>
  <c r="AU150" i="9" s="1"/>
  <c r="J319" i="9" s="1"/>
  <c r="J333" i="9" s="1"/>
  <c r="L150" i="9"/>
  <c r="AI310" i="62898"/>
  <c r="M314" i="62898"/>
  <c r="Z246" i="62898"/>
  <c r="AM246" i="62898"/>
  <c r="AG221" i="62898"/>
  <c r="I225" i="62898"/>
  <c r="AI221" i="62898"/>
  <c r="AI225" i="62898"/>
  <c r="E161" i="62898"/>
  <c r="AN161" i="62898"/>
  <c r="AA161" i="62898"/>
  <c r="AH161" i="62898"/>
  <c r="AN160" i="62898"/>
  <c r="L163" i="62898"/>
  <c r="AH160" i="62898"/>
  <c r="AI159" i="62898"/>
  <c r="M163" i="62898"/>
  <c r="AO159" i="62898"/>
  <c r="AW114" i="62898"/>
  <c r="AW116" i="62898" s="1"/>
  <c r="AI114" i="62898"/>
  <c r="AG114" i="62898"/>
  <c r="AB44" i="62898"/>
  <c r="AO44" i="62898"/>
  <c r="AP44" i="62898" s="1"/>
  <c r="M46" i="62898"/>
  <c r="R14" i="11"/>
  <c r="V37" i="62905"/>
  <c r="N164" i="7"/>
  <c r="Y164" i="7"/>
  <c r="S133" i="7"/>
  <c r="Q133" i="7"/>
  <c r="I135" i="7"/>
  <c r="Q45" i="7"/>
  <c r="S45" i="7"/>
  <c r="J47" i="7"/>
  <c r="S30" i="7"/>
  <c r="Y30" i="7"/>
  <c r="Q30" i="7"/>
  <c r="N30" i="7"/>
  <c r="E30" i="7"/>
  <c r="Y28" i="7"/>
  <c r="N28" i="7"/>
  <c r="Q28" i="7"/>
  <c r="S28" i="7"/>
  <c r="N133" i="7"/>
  <c r="J167" i="7"/>
  <c r="AO310" i="62898"/>
  <c r="AG246" i="62898"/>
  <c r="BG310" i="62898"/>
  <c r="BG159" i="62898"/>
  <c r="AA157" i="9"/>
  <c r="Y45" i="7"/>
  <c r="AD84" i="62898"/>
  <c r="Q142" i="7"/>
  <c r="AI197" i="9"/>
  <c r="H154" i="7"/>
  <c r="AA127" i="9"/>
  <c r="K130" i="9"/>
  <c r="E127" i="9"/>
  <c r="AU116" i="9"/>
  <c r="AG107" i="9"/>
  <c r="AU107" i="9"/>
  <c r="AI66" i="9"/>
  <c r="AG66" i="9"/>
  <c r="AU47" i="9"/>
  <c r="AI47" i="9"/>
  <c r="AG311" i="62898"/>
  <c r="K314" i="62898"/>
  <c r="E16" i="9"/>
  <c r="J20" i="9"/>
  <c r="AI16" i="9"/>
  <c r="AG351" i="62898"/>
  <c r="AG354" i="62898" s="1"/>
  <c r="AM351" i="62898"/>
  <c r="BE351" i="62898"/>
  <c r="AB312" i="62898"/>
  <c r="BG312" i="62898"/>
  <c r="Y17" i="7"/>
  <c r="Q17" i="7"/>
  <c r="AG176" i="9"/>
  <c r="AA176" i="9"/>
  <c r="AQ94" i="62898"/>
  <c r="Q96" i="62898"/>
  <c r="AM151" i="62898"/>
  <c r="AG151" i="62898"/>
  <c r="AM183" i="62898"/>
  <c r="AP183" i="62898"/>
  <c r="BE183" i="62898"/>
  <c r="E322" i="62898"/>
  <c r="AI322" i="62898"/>
  <c r="AG173" i="62898"/>
  <c r="BE173" i="62898"/>
  <c r="AH41" i="62898"/>
  <c r="BF41" i="62898"/>
  <c r="AQ247" i="62898"/>
  <c r="AK247" i="62898"/>
  <c r="BI257" i="62898"/>
  <c r="BH257" i="62898"/>
  <c r="AV257" i="62898"/>
  <c r="AT257" i="62898"/>
  <c r="AI151" i="62898"/>
  <c r="AI153" i="62898"/>
  <c r="AO151" i="62898"/>
  <c r="M153" i="62898"/>
  <c r="AG607" i="5"/>
  <c r="AL607" i="5"/>
  <c r="BA607" i="5"/>
  <c r="Y42" i="11"/>
  <c r="AC42" i="11"/>
  <c r="AO42" i="11"/>
  <c r="S58" i="7"/>
  <c r="Y58" i="7"/>
  <c r="BF247" i="62898"/>
  <c r="AN247" i="62898"/>
  <c r="AN249" i="62898"/>
  <c r="AC174" i="5"/>
  <c r="AA376" i="5"/>
  <c r="N124" i="7"/>
  <c r="AV66" i="62898"/>
  <c r="AZ66" i="62898"/>
  <c r="AV196" i="62898"/>
  <c r="AT106" i="62898"/>
  <c r="AH246" i="62898"/>
  <c r="BF246" i="62898"/>
  <c r="AA246" i="62898"/>
  <c r="AH351" i="62898"/>
  <c r="AA351" i="62898"/>
  <c r="AH245" i="62898"/>
  <c r="AA245" i="62898"/>
  <c r="L249" i="62898"/>
  <c r="BF245" i="62898"/>
  <c r="AO43" i="62898"/>
  <c r="AG382" i="62898"/>
  <c r="Z382" i="62898"/>
  <c r="I384" i="62898"/>
  <c r="E382" i="62898"/>
  <c r="AJ283" i="62898"/>
  <c r="AH44" i="62898"/>
  <c r="Q177" i="7"/>
  <c r="N125" i="7"/>
  <c r="E125" i="7"/>
  <c r="AG150" i="62898"/>
  <c r="BE150" i="62898"/>
  <c r="AG331" i="62898"/>
  <c r="AM331" i="62898"/>
  <c r="AO122" i="62905"/>
  <c r="AT79" i="5"/>
  <c r="BH176" i="62898"/>
  <c r="AY483" i="5"/>
  <c r="AL578" i="5"/>
  <c r="AA609" i="5"/>
  <c r="Y156" i="2"/>
  <c r="T27" i="11"/>
  <c r="T32" i="11" s="1"/>
  <c r="Z205" i="5"/>
  <c r="AW186" i="62898"/>
  <c r="AG365" i="5"/>
  <c r="E406" i="5"/>
  <c r="Q152" i="2"/>
  <c r="T57" i="11"/>
  <c r="T55" i="11"/>
  <c r="T29" i="11"/>
  <c r="T28" i="11"/>
  <c r="BH344" i="62898"/>
  <c r="AT66" i="62898"/>
  <c r="AV86" i="62898"/>
  <c r="AJ195" i="5"/>
  <c r="AC195" i="5"/>
  <c r="AC598" i="5"/>
  <c r="AO598" i="5"/>
  <c r="AO601" i="5"/>
  <c r="AC599" i="5"/>
  <c r="AC193" i="5"/>
  <c r="AC197" i="5" s="1"/>
  <c r="AG195" i="5"/>
  <c r="AG396" i="5"/>
  <c r="Z597" i="5"/>
  <c r="BB193" i="5"/>
  <c r="AG194" i="5"/>
  <c r="AC194" i="5"/>
  <c r="AV197" i="5"/>
  <c r="BD197" i="5"/>
  <c r="AA195" i="5"/>
  <c r="BB396" i="5"/>
  <c r="AW399" i="5"/>
  <c r="AG397" i="5"/>
  <c r="AH597" i="5"/>
  <c r="AG598" i="5"/>
  <c r="AS601" i="5"/>
  <c r="AW601" i="5"/>
  <c r="AL599" i="5"/>
  <c r="AJ397" i="5"/>
  <c r="AC597" i="5"/>
  <c r="O197" i="5"/>
  <c r="O399" i="5"/>
  <c r="AJ599" i="5"/>
  <c r="AM395" i="5"/>
  <c r="AO399" i="5"/>
  <c r="AC397" i="5"/>
  <c r="AJ396" i="5"/>
  <c r="O601" i="5"/>
  <c r="AC395" i="5"/>
  <c r="AX197" i="5"/>
  <c r="AO173" i="5"/>
  <c r="AC579" i="5"/>
  <c r="AO377" i="5"/>
  <c r="AO577" i="5"/>
  <c r="AO579" i="5"/>
  <c r="AL174" i="5"/>
  <c r="BB175" i="5"/>
  <c r="AM375" i="5"/>
  <c r="BA377" i="5"/>
  <c r="AA577" i="5"/>
  <c r="AU581" i="5"/>
  <c r="BC581" i="5"/>
  <c r="AL579" i="5"/>
  <c r="AO175" i="5"/>
  <c r="AO578" i="5"/>
  <c r="O177" i="5"/>
  <c r="AC578" i="5"/>
  <c r="AA174" i="5"/>
  <c r="BA175" i="5"/>
  <c r="AC175" i="5"/>
  <c r="AV177" i="5"/>
  <c r="BD177" i="5"/>
  <c r="BA376" i="5"/>
  <c r="BB377" i="5"/>
  <c r="AC377" i="5"/>
  <c r="AC577" i="5"/>
  <c r="AH578" i="5"/>
  <c r="AA579" i="5"/>
  <c r="AU379" i="5"/>
  <c r="AC173" i="5"/>
  <c r="O581" i="5"/>
  <c r="AC375" i="5"/>
  <c r="O379" i="5"/>
  <c r="AC376" i="5"/>
  <c r="AC385" i="5"/>
  <c r="AJ185" i="5"/>
  <c r="AO385" i="5"/>
  <c r="AO587" i="5"/>
  <c r="AO591" i="5"/>
  <c r="AH386" i="5"/>
  <c r="O187" i="5"/>
  <c r="AO184" i="5"/>
  <c r="AM184" i="5"/>
  <c r="AA183" i="5"/>
  <c r="Z386" i="5"/>
  <c r="AH387" i="5"/>
  <c r="AG587" i="5"/>
  <c r="BB588" i="5"/>
  <c r="AC588" i="5"/>
  <c r="AH589" i="5"/>
  <c r="AU389" i="5"/>
  <c r="AO387" i="5"/>
  <c r="AC184" i="5"/>
  <c r="AO386" i="5"/>
  <c r="AV187" i="5"/>
  <c r="AC386" i="5"/>
  <c r="AC387" i="5"/>
  <c r="AL185" i="5"/>
  <c r="BA184" i="5"/>
  <c r="AM385" i="5"/>
  <c r="AS389" i="5"/>
  <c r="AW389" i="5"/>
  <c r="Z387" i="5"/>
  <c r="AH587" i="5"/>
  <c r="BC591" i="5"/>
  <c r="AG589" i="5"/>
  <c r="AJ389" i="5"/>
  <c r="AJ589" i="5"/>
  <c r="AT187" i="5"/>
  <c r="AC589" i="5"/>
  <c r="AC185" i="5"/>
  <c r="AC187" i="5" s="1"/>
  <c r="AC587" i="5"/>
  <c r="O591" i="5"/>
  <c r="O389" i="5"/>
  <c r="AO164" i="5"/>
  <c r="AC164" i="5"/>
  <c r="AW369" i="5"/>
  <c r="AL366" i="5"/>
  <c r="AS369" i="5"/>
  <c r="BA163" i="5"/>
  <c r="AG165" i="5"/>
  <c r="AH367" i="5"/>
  <c r="AH568" i="5"/>
  <c r="AM569" i="5"/>
  <c r="AL164" i="5"/>
  <c r="AC567" i="5"/>
  <c r="AC366" i="5"/>
  <c r="AM366" i="5"/>
  <c r="AC365" i="5"/>
  <c r="AH163" i="5"/>
  <c r="AM165" i="5"/>
  <c r="AA365" i="5"/>
  <c r="AH567" i="5"/>
  <c r="AG568" i="5"/>
  <c r="BB164" i="5"/>
  <c r="Z569" i="5"/>
  <c r="AO569" i="5"/>
  <c r="O571" i="5"/>
  <c r="AC568" i="5"/>
  <c r="AO568" i="5"/>
  <c r="AC569" i="5"/>
  <c r="AV167" i="5"/>
  <c r="BD167" i="5"/>
  <c r="AU369" i="5"/>
  <c r="AT369" i="5"/>
  <c r="AC367" i="5"/>
  <c r="BD369" i="5"/>
  <c r="O369" i="5"/>
  <c r="AM608" i="5"/>
  <c r="AH608" i="5"/>
  <c r="BB608" i="5"/>
  <c r="BB611" i="5"/>
  <c r="E609" i="5"/>
  <c r="AA608" i="5"/>
  <c r="AH609" i="5"/>
  <c r="AJ183" i="5"/>
  <c r="AJ187" i="5" s="1"/>
  <c r="AO183" i="5"/>
  <c r="AJ571" i="5"/>
  <c r="AM609" i="5"/>
  <c r="AN609" i="5" s="1"/>
  <c r="AO163" i="5"/>
  <c r="O167" i="5"/>
  <c r="AH205" i="5"/>
  <c r="AM205" i="5"/>
  <c r="BB205" i="5"/>
  <c r="AM204" i="5"/>
  <c r="BB204" i="5"/>
  <c r="AJ365" i="5"/>
  <c r="AJ369" i="5" s="1"/>
  <c r="AO365" i="5"/>
  <c r="AL405" i="5"/>
  <c r="J409" i="5"/>
  <c r="AG405" i="5"/>
  <c r="AJ193" i="5"/>
  <c r="AO193" i="5"/>
  <c r="AO197" i="5"/>
  <c r="AL203" i="5"/>
  <c r="BA203" i="5"/>
  <c r="BA207" i="5" s="1"/>
  <c r="AC165" i="5"/>
  <c r="AJ165" i="5"/>
  <c r="Z608" i="5"/>
  <c r="AL608" i="5"/>
  <c r="AG609" i="5"/>
  <c r="Z609" i="5"/>
  <c r="AG407" i="5"/>
  <c r="AJ597" i="5"/>
  <c r="AO567" i="5"/>
  <c r="AO367" i="5"/>
  <c r="AO407" i="5"/>
  <c r="AO409" i="5" s="1"/>
  <c r="BF502" i="5"/>
  <c r="AH502" i="5"/>
  <c r="BE300" i="5"/>
  <c r="BF100" i="5"/>
  <c r="AM300" i="5"/>
  <c r="AN504" i="5"/>
  <c r="AQ100" i="5"/>
  <c r="AK502" i="5"/>
  <c r="AO504" i="5"/>
  <c r="AI504" i="5"/>
  <c r="AN301" i="5"/>
  <c r="AB301" i="5"/>
  <c r="AQ302" i="5"/>
  <c r="AV102" i="5"/>
  <c r="AD503" i="5"/>
  <c r="AY304" i="5"/>
  <c r="AT304" i="5"/>
  <c r="AA502" i="5"/>
  <c r="AW506" i="5"/>
  <c r="BI506" i="5"/>
  <c r="AS506" i="5"/>
  <c r="AY506" i="5"/>
  <c r="AG503" i="5"/>
  <c r="AK98" i="5"/>
  <c r="AW102" i="5"/>
  <c r="AW304" i="5"/>
  <c r="AT506" i="5"/>
  <c r="AZ506" i="5"/>
  <c r="AV506" i="5"/>
  <c r="BH506" i="5"/>
  <c r="BE503" i="5"/>
  <c r="Z503" i="5"/>
  <c r="AK503" i="5"/>
  <c r="BD504" i="5"/>
  <c r="BG504" i="5"/>
  <c r="BF302" i="5"/>
  <c r="AO302" i="5"/>
  <c r="Z504" i="5"/>
  <c r="AB504" i="5"/>
  <c r="AK301" i="5"/>
  <c r="AM504" i="5"/>
  <c r="AN300" i="5"/>
  <c r="AS102" i="5"/>
  <c r="N304" i="5"/>
  <c r="AA302" i="5"/>
  <c r="AM98" i="5"/>
  <c r="BE98" i="5"/>
  <c r="Z98" i="5"/>
  <c r="L304" i="5"/>
  <c r="AQ503" i="5"/>
  <c r="AD100" i="5"/>
  <c r="BH102" i="5"/>
  <c r="AT102" i="5"/>
  <c r="BI102" i="5"/>
  <c r="AV304" i="5"/>
  <c r="AD301" i="5"/>
  <c r="AN302" i="5"/>
  <c r="AD502" i="5"/>
  <c r="AD98" i="5"/>
  <c r="AH300" i="5"/>
  <c r="AH304" i="5" s="1"/>
  <c r="Z99" i="5"/>
  <c r="AY102" i="5"/>
  <c r="AA300" i="5"/>
  <c r="BI304" i="5"/>
  <c r="AS304" i="5"/>
  <c r="BG100" i="5"/>
  <c r="BD100" i="5"/>
  <c r="AI100" i="5"/>
  <c r="AG302" i="5"/>
  <c r="Z302" i="5"/>
  <c r="BE302" i="5"/>
  <c r="AM302" i="5"/>
  <c r="AM301" i="5"/>
  <c r="Z301" i="5"/>
  <c r="BE301" i="5"/>
  <c r="AG301" i="5"/>
  <c r="AM502" i="5"/>
  <c r="Z502" i="5"/>
  <c r="BE502" i="5"/>
  <c r="K506" i="5"/>
  <c r="AG502" i="5"/>
  <c r="AZ102" i="5"/>
  <c r="AG300" i="5"/>
  <c r="BE99" i="5"/>
  <c r="AG504" i="5"/>
  <c r="AD302" i="5"/>
  <c r="AA301" i="5"/>
  <c r="K304" i="5"/>
  <c r="AG98" i="5"/>
  <c r="AG102" i="5"/>
  <c r="Z100" i="5"/>
  <c r="AD300" i="5"/>
  <c r="BH304" i="5"/>
  <c r="AZ304" i="5"/>
  <c r="AQ99" i="5"/>
  <c r="N102" i="5"/>
  <c r="AD99" i="5"/>
  <c r="AK99" i="5"/>
  <c r="AK504" i="5"/>
  <c r="AQ504" i="5"/>
  <c r="N506" i="5"/>
  <c r="AD504" i="5"/>
  <c r="AM99" i="5"/>
  <c r="K102" i="5"/>
  <c r="AB100" i="5"/>
  <c r="AO100" i="5"/>
  <c r="AM100" i="5"/>
  <c r="BE100" i="5"/>
  <c r="AK300" i="5"/>
  <c r="AQ300" i="5"/>
  <c r="BF301" i="5"/>
  <c r="AG543" i="5"/>
  <c r="AI543" i="5"/>
  <c r="AW541" i="5"/>
  <c r="AG339" i="5"/>
  <c r="AW339" i="5"/>
  <c r="E339" i="5"/>
  <c r="AI541" i="5"/>
  <c r="AW543" i="5"/>
  <c r="Z339" i="5"/>
  <c r="AU545" i="5"/>
  <c r="Z137" i="5"/>
  <c r="AS141" i="5"/>
  <c r="AI137" i="5"/>
  <c r="AG137" i="5"/>
  <c r="E137" i="5"/>
  <c r="Z541" i="5"/>
  <c r="Z545" i="5" s="1"/>
  <c r="Z543" i="5"/>
  <c r="AW341" i="5"/>
  <c r="E341" i="5"/>
  <c r="AI341" i="5"/>
  <c r="AG341" i="5"/>
  <c r="Z341" i="5"/>
  <c r="AX343" i="5"/>
  <c r="E139" i="5"/>
  <c r="AI139" i="5"/>
  <c r="AG139" i="5"/>
  <c r="AW139" i="5"/>
  <c r="AW141" i="5" s="1"/>
  <c r="Z139" i="5"/>
  <c r="AI138" i="5"/>
  <c r="E138" i="5"/>
  <c r="I141" i="5"/>
  <c r="AG138" i="5"/>
  <c r="AW138" i="5"/>
  <c r="I343" i="5"/>
  <c r="Z340" i="5"/>
  <c r="AI340" i="5"/>
  <c r="AI343" i="5" s="1"/>
  <c r="AG340" i="5"/>
  <c r="AW340" i="5"/>
  <c r="E542" i="5"/>
  <c r="E545" i="5"/>
  <c r="AI542" i="5"/>
  <c r="I545" i="5"/>
  <c r="Z542" i="5"/>
  <c r="AW542" i="5"/>
  <c r="X458" i="5"/>
  <c r="AD458" i="5"/>
  <c r="X461" i="5"/>
  <c r="AD461" i="5" s="1"/>
  <c r="Z267" i="5"/>
  <c r="Z239" i="5"/>
  <c r="AM237" i="5"/>
  <c r="AH39" i="5"/>
  <c r="BE36" i="5"/>
  <c r="AK66" i="5"/>
  <c r="AG440" i="5"/>
  <c r="AK471" i="5"/>
  <c r="AN39" i="5"/>
  <c r="BE37" i="5"/>
  <c r="BF35" i="5"/>
  <c r="AQ65" i="5"/>
  <c r="BF63" i="5"/>
  <c r="AH35" i="5"/>
  <c r="AO440" i="5"/>
  <c r="AI443" i="5"/>
  <c r="AA35" i="5"/>
  <c r="BG440" i="5"/>
  <c r="AN265" i="5"/>
  <c r="AN38" i="5"/>
  <c r="AQ439" i="5"/>
  <c r="AM39" i="5"/>
  <c r="BF269" i="5"/>
  <c r="BE241" i="5"/>
  <c r="AB440" i="5"/>
  <c r="AG467" i="5"/>
  <c r="AJ467" i="5" s="1"/>
  <c r="E467" i="5"/>
  <c r="AQ442" i="5"/>
  <c r="AO443" i="5"/>
  <c r="AM467" i="5"/>
  <c r="AH237" i="5"/>
  <c r="AJ237" i="5" s="1"/>
  <c r="AK237" i="5"/>
  <c r="BG267" i="5"/>
  <c r="AM439" i="5"/>
  <c r="AA239" i="5"/>
  <c r="Z468" i="5"/>
  <c r="AG66" i="5"/>
  <c r="BF237" i="5"/>
  <c r="AG439" i="5"/>
  <c r="AD240" i="5"/>
  <c r="AB441" i="5"/>
  <c r="AQ269" i="5"/>
  <c r="AK267" i="5"/>
  <c r="AB39" i="5"/>
  <c r="AA237" i="5"/>
  <c r="E439" i="5"/>
  <c r="AG268" i="5"/>
  <c r="BE268" i="5"/>
  <c r="BF468" i="5"/>
  <c r="AH240" i="5"/>
  <c r="AQ469" i="5"/>
  <c r="AB36" i="5"/>
  <c r="Z66" i="5"/>
  <c r="AB239" i="5"/>
  <c r="AK240" i="5"/>
  <c r="AA241" i="5"/>
  <c r="AA269" i="5"/>
  <c r="AD442" i="5"/>
  <c r="AU473" i="5"/>
  <c r="BI473" i="5"/>
  <c r="AG265" i="5"/>
  <c r="AD267" i="5"/>
  <c r="Z237" i="5"/>
  <c r="AC237" i="5" s="1"/>
  <c r="AA468" i="5"/>
  <c r="AA470" i="5"/>
  <c r="AN468" i="5"/>
  <c r="AH470" i="5"/>
  <c r="BG239" i="5"/>
  <c r="BF238" i="5"/>
  <c r="AK266" i="5"/>
  <c r="AD266" i="5"/>
  <c r="BG265" i="5"/>
  <c r="AD237" i="5"/>
  <c r="BF38" i="5"/>
  <c r="AH269" i="5"/>
  <c r="AI238" i="5"/>
  <c r="Z39" i="5"/>
  <c r="Z268" i="5"/>
  <c r="AB442" i="5"/>
  <c r="AI239" i="5"/>
  <c r="AK238" i="5"/>
  <c r="AA266" i="5"/>
  <c r="AB265" i="5"/>
  <c r="AG39" i="5"/>
  <c r="AN470" i="5"/>
  <c r="BE440" i="5"/>
  <c r="AH266" i="5"/>
  <c r="AO238" i="5"/>
  <c r="BF241" i="5"/>
  <c r="BF469" i="5"/>
  <c r="AD38" i="5"/>
  <c r="BG66" i="5"/>
  <c r="AI467" i="5"/>
  <c r="AH267" i="5"/>
  <c r="AA38" i="5"/>
  <c r="AI268" i="5"/>
  <c r="AO268" i="5"/>
  <c r="BG268" i="5"/>
  <c r="AB268" i="5"/>
  <c r="BG469" i="5"/>
  <c r="AA240" i="5"/>
  <c r="AH238" i="5"/>
  <c r="AG65" i="5"/>
  <c r="AO442" i="5"/>
  <c r="AD36" i="5"/>
  <c r="E237" i="5"/>
  <c r="BG63" i="5"/>
  <c r="AG468" i="5"/>
  <c r="BE468" i="5"/>
  <c r="AS243" i="5"/>
  <c r="AW243" i="5"/>
  <c r="BA243" i="5"/>
  <c r="Z439" i="5"/>
  <c r="AI469" i="5"/>
  <c r="AG239" i="5"/>
  <c r="AO36" i="5"/>
  <c r="AK39" i="5"/>
  <c r="AI63" i="5"/>
  <c r="AI442" i="5"/>
  <c r="BE267" i="5"/>
  <c r="AD66" i="5"/>
  <c r="AM468" i="5"/>
  <c r="AB63" i="5"/>
  <c r="AA64" i="5"/>
  <c r="E468" i="5"/>
  <c r="AM268" i="5"/>
  <c r="BF240" i="5"/>
  <c r="BF266" i="5"/>
  <c r="BE237" i="5"/>
  <c r="Z64" i="5"/>
  <c r="AG441" i="5"/>
  <c r="AK440" i="5"/>
  <c r="AQ36" i="5"/>
  <c r="BG467" i="5"/>
  <c r="AD440" i="5"/>
  <c r="AA443" i="5"/>
  <c r="AD468" i="5"/>
  <c r="AQ63" i="5"/>
  <c r="AK63" i="5"/>
  <c r="BF467" i="5"/>
  <c r="AO65" i="5"/>
  <c r="BG65" i="5"/>
  <c r="AI65" i="5"/>
  <c r="E65" i="5"/>
  <c r="AH64" i="5"/>
  <c r="BF64" i="5"/>
  <c r="AM239" i="5"/>
  <c r="BE239" i="5"/>
  <c r="AN241" i="5"/>
  <c r="AH241" i="5"/>
  <c r="AH265" i="5"/>
  <c r="AA265" i="5"/>
  <c r="AO266" i="5"/>
  <c r="AB266" i="5"/>
  <c r="BG266" i="5"/>
  <c r="BG269" i="5"/>
  <c r="AI269" i="5"/>
  <c r="AQ67" i="5"/>
  <c r="AK67" i="5"/>
  <c r="BE35" i="5"/>
  <c r="AM35" i="5"/>
  <c r="Z35" i="5"/>
  <c r="AG35" i="5"/>
  <c r="AA39" i="5"/>
  <c r="AD39" i="5"/>
  <c r="BG39" i="5"/>
  <c r="AI39" i="5"/>
  <c r="BG37" i="5"/>
  <c r="AO37" i="5"/>
  <c r="AI37" i="5"/>
  <c r="E63" i="5"/>
  <c r="Z63" i="5"/>
  <c r="BE442" i="5"/>
  <c r="AG442" i="5"/>
  <c r="AM442" i="5"/>
  <c r="AB467" i="5"/>
  <c r="Z467" i="5"/>
  <c r="AB37" i="5"/>
  <c r="BE63" i="5"/>
  <c r="AB66" i="5"/>
  <c r="AO66" i="5"/>
  <c r="AK64" i="5"/>
  <c r="AQ64" i="5"/>
  <c r="AD64" i="5"/>
  <c r="AN467" i="5"/>
  <c r="AA467" i="5"/>
  <c r="AB468" i="5"/>
  <c r="BG468" i="5"/>
  <c r="AI468" i="5"/>
  <c r="AB469" i="5"/>
  <c r="AD469" i="5"/>
  <c r="AO39" i="5"/>
  <c r="AD63" i="5"/>
  <c r="E39" i="5"/>
  <c r="AO468" i="5"/>
  <c r="AN64" i="5"/>
  <c r="AI441" i="5"/>
  <c r="BG441" i="5"/>
  <c r="AO441" i="5"/>
  <c r="AD269" i="5"/>
  <c r="AD439" i="5"/>
  <c r="AO265" i="5"/>
  <c r="AM66" i="5"/>
  <c r="AM37" i="5"/>
  <c r="AM443" i="5"/>
  <c r="AN66" i="5"/>
  <c r="BE65" i="5"/>
  <c r="AB238" i="5"/>
  <c r="AC238" i="5" s="1"/>
  <c r="AU243" i="5"/>
  <c r="BI243" i="5"/>
  <c r="AB240" i="5"/>
  <c r="AD67" i="5"/>
  <c r="AB237" i="5"/>
  <c r="AI237" i="5"/>
  <c r="BG237" i="5"/>
  <c r="AO237" i="5"/>
  <c r="AN268" i="5"/>
  <c r="E268" i="5"/>
  <c r="AA268" i="5"/>
  <c r="BE238" i="5"/>
  <c r="AG238" i="5"/>
  <c r="Z238" i="5"/>
  <c r="AM238" i="5"/>
  <c r="E238" i="5"/>
  <c r="AH37" i="5"/>
  <c r="E37" i="5"/>
  <c r="AN37" i="5"/>
  <c r="BF37" i="5"/>
  <c r="Z266" i="5"/>
  <c r="AG266" i="5"/>
  <c r="AM266" i="5"/>
  <c r="E266" i="5"/>
  <c r="BE266" i="5"/>
  <c r="AH440" i="5"/>
  <c r="AA440" i="5"/>
  <c r="BF440" i="5"/>
  <c r="AN440" i="5"/>
  <c r="AI35" i="5"/>
  <c r="AB35" i="5"/>
  <c r="BG35" i="5"/>
  <c r="AO35" i="5"/>
  <c r="AG269" i="5"/>
  <c r="AJ269" i="5" s="1"/>
  <c r="AM269" i="5"/>
  <c r="AP269" i="5"/>
  <c r="Z269" i="5"/>
  <c r="BE269" i="5"/>
  <c r="E269" i="5"/>
  <c r="BE471" i="5"/>
  <c r="AD238" i="5"/>
  <c r="AB443" i="5"/>
  <c r="AA66" i="5"/>
  <c r="AN65" i="5"/>
  <c r="AG64" i="5"/>
  <c r="E66" i="5"/>
  <c r="Z443" i="5"/>
  <c r="E267" i="5"/>
  <c r="E441" i="5"/>
  <c r="AN469" i="5"/>
  <c r="Z241" i="5"/>
  <c r="BF439" i="5"/>
  <c r="AQ441" i="5"/>
  <c r="AK38" i="5"/>
  <c r="AD443" i="5"/>
  <c r="AV271" i="5"/>
  <c r="BJ271" i="5"/>
  <c r="AT473" i="5"/>
  <c r="AX473" i="5"/>
  <c r="AM471" i="5"/>
  <c r="AD268" i="5"/>
  <c r="AA238" i="5"/>
  <c r="AO240" i="5"/>
  <c r="AB269" i="5"/>
  <c r="BF65" i="5"/>
  <c r="AA469" i="5"/>
  <c r="AD265" i="5"/>
  <c r="Z441" i="5"/>
  <c r="AG241" i="5"/>
  <c r="AQ468" i="5"/>
  <c r="AM36" i="5"/>
  <c r="AA267" i="5"/>
  <c r="AS445" i="5"/>
  <c r="AW445" i="5"/>
  <c r="BA445" i="5"/>
  <c r="BG240" i="5"/>
  <c r="AQ265" i="5"/>
  <c r="Z36" i="5"/>
  <c r="BE64" i="5"/>
  <c r="AG443" i="5"/>
  <c r="AD441" i="5"/>
  <c r="AM441" i="5"/>
  <c r="AA63" i="5"/>
  <c r="AK268" i="5"/>
  <c r="AH63" i="5"/>
  <c r="AK37" i="5"/>
  <c r="BF267" i="5"/>
  <c r="AH66" i="5"/>
  <c r="Z440" i="5"/>
  <c r="AZ445" i="5"/>
  <c r="AS473" i="5"/>
  <c r="AW473" i="5"/>
  <c r="BA473" i="5"/>
  <c r="AD471" i="5"/>
  <c r="AV473" i="5"/>
  <c r="AZ473" i="5"/>
  <c r="AQ464" i="5"/>
  <c r="AK462" i="5"/>
  <c r="AD28" i="5"/>
  <c r="AQ28" i="5"/>
  <c r="AQ459" i="5"/>
  <c r="AQ252" i="5"/>
  <c r="AM234" i="5"/>
  <c r="AK29" i="5"/>
  <c r="X58" i="5"/>
  <c r="AD58" i="5" s="1"/>
  <c r="X462" i="5"/>
  <c r="AD462" i="5"/>
  <c r="AG31" i="5"/>
  <c r="AQ251" i="5"/>
  <c r="AQ233" i="5"/>
  <c r="X56" i="5"/>
  <c r="AD56" i="5"/>
  <c r="AD432" i="5"/>
  <c r="X256" i="5"/>
  <c r="AD256" i="5"/>
  <c r="AD30" i="5"/>
  <c r="AK234" i="5"/>
  <c r="AQ456" i="5"/>
  <c r="Z29" i="5"/>
  <c r="AD435" i="5"/>
  <c r="AQ254" i="5"/>
  <c r="Z435" i="5"/>
  <c r="AK249" i="5"/>
  <c r="AD29" i="5"/>
  <c r="AQ435" i="5"/>
  <c r="AG434" i="5"/>
  <c r="AK458" i="5"/>
  <c r="AQ250" i="5"/>
  <c r="AD232" i="5"/>
  <c r="Z234" i="5"/>
  <c r="AI433" i="5"/>
  <c r="BF435" i="5"/>
  <c r="AK461" i="5"/>
  <c r="AQ432" i="5"/>
  <c r="X50" i="5"/>
  <c r="AD50" i="5" s="1"/>
  <c r="AK260" i="5"/>
  <c r="AQ454" i="5"/>
  <c r="AK463" i="5"/>
  <c r="AD463" i="5"/>
  <c r="AK54" i="5"/>
  <c r="AQ31" i="5"/>
  <c r="AQ49" i="5"/>
  <c r="AG234" i="5"/>
  <c r="AQ58" i="5"/>
  <c r="V69" i="5"/>
  <c r="AQ232" i="5"/>
  <c r="AQ256" i="5"/>
  <c r="AD433" i="5"/>
  <c r="AK457" i="5"/>
  <c r="BE232" i="5"/>
  <c r="AQ30" i="5"/>
  <c r="AH29" i="5"/>
  <c r="AH32" i="5"/>
  <c r="AD234" i="5"/>
  <c r="AM232" i="5"/>
  <c r="AD257" i="5"/>
  <c r="AK50" i="5"/>
  <c r="AQ257" i="5"/>
  <c r="Z433" i="5"/>
  <c r="AM435" i="5"/>
  <c r="BE434" i="5"/>
  <c r="Z232" i="5"/>
  <c r="AK455" i="5"/>
  <c r="BE433" i="5"/>
  <c r="AG433" i="5"/>
  <c r="AK60" i="5"/>
  <c r="X47" i="5"/>
  <c r="AD47" i="5" s="1"/>
  <c r="AD69" i="5" s="1"/>
  <c r="X451" i="5"/>
  <c r="AD451" i="5" s="1"/>
  <c r="AK433" i="5"/>
  <c r="AD31" i="5"/>
  <c r="Z31" i="5"/>
  <c r="AH30" i="5"/>
  <c r="AB234" i="5"/>
  <c r="AH234" i="5"/>
  <c r="AB432" i="5"/>
  <c r="BF433" i="5"/>
  <c r="AH434" i="5"/>
  <c r="AI434" i="5"/>
  <c r="Z434" i="5"/>
  <c r="AA436" i="5"/>
  <c r="Z436" i="5"/>
  <c r="Z28" i="5"/>
  <c r="Z30" i="5"/>
  <c r="AM31" i="5"/>
  <c r="AK253" i="5"/>
  <c r="AQ451" i="5"/>
  <c r="AQ56" i="5"/>
  <c r="BE28" i="5"/>
  <c r="AA28" i="5"/>
  <c r="AB31" i="5"/>
  <c r="AG30" i="5"/>
  <c r="AM30" i="5"/>
  <c r="AM432" i="5"/>
  <c r="AQ453" i="5"/>
  <c r="AQ51" i="5"/>
  <c r="AK57" i="5"/>
  <c r="AQ47" i="5"/>
  <c r="AB230" i="5"/>
  <c r="U445" i="5"/>
  <c r="AK432" i="5"/>
  <c r="AK452" i="5"/>
  <c r="AQ452" i="5"/>
  <c r="AK52" i="5"/>
  <c r="AQ52" i="5"/>
  <c r="AK48" i="5"/>
  <c r="AQ48" i="5"/>
  <c r="AQ32" i="5"/>
  <c r="AK32" i="5"/>
  <c r="X255" i="5"/>
  <c r="AD255" i="5"/>
  <c r="AG28" i="5"/>
  <c r="X249" i="5"/>
  <c r="AD249" i="5"/>
  <c r="AK259" i="5"/>
  <c r="AQ259" i="5"/>
  <c r="AK261" i="5"/>
  <c r="AQ261" i="5"/>
  <c r="AK59" i="5"/>
  <c r="AQ59" i="5"/>
  <c r="AQ55" i="5"/>
  <c r="AK231" i="5"/>
  <c r="AQ231" i="5"/>
  <c r="X258" i="5"/>
  <c r="AD258" i="5"/>
  <c r="AQ460" i="5"/>
  <c r="AK460" i="5"/>
  <c r="AD253" i="5"/>
  <c r="BE435" i="5"/>
  <c r="X459" i="5"/>
  <c r="AD459" i="5"/>
  <c r="AH230" i="5"/>
  <c r="AH232" i="5"/>
  <c r="X54" i="5"/>
  <c r="AD54" i="5"/>
  <c r="AM29" i="5"/>
  <c r="AG29" i="5"/>
  <c r="AK53" i="5"/>
  <c r="AD32" i="5"/>
  <c r="AO231" i="5"/>
  <c r="AD231" i="5"/>
  <c r="AI233" i="5"/>
  <c r="AD233" i="5"/>
  <c r="AG32" i="5"/>
  <c r="BE32" i="5"/>
  <c r="AM32" i="5"/>
  <c r="Z32" i="5"/>
  <c r="R41" i="5"/>
  <c r="AD65" i="5"/>
  <c r="Z65" i="5"/>
  <c r="AA65" i="5"/>
  <c r="BG67" i="5"/>
  <c r="AB67" i="5"/>
  <c r="AO67" i="5"/>
  <c r="AI67" i="5"/>
  <c r="AJ67" i="5" s="1"/>
  <c r="X262" i="5"/>
  <c r="AD262" i="5" s="1"/>
  <c r="AK35" i="5"/>
  <c r="AD35" i="5"/>
  <c r="AQ35" i="5"/>
  <c r="AM38" i="5"/>
  <c r="BE38" i="5"/>
  <c r="AG38" i="5"/>
  <c r="Z38" i="5"/>
  <c r="AN36" i="5"/>
  <c r="AH36" i="5"/>
  <c r="AA36" i="5"/>
  <c r="E36" i="5"/>
  <c r="BF36" i="5"/>
  <c r="E67" i="5"/>
  <c r="AG67" i="5"/>
  <c r="BE67" i="5"/>
  <c r="AM67" i="5"/>
  <c r="AI64" i="5"/>
  <c r="AO64" i="5"/>
  <c r="BG64" i="5"/>
  <c r="E64" i="5"/>
  <c r="AB64" i="5"/>
  <c r="Z231" i="5"/>
  <c r="AG231" i="5"/>
  <c r="BE231" i="5"/>
  <c r="AM233" i="5"/>
  <c r="BE233" i="5"/>
  <c r="AG233" i="5"/>
  <c r="AK239" i="5"/>
  <c r="AQ239" i="5"/>
  <c r="AD239" i="5"/>
  <c r="AQ241" i="5"/>
  <c r="AD241" i="5"/>
  <c r="AM470" i="5"/>
  <c r="BE470" i="5"/>
  <c r="Z470" i="5"/>
  <c r="E470" i="5"/>
  <c r="AD470" i="5"/>
  <c r="V473" i="5"/>
  <c r="AK470" i="5"/>
  <c r="AQ470" i="5"/>
  <c r="BF471" i="5"/>
  <c r="AA471" i="5"/>
  <c r="AH471" i="5"/>
  <c r="AN471" i="5"/>
  <c r="AB65" i="5"/>
  <c r="BG38" i="5"/>
  <c r="AI38" i="5"/>
  <c r="AO38" i="5"/>
  <c r="BF67" i="5"/>
  <c r="AN67" i="5"/>
  <c r="AH67" i="5"/>
  <c r="AA67" i="5"/>
  <c r="AG230" i="5"/>
  <c r="Z230" i="5"/>
  <c r="BE230" i="5"/>
  <c r="R243" i="5"/>
  <c r="AD230" i="5"/>
  <c r="AK230" i="5"/>
  <c r="U243" i="5"/>
  <c r="E239" i="5"/>
  <c r="BF239" i="5"/>
  <c r="AH239" i="5"/>
  <c r="AN239" i="5"/>
  <c r="Z240" i="5"/>
  <c r="AG240" i="5"/>
  <c r="AM240" i="5"/>
  <c r="BE240" i="5"/>
  <c r="BG241" i="5"/>
  <c r="AB241" i="5"/>
  <c r="AO241" i="5"/>
  <c r="AI241" i="5"/>
  <c r="X252" i="5"/>
  <c r="AD252" i="5"/>
  <c r="X254" i="5"/>
  <c r="AD254" i="5"/>
  <c r="AQ255" i="5"/>
  <c r="V271" i="5"/>
  <c r="AK255" i="5"/>
  <c r="AQ258" i="5"/>
  <c r="AK258" i="5"/>
  <c r="X260" i="5"/>
  <c r="AD260" i="5"/>
  <c r="AG469" i="5"/>
  <c r="AM469" i="5"/>
  <c r="Z469" i="5"/>
  <c r="AI470" i="5"/>
  <c r="BG470" i="5"/>
  <c r="AO470" i="5"/>
  <c r="AB470" i="5"/>
  <c r="AI471" i="5"/>
  <c r="BG471" i="5"/>
  <c r="AB471" i="5"/>
  <c r="AO471" i="5"/>
  <c r="AM231" i="5"/>
  <c r="Z67" i="5"/>
  <c r="Z233" i="5"/>
  <c r="AK241" i="5"/>
  <c r="AB38" i="5"/>
  <c r="AC38" i="5" s="1"/>
  <c r="Z471" i="5"/>
  <c r="BE265" i="5"/>
  <c r="Z265" i="5"/>
  <c r="AM265" i="5"/>
  <c r="AO439" i="5"/>
  <c r="AB439" i="5"/>
  <c r="AI439" i="5"/>
  <c r="AN441" i="5"/>
  <c r="AA441" i="5"/>
  <c r="AH441" i="5"/>
  <c r="X60" i="5"/>
  <c r="AD60" i="5" s="1"/>
  <c r="X464" i="5"/>
  <c r="AD464" i="5"/>
  <c r="AK262" i="5"/>
  <c r="AQ262" i="5"/>
  <c r="AQ271" i="5" s="1"/>
  <c r="AG436" i="5"/>
  <c r="BE436" i="5"/>
  <c r="AM436" i="5"/>
  <c r="R445" i="5"/>
  <c r="AD436" i="5"/>
  <c r="AK436" i="5"/>
  <c r="AN439" i="5"/>
  <c r="AA439" i="5"/>
  <c r="BF442" i="5"/>
  <c r="AH442" i="5"/>
  <c r="AA442" i="5"/>
  <c r="E442" i="5"/>
  <c r="X53" i="5"/>
  <c r="AD53" i="5" s="1"/>
  <c r="X49" i="5"/>
  <c r="AD49" i="5" s="1"/>
  <c r="AB267" i="5"/>
  <c r="AI267" i="5"/>
  <c r="Z432" i="5"/>
  <c r="BE432" i="5"/>
  <c r="AK434" i="5"/>
  <c r="AD434" i="5"/>
  <c r="AK443" i="5"/>
  <c r="AQ443" i="5"/>
  <c r="X455" i="5"/>
  <c r="AD455" i="5"/>
  <c r="AK467" i="5"/>
  <c r="AD467" i="5"/>
  <c r="X51" i="5"/>
  <c r="AD51" i="5" s="1"/>
  <c r="U41" i="5"/>
  <c r="AK30" i="5"/>
  <c r="AG267" i="5"/>
  <c r="AM267" i="5"/>
  <c r="AP267" i="5"/>
  <c r="AH268" i="5"/>
  <c r="BF268" i="5"/>
  <c r="BF443" i="5"/>
  <c r="AH443" i="5"/>
  <c r="AJ443" i="5" s="1"/>
  <c r="X456" i="5"/>
  <c r="AD456" i="5" s="1"/>
  <c r="BG36" i="5"/>
  <c r="AI36" i="5"/>
  <c r="AY243" i="5"/>
  <c r="BH473" i="5"/>
  <c r="AG63" i="5"/>
  <c r="AM63" i="5"/>
  <c r="AP63" i="5" s="1"/>
  <c r="BJ473" i="5"/>
  <c r="L51" i="62911"/>
  <c r="L39" i="62911"/>
  <c r="L41" i="62911"/>
  <c r="L40" i="62911"/>
  <c r="D41" i="62911"/>
  <c r="E41" i="62911"/>
  <c r="L38" i="62911"/>
  <c r="D38" i="62911"/>
  <c r="E38" i="62911"/>
  <c r="H43" i="62911"/>
  <c r="L60" i="62911"/>
  <c r="D60" i="62911"/>
  <c r="E60" i="62911" s="1"/>
  <c r="S32" i="3"/>
  <c r="N32" i="3"/>
  <c r="W39" i="3"/>
  <c r="H54" i="62911"/>
  <c r="D49" i="62911"/>
  <c r="E49" i="62911" s="1"/>
  <c r="L49" i="62911"/>
  <c r="L62" i="62911"/>
  <c r="D62" i="62911"/>
  <c r="H65" i="62911"/>
  <c r="L52" i="62911"/>
  <c r="L63" i="62911"/>
  <c r="Q24" i="3"/>
  <c r="Q26" i="3" s="1"/>
  <c r="AC75" i="1"/>
  <c r="X73" i="1"/>
  <c r="AV119" i="5"/>
  <c r="AV121" i="5" s="1"/>
  <c r="Y74" i="1"/>
  <c r="AC73" i="1"/>
  <c r="AH74" i="1"/>
  <c r="AD74" i="1"/>
  <c r="AU213" i="62898"/>
  <c r="AU215" i="62898" s="1"/>
  <c r="AS213" i="62898"/>
  <c r="AS215" i="62898" s="1"/>
  <c r="AV213" i="62898"/>
  <c r="AV215" i="62898" s="1"/>
  <c r="AT213" i="62898"/>
  <c r="AT215" i="62898" s="1"/>
  <c r="E98" i="1"/>
  <c r="X98" i="1"/>
  <c r="AE98" i="1"/>
  <c r="AC96" i="1"/>
  <c r="AO96" i="1"/>
  <c r="AE96" i="1"/>
  <c r="X96" i="1"/>
  <c r="AC98" i="1"/>
  <c r="X97" i="1"/>
  <c r="AO97" i="1"/>
  <c r="T84" i="11"/>
  <c r="Y84" i="11"/>
  <c r="Y86" i="11" s="1"/>
  <c r="AI86" i="11"/>
  <c r="F127" i="11" s="1"/>
  <c r="F162" i="11"/>
  <c r="V17" i="2"/>
  <c r="AQ86" i="11"/>
  <c r="K162" i="11"/>
  <c r="AM86" i="11"/>
  <c r="AK86" i="11"/>
  <c r="G127" i="11" s="1"/>
  <c r="Y83" i="11"/>
  <c r="J29" i="2"/>
  <c r="K29" i="2" s="1"/>
  <c r="Y2187" i="62906"/>
  <c r="J86" i="11"/>
  <c r="AG86" i="11"/>
  <c r="E162" i="11" s="1"/>
  <c r="T83" i="11"/>
  <c r="AC83" i="11"/>
  <c r="T2182" i="62906"/>
  <c r="T2232" i="62906"/>
  <c r="O2226" i="62906"/>
  <c r="J30" i="2"/>
  <c r="K30" i="2"/>
  <c r="T2189" i="62906"/>
  <c r="T2225" i="62906"/>
  <c r="Y2189" i="62906"/>
  <c r="Y2182" i="62906"/>
  <c r="T2187" i="62906"/>
  <c r="O2225" i="62906"/>
  <c r="Y82" i="11"/>
  <c r="AO82" i="11"/>
  <c r="AC82" i="11"/>
  <c r="T82" i="11"/>
  <c r="T2226" i="62906"/>
  <c r="O2232" i="62906"/>
  <c r="E17" i="2"/>
  <c r="AC64" i="62904"/>
  <c r="E85" i="1"/>
  <c r="AE64" i="62904"/>
  <c r="AP67" i="62904"/>
  <c r="AE85" i="1"/>
  <c r="X85" i="1"/>
  <c r="E64" i="62904"/>
  <c r="AC63" i="62904"/>
  <c r="E65" i="62904"/>
  <c r="AK89" i="1"/>
  <c r="E63" i="62904"/>
  <c r="AO87" i="1"/>
  <c r="E87" i="1"/>
  <c r="AE86" i="1"/>
  <c r="X64" i="62904"/>
  <c r="K196" i="1"/>
  <c r="AK67" i="62904"/>
  <c r="AE63" i="62904"/>
  <c r="X86" i="1"/>
  <c r="AC86" i="1"/>
  <c r="AC65" i="62904"/>
  <c r="AL67" i="62904"/>
  <c r="AE65" i="62904"/>
  <c r="X63" i="62904"/>
  <c r="AC87" i="1"/>
  <c r="AE87" i="1"/>
  <c r="AN89" i="1"/>
  <c r="AP89" i="1"/>
  <c r="AM67" i="62904"/>
  <c r="AM89" i="1"/>
  <c r="AL89" i="1"/>
  <c r="X65" i="62904"/>
  <c r="AC85" i="1"/>
  <c r="X87" i="1"/>
  <c r="AI205" i="62898"/>
  <c r="AI207" i="62898" s="1"/>
  <c r="AG515" i="5"/>
  <c r="AG517" i="5" s="1"/>
  <c r="Z205" i="62898"/>
  <c r="Z207" i="62898" s="1"/>
  <c r="Z313" i="5"/>
  <c r="Z315" i="5" s="1"/>
  <c r="E313" i="5"/>
  <c r="E315" i="5"/>
  <c r="AW313" i="5"/>
  <c r="AW315" i="5" s="1"/>
  <c r="AG205" i="62898"/>
  <c r="AG207" i="62898" s="1"/>
  <c r="AI313" i="5"/>
  <c r="AI315" i="5" s="1"/>
  <c r="AG313" i="5"/>
  <c r="AG315" i="5" s="1"/>
  <c r="AW205" i="62898"/>
  <c r="AW207" i="62898" s="1"/>
  <c r="X75" i="1"/>
  <c r="AN67" i="62904"/>
  <c r="AG73" i="1"/>
  <c r="AS73" i="1"/>
  <c r="AC97" i="1"/>
  <c r="AE97" i="1"/>
  <c r="T17" i="2"/>
  <c r="Q17" i="2"/>
  <c r="X28" i="1"/>
  <c r="AK301" i="62898"/>
  <c r="AG25" i="62905"/>
  <c r="AH356" i="5"/>
  <c r="X27" i="1"/>
  <c r="BA130" i="62898"/>
  <c r="AA301" i="62898"/>
  <c r="AO30" i="62904"/>
  <c r="AA357" i="5"/>
  <c r="AL424" i="5"/>
  <c r="AC23" i="62905"/>
  <c r="AL130" i="62898"/>
  <c r="AG131" i="62898"/>
  <c r="Z221" i="5"/>
  <c r="AP30" i="1"/>
  <c r="BA155" i="5"/>
  <c r="AD26" i="62904"/>
  <c r="AL27" i="62905"/>
  <c r="AP27" i="62905"/>
  <c r="AM27" i="62905"/>
  <c r="AU27" i="62905"/>
  <c r="AL21" i="62898"/>
  <c r="AG24" i="62905"/>
  <c r="AA558" i="5"/>
  <c r="AS100" i="9"/>
  <c r="AZ92" i="5"/>
  <c r="AV92" i="5"/>
  <c r="Y45" i="3"/>
  <c r="Y47" i="3"/>
  <c r="Y70" i="3"/>
  <c r="Q70" i="3"/>
  <c r="V116" i="2"/>
  <c r="S33" i="3"/>
  <c r="Q32" i="3"/>
  <c r="E33" i="3"/>
  <c r="E82" i="3"/>
  <c r="N45" i="3"/>
  <c r="N47" i="3"/>
  <c r="BI92" i="5"/>
  <c r="G668" i="5"/>
  <c r="AW92" i="5"/>
  <c r="BB531" i="5"/>
  <c r="AV131" i="5"/>
  <c r="AZ28" i="9"/>
  <c r="AZ30" i="9" s="1"/>
  <c r="BL100" i="9"/>
  <c r="AB28" i="9"/>
  <c r="AW157" i="5"/>
  <c r="AS131" i="5"/>
  <c r="AD28" i="9"/>
  <c r="AZ98" i="9"/>
  <c r="AG14" i="1"/>
  <c r="AG270" i="62898"/>
  <c r="AB234" i="62898"/>
  <c r="AR30" i="9"/>
  <c r="BB353" i="5"/>
  <c r="AH98" i="9"/>
  <c r="AH100" i="9"/>
  <c r="AT131" i="5"/>
  <c r="AB98" i="9"/>
  <c r="AQ100" i="9"/>
  <c r="BA100" i="9"/>
  <c r="AO97" i="9"/>
  <c r="AT14" i="1"/>
  <c r="AU100" i="9"/>
  <c r="AM290" i="5"/>
  <c r="AL291" i="5"/>
  <c r="BE493" i="5"/>
  <c r="AU131" i="5"/>
  <c r="BB100" i="9"/>
  <c r="F193" i="1"/>
  <c r="Y37" i="1"/>
  <c r="AO28" i="9"/>
  <c r="BN30" i="9"/>
  <c r="G659" i="5"/>
  <c r="G22" i="62914" s="1"/>
  <c r="S22" i="62914" s="1"/>
  <c r="AP20" i="1"/>
  <c r="AL15" i="5"/>
  <c r="AL17" i="5"/>
  <c r="AK128" i="5"/>
  <c r="AK19" i="62898"/>
  <c r="AX133" i="62898"/>
  <c r="AW133" i="62898"/>
  <c r="AG269" i="62898"/>
  <c r="BC276" i="62898"/>
  <c r="AT276" i="62898"/>
  <c r="Z297" i="62898"/>
  <c r="AX304" i="62898"/>
  <c r="AD13" i="62904"/>
  <c r="AN20" i="62904"/>
  <c r="AA98" i="9"/>
  <c r="AV535" i="5"/>
  <c r="BE30" i="9"/>
  <c r="BG30" i="9"/>
  <c r="BH30" i="9"/>
  <c r="AY27" i="9"/>
  <c r="BP100" i="9"/>
  <c r="AH28" i="9"/>
  <c r="AI28" i="9" s="1"/>
  <c r="AZ27" i="9"/>
  <c r="AH18" i="1"/>
  <c r="Y15" i="1"/>
  <c r="BB127" i="5"/>
  <c r="AH151" i="5"/>
  <c r="AB97" i="9"/>
  <c r="AM97" i="9"/>
  <c r="AY96" i="9"/>
  <c r="BA299" i="62898"/>
  <c r="AG27" i="9"/>
  <c r="AM96" i="9"/>
  <c r="AN96" i="9" s="1"/>
  <c r="BG100" i="9"/>
  <c r="BI100" i="9"/>
  <c r="BD30" i="9"/>
  <c r="BF30" i="9"/>
  <c r="AS92" i="5"/>
  <c r="AY26" i="9"/>
  <c r="AA26" i="9"/>
  <c r="AL98" i="9"/>
  <c r="AN98" i="9" s="1"/>
  <c r="BQ100" i="9"/>
  <c r="AJ96" i="9"/>
  <c r="AD96" i="9"/>
  <c r="AG98" i="9"/>
  <c r="AI98" i="9" s="1"/>
  <c r="AI100" i="9" s="1"/>
  <c r="K260" i="9" s="1"/>
  <c r="I72" i="62892" s="1"/>
  <c r="AY98" i="9"/>
  <c r="BO100" i="9"/>
  <c r="AO20" i="1"/>
  <c r="AK41" i="1"/>
  <c r="AO41" i="1"/>
  <c r="AV41" i="1"/>
  <c r="AN41" i="1"/>
  <c r="AT22" i="5"/>
  <c r="AS133" i="62898"/>
  <c r="AV304" i="62898"/>
  <c r="AL17" i="62905"/>
  <c r="AP17" i="62905"/>
  <c r="AV238" i="62898"/>
  <c r="BH238" i="62898"/>
  <c r="AT100" i="9"/>
  <c r="AT224" i="5"/>
  <c r="AS224" i="5"/>
  <c r="AW224" i="5"/>
  <c r="AV294" i="5"/>
  <c r="BH294" i="5"/>
  <c r="AT333" i="5"/>
  <c r="AX333" i="5"/>
  <c r="AV359" i="5"/>
  <c r="BD359" i="5"/>
  <c r="AV426" i="5"/>
  <c r="BD426" i="5"/>
  <c r="AV496" i="5"/>
  <c r="BH496" i="5"/>
  <c r="AS535" i="5"/>
  <c r="AW535" i="5"/>
  <c r="AS561" i="5"/>
  <c r="AW561" i="5"/>
  <c r="AM41" i="1"/>
  <c r="AU41" i="1"/>
  <c r="AP41" i="1"/>
  <c r="BE89" i="5"/>
  <c r="Z90" i="5"/>
  <c r="BB128" i="5"/>
  <c r="AV22" i="5"/>
  <c r="BD22" i="5"/>
  <c r="AU24" i="62898"/>
  <c r="BD24" i="62898"/>
  <c r="BC24" i="62898"/>
  <c r="AT24" i="62898"/>
  <c r="BD133" i="62898"/>
  <c r="AU133" i="62898"/>
  <c r="BC133" i="62898"/>
  <c r="AS276" i="62898"/>
  <c r="AW276" i="62898"/>
  <c r="AV276" i="62898"/>
  <c r="AT304" i="62898"/>
  <c r="AU304" i="62898"/>
  <c r="AL20" i="62904"/>
  <c r="AP20" i="62904"/>
  <c r="AO20" i="62904"/>
  <c r="AN17" i="62905"/>
  <c r="AU17" i="62905"/>
  <c r="AD97" i="9"/>
  <c r="AZ238" i="62898"/>
  <c r="AS238" i="62898"/>
  <c r="AY238" i="62898"/>
  <c r="AW238" i="62898"/>
  <c r="BI238" i="62898"/>
  <c r="BB30" i="9"/>
  <c r="AS30" i="9"/>
  <c r="AR100" i="9"/>
  <c r="BC224" i="5"/>
  <c r="AT294" i="5"/>
  <c r="AS294" i="5"/>
  <c r="AY294" i="5"/>
  <c r="AV333" i="5"/>
  <c r="BD333" i="5"/>
  <c r="AT426" i="5"/>
  <c r="AS496" i="5"/>
  <c r="AY496" i="5"/>
  <c r="AU535" i="5"/>
  <c r="BC535" i="5"/>
  <c r="AU561" i="5"/>
  <c r="BC561" i="5"/>
  <c r="AS24" i="62898"/>
  <c r="AH127" i="62898"/>
  <c r="AB27" i="9"/>
  <c r="AG96" i="9"/>
  <c r="AI96" i="9"/>
  <c r="AA96" i="9"/>
  <c r="V100" i="9"/>
  <c r="BM100" i="9"/>
  <c r="BO30" i="9"/>
  <c r="E659" i="5"/>
  <c r="E22" i="62914" s="1"/>
  <c r="Q22" i="62914" s="1"/>
  <c r="M668" i="5"/>
  <c r="M29" i="62914" s="1"/>
  <c r="Y29" i="62914" s="1"/>
  <c r="AM27" i="9"/>
  <c r="AN27" i="9" s="1"/>
  <c r="AS22" i="5"/>
  <c r="AX24" i="62898"/>
  <c r="AW294" i="5"/>
  <c r="BC359" i="5"/>
  <c r="AG492" i="5"/>
  <c r="AZ496" i="5"/>
  <c r="AX561" i="5"/>
  <c r="BL30" i="9"/>
  <c r="AB96" i="9"/>
  <c r="F659" i="5"/>
  <c r="F22" i="62914" s="1"/>
  <c r="R22" i="62914" s="1"/>
  <c r="E668" i="5"/>
  <c r="BE100" i="9"/>
  <c r="AW131" i="5"/>
  <c r="AL88" i="5"/>
  <c r="BC22" i="5"/>
  <c r="BD304" i="62898"/>
  <c r="BC304" i="62898"/>
  <c r="AH299" i="62898"/>
  <c r="AC13" i="62904"/>
  <c r="AV20" i="62904"/>
  <c r="AM20" i="62904"/>
  <c r="AS17" i="62904"/>
  <c r="AM17" i="62905"/>
  <c r="AK17" i="62905"/>
  <c r="AX224" i="5"/>
  <c r="AW426" i="5"/>
  <c r="AX535" i="5"/>
  <c r="AG533" i="5"/>
  <c r="F454" i="62898"/>
  <c r="E28" i="9"/>
  <c r="AL28" i="9"/>
  <c r="AN28" i="9" s="1"/>
  <c r="AA28" i="9"/>
  <c r="AO98" i="9"/>
  <c r="AJ98" i="9"/>
  <c r="AS38" i="1"/>
  <c r="AW24" i="62898"/>
  <c r="BB17" i="62898"/>
  <c r="AK126" i="62898"/>
  <c r="AU276" i="62898"/>
  <c r="AA27" i="9"/>
  <c r="AD98" i="9"/>
  <c r="AY28" i="9"/>
  <c r="AJ26" i="9"/>
  <c r="AO26" i="9"/>
  <c r="AD26" i="9"/>
  <c r="E690" i="5"/>
  <c r="AV20" i="1"/>
  <c r="AA97" i="9"/>
  <c r="AY97" i="9"/>
  <c r="U100" i="9"/>
  <c r="AL97" i="9"/>
  <c r="AG97" i="9"/>
  <c r="AI97" i="9"/>
  <c r="AG37" i="1"/>
  <c r="AS37" i="1"/>
  <c r="X37" i="1"/>
  <c r="Z37" i="1" s="1"/>
  <c r="W100" i="9"/>
  <c r="AL26" i="9"/>
  <c r="V30" i="9"/>
  <c r="AH26" i="9"/>
  <c r="AI26" i="9" s="1"/>
  <c r="AN20" i="1"/>
  <c r="AQ30" i="9"/>
  <c r="AZ96" i="9"/>
  <c r="BF100" i="9"/>
  <c r="K690" i="5"/>
  <c r="E651" i="5"/>
  <c r="J690" i="5"/>
  <c r="AB26" i="9"/>
  <c r="AB30" i="9" s="1"/>
  <c r="AZ26" i="9"/>
  <c r="AM26" i="9"/>
  <c r="AK20" i="1"/>
  <c r="U30" i="9"/>
  <c r="AE37" i="1"/>
  <c r="X38" i="1"/>
  <c r="AC38" i="1"/>
  <c r="AU22" i="5"/>
  <c r="BA30" i="9"/>
  <c r="AU30" i="9"/>
  <c r="AU20" i="1"/>
  <c r="AO17" i="62905"/>
  <c r="AT238" i="62898"/>
  <c r="BH100" i="9"/>
  <c r="AV100" i="9"/>
  <c r="BB218" i="5"/>
  <c r="BI294" i="5"/>
  <c r="AU333" i="5"/>
  <c r="BC333" i="5"/>
  <c r="AS359" i="5"/>
  <c r="AW359" i="5"/>
  <c r="AT359" i="5"/>
  <c r="AX359" i="5"/>
  <c r="AS426" i="5"/>
  <c r="AU426" i="5"/>
  <c r="BC426" i="5"/>
  <c r="AW496" i="5"/>
  <c r="BI496" i="5"/>
  <c r="AT535" i="5"/>
  <c r="AT561" i="5"/>
  <c r="F698" i="5"/>
  <c r="F23" i="62915" s="1"/>
  <c r="R23" i="62915" s="1"/>
  <c r="K705" i="5"/>
  <c r="AT30" i="9"/>
  <c r="AV30" i="9"/>
  <c r="BM30" i="9"/>
  <c r="BI30" i="9"/>
  <c r="BN100" i="9"/>
  <c r="AO27" i="9"/>
  <c r="AJ27" i="9"/>
  <c r="W30" i="9"/>
  <c r="AD27" i="9"/>
  <c r="M651" i="5"/>
  <c r="BQ30" i="9"/>
  <c r="G651" i="5"/>
  <c r="F278" i="9"/>
  <c r="AV224" i="5"/>
  <c r="BD224" i="5"/>
  <c r="AU224" i="5"/>
  <c r="AZ294" i="5"/>
  <c r="AS333" i="5"/>
  <c r="AW333" i="5"/>
  <c r="AU359" i="5"/>
  <c r="AX426" i="5"/>
  <c r="BD535" i="5"/>
  <c r="AV561" i="5"/>
  <c r="AT37" i="1"/>
  <c r="AH37" i="1"/>
  <c r="AI37" i="1" s="1"/>
  <c r="AZ97" i="9"/>
  <c r="AH38" i="1"/>
  <c r="AI38" i="1" s="1"/>
  <c r="AT496" i="5"/>
  <c r="BD561" i="5"/>
  <c r="G705" i="5"/>
  <c r="AL20" i="1"/>
  <c r="AS157" i="5"/>
  <c r="BD100" i="9"/>
  <c r="AU20" i="62904"/>
  <c r="AV30" i="62904"/>
  <c r="G698" i="5"/>
  <c r="N35" i="3"/>
  <c r="E35" i="3"/>
  <c r="Q35" i="3"/>
  <c r="Q34" i="3"/>
  <c r="Y34" i="3"/>
  <c r="E34" i="3"/>
  <c r="N34" i="3"/>
  <c r="S34" i="3"/>
  <c r="E95" i="62905"/>
  <c r="AL95" i="62905"/>
  <c r="AC95" i="62905"/>
  <c r="AO95" i="62905"/>
  <c r="AE95" i="62905"/>
  <c r="Q116" i="2"/>
  <c r="Q124" i="2" s="1"/>
  <c r="AO91" i="62904"/>
  <c r="Y81" i="3"/>
  <c r="E93" i="62905"/>
  <c r="T116" i="2"/>
  <c r="S82" i="3"/>
  <c r="AA121" i="2"/>
  <c r="N70" i="3"/>
  <c r="AB116" i="2"/>
  <c r="AE89" i="62904"/>
  <c r="X91" i="62904"/>
  <c r="S70" i="3"/>
  <c r="S72" i="3" s="1"/>
  <c r="V70" i="3"/>
  <c r="Q132" i="2"/>
  <c r="AB130" i="2"/>
  <c r="AB134" i="2" s="1"/>
  <c r="X99" i="62904"/>
  <c r="AC99" i="62904"/>
  <c r="K124" i="3"/>
  <c r="Y94" i="3"/>
  <c r="T131" i="2"/>
  <c r="T130" i="2"/>
  <c r="I159" i="3"/>
  <c r="Q94" i="3"/>
  <c r="Q131" i="2"/>
  <c r="I179" i="3"/>
  <c r="E94" i="3"/>
  <c r="E131" i="2"/>
  <c r="V131" i="2"/>
  <c r="S94" i="3"/>
  <c r="AO100" i="62904"/>
  <c r="AO109" i="62905"/>
  <c r="I103" i="62904"/>
  <c r="X95" i="3"/>
  <c r="N95" i="3"/>
  <c r="N98" i="3" s="1"/>
  <c r="H111" i="3" s="1"/>
  <c r="F18" i="62892" s="1"/>
  <c r="Y95" i="3"/>
  <c r="AE101" i="62904"/>
  <c r="K147" i="3"/>
  <c r="AB131" i="2"/>
  <c r="N96" i="3"/>
  <c r="E121" i="2"/>
  <c r="V121" i="2"/>
  <c r="Q120" i="2"/>
  <c r="AB122" i="2"/>
  <c r="H159" i="3"/>
  <c r="Y83" i="3"/>
  <c r="Q81" i="3"/>
  <c r="E81" i="3"/>
  <c r="AB121" i="2"/>
  <c r="Q121" i="2"/>
  <c r="Y82" i="3"/>
  <c r="Q82" i="3"/>
  <c r="AC89" i="62904"/>
  <c r="X89" i="62904"/>
  <c r="AO89" i="62904"/>
  <c r="N82" i="3"/>
  <c r="V122" i="2"/>
  <c r="Q83" i="3"/>
  <c r="N83" i="3"/>
  <c r="AE90" i="62904"/>
  <c r="E90" i="62904"/>
  <c r="T120" i="2"/>
  <c r="AC90" i="62904"/>
  <c r="V120" i="2"/>
  <c r="N81" i="3"/>
  <c r="E99" i="62905"/>
  <c r="X99" i="62905"/>
  <c r="AO99" i="62905"/>
  <c r="AE99" i="62905"/>
  <c r="AN97" i="62905"/>
  <c r="H180" i="62905" s="1"/>
  <c r="AC97" i="62905"/>
  <c r="E97" i="62905"/>
  <c r="X97" i="62905"/>
  <c r="AE97" i="62905"/>
  <c r="AE101" i="62905" s="1"/>
  <c r="AO97" i="62905"/>
  <c r="Q69" i="3"/>
  <c r="S69" i="3"/>
  <c r="N69" i="3"/>
  <c r="I72" i="3"/>
  <c r="Y69" i="3"/>
  <c r="E86" i="62904"/>
  <c r="I93" i="62904"/>
  <c r="AC86" i="62904"/>
  <c r="AN108" i="62905"/>
  <c r="AE108" i="62905"/>
  <c r="AO108" i="62905"/>
  <c r="X108" i="62905"/>
  <c r="AC108" i="62905"/>
  <c r="E108" i="62905"/>
  <c r="S37" i="3"/>
  <c r="E37" i="3"/>
  <c r="Q37" i="3"/>
  <c r="Y37" i="3"/>
  <c r="N37" i="3"/>
  <c r="N39" i="3" s="1"/>
  <c r="X86" i="62904"/>
  <c r="V69" i="3"/>
  <c r="V72" i="3" s="1"/>
  <c r="E100" i="62904"/>
  <c r="AN109" i="62905"/>
  <c r="X109" i="62905"/>
  <c r="X111" i="62905" s="1"/>
  <c r="AE109" i="62905"/>
  <c r="E109" i="62905"/>
  <c r="AN107" i="62905"/>
  <c r="AC107" i="62905"/>
  <c r="I111" i="62905"/>
  <c r="AO107" i="62905"/>
  <c r="X107" i="62905"/>
  <c r="AN98" i="62905"/>
  <c r="X98" i="62905"/>
  <c r="AO98" i="62905"/>
  <c r="AC98" i="62905"/>
  <c r="AM93" i="62905"/>
  <c r="AM101" i="62905"/>
  <c r="I101" i="62905"/>
  <c r="X93" i="62905"/>
  <c r="AC93" i="62905"/>
  <c r="AO93" i="62905"/>
  <c r="V115" i="2"/>
  <c r="Q115" i="2"/>
  <c r="H124" i="2"/>
  <c r="AB115" i="2"/>
  <c r="T115" i="2"/>
  <c r="Q36" i="3"/>
  <c r="S36" i="3"/>
  <c r="N36" i="3"/>
  <c r="E36" i="3"/>
  <c r="E94" i="62905"/>
  <c r="AE94" i="62905"/>
  <c r="AO94" i="62905"/>
  <c r="X94" i="62905"/>
  <c r="AB117" i="2"/>
  <c r="Q117" i="2"/>
  <c r="T117" i="2"/>
  <c r="E117" i="2"/>
  <c r="I85" i="3"/>
  <c r="X83" i="3"/>
  <c r="I123" i="3"/>
  <c r="I13" i="62914" s="1"/>
  <c r="U13" i="62914" s="1"/>
  <c r="S95" i="3"/>
  <c r="Q95" i="3"/>
  <c r="E95" i="3"/>
  <c r="I98" i="3"/>
  <c r="AB118" i="2"/>
  <c r="V118" i="2"/>
  <c r="Q118" i="2"/>
  <c r="H134" i="2"/>
  <c r="AA130" i="2"/>
  <c r="Q130" i="2"/>
  <c r="AM85" i="62904"/>
  <c r="AM93" i="62904"/>
  <c r="AC85" i="62904"/>
  <c r="X85" i="62904"/>
  <c r="AN100" i="62904"/>
  <c r="AC100" i="62904"/>
  <c r="X100" i="62904"/>
  <c r="AE100" i="62904"/>
  <c r="AA132" i="2"/>
  <c r="V132" i="2"/>
  <c r="AB132" i="2"/>
  <c r="E132" i="2"/>
  <c r="AN101" i="62904"/>
  <c r="AN103" i="62904" s="1"/>
  <c r="AC101" i="62904"/>
  <c r="X101" i="62904"/>
  <c r="H179" i="3"/>
  <c r="X96" i="3"/>
  <c r="Q96" i="3"/>
  <c r="Y96" i="3"/>
  <c r="E96" i="3"/>
  <c r="AA122" i="2"/>
  <c r="E122" i="2"/>
  <c r="Y35" i="3"/>
  <c r="S35" i="3"/>
  <c r="Q33" i="3"/>
  <c r="N33" i="3"/>
  <c r="I39" i="3"/>
  <c r="AL87" i="62904"/>
  <c r="AC87" i="62904"/>
  <c r="X87" i="62904"/>
  <c r="AN91" i="62904"/>
  <c r="AE91" i="62904"/>
  <c r="AE93" i="62904" s="1"/>
  <c r="AC91" i="62904"/>
  <c r="AA120" i="2"/>
  <c r="AB120" i="2"/>
  <c r="AN90" i="62904"/>
  <c r="X90" i="62904"/>
  <c r="AN99" i="62904"/>
  <c r="AE99" i="62904"/>
  <c r="E40" i="62911"/>
  <c r="BP30" i="9"/>
  <c r="Y118" i="2"/>
  <c r="Y124" i="2"/>
  <c r="AE98" i="62905"/>
  <c r="AN99" i="62905"/>
  <c r="AC99" i="62905"/>
  <c r="AO84" i="11"/>
  <c r="AC84" i="11"/>
  <c r="AE107" i="62905"/>
  <c r="D50" i="62911"/>
  <c r="L50" i="62911"/>
  <c r="E117" i="7"/>
  <c r="S117" i="7"/>
  <c r="Q117" i="7"/>
  <c r="N117" i="7"/>
  <c r="Y117" i="7"/>
  <c r="L61" i="62911"/>
  <c r="Z18" i="62915"/>
  <c r="Q110" i="7"/>
  <c r="Y110" i="7"/>
  <c r="N110" i="7"/>
  <c r="O18" i="62915"/>
  <c r="I18" i="62915"/>
  <c r="U18" i="62915"/>
  <c r="N18" i="62915"/>
  <c r="Y119" i="7"/>
  <c r="N119" i="7"/>
  <c r="S119" i="7"/>
  <c r="Q119" i="7"/>
  <c r="E119" i="7"/>
  <c r="I714" i="5"/>
  <c r="AP108" i="1"/>
  <c r="AP112" i="1" s="1"/>
  <c r="Q115" i="7"/>
  <c r="Q123" i="7"/>
  <c r="Y125" i="7"/>
  <c r="S125" i="7"/>
  <c r="AO86" i="62904"/>
  <c r="N116" i="7"/>
  <c r="S123" i="7"/>
  <c r="Q125" i="7"/>
  <c r="Y123" i="7"/>
  <c r="Y116" i="7"/>
  <c r="Y129" i="7"/>
  <c r="H146" i="2"/>
  <c r="Y115" i="7"/>
  <c r="N115" i="7"/>
  <c r="AP119" i="1"/>
  <c r="AE86" i="62904"/>
  <c r="AL86" i="62904"/>
  <c r="AL94" i="62905"/>
  <c r="Q116" i="7"/>
  <c r="N123" i="7"/>
  <c r="N135" i="7" s="1"/>
  <c r="E118" i="7"/>
  <c r="Q124" i="7"/>
  <c r="Y118" i="7"/>
  <c r="N143" i="7"/>
  <c r="AC21" i="2"/>
  <c r="E319" i="9"/>
  <c r="E333" i="9" s="1"/>
  <c r="G319" i="9"/>
  <c r="G333" i="9" s="1"/>
  <c r="G61" i="62915"/>
  <c r="V33" i="62915"/>
  <c r="X36" i="62914"/>
  <c r="F53" i="62914"/>
  <c r="X24" i="62914"/>
  <c r="K319" i="9"/>
  <c r="K21" i="62915" s="1"/>
  <c r="F319" i="9"/>
  <c r="F333" i="9" s="1"/>
  <c r="G162" i="11"/>
  <c r="M127" i="11"/>
  <c r="E127" i="11"/>
  <c r="M158" i="1"/>
  <c r="E10" i="62915"/>
  <c r="Q10" i="62915" s="1"/>
  <c r="Q15" i="62915" s="1"/>
  <c r="J707" i="5"/>
  <c r="J705" i="5" s="1"/>
  <c r="L670" i="5"/>
  <c r="L668" i="5" s="1"/>
  <c r="L29" i="62914" s="1"/>
  <c r="G57" i="62914" s="1"/>
  <c r="AH284" i="62898"/>
  <c r="AA284" i="62898"/>
  <c r="AB284" i="62898" s="1"/>
  <c r="AM284" i="62898"/>
  <c r="F15" i="62914"/>
  <c r="R15" i="62914" s="1"/>
  <c r="R17" i="62914" s="1"/>
  <c r="G10" i="62915"/>
  <c r="S10" i="62915" s="1"/>
  <c r="F25" i="62911"/>
  <c r="G53" i="62914"/>
  <c r="I21" i="62915"/>
  <c r="U21" i="62915" s="1"/>
  <c r="H21" i="62915"/>
  <c r="T21" i="62915"/>
  <c r="G16" i="62915"/>
  <c r="G18" i="62915" s="1"/>
  <c r="G23" i="62915"/>
  <c r="S23" i="62915" s="1"/>
  <c r="K16" i="62915"/>
  <c r="K23" i="62915"/>
  <c r="W23" i="62915" s="1"/>
  <c r="G15" i="62914"/>
  <c r="E23" i="62915"/>
  <c r="Q23" i="62915" s="1"/>
  <c r="E278" i="7"/>
  <c r="G246" i="7"/>
  <c r="G19" i="62914"/>
  <c r="S19" i="62914" s="1"/>
  <c r="M12" i="62914"/>
  <c r="Y12" i="62914" s="1"/>
  <c r="AL283" i="62898"/>
  <c r="BF324" i="62898"/>
  <c r="K46" i="62898"/>
  <c r="Z283" i="62898"/>
  <c r="AG283" i="62898"/>
  <c r="AG480" i="5"/>
  <c r="Z480" i="5"/>
  <c r="AM480" i="5"/>
  <c r="AM479" i="5"/>
  <c r="AG479" i="5"/>
  <c r="AA175" i="5"/>
  <c r="Z279" i="5"/>
  <c r="BB598" i="5"/>
  <c r="Z479" i="5"/>
  <c r="AC479" i="5"/>
  <c r="AA279" i="5"/>
  <c r="BE279" i="5"/>
  <c r="AB279" i="5"/>
  <c r="O483" i="5"/>
  <c r="Z481" i="5"/>
  <c r="BF48" i="5"/>
  <c r="AN480" i="5"/>
  <c r="AH480" i="5"/>
  <c r="N26" i="62911"/>
  <c r="E26" i="62911"/>
  <c r="AO52" i="1"/>
  <c r="AC62" i="62904"/>
  <c r="I474" i="62898"/>
  <c r="AG225" i="62898"/>
  <c r="E41" i="62898"/>
  <c r="AM41" i="62898"/>
  <c r="AP41" i="62898" s="1"/>
  <c r="AO104" i="62898"/>
  <c r="AB48" i="5"/>
  <c r="Z48" i="5"/>
  <c r="BF55" i="5"/>
  <c r="S85" i="3"/>
  <c r="L110" i="3"/>
  <c r="L17" i="62892"/>
  <c r="B100" i="62892"/>
  <c r="AE62" i="62904"/>
  <c r="B99" i="62892"/>
  <c r="X62" i="62904"/>
  <c r="X67" i="62904" s="1"/>
  <c r="W73" i="62904" s="1"/>
  <c r="P96" i="62892"/>
  <c r="AQ281" i="5"/>
  <c r="P102" i="62892"/>
  <c r="X98" i="3"/>
  <c r="AB351" i="62898"/>
  <c r="AC351" i="62898"/>
  <c r="BA611" i="5"/>
  <c r="AH104" i="62898"/>
  <c r="AJ104" i="62898"/>
  <c r="AA104" i="62898"/>
  <c r="AM183" i="5"/>
  <c r="BG340" i="62898"/>
  <c r="M426" i="62898"/>
  <c r="M442" i="62898" s="1"/>
  <c r="BF341" i="62898"/>
  <c r="AJ184" i="62898"/>
  <c r="AM103" i="62898"/>
  <c r="BG77" i="5"/>
  <c r="AO334" i="62898"/>
  <c r="AD334" i="62898"/>
  <c r="AW384" i="62898"/>
  <c r="AP440" i="5"/>
  <c r="AC467" i="5"/>
  <c r="E301" i="5"/>
  <c r="AG193" i="62898"/>
  <c r="AG150" i="9"/>
  <c r="BE193" i="62898"/>
  <c r="AB77" i="5"/>
  <c r="Y33" i="7"/>
  <c r="Y180" i="7"/>
  <c r="B97" i="62892"/>
  <c r="BG194" i="62898"/>
  <c r="E433" i="5"/>
  <c r="BD502" i="5"/>
  <c r="AO502" i="5"/>
  <c r="AP502" i="5" s="1"/>
  <c r="AP467" i="5"/>
  <c r="BG502" i="5"/>
  <c r="AB502" i="5"/>
  <c r="AC502" i="5"/>
  <c r="AN481" i="5"/>
  <c r="AH342" i="62898"/>
  <c r="BE483" i="5"/>
  <c r="AA480" i="5"/>
  <c r="BE314" i="62898"/>
  <c r="BF192" i="62898"/>
  <c r="BE340" i="62898"/>
  <c r="BG186" i="62898"/>
  <c r="AA370" i="62898"/>
  <c r="AA374" i="62898" s="1"/>
  <c r="AG481" i="5"/>
  <c r="AM481" i="5"/>
  <c r="AA220" i="9"/>
  <c r="G25" i="62911"/>
  <c r="M147" i="3"/>
  <c r="Z284" i="62898"/>
  <c r="G56" i="62915"/>
  <c r="T61" i="2"/>
  <c r="AJ591" i="5"/>
  <c r="D26" i="62911"/>
  <c r="AA180" i="9"/>
  <c r="AA110" i="9"/>
  <c r="AC64" i="2"/>
  <c r="R84" i="11"/>
  <c r="R82" i="11"/>
  <c r="AO59" i="11"/>
  <c r="AM278" i="5"/>
  <c r="AM281" i="5" s="1"/>
  <c r="AG340" i="62898"/>
  <c r="E277" i="5"/>
  <c r="BG324" i="62898"/>
  <c r="BF75" i="5"/>
  <c r="AM340" i="62898"/>
  <c r="N374" i="62898"/>
  <c r="AJ332" i="62898"/>
  <c r="AH324" i="62898"/>
  <c r="AO186" i="62898"/>
  <c r="L18" i="2"/>
  <c r="AO51" i="1"/>
  <c r="Y58" i="3"/>
  <c r="AG66" i="62898"/>
  <c r="BF76" i="62898"/>
  <c r="BF93" i="62898"/>
  <c r="AB104" i="62898"/>
  <c r="AY96" i="62898"/>
  <c r="BG104" i="62898"/>
  <c r="AA66" i="62898"/>
  <c r="AA210" i="9"/>
  <c r="AG70" i="9"/>
  <c r="M284" i="9"/>
  <c r="G284" i="9"/>
  <c r="F284" i="9"/>
  <c r="AA70" i="9"/>
  <c r="Q43" i="2"/>
  <c r="E70" i="9"/>
  <c r="E61" i="2"/>
  <c r="V61" i="2"/>
  <c r="Q61" i="2"/>
  <c r="AC54" i="2"/>
  <c r="BE354" i="62898"/>
  <c r="AD344" i="62898"/>
  <c r="AP324" i="62898"/>
  <c r="AJ330" i="62898"/>
  <c r="AB340" i="62898"/>
  <c r="AC340" i="62898"/>
  <c r="O344" i="62898"/>
  <c r="AP332" i="62898"/>
  <c r="AD324" i="62898"/>
  <c r="E351" i="62898"/>
  <c r="Q344" i="62898"/>
  <c r="Z354" i="62898"/>
  <c r="AC374" i="62898"/>
  <c r="AA361" i="62898"/>
  <c r="BF361" i="62898"/>
  <c r="AD354" i="62898"/>
  <c r="AN334" i="62898"/>
  <c r="AI334" i="62898"/>
  <c r="AB334" i="62898"/>
  <c r="AH334" i="62898"/>
  <c r="BG334" i="62898"/>
  <c r="AP330" i="62898"/>
  <c r="AB324" i="62898"/>
  <c r="AC322" i="62898"/>
  <c r="BE324" i="62898"/>
  <c r="AA324" i="62898"/>
  <c r="AG324" i="62898"/>
  <c r="AC321" i="62898"/>
  <c r="AC320" i="62898"/>
  <c r="BF104" i="62898"/>
  <c r="AC43" i="62898"/>
  <c r="AM94" i="62898"/>
  <c r="AA86" i="62898"/>
  <c r="AM104" i="62898"/>
  <c r="AW96" i="62898"/>
  <c r="AN32" i="62898"/>
  <c r="BH96" i="62898"/>
  <c r="AT96" i="62898"/>
  <c r="AH32" i="62898"/>
  <c r="BF56" i="62898"/>
  <c r="AJ42" i="62898"/>
  <c r="AI46" i="62898"/>
  <c r="AS96" i="62898"/>
  <c r="AC84" i="62898"/>
  <c r="AJ84" i="62898"/>
  <c r="AC73" i="62898"/>
  <c r="AG76" i="62898"/>
  <c r="BE76" i="62898"/>
  <c r="AC83" i="62898"/>
  <c r="BG153" i="62898"/>
  <c r="AP150" i="62898"/>
  <c r="AD143" i="62898"/>
  <c r="AM163" i="62898"/>
  <c r="AP184" i="62898"/>
  <c r="AC193" i="62898"/>
  <c r="BF193" i="62898"/>
  <c r="AI194" i="62898"/>
  <c r="BF194" i="62898"/>
  <c r="AH193" i="62898"/>
  <c r="AN194" i="62898"/>
  <c r="AM193" i="62898"/>
  <c r="AN193" i="62898"/>
  <c r="AB194" i="62898"/>
  <c r="AN176" i="62898"/>
  <c r="AI186" i="62898"/>
  <c r="AC174" i="62898"/>
  <c r="AW225" i="62898"/>
  <c r="AJ286" i="62898"/>
  <c r="E244" i="62898"/>
  <c r="AO340" i="62898"/>
  <c r="AA341" i="62898"/>
  <c r="AN341" i="62898"/>
  <c r="AN361" i="62898"/>
  <c r="BE341" i="62898"/>
  <c r="AG314" i="62898"/>
  <c r="AB341" i="62898"/>
  <c r="AO341" i="62898"/>
  <c r="AB244" i="62898"/>
  <c r="AC244" i="62898" s="1"/>
  <c r="M249" i="62898"/>
  <c r="AL284" i="62898"/>
  <c r="AC286" i="62898"/>
  <c r="BA284" i="62898"/>
  <c r="E283" i="62898"/>
  <c r="AA283" i="62898"/>
  <c r="BE249" i="62898"/>
  <c r="E247" i="62898"/>
  <c r="BG244" i="62898"/>
  <c r="AM283" i="62898"/>
  <c r="AH283" i="62898"/>
  <c r="AO244" i="62898"/>
  <c r="AP244" i="62898"/>
  <c r="AI244" i="62898"/>
  <c r="AJ244" i="62898" s="1"/>
  <c r="AJ249" i="62898" s="1"/>
  <c r="AS260" i="62898"/>
  <c r="AM249" i="62898"/>
  <c r="AO245" i="62898"/>
  <c r="AP245" i="62898" s="1"/>
  <c r="AZ260" i="62898"/>
  <c r="AW260" i="62898"/>
  <c r="AY260" i="62898"/>
  <c r="AD260" i="62898"/>
  <c r="AI143" i="62898"/>
  <c r="BG163" i="62898"/>
  <c r="AM143" i="62898"/>
  <c r="AH143" i="62898"/>
  <c r="AC184" i="62898"/>
  <c r="AN186" i="62898"/>
  <c r="AP182" i="62898"/>
  <c r="AA176" i="62898"/>
  <c r="AJ182" i="62898"/>
  <c r="AH194" i="62898"/>
  <c r="Z249" i="62898"/>
  <c r="AG249" i="62898"/>
  <c r="AH176" i="62898"/>
  <c r="AC172" i="62898"/>
  <c r="AH186" i="62898"/>
  <c r="AC141" i="62898"/>
  <c r="BE163" i="62898"/>
  <c r="AH153" i="62898"/>
  <c r="AJ139" i="62898"/>
  <c r="AJ140" i="62898"/>
  <c r="AG192" i="62898"/>
  <c r="E192" i="62898"/>
  <c r="BE192" i="62898"/>
  <c r="O196" i="62898"/>
  <c r="AA186" i="62898"/>
  <c r="AC183" i="62898"/>
  <c r="AB186" i="62898"/>
  <c r="AG186" i="62898"/>
  <c r="BF186" i="62898"/>
  <c r="AC182" i="62898"/>
  <c r="BG176" i="62898"/>
  <c r="AP174" i="62898"/>
  <c r="AJ174" i="62898"/>
  <c r="AD176" i="62898"/>
  <c r="BF176" i="62898"/>
  <c r="AI176" i="62898"/>
  <c r="AC173" i="62898"/>
  <c r="AJ172" i="62898"/>
  <c r="AP172" i="62898"/>
  <c r="AC160" i="62898"/>
  <c r="BE153" i="62898"/>
  <c r="AC150" i="62898"/>
  <c r="AD153" i="62898"/>
  <c r="AJ141" i="62898"/>
  <c r="AP141" i="62898"/>
  <c r="AP140" i="62898"/>
  <c r="AB143" i="62898"/>
  <c r="AC139" i="62898"/>
  <c r="AB300" i="5"/>
  <c r="BG300" i="5"/>
  <c r="AC140" i="62898"/>
  <c r="AQ143" i="62898"/>
  <c r="AC151" i="62898"/>
  <c r="BF103" i="62898"/>
  <c r="BF66" i="62898"/>
  <c r="BE103" i="62898"/>
  <c r="O106" i="62898"/>
  <c r="AG116" i="62898"/>
  <c r="AN103" i="62898"/>
  <c r="BF86" i="62898"/>
  <c r="AH103" i="62898"/>
  <c r="AC54" i="62898"/>
  <c r="AA56" i="62898"/>
  <c r="BG76" i="62898"/>
  <c r="AZ96" i="62898"/>
  <c r="AH56" i="62898"/>
  <c r="AI116" i="62898"/>
  <c r="AP52" i="62898"/>
  <c r="AC42" i="62898"/>
  <c r="AA46" i="62898"/>
  <c r="AD106" i="62898"/>
  <c r="AX96" i="62898"/>
  <c r="BJ96" i="62898"/>
  <c r="BI96" i="62898"/>
  <c r="AV96" i="62898"/>
  <c r="BE92" i="62898"/>
  <c r="AP84" i="62898"/>
  <c r="BG86" i="62898"/>
  <c r="AM86" i="62898"/>
  <c r="AH86" i="62898"/>
  <c r="AJ83" i="62898"/>
  <c r="AG86" i="62898"/>
  <c r="AI86" i="62898"/>
  <c r="BE86" i="62898"/>
  <c r="AB86" i="62898"/>
  <c r="AC82" i="62898"/>
  <c r="AP82" i="62898"/>
  <c r="AJ82" i="62898"/>
  <c r="AJ74" i="62898"/>
  <c r="AB76" i="62898"/>
  <c r="AH76" i="62898"/>
  <c r="AN76" i="62898"/>
  <c r="AD76" i="62898"/>
  <c r="AI76" i="62898"/>
  <c r="AC72" i="62898"/>
  <c r="AD66" i="62898"/>
  <c r="AD56" i="62898"/>
  <c r="AO56" i="62898"/>
  <c r="AB56" i="62898"/>
  <c r="AJ52" i="62898"/>
  <c r="AC52" i="62898"/>
  <c r="AB46" i="62898"/>
  <c r="AD46" i="62898"/>
  <c r="AD35" i="62898"/>
  <c r="BE77" i="5"/>
  <c r="AM102" i="62898"/>
  <c r="AA93" i="62898"/>
  <c r="BE104" i="62898"/>
  <c r="AC53" i="62898"/>
  <c r="AA598" i="5"/>
  <c r="AA599" i="5"/>
  <c r="BB599" i="5"/>
  <c r="BA567" i="5"/>
  <c r="AH598" i="5"/>
  <c r="AH601" i="5" s="1"/>
  <c r="AM599" i="5"/>
  <c r="AN599" i="5" s="1"/>
  <c r="AG599" i="5"/>
  <c r="AI599" i="5" s="1"/>
  <c r="AC601" i="5"/>
  <c r="AG545" i="5"/>
  <c r="AC591" i="5"/>
  <c r="AC581" i="5"/>
  <c r="AC571" i="5"/>
  <c r="BF481" i="5"/>
  <c r="P483" i="5"/>
  <c r="AA481" i="5"/>
  <c r="AD483" i="5"/>
  <c r="AP442" i="5"/>
  <c r="BA395" i="5"/>
  <c r="AJ434" i="5"/>
  <c r="BE445" i="5"/>
  <c r="AH397" i="5"/>
  <c r="AI397" i="5" s="1"/>
  <c r="AL395" i="5"/>
  <c r="AG395" i="5"/>
  <c r="AG399" i="5" s="1"/>
  <c r="AG375" i="5"/>
  <c r="BB397" i="5"/>
  <c r="AA397" i="5"/>
  <c r="AM409" i="5"/>
  <c r="M399" i="5"/>
  <c r="AH409" i="5"/>
  <c r="AL375" i="5"/>
  <c r="AN375" i="5"/>
  <c r="AC399" i="5"/>
  <c r="AI300" i="5"/>
  <c r="AJ300" i="5" s="1"/>
  <c r="E300" i="5"/>
  <c r="BF304" i="5"/>
  <c r="BD300" i="5"/>
  <c r="AC389" i="5"/>
  <c r="N379" i="5"/>
  <c r="AC379" i="5"/>
  <c r="M379" i="5"/>
  <c r="BA375" i="5"/>
  <c r="BA379" i="5" s="1"/>
  <c r="AC369" i="5"/>
  <c r="AA356" i="5"/>
  <c r="AA377" i="5"/>
  <c r="AB406" i="5"/>
  <c r="AG366" i="5"/>
  <c r="AN366" i="5"/>
  <c r="AB277" i="5"/>
  <c r="BG278" i="5"/>
  <c r="AO279" i="5"/>
  <c r="AB278" i="5"/>
  <c r="AG279" i="5"/>
  <c r="E230" i="5"/>
  <c r="AN279" i="5"/>
  <c r="AH279" i="5"/>
  <c r="Q281" i="5"/>
  <c r="BE278" i="5"/>
  <c r="AI279" i="5"/>
  <c r="AI281" i="5" s="1"/>
  <c r="BG277" i="5"/>
  <c r="AP265" i="5"/>
  <c r="AJ265" i="5"/>
  <c r="AG278" i="5"/>
  <c r="AD281" i="5"/>
  <c r="AC265" i="5"/>
  <c r="BA173" i="5"/>
  <c r="AL173" i="5"/>
  <c r="Z173" i="5"/>
  <c r="AC239" i="5"/>
  <c r="AD243" i="5"/>
  <c r="E233" i="5"/>
  <c r="AL193" i="5"/>
  <c r="AN205" i="5"/>
  <c r="AM256" i="5"/>
  <c r="AO278" i="5"/>
  <c r="AO277" i="5"/>
  <c r="AC177" i="5"/>
  <c r="AH207" i="5"/>
  <c r="Z193" i="5"/>
  <c r="AG193" i="5"/>
  <c r="AG197" i="5" s="1"/>
  <c r="M197" i="5"/>
  <c r="M177" i="5"/>
  <c r="N177" i="5"/>
  <c r="Z163" i="5"/>
  <c r="BA195" i="5"/>
  <c r="AL194" i="5"/>
  <c r="AG141" i="5"/>
  <c r="AO77" i="5"/>
  <c r="AA75" i="5"/>
  <c r="AH75" i="5"/>
  <c r="BF77" i="5"/>
  <c r="AG77" i="5"/>
  <c r="AM77" i="5"/>
  <c r="AN79" i="5"/>
  <c r="P79" i="5"/>
  <c r="BF76" i="5"/>
  <c r="AH76" i="5"/>
  <c r="AA76" i="5"/>
  <c r="E77" i="5"/>
  <c r="AJ63" i="5"/>
  <c r="AC63" i="5"/>
  <c r="AJ35" i="5"/>
  <c r="AC35" i="5"/>
  <c r="AM41" i="5"/>
  <c r="E28" i="5"/>
  <c r="BG76" i="5"/>
  <c r="AC32" i="11"/>
  <c r="Y59" i="11"/>
  <c r="AO73" i="11"/>
  <c r="AO46" i="11"/>
  <c r="T18" i="11"/>
  <c r="Y18" i="11"/>
  <c r="E202" i="7"/>
  <c r="E80" i="9"/>
  <c r="N180" i="7"/>
  <c r="H207" i="7"/>
  <c r="S180" i="7"/>
  <c r="L207" i="7"/>
  <c r="Y167" i="7"/>
  <c r="F263" i="7"/>
  <c r="K263" i="7"/>
  <c r="G263" i="7"/>
  <c r="F228" i="7"/>
  <c r="M228" i="7"/>
  <c r="E228" i="7"/>
  <c r="I99" i="7"/>
  <c r="Q99" i="7"/>
  <c r="K204" i="7" s="1"/>
  <c r="S99" i="7"/>
  <c r="L204" i="7"/>
  <c r="N204" i="7" s="1"/>
  <c r="Y60" i="7"/>
  <c r="E19" i="7"/>
  <c r="G43" i="62915"/>
  <c r="E159" i="3"/>
  <c r="J179" i="3"/>
  <c r="N58" i="3"/>
  <c r="E147" i="3"/>
  <c r="E59" i="3"/>
  <c r="Q57" i="3"/>
  <c r="Y61" i="3"/>
  <c r="Q59" i="3"/>
  <c r="N57" i="3"/>
  <c r="M124" i="3"/>
  <c r="S57" i="3"/>
  <c r="F147" i="3"/>
  <c r="F179" i="3"/>
  <c r="E179" i="3"/>
  <c r="E58" i="3"/>
  <c r="Q58" i="3"/>
  <c r="V63" i="3"/>
  <c r="G147" i="3"/>
  <c r="G179" i="3"/>
  <c r="L147" i="3"/>
  <c r="E124" i="3"/>
  <c r="L179" i="3"/>
  <c r="L159" i="3"/>
  <c r="N61" i="3"/>
  <c r="Y59" i="3"/>
  <c r="N56" i="3"/>
  <c r="Q61" i="3"/>
  <c r="Q56" i="3"/>
  <c r="S61" i="3"/>
  <c r="E56" i="3"/>
  <c r="N59" i="3"/>
  <c r="I14" i="62892"/>
  <c r="F14" i="62892"/>
  <c r="N107" i="3"/>
  <c r="L14" i="62892"/>
  <c r="F658" i="5"/>
  <c r="F678" i="5" s="1"/>
  <c r="F694" i="5"/>
  <c r="F714" i="5" s="1"/>
  <c r="AB33" i="62898"/>
  <c r="AI110" i="9"/>
  <c r="BE32" i="62898"/>
  <c r="AM123" i="1"/>
  <c r="AP123" i="1"/>
  <c r="Z73" i="1"/>
  <c r="AN112" i="1"/>
  <c r="G658" i="5"/>
  <c r="G678" i="5" s="1"/>
  <c r="AI180" i="9"/>
  <c r="AJ207" i="5"/>
  <c r="AO108" i="1"/>
  <c r="AO374" i="62898"/>
  <c r="H21" i="62911"/>
  <c r="N24" i="62911"/>
  <c r="E24" i="62911" s="1"/>
  <c r="AQ106" i="62898"/>
  <c r="AJ379" i="5"/>
  <c r="AK143" i="62898"/>
  <c r="AQ46" i="62898"/>
  <c r="AQ334" i="62898"/>
  <c r="AQ324" i="62898"/>
  <c r="T81" i="2"/>
  <c r="V60" i="2"/>
  <c r="E81" i="2"/>
  <c r="V81" i="2"/>
  <c r="AL112" i="1"/>
  <c r="AC109" i="1"/>
  <c r="AO109" i="1"/>
  <c r="AO120" i="1"/>
  <c r="AE119" i="1"/>
  <c r="X107" i="1"/>
  <c r="AO107" i="1"/>
  <c r="E108" i="1"/>
  <c r="AC107" i="1"/>
  <c r="AE109" i="1"/>
  <c r="X109" i="1"/>
  <c r="AO119" i="1"/>
  <c r="AE108" i="1"/>
  <c r="AC108" i="1"/>
  <c r="AG242" i="9"/>
  <c r="K262" i="9"/>
  <c r="AE120" i="1"/>
  <c r="AC119" i="1"/>
  <c r="AC120" i="1"/>
  <c r="X119" i="1"/>
  <c r="B101" i="62892"/>
  <c r="B95" i="62892"/>
  <c r="B104" i="62892"/>
  <c r="B98" i="62892"/>
  <c r="AJ167" i="5"/>
  <c r="AQ260" i="62898"/>
  <c r="AC611" i="5"/>
  <c r="AC167" i="5"/>
  <c r="AA273" i="62898"/>
  <c r="AN452" i="5"/>
  <c r="AO177" i="5"/>
  <c r="BG350" i="62898"/>
  <c r="AO350" i="62898"/>
  <c r="AH376" i="5"/>
  <c r="AM173" i="5"/>
  <c r="AI607" i="5"/>
  <c r="AA454" i="5"/>
  <c r="BG245" i="62898"/>
  <c r="BD245" i="62898"/>
  <c r="BD351" i="62898"/>
  <c r="AO351" i="62898"/>
  <c r="AP351" i="62898" s="1"/>
  <c r="AB245" i="62898"/>
  <c r="BG351" i="62898"/>
  <c r="BG360" i="62898"/>
  <c r="M571" i="5"/>
  <c r="BB376" i="5"/>
  <c r="AJ611" i="5"/>
  <c r="AB407" i="5"/>
  <c r="Z567" i="5"/>
  <c r="AL567" i="5"/>
  <c r="BF479" i="5"/>
  <c r="AA192" i="62898"/>
  <c r="AA196" i="62898" s="1"/>
  <c r="AM342" i="62898"/>
  <c r="BB370" i="62898"/>
  <c r="AB192" i="62898"/>
  <c r="BE342" i="62898"/>
  <c r="AO342" i="62898"/>
  <c r="BD247" i="62898"/>
  <c r="AH102" i="62898"/>
  <c r="Q196" i="62898"/>
  <c r="AO247" i="62898"/>
  <c r="AP247" i="62898" s="1"/>
  <c r="AI479" i="5"/>
  <c r="E342" i="62898"/>
  <c r="AG341" i="62898"/>
  <c r="AI192" i="62898"/>
  <c r="AI342" i="62898"/>
  <c r="AI344" i="62898"/>
  <c r="AM341" i="62898"/>
  <c r="AB342" i="62898"/>
  <c r="AK76" i="62898"/>
  <c r="AH370" i="62898"/>
  <c r="P196" i="62898"/>
  <c r="AO479" i="5"/>
  <c r="AH479" i="5"/>
  <c r="BG192" i="62898"/>
  <c r="AN479" i="5"/>
  <c r="AA102" i="62898"/>
  <c r="AA342" i="62898"/>
  <c r="AB76" i="5"/>
  <c r="AB79" i="5" s="1"/>
  <c r="AM75" i="5"/>
  <c r="BE75" i="5"/>
  <c r="BE102" i="62898"/>
  <c r="E75" i="5"/>
  <c r="AI103" i="62898"/>
  <c r="AG102" i="62898"/>
  <c r="AG106" i="62898" s="1"/>
  <c r="BF342" i="62898"/>
  <c r="Z75" i="5"/>
  <c r="BG479" i="5"/>
  <c r="AN102" i="62898"/>
  <c r="AN192" i="62898"/>
  <c r="AO32" i="62898"/>
  <c r="AC63" i="62898"/>
  <c r="E341" i="62898"/>
  <c r="AI76" i="5"/>
  <c r="AP53" i="62898"/>
  <c r="P106" i="62898"/>
  <c r="AB350" i="62898"/>
  <c r="AI350" i="62898"/>
  <c r="E60" i="2"/>
  <c r="T60" i="2"/>
  <c r="Q60" i="2"/>
  <c r="T50" i="2"/>
  <c r="E50" i="2"/>
  <c r="Z54" i="2"/>
  <c r="AB43" i="2"/>
  <c r="AB50" i="2"/>
  <c r="V50" i="2"/>
  <c r="E72" i="2"/>
  <c r="AO18" i="11"/>
  <c r="AU60" i="9"/>
  <c r="N19" i="7"/>
  <c r="H199" i="7" s="1"/>
  <c r="AA190" i="9"/>
  <c r="AI60" i="9"/>
  <c r="M374" i="62898"/>
  <c r="AG372" i="62898"/>
  <c r="Z384" i="62898"/>
  <c r="AG143" i="62898"/>
  <c r="AG56" i="62898"/>
  <c r="BG56" i="62898"/>
  <c r="AN340" i="62898"/>
  <c r="AI324" i="62898"/>
  <c r="AM31" i="62898"/>
  <c r="AO75" i="5"/>
  <c r="AG578" i="5"/>
  <c r="AI578" i="5" s="1"/>
  <c r="AM376" i="5"/>
  <c r="AA578" i="5"/>
  <c r="AA581" i="5" s="1"/>
  <c r="AH396" i="5"/>
  <c r="AI396" i="5" s="1"/>
  <c r="AI406" i="5"/>
  <c r="G694" i="5"/>
  <c r="G714" i="5" s="1"/>
  <c r="Y64" i="2"/>
  <c r="AC84" i="2"/>
  <c r="AU180" i="9"/>
  <c r="E248" i="9"/>
  <c r="E250" i="9" s="1"/>
  <c r="AG180" i="9"/>
  <c r="AA242" i="9"/>
  <c r="AU120" i="9"/>
  <c r="AU110" i="9"/>
  <c r="AG110" i="9"/>
  <c r="AA120" i="9"/>
  <c r="AG20" i="9"/>
  <c r="AU20" i="9"/>
  <c r="AU242" i="9"/>
  <c r="AU40" i="9"/>
  <c r="AU50" i="9"/>
  <c r="AU80" i="9"/>
  <c r="AU130" i="9"/>
  <c r="AU140" i="9"/>
  <c r="AU160" i="9"/>
  <c r="AU200" i="9"/>
  <c r="AI20" i="9"/>
  <c r="E20" i="9"/>
  <c r="T52" i="2"/>
  <c r="Q72" i="2"/>
  <c r="V70" i="2"/>
  <c r="AB70" i="2"/>
  <c r="V52" i="2"/>
  <c r="T72" i="2"/>
  <c r="Y74" i="2"/>
  <c r="AI242" i="9"/>
  <c r="AA20" i="9"/>
  <c r="AG120" i="9"/>
  <c r="E180" i="9"/>
  <c r="T152" i="2"/>
  <c r="AB152" i="2"/>
  <c r="Y152" i="2"/>
  <c r="Y158" i="2" s="1"/>
  <c r="V152" i="2"/>
  <c r="AB156" i="2"/>
  <c r="Q156" i="2"/>
  <c r="Q158" i="2"/>
  <c r="E156" i="2"/>
  <c r="T156" i="2"/>
  <c r="E120" i="62905"/>
  <c r="T43" i="2"/>
  <c r="AB52" i="2"/>
  <c r="E52" i="2"/>
  <c r="AB72" i="2"/>
  <c r="Q70" i="2"/>
  <c r="Y84" i="2"/>
  <c r="AB81" i="2"/>
  <c r="Q81" i="2"/>
  <c r="Z74" i="2"/>
  <c r="Y54" i="2"/>
  <c r="V43" i="2"/>
  <c r="Z64" i="2"/>
  <c r="AC74" i="2"/>
  <c r="Q29" i="2"/>
  <c r="Z84" i="2"/>
  <c r="K33" i="2"/>
  <c r="D178" i="2"/>
  <c r="E178" i="2" s="1"/>
  <c r="K1698" i="62906"/>
  <c r="L1698" i="62906"/>
  <c r="Q28" i="2"/>
  <c r="AB28" i="2"/>
  <c r="E31" i="2"/>
  <c r="E29" i="2"/>
  <c r="AB29" i="2"/>
  <c r="T28" i="2"/>
  <c r="V30" i="2"/>
  <c r="V29" i="2"/>
  <c r="Y33" i="2"/>
  <c r="AC33" i="2"/>
  <c r="V28" i="2"/>
  <c r="V31" i="2"/>
  <c r="Z33" i="2"/>
  <c r="Q31" i="2"/>
  <c r="T31" i="2"/>
  <c r="Q30" i="2"/>
  <c r="I33" i="2"/>
  <c r="AB30" i="2"/>
  <c r="E30" i="2"/>
  <c r="K1695" i="62906"/>
  <c r="L1695" i="62906" s="1"/>
  <c r="K1694" i="62906"/>
  <c r="L1694" i="62906"/>
  <c r="K1693" i="62906"/>
  <c r="K1696" i="62906"/>
  <c r="K1692" i="62906"/>
  <c r="Y92" i="2"/>
  <c r="E220" i="9"/>
  <c r="AI200" i="9"/>
  <c r="Q47" i="7"/>
  <c r="K201" i="7"/>
  <c r="I23" i="62892" s="1"/>
  <c r="L21" i="62892"/>
  <c r="Y19" i="7"/>
  <c r="N199" i="7"/>
  <c r="Q19" i="7"/>
  <c r="K199" i="7"/>
  <c r="I21" i="62892"/>
  <c r="AA60" i="9"/>
  <c r="Q167" i="7"/>
  <c r="K206" i="7"/>
  <c r="S167" i="7"/>
  <c r="L206" i="7" s="1"/>
  <c r="L28" i="62892" s="1"/>
  <c r="N167" i="7"/>
  <c r="H206" i="7"/>
  <c r="AI220" i="9"/>
  <c r="AG220" i="9"/>
  <c r="Q180" i="7"/>
  <c r="K207" i="7" s="1"/>
  <c r="E95" i="7"/>
  <c r="E99" i="7" s="1"/>
  <c r="N95" i="7"/>
  <c r="Y97" i="7"/>
  <c r="Y99" i="7"/>
  <c r="AC73" i="11"/>
  <c r="N97" i="7"/>
  <c r="AG130" i="9"/>
  <c r="Q85" i="7"/>
  <c r="AI130" i="9"/>
  <c r="AG50" i="9"/>
  <c r="I85" i="7"/>
  <c r="E81" i="7"/>
  <c r="N81" i="7"/>
  <c r="E130" i="9"/>
  <c r="AA50" i="9"/>
  <c r="AI50" i="9"/>
  <c r="S85" i="7"/>
  <c r="L203" i="7" s="1"/>
  <c r="AA130" i="9"/>
  <c r="AA40" i="9"/>
  <c r="AI40" i="9"/>
  <c r="E40" i="9"/>
  <c r="Y69" i="7"/>
  <c r="N69" i="7"/>
  <c r="J74" i="7"/>
  <c r="Q74" i="7"/>
  <c r="N71" i="7"/>
  <c r="E71" i="7"/>
  <c r="Y70" i="7"/>
  <c r="E70" i="7"/>
  <c r="N70" i="7"/>
  <c r="AC59" i="11"/>
  <c r="N60" i="7"/>
  <c r="H202" i="7"/>
  <c r="Q60" i="7"/>
  <c r="K202" i="7" s="1"/>
  <c r="S60" i="7"/>
  <c r="L202" i="7" s="1"/>
  <c r="L24" i="62892" s="1"/>
  <c r="E60" i="7"/>
  <c r="AO32" i="11"/>
  <c r="AI70" i="9"/>
  <c r="AI150" i="9"/>
  <c r="AG200" i="9"/>
  <c r="AA200" i="9"/>
  <c r="AA160" i="9"/>
  <c r="AI80" i="9"/>
  <c r="AG160" i="9"/>
  <c r="AI210" i="9"/>
  <c r="AA80" i="9"/>
  <c r="T46" i="11"/>
  <c r="AG80" i="9"/>
  <c r="N47" i="7"/>
  <c r="H201" i="7" s="1"/>
  <c r="F23" i="62892" s="1"/>
  <c r="AG210" i="9"/>
  <c r="E150" i="9"/>
  <c r="Y46" i="11"/>
  <c r="AI160" i="9"/>
  <c r="E206" i="9"/>
  <c r="E210" i="9" s="1"/>
  <c r="Y47" i="7"/>
  <c r="S47" i="7"/>
  <c r="L201" i="7"/>
  <c r="N201" i="7"/>
  <c r="AI190" i="9"/>
  <c r="L284" i="9"/>
  <c r="L20" i="62914" s="1"/>
  <c r="AI140" i="9"/>
  <c r="E60" i="9"/>
  <c r="AA140" i="9"/>
  <c r="AB75" i="5"/>
  <c r="AG370" i="62898"/>
  <c r="Q79" i="5"/>
  <c r="AI75" i="5"/>
  <c r="AI480" i="5"/>
  <c r="BF277" i="5"/>
  <c r="AQ364" i="62898"/>
  <c r="AL370" i="62898"/>
  <c r="AH371" i="62898"/>
  <c r="AG194" i="62898"/>
  <c r="AO103" i="62898"/>
  <c r="AI193" i="62898"/>
  <c r="AO193" i="62898"/>
  <c r="AN277" i="5"/>
  <c r="BF94" i="62898"/>
  <c r="Z370" i="62898"/>
  <c r="BA372" i="62898"/>
  <c r="BA374" i="62898" s="1"/>
  <c r="Z372" i="62898"/>
  <c r="AA282" i="62898"/>
  <c r="N83" i="7"/>
  <c r="E83" i="7"/>
  <c r="Y83" i="7"/>
  <c r="N33" i="7"/>
  <c r="H200" i="7"/>
  <c r="D94" i="11"/>
  <c r="D96" i="11"/>
  <c r="E48" i="9"/>
  <c r="E50" i="9"/>
  <c r="D95" i="11"/>
  <c r="D97" i="11"/>
  <c r="Y73" i="11"/>
  <c r="E42" i="7"/>
  <c r="E47" i="7"/>
  <c r="AC18" i="11"/>
  <c r="Y82" i="7"/>
  <c r="E82" i="7"/>
  <c r="N82" i="7"/>
  <c r="E137" i="9"/>
  <c r="E140" i="9" s="1"/>
  <c r="N286" i="62898"/>
  <c r="BB282" i="62898"/>
  <c r="BB286" i="62898"/>
  <c r="AM282" i="62898"/>
  <c r="AN282" i="62898"/>
  <c r="AA372" i="62898"/>
  <c r="BB372" i="62898"/>
  <c r="AL371" i="62898"/>
  <c r="AG371" i="62898"/>
  <c r="E372" i="62898"/>
  <c r="AH372" i="62898"/>
  <c r="Z371" i="62898"/>
  <c r="AB371" i="62898"/>
  <c r="BB371" i="62898"/>
  <c r="AM371" i="62898"/>
  <c r="M286" i="62898"/>
  <c r="Z282" i="62898"/>
  <c r="AG282" i="62898"/>
  <c r="AI282" i="62898" s="1"/>
  <c r="BA282" i="62898"/>
  <c r="E282" i="62898"/>
  <c r="D98" i="11"/>
  <c r="AB247" i="62898"/>
  <c r="AB246" i="62898"/>
  <c r="AC246" i="62898"/>
  <c r="AI247" i="62898"/>
  <c r="AJ247" i="62898" s="1"/>
  <c r="AO246" i="62898"/>
  <c r="AP246" i="62898" s="1"/>
  <c r="AH350" i="62898"/>
  <c r="AH354" i="62898" s="1"/>
  <c r="AN350" i="62898"/>
  <c r="AN354" i="62898"/>
  <c r="AK260" i="62898"/>
  <c r="AI246" i="62898"/>
  <c r="AJ246" i="62898" s="1"/>
  <c r="AM354" i="62898"/>
  <c r="AD249" i="62898"/>
  <c r="AG361" i="62898"/>
  <c r="AK364" i="62898"/>
  <c r="BD246" i="62898"/>
  <c r="Z361" i="62898"/>
  <c r="AM361" i="62898"/>
  <c r="AN256" i="62898"/>
  <c r="AQ249" i="62898"/>
  <c r="BE258" i="62898"/>
  <c r="AM258" i="62898"/>
  <c r="AT260" i="62898"/>
  <c r="BH260" i="62898"/>
  <c r="AG258" i="62898"/>
  <c r="BI260" i="62898"/>
  <c r="AA256" i="62898"/>
  <c r="BF350" i="62898"/>
  <c r="BF354" i="62898"/>
  <c r="BF256" i="62898"/>
  <c r="AA350" i="62898"/>
  <c r="AA354" i="62898"/>
  <c r="AJ351" i="62898"/>
  <c r="AV260" i="62898"/>
  <c r="BF255" i="62898"/>
  <c r="AN255" i="62898"/>
  <c r="AH255" i="62898"/>
  <c r="AA255" i="62898"/>
  <c r="AM256" i="62898"/>
  <c r="Z256" i="62898"/>
  <c r="AG256" i="62898"/>
  <c r="BE256" i="62898"/>
  <c r="Z116" i="62898"/>
  <c r="AG384" i="62898"/>
  <c r="E384" i="62898"/>
  <c r="M158" i="2"/>
  <c r="AL101" i="62905"/>
  <c r="V156" i="2"/>
  <c r="E194" i="62898"/>
  <c r="AM194" i="62898"/>
  <c r="O281" i="5"/>
  <c r="AB32" i="62898"/>
  <c r="AC32" i="62898"/>
  <c r="BG103" i="62898"/>
  <c r="BF340" i="62898"/>
  <c r="BG480" i="5"/>
  <c r="BG193" i="62898"/>
  <c r="AG32" i="62898"/>
  <c r="AG277" i="5"/>
  <c r="Z277" i="5"/>
  <c r="BG102" i="62898"/>
  <c r="AH277" i="5"/>
  <c r="AK334" i="62898"/>
  <c r="P344" i="62898"/>
  <c r="Q106" i="62898"/>
  <c r="AQ96" i="62898"/>
  <c r="AI32" i="62898"/>
  <c r="AH340" i="62898"/>
  <c r="AO480" i="5"/>
  <c r="AM32" i="62898"/>
  <c r="AP72" i="62898"/>
  <c r="BE277" i="5"/>
  <c r="AB102" i="62898"/>
  <c r="AO102" i="62898"/>
  <c r="AG94" i="62898"/>
  <c r="BG341" i="62898"/>
  <c r="AQ483" i="5"/>
  <c r="AH77" i="5"/>
  <c r="AA77" i="5"/>
  <c r="N96" i="62898"/>
  <c r="AN93" i="62898"/>
  <c r="BE93" i="62898"/>
  <c r="AG92" i="62898"/>
  <c r="AN94" i="62898"/>
  <c r="AK86" i="62898"/>
  <c r="E324" i="62898"/>
  <c r="AM93" i="62898"/>
  <c r="AH94" i="62898"/>
  <c r="BE186" i="62898"/>
  <c r="AJ72" i="62898"/>
  <c r="AQ176" i="62898"/>
  <c r="BF92" i="62898"/>
  <c r="AJ320" i="62898"/>
  <c r="AQ86" i="62898"/>
  <c r="AB176" i="62898"/>
  <c r="AC332" i="62898"/>
  <c r="AA92" i="62898"/>
  <c r="AM92" i="62898"/>
  <c r="O96" i="62898"/>
  <c r="AH92" i="62898"/>
  <c r="AC310" i="62898"/>
  <c r="AK314" i="62898"/>
  <c r="AP161" i="62898"/>
  <c r="BF314" i="62898"/>
  <c r="AJ161" i="62898"/>
  <c r="AG163" i="62898"/>
  <c r="AK163" i="62898"/>
  <c r="AD163" i="62898"/>
  <c r="AJ159" i="62898"/>
  <c r="E33" i="62898"/>
  <c r="E32" i="62898"/>
  <c r="BF32" i="62898"/>
  <c r="AQ35" i="62898"/>
  <c r="AI30" i="62898"/>
  <c r="AG33" i="62898"/>
  <c r="BE33" i="62898"/>
  <c r="AK35" i="62898"/>
  <c r="AG31" i="62898"/>
  <c r="AC44" i="62898"/>
  <c r="BG33" i="62898"/>
  <c r="AO33" i="62898"/>
  <c r="BF46" i="62898"/>
  <c r="AO30" i="62898"/>
  <c r="BG30" i="62898"/>
  <c r="AN33" i="62898"/>
  <c r="AA33" i="62898"/>
  <c r="AH33" i="62898"/>
  <c r="BF33" i="62898"/>
  <c r="BE56" i="62898"/>
  <c r="AD314" i="62898"/>
  <c r="AI163" i="62898"/>
  <c r="AJ311" i="62898"/>
  <c r="T59" i="11"/>
  <c r="BF153" i="62898"/>
  <c r="AC64" i="62898"/>
  <c r="AJ64" i="62898"/>
  <c r="AQ66" i="62898"/>
  <c r="AB153" i="62898"/>
  <c r="AH66" i="62898"/>
  <c r="AM66" i="62898"/>
  <c r="AP149" i="62898"/>
  <c r="AC149" i="62898"/>
  <c r="AI66" i="62898"/>
  <c r="AJ62" i="62898"/>
  <c r="AJ149" i="62898"/>
  <c r="AN153" i="62898"/>
  <c r="AJ63" i="62898"/>
  <c r="AA153" i="62898"/>
  <c r="AC62" i="62898"/>
  <c r="E149" i="62898"/>
  <c r="E153" i="62898"/>
  <c r="AO153" i="62898"/>
  <c r="BG66" i="62898"/>
  <c r="AP66" i="62898"/>
  <c r="AQ56" i="62898"/>
  <c r="BF143" i="62898"/>
  <c r="AJ54" i="62898"/>
  <c r="BG143" i="62898"/>
  <c r="AJ53" i="62898"/>
  <c r="AI56" i="62898"/>
  <c r="BG314" i="62898"/>
  <c r="AA143" i="62898"/>
  <c r="AA314" i="62898"/>
  <c r="AC311" i="62898"/>
  <c r="AB66" i="62898"/>
  <c r="AN314" i="62898"/>
  <c r="AP312" i="62898"/>
  <c r="AJ322" i="62898"/>
  <c r="BE176" i="62898"/>
  <c r="AN86" i="62898"/>
  <c r="AM176" i="62898"/>
  <c r="AH314" i="62898"/>
  <c r="AJ312" i="62898"/>
  <c r="E82" i="62898"/>
  <c r="AB454" i="5"/>
  <c r="M369" i="5"/>
  <c r="AG54" i="5"/>
  <c r="AI407" i="5"/>
  <c r="AA611" i="5"/>
  <c r="Z365" i="5"/>
  <c r="AB365" i="5"/>
  <c r="Z578" i="5"/>
  <c r="AN607" i="5"/>
  <c r="AC409" i="5"/>
  <c r="BA365" i="5"/>
  <c r="AL365" i="5"/>
  <c r="BA578" i="5"/>
  <c r="AB261" i="5"/>
  <c r="AH174" i="5"/>
  <c r="AB405" i="5"/>
  <c r="Z598" i="5"/>
  <c r="AG376" i="5"/>
  <c r="Z175" i="5"/>
  <c r="Z409" i="5"/>
  <c r="AA409" i="5"/>
  <c r="AI608" i="5"/>
  <c r="AG207" i="5"/>
  <c r="AB607" i="5"/>
  <c r="AB204" i="5"/>
  <c r="AM207" i="5"/>
  <c r="AB609" i="5"/>
  <c r="Z396" i="5"/>
  <c r="Y72" i="3"/>
  <c r="BA579" i="5"/>
  <c r="AG377" i="5"/>
  <c r="E597" i="5"/>
  <c r="Z194" i="5"/>
  <c r="N319" i="9"/>
  <c r="N21" i="62915" s="1"/>
  <c r="Z21" i="62915" s="1"/>
  <c r="E267" i="9"/>
  <c r="C110" i="62892"/>
  <c r="AP151" i="62898"/>
  <c r="AM153" i="62898"/>
  <c r="AC312" i="62898"/>
  <c r="AB314" i="62898"/>
  <c r="E107" i="9"/>
  <c r="E116" i="9"/>
  <c r="E120" i="9" s="1"/>
  <c r="AJ151" i="62898"/>
  <c r="S33" i="7"/>
  <c r="L200" i="7" s="1"/>
  <c r="AJ160" i="62898"/>
  <c r="AH163" i="62898"/>
  <c r="E197" i="9"/>
  <c r="E200" i="9"/>
  <c r="BE255" i="62898"/>
  <c r="AM255" i="62898"/>
  <c r="AG255" i="62898"/>
  <c r="Z255" i="62898"/>
  <c r="Q33" i="7"/>
  <c r="K200" i="7" s="1"/>
  <c r="E114" i="62898"/>
  <c r="E116" i="62898" s="1"/>
  <c r="AP159" i="62898"/>
  <c r="AA163" i="62898"/>
  <c r="AC161" i="62898"/>
  <c r="E236" i="9"/>
  <c r="E242" i="9"/>
  <c r="Z579" i="5"/>
  <c r="AB579" i="5"/>
  <c r="AM396" i="5"/>
  <c r="AM399" i="5" s="1"/>
  <c r="N601" i="5"/>
  <c r="BF249" i="62898"/>
  <c r="AV360" i="62898"/>
  <c r="AV364" i="62898" s="1"/>
  <c r="AS360" i="62898"/>
  <c r="AS364" i="62898" s="1"/>
  <c r="BI360" i="62898"/>
  <c r="BI364" i="62898"/>
  <c r="AT360" i="62898"/>
  <c r="AT364" i="62898" s="1"/>
  <c r="BH360" i="62898"/>
  <c r="BH364" i="62898"/>
  <c r="AW360" i="62898"/>
  <c r="AW364" i="62898"/>
  <c r="AY360" i="62898"/>
  <c r="AY364" i="62898"/>
  <c r="AZ360" i="62898"/>
  <c r="AZ364" i="62898"/>
  <c r="AJ173" i="62898"/>
  <c r="AG176" i="62898"/>
  <c r="E28" i="7"/>
  <c r="E33" i="7"/>
  <c r="E221" i="62898"/>
  <c r="E225" i="62898" s="1"/>
  <c r="E164" i="7"/>
  <c r="E167" i="7" s="1"/>
  <c r="E160" i="62898"/>
  <c r="E163" i="62898"/>
  <c r="E157" i="9"/>
  <c r="E160" i="9" s="1"/>
  <c r="AC159" i="62898"/>
  <c r="AB163" i="62898"/>
  <c r="AL195" i="5"/>
  <c r="BA194" i="5"/>
  <c r="AH195" i="5"/>
  <c r="AI195" i="5"/>
  <c r="E195" i="5"/>
  <c r="AM186" i="62898"/>
  <c r="AO314" i="62898"/>
  <c r="AP310" i="62898"/>
  <c r="AN163" i="62898"/>
  <c r="AI314" i="62898"/>
  <c r="AJ310" i="62898"/>
  <c r="E41" i="2"/>
  <c r="E43" i="2"/>
  <c r="AG334" i="62898"/>
  <c r="AJ331" i="62898"/>
  <c r="N24" i="3"/>
  <c r="N26" i="3"/>
  <c r="AI205" i="5"/>
  <c r="AI207" i="5"/>
  <c r="AM577" i="5"/>
  <c r="AH577" i="5"/>
  <c r="E599" i="5"/>
  <c r="BA599" i="5"/>
  <c r="AM597" i="5"/>
  <c r="AM601" i="5" s="1"/>
  <c r="Z599" i="5"/>
  <c r="BB195" i="5"/>
  <c r="BB597" i="5"/>
  <c r="AP43" i="62898"/>
  <c r="AO46" i="62898"/>
  <c r="AJ41" i="62898"/>
  <c r="AG46" i="62898"/>
  <c r="S135" i="7"/>
  <c r="Y85" i="3"/>
  <c r="AA461" i="5"/>
  <c r="N581" i="5"/>
  <c r="AH579" i="5"/>
  <c r="AA597" i="5"/>
  <c r="AM195" i="5"/>
  <c r="AG597" i="5"/>
  <c r="AI597" i="5" s="1"/>
  <c r="AL397" i="5"/>
  <c r="AN397" i="5" s="1"/>
  <c r="AJ150" i="62898"/>
  <c r="AG153" i="62898"/>
  <c r="AH249" i="62898"/>
  <c r="AI284" i="62898"/>
  <c r="E174" i="5"/>
  <c r="AM334" i="62898"/>
  <c r="AP331" i="62898"/>
  <c r="E177" i="7"/>
  <c r="E180" i="7"/>
  <c r="AL597" i="5"/>
  <c r="AM193" i="5"/>
  <c r="M601" i="5"/>
  <c r="BA597" i="5"/>
  <c r="AA395" i="5"/>
  <c r="AB395" i="5"/>
  <c r="Z195" i="5"/>
  <c r="AB195" i="5"/>
  <c r="E598" i="5"/>
  <c r="AA396" i="5"/>
  <c r="BA598" i="5"/>
  <c r="BA601" i="5" s="1"/>
  <c r="AL598" i="5"/>
  <c r="AN598" i="5" s="1"/>
  <c r="AL396" i="5"/>
  <c r="BA396" i="5"/>
  <c r="E396" i="5"/>
  <c r="E395" i="5"/>
  <c r="Z397" i="5"/>
  <c r="AH193" i="5"/>
  <c r="N399" i="5"/>
  <c r="AH395" i="5"/>
  <c r="BA397" i="5"/>
  <c r="AA193" i="5"/>
  <c r="BB395" i="5"/>
  <c r="AJ601" i="5"/>
  <c r="AJ399" i="5"/>
  <c r="AM194" i="5"/>
  <c r="BB194" i="5"/>
  <c r="AH194" i="5"/>
  <c r="AA194" i="5"/>
  <c r="N197" i="5"/>
  <c r="BA174" i="5"/>
  <c r="BB577" i="5"/>
  <c r="AG174" i="5"/>
  <c r="AA375" i="5"/>
  <c r="Z174" i="5"/>
  <c r="AB174" i="5" s="1"/>
  <c r="M581" i="5"/>
  <c r="AH375" i="5"/>
  <c r="BB375" i="5"/>
  <c r="AH377" i="5"/>
  <c r="AO581" i="5"/>
  <c r="BB173" i="5"/>
  <c r="AL377" i="5"/>
  <c r="AH173" i="5"/>
  <c r="AG579" i="5"/>
  <c r="E579" i="5"/>
  <c r="Z377" i="5"/>
  <c r="AA173" i="5"/>
  <c r="BB579" i="5"/>
  <c r="AL376" i="5"/>
  <c r="Z376" i="5"/>
  <c r="AB376" i="5"/>
  <c r="AG175" i="5"/>
  <c r="AM175" i="5"/>
  <c r="AH175" i="5"/>
  <c r="AM579" i="5"/>
  <c r="AN579" i="5" s="1"/>
  <c r="AL175" i="5"/>
  <c r="BA577" i="5"/>
  <c r="Z577" i="5"/>
  <c r="AB577" i="5"/>
  <c r="BB578" i="5"/>
  <c r="AG577" i="5"/>
  <c r="AL577" i="5"/>
  <c r="AL581" i="5"/>
  <c r="AM377" i="5"/>
  <c r="BB174" i="5"/>
  <c r="AM174" i="5"/>
  <c r="AN174" i="5"/>
  <c r="AM578" i="5"/>
  <c r="E377" i="5"/>
  <c r="AM387" i="5"/>
  <c r="AA184" i="5"/>
  <c r="BB385" i="5"/>
  <c r="AA588" i="5"/>
  <c r="E588" i="5"/>
  <c r="AH588" i="5"/>
  <c r="AH591" i="5" s="1"/>
  <c r="BB386" i="5"/>
  <c r="AM588" i="5"/>
  <c r="E183" i="5"/>
  <c r="Z587" i="5"/>
  <c r="BA387" i="5"/>
  <c r="AM386" i="5"/>
  <c r="AL386" i="5"/>
  <c r="BA386" i="5"/>
  <c r="E386" i="5"/>
  <c r="AM587" i="5"/>
  <c r="AG183" i="5"/>
  <c r="AI589" i="5"/>
  <c r="AA386" i="5"/>
  <c r="AB386" i="5"/>
  <c r="AO389" i="5"/>
  <c r="AG386" i="5"/>
  <c r="AI386" i="5"/>
  <c r="AH184" i="5"/>
  <c r="AA589" i="5"/>
  <c r="AM589" i="5"/>
  <c r="BB184" i="5"/>
  <c r="AO187" i="5"/>
  <c r="N389" i="5"/>
  <c r="AG588" i="5"/>
  <c r="AG591" i="5"/>
  <c r="BB387" i="5"/>
  <c r="BB589" i="5"/>
  <c r="AA387" i="5"/>
  <c r="AB387" i="5"/>
  <c r="AL589" i="5"/>
  <c r="AA587" i="5"/>
  <c r="AA385" i="5"/>
  <c r="BB183" i="5"/>
  <c r="AL587" i="5"/>
  <c r="BA589" i="5"/>
  <c r="AH183" i="5"/>
  <c r="BA587" i="5"/>
  <c r="M591" i="5"/>
  <c r="BB587" i="5"/>
  <c r="AH385" i="5"/>
  <c r="AH389" i="5"/>
  <c r="AL183" i="5"/>
  <c r="AL184" i="5"/>
  <c r="AN184" i="5"/>
  <c r="BA588" i="5"/>
  <c r="AL387" i="5"/>
  <c r="Z588" i="5"/>
  <c r="AL588" i="5"/>
  <c r="AG387" i="5"/>
  <c r="AI387" i="5" s="1"/>
  <c r="AI587" i="5"/>
  <c r="Z185" i="5"/>
  <c r="Z589" i="5"/>
  <c r="BA185" i="5"/>
  <c r="BA183" i="5"/>
  <c r="AG185" i="5"/>
  <c r="Z183" i="5"/>
  <c r="AB183" i="5" s="1"/>
  <c r="N591" i="5"/>
  <c r="M187" i="5"/>
  <c r="E184" i="5"/>
  <c r="Z184" i="5"/>
  <c r="AG184" i="5"/>
  <c r="BB185" i="5"/>
  <c r="AH185" i="5"/>
  <c r="AA185" i="5"/>
  <c r="AM185" i="5"/>
  <c r="N187" i="5"/>
  <c r="Z366" i="5"/>
  <c r="BA366" i="5"/>
  <c r="AG164" i="5"/>
  <c r="AH164" i="5"/>
  <c r="M167" i="5"/>
  <c r="BB367" i="5"/>
  <c r="AL163" i="5"/>
  <c r="AA367" i="5"/>
  <c r="E367" i="5"/>
  <c r="BB569" i="5"/>
  <c r="Z568" i="5"/>
  <c r="AA569" i="5"/>
  <c r="AB569" i="5"/>
  <c r="AH365" i="5"/>
  <c r="AI365" i="5"/>
  <c r="AG163" i="5"/>
  <c r="AI163" i="5" s="1"/>
  <c r="AM367" i="5"/>
  <c r="AH569" i="5"/>
  <c r="AH571" i="5" s="1"/>
  <c r="AL165" i="5"/>
  <c r="AN165" i="5" s="1"/>
  <c r="Z165" i="5"/>
  <c r="BA367" i="5"/>
  <c r="Z164" i="5"/>
  <c r="BA165" i="5"/>
  <c r="BB366" i="5"/>
  <c r="AH366" i="5"/>
  <c r="AM568" i="5"/>
  <c r="BB568" i="5"/>
  <c r="AA568" i="5"/>
  <c r="BA164" i="5"/>
  <c r="AI568" i="5"/>
  <c r="E366" i="5"/>
  <c r="E164" i="5"/>
  <c r="AM163" i="5"/>
  <c r="BA568" i="5"/>
  <c r="AM164" i="5"/>
  <c r="AN164" i="5" s="1"/>
  <c r="BB163" i="5"/>
  <c r="N167" i="5"/>
  <c r="E568" i="5"/>
  <c r="AL568" i="5"/>
  <c r="AA163" i="5"/>
  <c r="BB365" i="5"/>
  <c r="BB567" i="5"/>
  <c r="AH165" i="5"/>
  <c r="AI165" i="5"/>
  <c r="AA164" i="5"/>
  <c r="BB165" i="5"/>
  <c r="AA366" i="5"/>
  <c r="AM365" i="5"/>
  <c r="AM369" i="5" s="1"/>
  <c r="AA165" i="5"/>
  <c r="BA569" i="5"/>
  <c r="N369" i="5"/>
  <c r="E165" i="5"/>
  <c r="AO571" i="5"/>
  <c r="E569" i="5"/>
  <c r="AG569" i="5"/>
  <c r="AG571" i="5" s="1"/>
  <c r="AM567" i="5"/>
  <c r="N571" i="5"/>
  <c r="AL569" i="5"/>
  <c r="AN569" i="5" s="1"/>
  <c r="AA567" i="5"/>
  <c r="Z367" i="5"/>
  <c r="AG367" i="5"/>
  <c r="AI367" i="5"/>
  <c r="AL367" i="5"/>
  <c r="AI567" i="5"/>
  <c r="AO369" i="5"/>
  <c r="AL611" i="5"/>
  <c r="AN608" i="5"/>
  <c r="AG409" i="5"/>
  <c r="AI405" i="5"/>
  <c r="AN204" i="5"/>
  <c r="E608" i="5"/>
  <c r="E611" i="5" s="1"/>
  <c r="Z611" i="5"/>
  <c r="AB608" i="5"/>
  <c r="AN203" i="5"/>
  <c r="AL207" i="5"/>
  <c r="E405" i="5"/>
  <c r="E409" i="5" s="1"/>
  <c r="AH611" i="5"/>
  <c r="AI609" i="5"/>
  <c r="AG611" i="5"/>
  <c r="AL409" i="5"/>
  <c r="AN405" i="5"/>
  <c r="AN409" i="5"/>
  <c r="BB207" i="5"/>
  <c r="AM611" i="5"/>
  <c r="AQ102" i="5"/>
  <c r="AA100" i="5"/>
  <c r="AC100" i="5" s="1"/>
  <c r="AN100" i="5"/>
  <c r="AH100" i="5"/>
  <c r="AJ100" i="5"/>
  <c r="BE304" i="5"/>
  <c r="AP300" i="5"/>
  <c r="BE506" i="5"/>
  <c r="AA504" i="5"/>
  <c r="AC504" i="5" s="1"/>
  <c r="BF504" i="5"/>
  <c r="AH504" i="5"/>
  <c r="AJ504" i="5"/>
  <c r="M304" i="5"/>
  <c r="AP504" i="5"/>
  <c r="AQ304" i="5"/>
  <c r="BG302" i="5"/>
  <c r="AB302" i="5"/>
  <c r="AC302" i="5"/>
  <c r="BD302" i="5"/>
  <c r="AK102" i="5"/>
  <c r="BD301" i="5"/>
  <c r="AO301" i="5"/>
  <c r="AO304" i="5"/>
  <c r="AI301" i="5"/>
  <c r="AJ301" i="5" s="1"/>
  <c r="BG301" i="5"/>
  <c r="AI302" i="5"/>
  <c r="AJ302" i="5" s="1"/>
  <c r="AK506" i="5"/>
  <c r="BF99" i="5"/>
  <c r="E302" i="5"/>
  <c r="AK304" i="5"/>
  <c r="AC301" i="5"/>
  <c r="AN304" i="5"/>
  <c r="AD102" i="5"/>
  <c r="AN99" i="5"/>
  <c r="AD304" i="5"/>
  <c r="Z506" i="5"/>
  <c r="AA99" i="5"/>
  <c r="AA304" i="5"/>
  <c r="AM304" i="5"/>
  <c r="Z102" i="5"/>
  <c r="AH99" i="5"/>
  <c r="AD506" i="5"/>
  <c r="AQ506" i="5"/>
  <c r="AP302" i="5"/>
  <c r="BE102" i="5"/>
  <c r="AM506" i="5"/>
  <c r="AG304" i="5"/>
  <c r="AJ502" i="5"/>
  <c r="AG506" i="5"/>
  <c r="BD503" i="5"/>
  <c r="AB503" i="5"/>
  <c r="BG503" i="5"/>
  <c r="AO503" i="5"/>
  <c r="M506" i="5"/>
  <c r="AI503" i="5"/>
  <c r="AI506" i="5"/>
  <c r="AA503" i="5"/>
  <c r="AH503" i="5"/>
  <c r="AN503" i="5"/>
  <c r="L506" i="5"/>
  <c r="BF503" i="5"/>
  <c r="Z141" i="5"/>
  <c r="AW343" i="5"/>
  <c r="AG343" i="5"/>
  <c r="AW545" i="5"/>
  <c r="E141" i="5"/>
  <c r="Z343" i="5"/>
  <c r="AI545" i="5"/>
  <c r="E340" i="5"/>
  <c r="E343" i="5"/>
  <c r="AI141" i="5"/>
  <c r="AP237" i="5"/>
  <c r="AJ66" i="5"/>
  <c r="AJ440" i="5"/>
  <c r="AP39" i="5"/>
  <c r="AC39" i="5"/>
  <c r="AJ240" i="5"/>
  <c r="AP443" i="5"/>
  <c r="AJ441" i="5"/>
  <c r="AJ239" i="5"/>
  <c r="AP65" i="5"/>
  <c r="AJ439" i="5"/>
  <c r="AC36" i="5"/>
  <c r="AP266" i="5"/>
  <c r="AC440" i="5"/>
  <c r="AC468" i="5"/>
  <c r="AC442" i="5"/>
  <c r="AJ266" i="5"/>
  <c r="AC268" i="5"/>
  <c r="AC471" i="5"/>
  <c r="AP240" i="5"/>
  <c r="AC64" i="5"/>
  <c r="AC66" i="5"/>
  <c r="AP35" i="5"/>
  <c r="AP238" i="5"/>
  <c r="AP468" i="5"/>
  <c r="AJ268" i="5"/>
  <c r="AJ469" i="5"/>
  <c r="AJ39" i="5"/>
  <c r="AP441" i="5"/>
  <c r="AJ470" i="5"/>
  <c r="AP241" i="5"/>
  <c r="AC470" i="5"/>
  <c r="AJ238" i="5"/>
  <c r="AJ468" i="5"/>
  <c r="AC266" i="5"/>
  <c r="AP268" i="5"/>
  <c r="AJ64" i="5"/>
  <c r="AC439" i="5"/>
  <c r="AP37" i="5"/>
  <c r="AP66" i="5"/>
  <c r="AJ65" i="5"/>
  <c r="AP469" i="5"/>
  <c r="AC267" i="5"/>
  <c r="AC441" i="5"/>
  <c r="AC443" i="5"/>
  <c r="AJ37" i="5"/>
  <c r="AC240" i="5"/>
  <c r="AJ442" i="5"/>
  <c r="AP239" i="5"/>
  <c r="AP64" i="5"/>
  <c r="AJ241" i="5"/>
  <c r="AC65" i="5"/>
  <c r="AC269" i="5"/>
  <c r="AC67" i="5"/>
  <c r="AC469" i="5"/>
  <c r="AC241" i="5"/>
  <c r="AP470" i="5"/>
  <c r="AI58" i="5"/>
  <c r="Z58" i="5"/>
  <c r="AA234" i="5"/>
  <c r="AC234" i="5"/>
  <c r="AA30" i="5"/>
  <c r="AA434" i="5"/>
  <c r="AN234" i="5"/>
  <c r="AN243" i="5" s="1"/>
  <c r="AO233" i="5"/>
  <c r="AD445" i="5"/>
  <c r="AN434" i="5"/>
  <c r="BF234" i="5"/>
  <c r="AN435" i="5"/>
  <c r="BG230" i="5"/>
  <c r="AO230" i="5"/>
  <c r="AI230" i="5"/>
  <c r="AJ230" i="5"/>
  <c r="AN32" i="5"/>
  <c r="AA29" i="5"/>
  <c r="BF434" i="5"/>
  <c r="AO433" i="5"/>
  <c r="AB433" i="5"/>
  <c r="AN232" i="5"/>
  <c r="AK41" i="5"/>
  <c r="BF232" i="5"/>
  <c r="AA232" i="5"/>
  <c r="AO434" i="5"/>
  <c r="AQ243" i="5"/>
  <c r="BG434" i="5"/>
  <c r="BG433" i="5"/>
  <c r="AO31" i="5"/>
  <c r="AQ445" i="5"/>
  <c r="BG31" i="5"/>
  <c r="AI31" i="5"/>
  <c r="AA435" i="5"/>
  <c r="BG233" i="5"/>
  <c r="BF230" i="5"/>
  <c r="AH28" i="5"/>
  <c r="AH435" i="5"/>
  <c r="AH436" i="5"/>
  <c r="BG234" i="5"/>
  <c r="AQ41" i="5"/>
  <c r="AN433" i="5"/>
  <c r="BF32" i="5"/>
  <c r="BG452" i="5"/>
  <c r="AI53" i="5"/>
  <c r="AB233" i="5"/>
  <c r="AA32" i="5"/>
  <c r="BF58" i="5"/>
  <c r="AO234" i="5"/>
  <c r="BG432" i="5"/>
  <c r="BF30" i="5"/>
  <c r="AN29" i="5"/>
  <c r="AI432" i="5"/>
  <c r="AN30" i="5"/>
  <c r="AH457" i="5"/>
  <c r="AQ473" i="5"/>
  <c r="AO432" i="5"/>
  <c r="BF29" i="5"/>
  <c r="AB57" i="5"/>
  <c r="BF436" i="5"/>
  <c r="AH433" i="5"/>
  <c r="AJ433" i="5" s="1"/>
  <c r="AI234" i="5"/>
  <c r="AJ234" i="5"/>
  <c r="AB434" i="5"/>
  <c r="BE41" i="5"/>
  <c r="AN436" i="5"/>
  <c r="AA433" i="5"/>
  <c r="AB231" i="5"/>
  <c r="AI231" i="5"/>
  <c r="AN28" i="5"/>
  <c r="BF28" i="5"/>
  <c r="AA462" i="5"/>
  <c r="BF464" i="5"/>
  <c r="BF432" i="5"/>
  <c r="AN432" i="5"/>
  <c r="AA432" i="5"/>
  <c r="S445" i="5"/>
  <c r="AH432" i="5"/>
  <c r="BE457" i="5"/>
  <c r="AD473" i="5"/>
  <c r="AN262" i="5"/>
  <c r="BG231" i="5"/>
  <c r="AB28" i="5"/>
  <c r="BG28" i="5"/>
  <c r="AO28" i="5"/>
  <c r="AI28" i="5"/>
  <c r="AQ69" i="5"/>
  <c r="AA230" i="5"/>
  <c r="AC230" i="5"/>
  <c r="AB457" i="5"/>
  <c r="AN230" i="5"/>
  <c r="AD271" i="5"/>
  <c r="AG445" i="5"/>
  <c r="AN231" i="5"/>
  <c r="AP231" i="5" s="1"/>
  <c r="AH231" i="5"/>
  <c r="AA231" i="5"/>
  <c r="BF231" i="5"/>
  <c r="AG243" i="5"/>
  <c r="AI32" i="5"/>
  <c r="AJ32" i="5" s="1"/>
  <c r="BG32" i="5"/>
  <c r="AB32" i="5"/>
  <c r="AO32" i="5"/>
  <c r="AJ471" i="5"/>
  <c r="AJ267" i="5"/>
  <c r="Z445" i="5"/>
  <c r="E32" i="5"/>
  <c r="AP67" i="5"/>
  <c r="AJ36" i="5"/>
  <c r="AJ38" i="5"/>
  <c r="S243" i="5"/>
  <c r="AK243" i="5"/>
  <c r="BE243" i="5"/>
  <c r="AP36" i="5"/>
  <c r="AG41" i="5"/>
  <c r="AK445" i="5"/>
  <c r="AP439" i="5"/>
  <c r="AM243" i="5"/>
  <c r="AN233" i="5"/>
  <c r="BF233" i="5"/>
  <c r="AA233" i="5"/>
  <c r="AH233" i="5"/>
  <c r="AJ233" i="5" s="1"/>
  <c r="Z243" i="5"/>
  <c r="AP471" i="5"/>
  <c r="AP38" i="5"/>
  <c r="AM445" i="5"/>
  <c r="J26" i="3"/>
  <c r="W24" i="3"/>
  <c r="W26" i="3"/>
  <c r="S24" i="3"/>
  <c r="S26" i="3" s="1"/>
  <c r="Y24" i="3"/>
  <c r="Y26" i="3"/>
  <c r="E24" i="3"/>
  <c r="E26" i="3"/>
  <c r="D43" i="62911"/>
  <c r="L43" i="62911"/>
  <c r="L54" i="62911"/>
  <c r="L65" i="62911"/>
  <c r="E43" i="62911"/>
  <c r="E62" i="62911"/>
  <c r="E65" i="62911"/>
  <c r="D65" i="62911"/>
  <c r="G46" i="62915"/>
  <c r="N420" i="62898"/>
  <c r="N422" i="62898" s="1"/>
  <c r="AE73" i="1"/>
  <c r="F426" i="62898"/>
  <c r="F442" i="62898" s="1"/>
  <c r="F458" i="62898"/>
  <c r="F474" i="62898" s="1"/>
  <c r="E97" i="1"/>
  <c r="AO86" i="11"/>
  <c r="D99" i="11"/>
  <c r="T86" i="11"/>
  <c r="E119" i="1"/>
  <c r="E86" i="1"/>
  <c r="M455" i="62898"/>
  <c r="M457" i="62898" s="1"/>
  <c r="AS17" i="1"/>
  <c r="AI73" i="1"/>
  <c r="F47" i="62914"/>
  <c r="G47" i="62914"/>
  <c r="BA301" i="62898"/>
  <c r="BB356" i="5"/>
  <c r="AL356" i="5"/>
  <c r="AG20" i="5"/>
  <c r="AK20" i="5"/>
  <c r="AM20" i="5" s="1"/>
  <c r="AG28" i="1"/>
  <c r="AK130" i="62898"/>
  <c r="AM130" i="62898" s="1"/>
  <c r="AD28" i="1"/>
  <c r="BB273" i="62898"/>
  <c r="AH357" i="5"/>
  <c r="AI357" i="5" s="1"/>
  <c r="AC28" i="1"/>
  <c r="AK21" i="62898"/>
  <c r="AM21" i="62898"/>
  <c r="AG357" i="5"/>
  <c r="BA357" i="5"/>
  <c r="Z357" i="5"/>
  <c r="AB357" i="5" s="1"/>
  <c r="AS28" i="1"/>
  <c r="Z301" i="62898"/>
  <c r="AB301" i="62898" s="1"/>
  <c r="AG301" i="62898"/>
  <c r="AL301" i="62898"/>
  <c r="AM301" i="62898" s="1"/>
  <c r="S27" i="62905"/>
  <c r="AH424" i="5"/>
  <c r="AK155" i="5"/>
  <c r="AG27" i="1"/>
  <c r="BB424" i="5"/>
  <c r="AC27" i="1"/>
  <c r="AA424" i="5"/>
  <c r="AC25" i="62905"/>
  <c r="AA21" i="62898"/>
  <c r="AH131" i="62898"/>
  <c r="AI131" i="62898" s="1"/>
  <c r="BB130" i="62898"/>
  <c r="AS27" i="1"/>
  <c r="X25" i="62905"/>
  <c r="AS25" i="62905"/>
  <c r="AG221" i="5"/>
  <c r="AL357" i="5"/>
  <c r="AM357" i="5" s="1"/>
  <c r="BB357" i="5"/>
  <c r="AG23" i="62905"/>
  <c r="X23" i="62905"/>
  <c r="Z23" i="62905" s="1"/>
  <c r="AH301" i="62898"/>
  <c r="BA274" i="62898"/>
  <c r="AD23" i="62905"/>
  <c r="AE23" i="62905"/>
  <c r="AK221" i="5"/>
  <c r="BB301" i="62898"/>
  <c r="AT23" i="62905"/>
  <c r="AS23" i="62905"/>
  <c r="BA221" i="5"/>
  <c r="Z130" i="62898"/>
  <c r="E301" i="62898"/>
  <c r="AG130" i="62898"/>
  <c r="AT26" i="62904"/>
  <c r="AH21" i="62898"/>
  <c r="BA20" i="5"/>
  <c r="AH302" i="62898"/>
  <c r="Z559" i="5"/>
  <c r="AK423" i="5"/>
  <c r="Z423" i="5"/>
  <c r="AH130" i="62898"/>
  <c r="Z131" i="62898"/>
  <c r="AD28" i="62904"/>
  <c r="AG423" i="5"/>
  <c r="BA131" i="62898"/>
  <c r="AA130" i="62898"/>
  <c r="AB130" i="62898" s="1"/>
  <c r="AK131" i="62898"/>
  <c r="BA423" i="5"/>
  <c r="AH26" i="62904"/>
  <c r="Y26" i="62904"/>
  <c r="AG155" i="5"/>
  <c r="Y23" i="62905"/>
  <c r="X24" i="62905"/>
  <c r="AT28" i="62904"/>
  <c r="Z155" i="5"/>
  <c r="AH558" i="5"/>
  <c r="BB558" i="5"/>
  <c r="AS24" i="62905"/>
  <c r="AL302" i="62898"/>
  <c r="AL558" i="5"/>
  <c r="AC24" i="62905"/>
  <c r="AC27" i="62905" s="1"/>
  <c r="AG559" i="5"/>
  <c r="Q72" i="3"/>
  <c r="N72" i="3"/>
  <c r="E39" i="3"/>
  <c r="AL93" i="62904"/>
  <c r="AG297" i="62898"/>
  <c r="AC98" i="9"/>
  <c r="AK555" i="5"/>
  <c r="AA531" i="5"/>
  <c r="AC28" i="9"/>
  <c r="Z555" i="5"/>
  <c r="AH531" i="5"/>
  <c r="AL531" i="5"/>
  <c r="AS14" i="1"/>
  <c r="BA218" i="5"/>
  <c r="AA269" i="62898"/>
  <c r="AC14" i="1"/>
  <c r="AH353" i="5"/>
  <c r="AA353" i="5"/>
  <c r="AL353" i="5"/>
  <c r="AM234" i="62898"/>
  <c r="AH492" i="5"/>
  <c r="AA234" i="62898"/>
  <c r="AN234" i="62898"/>
  <c r="BF234" i="62898"/>
  <c r="AI234" i="62898"/>
  <c r="AH14" i="1"/>
  <c r="AI14" i="1" s="1"/>
  <c r="AM492" i="5"/>
  <c r="BG234" i="62898"/>
  <c r="AH234" i="62898"/>
  <c r="BD234" i="62898"/>
  <c r="AA492" i="5"/>
  <c r="AK218" i="5"/>
  <c r="Z492" i="5"/>
  <c r="X14" i="1"/>
  <c r="Z270" i="62898"/>
  <c r="AD15" i="1"/>
  <c r="AK270" i="62898"/>
  <c r="BB298" i="62898"/>
  <c r="BA270" i="62898"/>
  <c r="AH18" i="62898"/>
  <c r="Z329" i="5"/>
  <c r="BF88" i="5"/>
  <c r="AK329" i="5"/>
  <c r="AG329" i="5"/>
  <c r="BA128" i="5"/>
  <c r="AK297" i="62898"/>
  <c r="Z533" i="5"/>
  <c r="Y18" i="1"/>
  <c r="AG128" i="5"/>
  <c r="AL151" i="5"/>
  <c r="BA269" i="62898"/>
  <c r="E14" i="1"/>
  <c r="AH290" i="5"/>
  <c r="AK219" i="5"/>
  <c r="Y14" i="1"/>
  <c r="AK269" i="62898"/>
  <c r="AD14" i="1"/>
  <c r="BA352" i="5"/>
  <c r="Z352" i="5"/>
  <c r="AK352" i="5"/>
  <c r="AA532" i="5"/>
  <c r="Z19" i="62898"/>
  <c r="AA128" i="5"/>
  <c r="AH14" i="62905"/>
  <c r="AG89" i="5"/>
  <c r="AA290" i="5"/>
  <c r="BF290" i="5"/>
  <c r="AA298" i="62898"/>
  <c r="BB18" i="62898"/>
  <c r="AG19" i="62898"/>
  <c r="BB15" i="5"/>
  <c r="BA271" i="62898"/>
  <c r="Z89" i="5"/>
  <c r="BA19" i="62898"/>
  <c r="AA15" i="5"/>
  <c r="BA297" i="62898"/>
  <c r="AG493" i="5"/>
  <c r="BE291" i="5"/>
  <c r="AL532" i="5"/>
  <c r="AL18" i="62898"/>
  <c r="BB532" i="5"/>
  <c r="AA127" i="5"/>
  <c r="AA296" i="62898"/>
  <c r="AS13" i="62904"/>
  <c r="AA554" i="5"/>
  <c r="AA88" i="5"/>
  <c r="AL554" i="5"/>
  <c r="AG126" i="62898"/>
  <c r="AJ30" i="9"/>
  <c r="AD14" i="62905"/>
  <c r="AK271" i="62898"/>
  <c r="AA17" i="5"/>
  <c r="Y13" i="62904"/>
  <c r="AH13" i="62904"/>
  <c r="AL296" i="62898"/>
  <c r="AA100" i="9"/>
  <c r="Z271" i="62898"/>
  <c r="AB100" i="9"/>
  <c r="AD16" i="1"/>
  <c r="Z493" i="5"/>
  <c r="AA127" i="62898"/>
  <c r="AH17" i="5"/>
  <c r="AL493" i="5"/>
  <c r="BB17" i="5"/>
  <c r="AD30" i="9"/>
  <c r="AD18" i="1"/>
  <c r="AT15" i="1"/>
  <c r="Z269" i="62898"/>
  <c r="AB269" i="62898" s="1"/>
  <c r="AT18" i="1"/>
  <c r="AY30" i="9"/>
  <c r="AH13" i="1"/>
  <c r="BF90" i="5"/>
  <c r="BF235" i="62898"/>
  <c r="AT13" i="62904"/>
  <c r="AH15" i="1"/>
  <c r="Z128" i="5"/>
  <c r="N284" i="9"/>
  <c r="N20" i="62914" s="1"/>
  <c r="Z20" i="62914" s="1"/>
  <c r="X17" i="62904"/>
  <c r="BE88" i="5"/>
  <c r="AL127" i="5"/>
  <c r="Y13" i="62905"/>
  <c r="Z299" i="62898"/>
  <c r="X13" i="62904"/>
  <c r="AA151" i="5"/>
  <c r="AZ100" i="9"/>
  <c r="Z219" i="5"/>
  <c r="AH127" i="5"/>
  <c r="AK299" i="62898"/>
  <c r="AM299" i="62898" s="1"/>
  <c r="AG13" i="62904"/>
  <c r="AH30" i="9"/>
  <c r="BB151" i="5"/>
  <c r="Y13" i="1"/>
  <c r="AJ100" i="9"/>
  <c r="BE492" i="5"/>
  <c r="AL492" i="5"/>
  <c r="AC97" i="9"/>
  <c r="AG531" i="5"/>
  <c r="AK531" i="5"/>
  <c r="AM531" i="5" s="1"/>
  <c r="AH13" i="62905"/>
  <c r="AH128" i="5"/>
  <c r="AL128" i="5"/>
  <c r="AM128" i="5" s="1"/>
  <c r="E128" i="5"/>
  <c r="K15" i="62915"/>
  <c r="AC15" i="62904"/>
  <c r="AG30" i="9"/>
  <c r="AI27" i="9"/>
  <c r="AI30" i="9" s="1"/>
  <c r="K259" i="9" s="1"/>
  <c r="AG100" i="9"/>
  <c r="AG299" i="62898"/>
  <c r="AI299" i="62898" s="1"/>
  <c r="AK296" i="62898"/>
  <c r="AM296" i="62898" s="1"/>
  <c r="BA296" i="62898"/>
  <c r="BA533" i="5"/>
  <c r="AL127" i="62898"/>
  <c r="BB127" i="62898"/>
  <c r="AG16" i="62898"/>
  <c r="AI16" i="62898" s="1"/>
  <c r="AK16" i="62898"/>
  <c r="BA16" i="62898"/>
  <c r="Z16" i="62898"/>
  <c r="AB16" i="62898" s="1"/>
  <c r="AC96" i="9"/>
  <c r="BA219" i="5"/>
  <c r="AG219" i="5"/>
  <c r="N275" i="9"/>
  <c r="N278" i="9" s="1"/>
  <c r="AA90" i="5"/>
  <c r="AL89" i="5"/>
  <c r="AD100" i="9"/>
  <c r="AM88" i="5"/>
  <c r="AO88" i="5" s="1"/>
  <c r="AH88" i="5"/>
  <c r="AG296" i="62898"/>
  <c r="AS16" i="1"/>
  <c r="AL30" i="9"/>
  <c r="AO30" i="9"/>
  <c r="AG15" i="62904"/>
  <c r="AL90" i="5"/>
  <c r="Y16" i="1"/>
  <c r="AT16" i="1"/>
  <c r="Z296" i="62898"/>
  <c r="AB296" i="62898" s="1"/>
  <c r="AG16" i="1"/>
  <c r="AI16" i="1" s="1"/>
  <c r="AA17" i="62898"/>
  <c r="AL299" i="62898"/>
  <c r="AS15" i="62904"/>
  <c r="BE90" i="5"/>
  <c r="AG90" i="5"/>
  <c r="AL100" i="9"/>
  <c r="X15" i="62904"/>
  <c r="AL17" i="62898"/>
  <c r="Z126" i="62898"/>
  <c r="BA126" i="62898"/>
  <c r="AH17" i="62898"/>
  <c r="AK533" i="5"/>
  <c r="Z531" i="5"/>
  <c r="AB531" i="5" s="1"/>
  <c r="BA531" i="5"/>
  <c r="AC17" i="62904"/>
  <c r="BB299" i="62898"/>
  <c r="AA299" i="62898"/>
  <c r="AL16" i="62898"/>
  <c r="AA16" i="62898"/>
  <c r="AH16" i="62898"/>
  <c r="BB16" i="62898"/>
  <c r="AC17" i="1"/>
  <c r="AA30" i="9"/>
  <c r="M319" i="9" s="1"/>
  <c r="AC27" i="9"/>
  <c r="Z88" i="5"/>
  <c r="Z92" i="5" s="1"/>
  <c r="AG88" i="5"/>
  <c r="BB555" i="5"/>
  <c r="AA555" i="5"/>
  <c r="AL555" i="5"/>
  <c r="AH354" i="5"/>
  <c r="AL354" i="5"/>
  <c r="BB354" i="5"/>
  <c r="AA354" i="5"/>
  <c r="AM30" i="9"/>
  <c r="AN26" i="9"/>
  <c r="AN30" i="9" s="1"/>
  <c r="L259" i="9" s="1"/>
  <c r="AH218" i="5"/>
  <c r="AA218" i="5"/>
  <c r="AL218" i="5"/>
  <c r="AH555" i="5"/>
  <c r="AC26" i="9"/>
  <c r="AH271" i="62898"/>
  <c r="BB271" i="62898"/>
  <c r="AA271" i="62898"/>
  <c r="AB271" i="62898" s="1"/>
  <c r="AL271" i="62898"/>
  <c r="N285" i="9"/>
  <c r="AH150" i="5"/>
  <c r="AA150" i="5"/>
  <c r="AL150" i="5"/>
  <c r="BB150" i="5"/>
  <c r="AH20" i="5"/>
  <c r="AL20" i="5"/>
  <c r="BB20" i="5"/>
  <c r="AG292" i="5"/>
  <c r="AL292" i="5"/>
  <c r="Z292" i="5"/>
  <c r="BE292" i="5"/>
  <c r="AG128" i="62898"/>
  <c r="AK128" i="62898"/>
  <c r="BA128" i="62898"/>
  <c r="AB88" i="5"/>
  <c r="AI88" i="5"/>
  <c r="BG88" i="5"/>
  <c r="BD88" i="5"/>
  <c r="AN88" i="5"/>
  <c r="BF493" i="5"/>
  <c r="AM493" i="5"/>
  <c r="AA493" i="5"/>
  <c r="AH493" i="5"/>
  <c r="BF291" i="5"/>
  <c r="AA291" i="5"/>
  <c r="AM291" i="5"/>
  <c r="AE13" i="62904"/>
  <c r="AT16" i="62904"/>
  <c r="Y16" i="62904"/>
  <c r="AH16" i="62904"/>
  <c r="AD16" i="62904"/>
  <c r="AH421" i="5"/>
  <c r="AL421" i="5"/>
  <c r="BB421" i="5"/>
  <c r="AA421" i="5"/>
  <c r="S39" i="3"/>
  <c r="Y39" i="3"/>
  <c r="Q134" i="2"/>
  <c r="AN111" i="62905"/>
  <c r="T134" i="2"/>
  <c r="Y98" i="3"/>
  <c r="AC111" i="62905"/>
  <c r="W14" i="62914"/>
  <c r="V134" i="2"/>
  <c r="Q98" i="3"/>
  <c r="K111" i="3" s="1"/>
  <c r="I18" i="62892" s="1"/>
  <c r="I15" i="62915"/>
  <c r="K14" i="62914"/>
  <c r="S98" i="3"/>
  <c r="L111" i="3"/>
  <c r="X103" i="62904"/>
  <c r="AC103" i="62904"/>
  <c r="T15" i="62915"/>
  <c r="J122" i="3"/>
  <c r="J12" i="62914"/>
  <c r="V12" i="62914" s="1"/>
  <c r="H15" i="62915"/>
  <c r="Q85" i="3"/>
  <c r="K110" i="3" s="1"/>
  <c r="AC101" i="62905"/>
  <c r="N85" i="3"/>
  <c r="H110" i="3"/>
  <c r="I137" i="3"/>
  <c r="I27" i="62914"/>
  <c r="U27" i="62914" s="1"/>
  <c r="J123" i="3"/>
  <c r="J13" i="62914" s="1"/>
  <c r="V13" i="62914" s="1"/>
  <c r="E101" i="62905"/>
  <c r="N110" i="3"/>
  <c r="AE103" i="62904"/>
  <c r="AA134" i="2"/>
  <c r="E98" i="3"/>
  <c r="E115" i="2"/>
  <c r="E124" i="2" s="1"/>
  <c r="J137" i="3"/>
  <c r="J27" i="62914"/>
  <c r="V27" i="62914" s="1"/>
  <c r="X85" i="3"/>
  <c r="H122" i="3"/>
  <c r="H12" i="62914"/>
  <c r="T12" i="62914" s="1"/>
  <c r="AO111" i="62905"/>
  <c r="E85" i="62904"/>
  <c r="T124" i="2"/>
  <c r="H123" i="3"/>
  <c r="H13" i="62914"/>
  <c r="T13" i="62914" s="1"/>
  <c r="H136" i="3"/>
  <c r="H26" i="62914"/>
  <c r="T26" i="62914"/>
  <c r="I136" i="3"/>
  <c r="I26" i="62914" s="1"/>
  <c r="U26" i="62914" s="1"/>
  <c r="J202" i="2"/>
  <c r="J23" i="62914"/>
  <c r="V23" i="62914" s="1"/>
  <c r="I202" i="2"/>
  <c r="I23" i="62914" s="1"/>
  <c r="U23" i="62914" s="1"/>
  <c r="H202" i="2"/>
  <c r="H23" i="62914" s="1"/>
  <c r="T23" i="62914" s="1"/>
  <c r="AA124" i="2"/>
  <c r="X93" i="62904"/>
  <c r="E130" i="2"/>
  <c r="E134" i="2" s="1"/>
  <c r="AO101" i="62905"/>
  <c r="E69" i="3"/>
  <c r="E72" i="3"/>
  <c r="AE111" i="62905"/>
  <c r="Q39" i="3"/>
  <c r="K108" i="3"/>
  <c r="E83" i="3"/>
  <c r="E85" i="3" s="1"/>
  <c r="AB124" i="2"/>
  <c r="V124" i="2"/>
  <c r="H137" i="3"/>
  <c r="H27" i="62914"/>
  <c r="T27" i="62914" s="1"/>
  <c r="I122" i="3"/>
  <c r="I12" i="62914" s="1"/>
  <c r="U12" i="62914" s="1"/>
  <c r="J136" i="3"/>
  <c r="J26" i="62914" s="1"/>
  <c r="V26" i="62914" s="1"/>
  <c r="X101" i="62905"/>
  <c r="E107" i="62905"/>
  <c r="E111" i="62905" s="1"/>
  <c r="AC93" i="62904"/>
  <c r="E115" i="7"/>
  <c r="E135" i="7"/>
  <c r="Q135" i="7"/>
  <c r="AC86" i="11"/>
  <c r="AJ245" i="62898"/>
  <c r="E50" i="62911"/>
  <c r="E54" i="62911" s="1"/>
  <c r="D54" i="62911"/>
  <c r="Y135" i="7"/>
  <c r="AN101" i="62905"/>
  <c r="W16" i="62915"/>
  <c r="W18" i="62915" s="1"/>
  <c r="S15" i="62914"/>
  <c r="S17" i="62914" s="1"/>
  <c r="F17" i="62914"/>
  <c r="S16" i="62915"/>
  <c r="S18" i="62915" s="1"/>
  <c r="M309" i="9"/>
  <c r="M313" i="9" s="1"/>
  <c r="L127" i="11"/>
  <c r="J162" i="11"/>
  <c r="E107" i="3"/>
  <c r="R107" i="3" s="1"/>
  <c r="AJ334" i="62898"/>
  <c r="AL286" i="62898"/>
  <c r="AH286" i="62898"/>
  <c r="AN283" i="62898"/>
  <c r="E21" i="62915"/>
  <c r="Q21" i="62915" s="1"/>
  <c r="AB196" i="62898"/>
  <c r="BF106" i="62898"/>
  <c r="Q107" i="3"/>
  <c r="T107" i="3"/>
  <c r="J188" i="1"/>
  <c r="J193" i="1" s="1"/>
  <c r="L154" i="1"/>
  <c r="L158" i="1" s="1"/>
  <c r="F21" i="62915"/>
  <c r="R21" i="62915"/>
  <c r="F20" i="62914"/>
  <c r="R20" i="62914" s="1"/>
  <c r="G21" i="62915"/>
  <c r="S21" i="62915" s="1"/>
  <c r="G20" i="62914"/>
  <c r="S20" i="62914" s="1"/>
  <c r="M301" i="9"/>
  <c r="M20" i="62914"/>
  <c r="Y20" i="62914" s="1"/>
  <c r="W21" i="62915"/>
  <c r="AA106" i="62898"/>
  <c r="AM46" i="62898"/>
  <c r="AJ33" i="62898"/>
  <c r="AB283" i="62898"/>
  <c r="AB370" i="62898"/>
  <c r="AC41" i="62898"/>
  <c r="AC46" i="62898" s="1"/>
  <c r="AH344" i="62898"/>
  <c r="AC480" i="5"/>
  <c r="E20" i="62915"/>
  <c r="Q20" i="62915"/>
  <c r="M246" i="7"/>
  <c r="M19" i="62914"/>
  <c r="Y19" i="62914"/>
  <c r="G278" i="7"/>
  <c r="G20" i="62915"/>
  <c r="S20" i="62915"/>
  <c r="K278" i="7"/>
  <c r="K20" i="62915"/>
  <c r="W20" i="62915"/>
  <c r="F278" i="7"/>
  <c r="F20" i="62915"/>
  <c r="R20" i="62915"/>
  <c r="E246" i="7"/>
  <c r="E19" i="62914"/>
  <c r="Q19" i="62914"/>
  <c r="F246" i="7"/>
  <c r="F19" i="62914"/>
  <c r="R19" i="62914" s="1"/>
  <c r="AE52" i="1"/>
  <c r="S21" i="62911"/>
  <c r="J21" i="62911" s="1"/>
  <c r="E52" i="1"/>
  <c r="AC52" i="1"/>
  <c r="AI372" i="62898"/>
  <c r="BE196" i="62898"/>
  <c r="AO360" i="62898"/>
  <c r="AP279" i="5"/>
  <c r="Z483" i="5"/>
  <c r="AA177" i="5"/>
  <c r="AN183" i="5"/>
  <c r="AO48" i="5"/>
  <c r="BG48" i="5"/>
  <c r="AB175" i="5"/>
  <c r="AG48" i="5"/>
  <c r="AM48" i="5"/>
  <c r="BE48" i="5"/>
  <c r="Z281" i="5"/>
  <c r="AJ480" i="5"/>
  <c r="AC279" i="5"/>
  <c r="BB601" i="5"/>
  <c r="BG506" i="5"/>
  <c r="AH483" i="5"/>
  <c r="E48" i="5"/>
  <c r="AG256" i="5"/>
  <c r="AP480" i="5"/>
  <c r="AG601" i="5"/>
  <c r="K18" i="62915"/>
  <c r="AI48" i="5"/>
  <c r="AA48" i="5"/>
  <c r="AC48" i="5"/>
  <c r="AN48" i="5"/>
  <c r="AH48" i="5"/>
  <c r="AH454" i="5"/>
  <c r="AN55" i="5"/>
  <c r="AO506" i="5"/>
  <c r="AA55" i="5"/>
  <c r="AM187" i="5"/>
  <c r="BG79" i="5"/>
  <c r="AH79" i="5"/>
  <c r="S107" i="3"/>
  <c r="K39" i="62905"/>
  <c r="L39" i="62905" s="1"/>
  <c r="X52" i="1"/>
  <c r="G17" i="62914"/>
  <c r="BG344" i="62898"/>
  <c r="AM344" i="62898"/>
  <c r="AP340" i="62898"/>
  <c r="AA344" i="62898"/>
  <c r="AP186" i="62898"/>
  <c r="AP104" i="62898"/>
  <c r="BF483" i="5"/>
  <c r="AH55" i="5"/>
  <c r="BB399" i="5"/>
  <c r="AC77" i="5"/>
  <c r="BF452" i="5"/>
  <c r="AG483" i="5"/>
  <c r="P99" i="62892"/>
  <c r="P100" i="62892"/>
  <c r="AP433" i="5"/>
  <c r="AM483" i="5"/>
  <c r="AC341" i="62898"/>
  <c r="AC344" i="62898" s="1"/>
  <c r="AC231" i="5"/>
  <c r="BD506" i="5"/>
  <c r="AA591" i="5"/>
  <c r="AN175" i="5"/>
  <c r="BF506" i="5"/>
  <c r="AB598" i="5"/>
  <c r="AP230" i="5"/>
  <c r="X92" i="2"/>
  <c r="AL571" i="5"/>
  <c r="AP233" i="5"/>
  <c r="P97" i="62892"/>
  <c r="AH196" i="62898"/>
  <c r="BE256" i="5"/>
  <c r="AI454" i="5"/>
  <c r="BB571" i="5"/>
  <c r="AG581" i="5"/>
  <c r="AM581" i="5"/>
  <c r="BA581" i="5"/>
  <c r="AH461" i="5"/>
  <c r="BG454" i="5"/>
  <c r="AO454" i="5"/>
  <c r="Z256" i="5"/>
  <c r="AB506" i="5"/>
  <c r="BA571" i="5"/>
  <c r="AI598" i="5"/>
  <c r="AI601" i="5" s="1"/>
  <c r="AA601" i="5"/>
  <c r="AB599" i="5"/>
  <c r="AH581" i="5"/>
  <c r="AN483" i="5"/>
  <c r="AP350" i="62898"/>
  <c r="AC350" i="62898"/>
  <c r="AJ479" i="5"/>
  <c r="AP193" i="62898"/>
  <c r="AC194" i="62898"/>
  <c r="BG281" i="5"/>
  <c r="AC186" i="62898"/>
  <c r="BF344" i="62898"/>
  <c r="AJ193" i="62898"/>
  <c r="BE344" i="62898"/>
  <c r="BF79" i="5"/>
  <c r="AP77" i="5"/>
  <c r="BF196" i="62898"/>
  <c r="AC324" i="62898"/>
  <c r="F56" i="62915"/>
  <c r="AC92" i="2"/>
  <c r="T33" i="2"/>
  <c r="K168" i="2" s="1"/>
  <c r="I64" i="62892"/>
  <c r="N16" i="11"/>
  <c r="O16" i="11"/>
  <c r="Z92" i="2"/>
  <c r="AP342" i="62898"/>
  <c r="AB281" i="5"/>
  <c r="AP277" i="5"/>
  <c r="AB106" i="62898"/>
  <c r="AJ350" i="62898"/>
  <c r="AN371" i="62898"/>
  <c r="AC104" i="62898"/>
  <c r="AA483" i="5"/>
  <c r="T158" i="2"/>
  <c r="AB158" i="2"/>
  <c r="AS27" i="62905"/>
  <c r="X27" i="62905"/>
  <c r="AO106" i="62898"/>
  <c r="AC86" i="62898"/>
  <c r="G301" i="9"/>
  <c r="K333" i="9"/>
  <c r="F301" i="9"/>
  <c r="V158" i="2"/>
  <c r="V33" i="2"/>
  <c r="L168" i="2" s="1"/>
  <c r="AB33" i="2"/>
  <c r="AM374" i="62898"/>
  <c r="Z374" i="62898"/>
  <c r="AI371" i="62898"/>
  <c r="AC342" i="62898"/>
  <c r="AH374" i="62898"/>
  <c r="AP341" i="62898"/>
  <c r="AP334" i="62898"/>
  <c r="AB372" i="62898"/>
  <c r="AG374" i="62898"/>
  <c r="AL374" i="62898"/>
  <c r="BB374" i="62898"/>
  <c r="BD360" i="62898"/>
  <c r="AB360" i="62898"/>
  <c r="AI360" i="62898"/>
  <c r="AJ342" i="62898"/>
  <c r="AB344" i="62898"/>
  <c r="AG344" i="62898"/>
  <c r="AN344" i="62898"/>
  <c r="AO344" i="62898"/>
  <c r="AJ340" i="62898"/>
  <c r="AC56" i="62898"/>
  <c r="AP33" i="62898"/>
  <c r="AP32" i="62898"/>
  <c r="AB282" i="62898"/>
  <c r="AN106" i="62898"/>
  <c r="BG106" i="62898"/>
  <c r="AJ32" i="62898"/>
  <c r="AM106" i="62898"/>
  <c r="AP102" i="62898"/>
  <c r="AA96" i="62898"/>
  <c r="AJ103" i="62898"/>
  <c r="BE96" i="62898"/>
  <c r="AP103" i="62898"/>
  <c r="AH106" i="62898"/>
  <c r="AN196" i="62898"/>
  <c r="AP194" i="62898"/>
  <c r="AO196" i="62898"/>
  <c r="AJ194" i="62898"/>
  <c r="AC176" i="62898"/>
  <c r="AC314" i="62898"/>
  <c r="AI283" i="62898"/>
  <c r="AI286" i="62898"/>
  <c r="AN284" i="62898"/>
  <c r="BA286" i="62898"/>
  <c r="AM286" i="62898"/>
  <c r="BG249" i="62898"/>
  <c r="BD249" i="62898"/>
  <c r="AB249" i="62898"/>
  <c r="AI249" i="62898"/>
  <c r="AA286" i="62898"/>
  <c r="AC245" i="62898"/>
  <c r="AO249" i="62898"/>
  <c r="AP249" i="62898"/>
  <c r="AP143" i="62898"/>
  <c r="AJ143" i="62898"/>
  <c r="AC153" i="62898"/>
  <c r="AJ192" i="62898"/>
  <c r="AJ196" i="62898" s="1"/>
  <c r="AM196" i="62898"/>
  <c r="AJ176" i="62898"/>
  <c r="BG196" i="62898"/>
  <c r="AG196" i="62898"/>
  <c r="AI196" i="62898"/>
  <c r="AC192" i="62898"/>
  <c r="AP192" i="62898"/>
  <c r="AC143" i="62898"/>
  <c r="AP46" i="62898"/>
  <c r="AP56" i="62898"/>
  <c r="AP86" i="62898"/>
  <c r="AH96" i="62898"/>
  <c r="AN96" i="62898"/>
  <c r="BE106" i="62898"/>
  <c r="AC102" i="62898"/>
  <c r="AJ76" i="62898"/>
  <c r="AI106" i="62898"/>
  <c r="E102" i="62898"/>
  <c r="AJ102" i="62898"/>
  <c r="BF96" i="62898"/>
  <c r="AJ86" i="62898"/>
  <c r="AC66" i="62898"/>
  <c r="AJ56" i="62898"/>
  <c r="AM54" i="5"/>
  <c r="AM571" i="5"/>
  <c r="AL591" i="5"/>
  <c r="AL601" i="5"/>
  <c r="E601" i="5"/>
  <c r="Z601" i="5"/>
  <c r="AM591" i="5"/>
  <c r="BB591" i="5"/>
  <c r="Z591" i="5"/>
  <c r="BA591" i="5"/>
  <c r="BB581" i="5"/>
  <c r="AA571" i="5"/>
  <c r="Z571" i="5"/>
  <c r="AC434" i="5"/>
  <c r="AH445" i="5"/>
  <c r="BF445" i="5"/>
  <c r="AC433" i="5"/>
  <c r="AP434" i="5"/>
  <c r="AP479" i="5"/>
  <c r="AI377" i="5"/>
  <c r="AA445" i="5"/>
  <c r="AN445" i="5"/>
  <c r="AJ432" i="5"/>
  <c r="AC432" i="5"/>
  <c r="AP432" i="5"/>
  <c r="AB397" i="5"/>
  <c r="AG379" i="5"/>
  <c r="AB377" i="5"/>
  <c r="AI395" i="5"/>
  <c r="AI399" i="5" s="1"/>
  <c r="AB396" i="5"/>
  <c r="AB409" i="5"/>
  <c r="AA379" i="5"/>
  <c r="AG369" i="5"/>
  <c r="AM379" i="5"/>
  <c r="AN454" i="5"/>
  <c r="AA452" i="5"/>
  <c r="BF454" i="5"/>
  <c r="AH452" i="5"/>
  <c r="AN376" i="5"/>
  <c r="Z399" i="5"/>
  <c r="BA399" i="5"/>
  <c r="BD304" i="5"/>
  <c r="AB304" i="5"/>
  <c r="E304" i="5"/>
  <c r="AM389" i="5"/>
  <c r="BB389" i="5"/>
  <c r="AA389" i="5"/>
  <c r="Z379" i="5"/>
  <c r="AH379" i="5"/>
  <c r="AL379" i="5"/>
  <c r="BB379" i="5"/>
  <c r="AB375" i="5"/>
  <c r="BA369" i="5"/>
  <c r="Z369" i="5"/>
  <c r="AA369" i="5"/>
  <c r="AL369" i="5"/>
  <c r="AI366" i="5"/>
  <c r="AI369" i="5" s="1"/>
  <c r="BB369" i="5"/>
  <c r="AI376" i="5"/>
  <c r="AL177" i="5"/>
  <c r="BA187" i="5"/>
  <c r="AM177" i="5"/>
  <c r="AI304" i="5"/>
  <c r="BG304" i="5"/>
  <c r="AP301" i="5"/>
  <c r="AP304" i="5"/>
  <c r="BE281" i="5"/>
  <c r="AJ279" i="5"/>
  <c r="AJ277" i="5"/>
  <c r="AH243" i="5"/>
  <c r="AO281" i="5"/>
  <c r="BB177" i="5"/>
  <c r="BA177" i="5"/>
  <c r="AI193" i="5"/>
  <c r="AN193" i="5"/>
  <c r="AP234" i="5"/>
  <c r="AJ231" i="5"/>
  <c r="Z167" i="5"/>
  <c r="Z197" i="5"/>
  <c r="BB167" i="5"/>
  <c r="AB193" i="5"/>
  <c r="AL197" i="5"/>
  <c r="AH167" i="5"/>
  <c r="BB197" i="5"/>
  <c r="BA197" i="5"/>
  <c r="AA187" i="5"/>
  <c r="AG187" i="5"/>
  <c r="AG177" i="5"/>
  <c r="Z177" i="5"/>
  <c r="AA167" i="5"/>
  <c r="BA167" i="5"/>
  <c r="AL167" i="5"/>
  <c r="AM167" i="5"/>
  <c r="AI174" i="5"/>
  <c r="AO79" i="5"/>
  <c r="AP32" i="5"/>
  <c r="AI79" i="5"/>
  <c r="AJ77" i="5"/>
  <c r="BE54" i="5"/>
  <c r="AC32" i="5"/>
  <c r="AP75" i="5"/>
  <c r="AA79" i="5"/>
  <c r="AC75" i="5"/>
  <c r="AJ75" i="5"/>
  <c r="AP28" i="5"/>
  <c r="AC28" i="5"/>
  <c r="AJ28" i="5"/>
  <c r="Q14" i="62914"/>
  <c r="E15" i="62915"/>
  <c r="Z54" i="5"/>
  <c r="T202" i="7"/>
  <c r="F29" i="62892"/>
  <c r="I202" i="7"/>
  <c r="N207" i="7"/>
  <c r="L29" i="62892"/>
  <c r="I26" i="62892"/>
  <c r="N99" i="7"/>
  <c r="H204" i="7" s="1"/>
  <c r="L26" i="62892"/>
  <c r="X15" i="62915"/>
  <c r="F43" i="62915"/>
  <c r="L15" i="62915"/>
  <c r="F44" i="62914"/>
  <c r="E14" i="62914"/>
  <c r="G45" i="62914"/>
  <c r="F45" i="62914"/>
  <c r="H108" i="3"/>
  <c r="F15" i="62892" s="1"/>
  <c r="E50" i="1"/>
  <c r="E54" i="1" s="1"/>
  <c r="AO50" i="1"/>
  <c r="AO54" i="1" s="1"/>
  <c r="AC50" i="1"/>
  <c r="I74" i="62892"/>
  <c r="L262" i="9"/>
  <c r="L74" i="62892" s="1"/>
  <c r="H262" i="9"/>
  <c r="X51" i="1"/>
  <c r="X50" i="1"/>
  <c r="AE50" i="1"/>
  <c r="AE51" i="1"/>
  <c r="N54" i="1"/>
  <c r="AC51" i="1"/>
  <c r="E51" i="1"/>
  <c r="P98" i="62892"/>
  <c r="P95" i="62892"/>
  <c r="P104" i="62892"/>
  <c r="P101" i="62892"/>
  <c r="L108" i="3"/>
  <c r="N108" i="3" s="1"/>
  <c r="AN461" i="5"/>
  <c r="AI611" i="5"/>
  <c r="AN173" i="5"/>
  <c r="BF461" i="5"/>
  <c r="AN597" i="5"/>
  <c r="AN601" i="5"/>
  <c r="AH399" i="5"/>
  <c r="AB597" i="5"/>
  <c r="AN396" i="5"/>
  <c r="AI409" i="5"/>
  <c r="AB578" i="5"/>
  <c r="AB581" i="5" s="1"/>
  <c r="AN195" i="5"/>
  <c r="AC277" i="5"/>
  <c r="AI370" i="62898"/>
  <c r="AN370" i="62898"/>
  <c r="D101" i="11"/>
  <c r="F21" i="62892"/>
  <c r="AG286" i="62898"/>
  <c r="AN611" i="5"/>
  <c r="AI261" i="5"/>
  <c r="E70" i="2"/>
  <c r="E152" i="2"/>
  <c r="E158" i="2" s="1"/>
  <c r="E33" i="2"/>
  <c r="Q33" i="2"/>
  <c r="H168" i="2"/>
  <c r="N13" i="11"/>
  <c r="O13" i="11" s="1"/>
  <c r="L1692" i="62906"/>
  <c r="L1696" i="62906"/>
  <c r="K36" i="62905"/>
  <c r="L36" i="62905" s="1"/>
  <c r="N15" i="11"/>
  <c r="O15" i="11"/>
  <c r="L1693" i="62906"/>
  <c r="K37" i="62905"/>
  <c r="L37" i="62905"/>
  <c r="K38" i="62905"/>
  <c r="L38" i="62905"/>
  <c r="N14" i="11"/>
  <c r="O14" i="11" s="1"/>
  <c r="F24" i="62892"/>
  <c r="K203" i="7"/>
  <c r="N206" i="7"/>
  <c r="I28" i="62892"/>
  <c r="F28" i="62892"/>
  <c r="I29" i="62892"/>
  <c r="L25" i="62892"/>
  <c r="N203" i="7"/>
  <c r="E85" i="7"/>
  <c r="Y85" i="7"/>
  <c r="N85" i="7"/>
  <c r="N74" i="7"/>
  <c r="Y74" i="7"/>
  <c r="E74" i="7"/>
  <c r="N202" i="7"/>
  <c r="O202" i="7" s="1"/>
  <c r="Q202" i="7"/>
  <c r="I24" i="62892"/>
  <c r="H261" i="9"/>
  <c r="L23" i="62892"/>
  <c r="L261" i="9"/>
  <c r="K261" i="9"/>
  <c r="I73" i="62892" s="1"/>
  <c r="L301" i="9"/>
  <c r="F22" i="62892"/>
  <c r="I201" i="7"/>
  <c r="E201" i="7"/>
  <c r="O201" i="7"/>
  <c r="Q201" i="7"/>
  <c r="T201" i="7"/>
  <c r="Z286" i="62898"/>
  <c r="AG281" i="5"/>
  <c r="AG96" i="62898"/>
  <c r="AM96" i="62898"/>
  <c r="AJ324" i="62898"/>
  <c r="AJ163" i="62898"/>
  <c r="AC163" i="62898"/>
  <c r="AC33" i="62898"/>
  <c r="AJ314" i="62898"/>
  <c r="AP314" i="62898"/>
  <c r="AJ153" i="62898"/>
  <c r="AP153" i="62898"/>
  <c r="AJ66" i="62898"/>
  <c r="AO261" i="5"/>
  <c r="BG261" i="5"/>
  <c r="AN578" i="5"/>
  <c r="AB366" i="5"/>
  <c r="AN588" i="5"/>
  <c r="AI577" i="5"/>
  <c r="AI579" i="5"/>
  <c r="AB611" i="5"/>
  <c r="AB173" i="5"/>
  <c r="Y91" i="2"/>
  <c r="AK79" i="62905"/>
  <c r="AC91" i="2"/>
  <c r="I22" i="62892"/>
  <c r="K139" i="62905"/>
  <c r="I89" i="62892"/>
  <c r="E1799" i="62906"/>
  <c r="Z91" i="2"/>
  <c r="BE360" i="62898"/>
  <c r="AG360" i="62898"/>
  <c r="AM360" i="62898"/>
  <c r="Z360" i="62898"/>
  <c r="AP79" i="62905"/>
  <c r="AM79" i="62905"/>
  <c r="C111" i="62892"/>
  <c r="AN377" i="5"/>
  <c r="X91" i="2"/>
  <c r="BF360" i="62898"/>
  <c r="AH360" i="62898"/>
  <c r="AA360" i="62898"/>
  <c r="AN360" i="62898"/>
  <c r="J24" i="62892"/>
  <c r="G24" i="62892"/>
  <c r="D24" i="62892"/>
  <c r="M24" i="62892"/>
  <c r="S202" i="7"/>
  <c r="R202" i="7"/>
  <c r="AL79" i="62905"/>
  <c r="L22" i="62892"/>
  <c r="N200" i="7"/>
  <c r="N333" i="9"/>
  <c r="Z456" i="5"/>
  <c r="E173" i="5"/>
  <c r="AI175" i="5"/>
  <c r="AN207" i="5"/>
  <c r="AG456" i="5"/>
  <c r="Z581" i="5"/>
  <c r="AI375" i="5"/>
  <c r="AM197" i="5"/>
  <c r="AA399" i="5"/>
  <c r="AN194" i="5"/>
  <c r="AB194" i="5"/>
  <c r="AA197" i="5"/>
  <c r="AH197" i="5"/>
  <c r="AI194" i="5"/>
  <c r="E194" i="5"/>
  <c r="AH177" i="5"/>
  <c r="AI173" i="5"/>
  <c r="AN577" i="5"/>
  <c r="AN387" i="5"/>
  <c r="AB184" i="5"/>
  <c r="AI184" i="5"/>
  <c r="AI588" i="5"/>
  <c r="AI591" i="5" s="1"/>
  <c r="AN386" i="5"/>
  <c r="AB588" i="5"/>
  <c r="AB589" i="5"/>
  <c r="AH187" i="5"/>
  <c r="AN587" i="5"/>
  <c r="AN589" i="5"/>
  <c r="AL187" i="5"/>
  <c r="AI183" i="5"/>
  <c r="Z187" i="5"/>
  <c r="AB587" i="5"/>
  <c r="BB187" i="5"/>
  <c r="AI185" i="5"/>
  <c r="AB185" i="5"/>
  <c r="AN185" i="5"/>
  <c r="AN568" i="5"/>
  <c r="AI164" i="5"/>
  <c r="AI167" i="5"/>
  <c r="AG167" i="5"/>
  <c r="AI569" i="5"/>
  <c r="AI571" i="5"/>
  <c r="AB568" i="5"/>
  <c r="AH369" i="5"/>
  <c r="AB163" i="5"/>
  <c r="AB367" i="5"/>
  <c r="AN367" i="5"/>
  <c r="AN163" i="5"/>
  <c r="AN167" i="5" s="1"/>
  <c r="AB165" i="5"/>
  <c r="AB164" i="5"/>
  <c r="E163" i="5"/>
  <c r="E167" i="5" s="1"/>
  <c r="AN365" i="5"/>
  <c r="AN567" i="5"/>
  <c r="AB567" i="5"/>
  <c r="AJ304" i="5"/>
  <c r="AJ503" i="5"/>
  <c r="AJ506" i="5" s="1"/>
  <c r="AH506" i="5"/>
  <c r="AA506" i="5"/>
  <c r="AC503" i="5"/>
  <c r="AC506" i="5"/>
  <c r="AN506" i="5"/>
  <c r="AP503" i="5"/>
  <c r="AP506" i="5" s="1"/>
  <c r="AM456" i="5"/>
  <c r="BE456" i="5"/>
  <c r="AG58" i="5"/>
  <c r="BE58" i="5"/>
  <c r="AO58" i="5"/>
  <c r="BG58" i="5"/>
  <c r="AB58" i="5"/>
  <c r="AM58" i="5"/>
  <c r="AA58" i="5"/>
  <c r="AH58" i="5"/>
  <c r="AB53" i="5"/>
  <c r="BF243" i="5"/>
  <c r="BG53" i="5"/>
  <c r="AH464" i="5"/>
  <c r="AO53" i="5"/>
  <c r="AN58" i="5"/>
  <c r="BG57" i="5"/>
  <c r="AN462" i="5"/>
  <c r="AO57" i="5"/>
  <c r="AI57" i="5"/>
  <c r="AB452" i="5"/>
  <c r="Z457" i="5"/>
  <c r="BF457" i="5"/>
  <c r="AG457" i="5"/>
  <c r="AO452" i="5"/>
  <c r="AI452" i="5"/>
  <c r="AA457" i="5"/>
  <c r="AH262" i="5"/>
  <c r="AN457" i="5"/>
  <c r="AP457" i="5" s="1"/>
  <c r="AA464" i="5"/>
  <c r="AM457" i="5"/>
  <c r="AH462" i="5"/>
  <c r="AN464" i="5"/>
  <c r="BF262" i="5"/>
  <c r="AI457" i="5"/>
  <c r="AA262" i="5"/>
  <c r="E457" i="5"/>
  <c r="AO457" i="5"/>
  <c r="BF462" i="5"/>
  <c r="AB459" i="5"/>
  <c r="AO459" i="5"/>
  <c r="AI459" i="5"/>
  <c r="BG459" i="5"/>
  <c r="BE57" i="5"/>
  <c r="AM57" i="5"/>
  <c r="AG57" i="5"/>
  <c r="Z57" i="5"/>
  <c r="BG457" i="5"/>
  <c r="BF53" i="5"/>
  <c r="AN53" i="5"/>
  <c r="AA53" i="5"/>
  <c r="AH53" i="5"/>
  <c r="AG452" i="5"/>
  <c r="AM452" i="5"/>
  <c r="BE452" i="5"/>
  <c r="Z452" i="5"/>
  <c r="AA253" i="5"/>
  <c r="BF253" i="5"/>
  <c r="AH253" i="5"/>
  <c r="AN253" i="5"/>
  <c r="AO464" i="5"/>
  <c r="AI464" i="5"/>
  <c r="BG464" i="5"/>
  <c r="AB464" i="5"/>
  <c r="AM253" i="5"/>
  <c r="Z253" i="5"/>
  <c r="BE253" i="5"/>
  <c r="AG253" i="5"/>
  <c r="AM464" i="5"/>
  <c r="BE464" i="5"/>
  <c r="AG464" i="5"/>
  <c r="Z464" i="5"/>
  <c r="AG462" i="5"/>
  <c r="AM462" i="5"/>
  <c r="Z462" i="5"/>
  <c r="BE462" i="5"/>
  <c r="BE53" i="5"/>
  <c r="Z53" i="5"/>
  <c r="AM53" i="5"/>
  <c r="AG53" i="5"/>
  <c r="E53" i="5"/>
  <c r="AG262" i="5"/>
  <c r="BE262" i="5"/>
  <c r="AM262" i="5"/>
  <c r="Z262" i="5"/>
  <c r="AB462" i="5"/>
  <c r="AO462" i="5"/>
  <c r="AI462" i="5"/>
  <c r="BG462" i="5"/>
  <c r="K92" i="2"/>
  <c r="AI20" i="5"/>
  <c r="AE28" i="1"/>
  <c r="AG27" i="62905"/>
  <c r="AI301" i="62898"/>
  <c r="AB555" i="5"/>
  <c r="AI531" i="5"/>
  <c r="Z14" i="1"/>
  <c r="AE14" i="1"/>
  <c r="AI128" i="5"/>
  <c r="AB299" i="62898"/>
  <c r="AI13" i="62904"/>
  <c r="AB128" i="5"/>
  <c r="BG290" i="5"/>
  <c r="AI290" i="5"/>
  <c r="BD290" i="5"/>
  <c r="AB290" i="5"/>
  <c r="AL92" i="5"/>
  <c r="AG92" i="5"/>
  <c r="AM218" i="5"/>
  <c r="BE92" i="5"/>
  <c r="N301" i="9"/>
  <c r="AC30" i="9"/>
  <c r="H259" i="9"/>
  <c r="H263" i="9" s="1"/>
  <c r="AC100" i="9"/>
  <c r="H260" i="9" s="1"/>
  <c r="F72" i="62892" s="1"/>
  <c r="AM555" i="5"/>
  <c r="AJ88" i="5"/>
  <c r="AM271" i="62898"/>
  <c r="BD493" i="5"/>
  <c r="AN493" i="5"/>
  <c r="AO493" i="5" s="1"/>
  <c r="BG493" i="5"/>
  <c r="AB493" i="5"/>
  <c r="AC493" i="5" s="1"/>
  <c r="AI493" i="5"/>
  <c r="AJ493" i="5" s="1"/>
  <c r="I177" i="62904"/>
  <c r="I29" i="62915" s="1"/>
  <c r="U29" i="62915" s="1"/>
  <c r="I211" i="62905"/>
  <c r="K179" i="62905"/>
  <c r="L115" i="62904"/>
  <c r="L80" i="62892"/>
  <c r="L18" i="62892"/>
  <c r="K145" i="62904"/>
  <c r="N111" i="3"/>
  <c r="J124" i="3"/>
  <c r="L139" i="62905"/>
  <c r="N139" i="62905" s="1"/>
  <c r="I17" i="62892"/>
  <c r="F17" i="62892"/>
  <c r="K115" i="62904"/>
  <c r="J216" i="2"/>
  <c r="I147" i="3"/>
  <c r="J147" i="3"/>
  <c r="H115" i="62904"/>
  <c r="H216" i="2"/>
  <c r="H139" i="62905"/>
  <c r="H235" i="2"/>
  <c r="H22" i="62915" s="1"/>
  <c r="T22" i="62915" s="1"/>
  <c r="H147" i="3"/>
  <c r="H124" i="3"/>
  <c r="I124" i="3"/>
  <c r="Q110" i="3"/>
  <c r="E110" i="3"/>
  <c r="T110" i="3"/>
  <c r="I110" i="3"/>
  <c r="I15" i="62892"/>
  <c r="I216" i="2"/>
  <c r="K202" i="2"/>
  <c r="K23" i="62914" s="1"/>
  <c r="W23" i="62914" s="1"/>
  <c r="I235" i="2"/>
  <c r="I22" i="62915" s="1"/>
  <c r="U22" i="62915" s="1"/>
  <c r="H211" i="62905"/>
  <c r="H30" i="62915"/>
  <c r="T30" i="62915" s="1"/>
  <c r="H179" i="62905"/>
  <c r="H32" i="62914"/>
  <c r="T32" i="62914" s="1"/>
  <c r="O107" i="3"/>
  <c r="AN286" i="62898"/>
  <c r="L19" i="2"/>
  <c r="L21" i="2" s="1"/>
  <c r="D177" i="2" s="1"/>
  <c r="E177" i="2" s="1"/>
  <c r="AB286" i="62898"/>
  <c r="AB177" i="5"/>
  <c r="J14" i="62892"/>
  <c r="M14" i="62892"/>
  <c r="G14" i="62892"/>
  <c r="L10" i="62914"/>
  <c r="J10" i="62915"/>
  <c r="V10" i="62915" s="1"/>
  <c r="I216" i="62905"/>
  <c r="I30" i="62915"/>
  <c r="U30" i="62915" s="1"/>
  <c r="K184" i="62905"/>
  <c r="K32" i="62914"/>
  <c r="W32" i="62914" s="1"/>
  <c r="K151" i="62904"/>
  <c r="K31" i="62914"/>
  <c r="W31" i="62914"/>
  <c r="J21" i="62915"/>
  <c r="V21" i="62915" s="1"/>
  <c r="AB374" i="62898"/>
  <c r="AJ48" i="5"/>
  <c r="AN177" i="5"/>
  <c r="AN187" i="5"/>
  <c r="AP48" i="5"/>
  <c r="AN581" i="5"/>
  <c r="AR28" i="11"/>
  <c r="AI374" i="62898"/>
  <c r="AC106" i="62898"/>
  <c r="AP344" i="62898"/>
  <c r="AN374" i="62898"/>
  <c r="AB379" i="5"/>
  <c r="AC196" i="62898"/>
  <c r="H395" i="62898"/>
  <c r="AB399" i="5"/>
  <c r="AB571" i="5"/>
  <c r="AI581" i="5"/>
  <c r="AB601" i="5"/>
  <c r="AP196" i="62898"/>
  <c r="D28" i="11"/>
  <c r="E28" i="11" s="1"/>
  <c r="AH28" i="11"/>
  <c r="AJ344" i="62898"/>
  <c r="F74" i="62892"/>
  <c r="N262" i="9"/>
  <c r="L64" i="62892"/>
  <c r="N168" i="2"/>
  <c r="AP106" i="62898"/>
  <c r="AJ106" i="62898"/>
  <c r="AC58" i="5"/>
  <c r="AN571" i="5"/>
  <c r="AB591" i="5"/>
  <c r="AN591" i="5"/>
  <c r="AB369" i="5"/>
  <c r="AN379" i="5"/>
  <c r="AI379" i="5"/>
  <c r="AN369" i="5"/>
  <c r="AI197" i="5"/>
  <c r="AN197" i="5"/>
  <c r="AB167" i="5"/>
  <c r="AB197" i="5"/>
  <c r="AB187" i="5"/>
  <c r="AI177" i="5"/>
  <c r="O18" i="11"/>
  <c r="D105" i="11" s="1"/>
  <c r="E105" i="11" s="1"/>
  <c r="F26" i="62892"/>
  <c r="L15" i="62892"/>
  <c r="AE54" i="1"/>
  <c r="X54" i="1"/>
  <c r="H143" i="1" s="1"/>
  <c r="F9" i="62892" s="1"/>
  <c r="I25" i="62892"/>
  <c r="L41" i="62905"/>
  <c r="D145" i="62905"/>
  <c r="E145" i="62905" s="1"/>
  <c r="F64" i="62892"/>
  <c r="F73" i="62892"/>
  <c r="H203" i="7"/>
  <c r="F25" i="62892"/>
  <c r="L73" i="62892"/>
  <c r="N261" i="9"/>
  <c r="M23" i="62892"/>
  <c r="G23" i="62892"/>
  <c r="J23" i="62892"/>
  <c r="D23" i="62892"/>
  <c r="R201" i="7"/>
  <c r="S201" i="7"/>
  <c r="L79" i="62905"/>
  <c r="AL28" i="11"/>
  <c r="AP360" i="62898"/>
  <c r="Z35" i="62915"/>
  <c r="N35" i="62915"/>
  <c r="AJ28" i="11"/>
  <c r="AJ360" i="62898"/>
  <c r="AE79" i="62905"/>
  <c r="X79" i="62905"/>
  <c r="AO79" i="62905"/>
  <c r="AC79" i="62905"/>
  <c r="AB91" i="2"/>
  <c r="Q91" i="2"/>
  <c r="T91" i="2"/>
  <c r="V91" i="2"/>
  <c r="E360" i="62898"/>
  <c r="AI187" i="5"/>
  <c r="AJ58" i="5"/>
  <c r="AP58" i="5"/>
  <c r="AJ457" i="5"/>
  <c r="AC457" i="5"/>
  <c r="AP53" i="5"/>
  <c r="AJ464" i="5"/>
  <c r="AC53" i="5"/>
  <c r="AP464" i="5"/>
  <c r="AP462" i="5"/>
  <c r="AC462" i="5"/>
  <c r="AC464" i="5"/>
  <c r="AP452" i="5"/>
  <c r="AJ452" i="5"/>
  <c r="AJ462" i="5"/>
  <c r="AC452" i="5"/>
  <c r="AJ53" i="5"/>
  <c r="X73" i="62904"/>
  <c r="X75" i="62904" s="1"/>
  <c r="H114" i="62904" s="1"/>
  <c r="F79" i="62892" s="1"/>
  <c r="N115" i="62904"/>
  <c r="L89" i="62892"/>
  <c r="V14" i="62914"/>
  <c r="J14" i="62914"/>
  <c r="G17" i="62892"/>
  <c r="J17" i="62892"/>
  <c r="M17" i="62892"/>
  <c r="S110" i="3"/>
  <c r="O110" i="3"/>
  <c r="R110" i="3"/>
  <c r="U14" i="62914"/>
  <c r="I14" i="62914"/>
  <c r="F89" i="62892"/>
  <c r="I248" i="2"/>
  <c r="T14" i="62914"/>
  <c r="H14" i="62914"/>
  <c r="K216" i="2"/>
  <c r="F80" i="62892"/>
  <c r="I80" i="62892"/>
  <c r="H248" i="2"/>
  <c r="H184" i="62905"/>
  <c r="H216" i="62905"/>
  <c r="Z28" i="11"/>
  <c r="AA28" i="11"/>
  <c r="AD28" i="11"/>
  <c r="AE28" i="11" s="1"/>
  <c r="U28" i="11"/>
  <c r="V28" i="11"/>
  <c r="AP28" i="11"/>
  <c r="F56" i="62892"/>
  <c r="L143" i="1"/>
  <c r="L9" i="62892" s="1"/>
  <c r="E91" i="2"/>
  <c r="E79" i="62905"/>
  <c r="U35" i="62915"/>
  <c r="I35" i="62915"/>
  <c r="W37" i="62914"/>
  <c r="K37" i="62914"/>
  <c r="N668" i="5"/>
  <c r="N29" i="62914" s="1"/>
  <c r="H57" i="62914" s="1"/>
  <c r="Z29" i="62914"/>
  <c r="M705" i="5"/>
  <c r="M31" i="62915"/>
  <c r="N659" i="5"/>
  <c r="N22" i="62914"/>
  <c r="Z22" i="62914"/>
  <c r="M698" i="5"/>
  <c r="M23" i="62915" s="1"/>
  <c r="Y23" i="62915" s="1"/>
  <c r="E56" i="62915"/>
  <c r="H56" i="62915"/>
  <c r="E177" i="11"/>
  <c r="F177" i="11"/>
  <c r="G177" i="11"/>
  <c r="H59" i="62915"/>
  <c r="G1788" i="62906"/>
  <c r="G1789" i="62906"/>
  <c r="G1790" i="62906" s="1"/>
  <c r="G1791" i="62906" s="1"/>
  <c r="G1792" i="62906" s="1"/>
  <c r="G1793" i="62906" s="1"/>
  <c r="G1794" i="62906" s="1"/>
  <c r="G1795" i="62906" s="1"/>
  <c r="G1796" i="62906" s="1"/>
  <c r="G1797" i="62906" s="1"/>
  <c r="G1798" i="62906" s="1"/>
  <c r="G1799" i="62906" s="1"/>
  <c r="G1800" i="62906" s="1"/>
  <c r="G1801" i="62906" s="1"/>
  <c r="G1802" i="62906" s="1"/>
  <c r="G1803" i="62906" s="1"/>
  <c r="G1804" i="62906" s="1"/>
  <c r="G1805" i="62906" s="1"/>
  <c r="G1806" i="62906" s="1"/>
  <c r="G1807" i="62906" s="1"/>
  <c r="G1808" i="62906" s="1"/>
  <c r="G1809" i="62906" s="1"/>
  <c r="G1810" i="62906" s="1"/>
  <c r="G1811" i="62906" s="1"/>
  <c r="G1812" i="62906" s="1"/>
  <c r="G1813" i="62906" s="1"/>
  <c r="G1814" i="62906" s="1"/>
  <c r="G1815" i="62906" s="1"/>
  <c r="G1816" i="62906" s="1"/>
  <c r="F1788" i="62906"/>
  <c r="F1789" i="62906" s="1"/>
  <c r="F1790" i="62906"/>
  <c r="F1791" i="62906" s="1"/>
  <c r="F1792" i="62906" s="1"/>
  <c r="F1793" i="62906" s="1"/>
  <c r="F1794" i="62906" s="1"/>
  <c r="F1795" i="62906" s="1"/>
  <c r="F1796" i="62906" s="1"/>
  <c r="F1797" i="62906" s="1"/>
  <c r="F1798" i="62906" s="1"/>
  <c r="F1799" i="62906" s="1"/>
  <c r="F1800" i="62906" s="1"/>
  <c r="F1801" i="62906" s="1"/>
  <c r="F1802" i="62906" s="1"/>
  <c r="F1803" i="62906" s="1"/>
  <c r="F1804" i="62906" s="1"/>
  <c r="F1805" i="62906" s="1"/>
  <c r="F1806" i="62906" s="1"/>
  <c r="F1807" i="62906" s="1"/>
  <c r="F1808" i="62906" s="1"/>
  <c r="F1809" i="62906" s="1"/>
  <c r="F1810" i="62906" s="1"/>
  <c r="F1811" i="62906" s="1"/>
  <c r="F1812" i="62906" s="1"/>
  <c r="F1813" i="62906" s="1"/>
  <c r="F1814" i="62906" s="1"/>
  <c r="F1815" i="62906" s="1"/>
  <c r="F1816" i="62906" s="1"/>
  <c r="I1788" i="62906"/>
  <c r="I1789" i="62906" s="1"/>
  <c r="I1790" i="62906" s="1"/>
  <c r="I1791" i="62906" s="1"/>
  <c r="I1792" i="62906" s="1"/>
  <c r="I1793" i="62906" s="1"/>
  <c r="I1794" i="62906" s="1"/>
  <c r="I1795" i="62906" s="1"/>
  <c r="I1796" i="62906" s="1"/>
  <c r="I1797" i="62906" s="1"/>
  <c r="I1798" i="62906" s="1"/>
  <c r="I1799" i="62906" s="1"/>
  <c r="I1800" i="62906" s="1"/>
  <c r="I1801" i="62906" s="1"/>
  <c r="I1802" i="62906" s="1"/>
  <c r="I1803" i="62906" s="1"/>
  <c r="I1804" i="62906" s="1"/>
  <c r="I1805" i="62906" s="1"/>
  <c r="I1806" i="62906" s="1"/>
  <c r="I1807" i="62906" s="1"/>
  <c r="I1808" i="62906" s="1"/>
  <c r="I1809" i="62906" s="1"/>
  <c r="I1810" i="62906" s="1"/>
  <c r="I1811" i="62906" s="1"/>
  <c r="I1812" i="62906" s="1"/>
  <c r="I1813" i="62906" s="1"/>
  <c r="I1814" i="62906" s="1"/>
  <c r="I1815" i="62906" s="1"/>
  <c r="I1816" i="62906" s="1"/>
  <c r="E1800" i="62906"/>
  <c r="E1801" i="62906"/>
  <c r="E1802" i="62906" s="1"/>
  <c r="E1803" i="62906" s="1"/>
  <c r="E1804" i="62906" s="1"/>
  <c r="E1805" i="62906" s="1"/>
  <c r="E1806" i="62906" s="1"/>
  <c r="E1807" i="62906" s="1"/>
  <c r="E1808" i="62906" s="1"/>
  <c r="E1809" i="62906" s="1"/>
  <c r="E1810" i="62906" s="1"/>
  <c r="E1811" i="62906" s="1"/>
  <c r="E1812" i="62906" s="1"/>
  <c r="E1813" i="62906" s="1"/>
  <c r="E1814" i="62906" s="1"/>
  <c r="E1815" i="62906" s="1"/>
  <c r="E1816" i="62906" s="1"/>
  <c r="E1765" i="62906"/>
  <c r="E1788" i="62906" s="1"/>
  <c r="E1789" i="62906" s="1"/>
  <c r="E1790" i="62906" s="1"/>
  <c r="E1791" i="62906" s="1"/>
  <c r="E1792" i="62906" s="1"/>
  <c r="E1793" i="62906" s="1"/>
  <c r="E1794" i="62906" s="1"/>
  <c r="E1795" i="62906" s="1"/>
  <c r="E1796" i="62906" s="1"/>
  <c r="E1797" i="62906" s="1"/>
  <c r="E1798" i="62906" s="1"/>
  <c r="H1788" i="62906"/>
  <c r="H1789" i="62906" s="1"/>
  <c r="H1790" i="62906" s="1"/>
  <c r="H1791" i="62906" s="1"/>
  <c r="H1792" i="62906" s="1"/>
  <c r="H1793" i="62906" s="1"/>
  <c r="H1794" i="62906" s="1"/>
  <c r="H1795" i="62906" s="1"/>
  <c r="H1796" i="62906" s="1"/>
  <c r="H1797" i="62906" s="1"/>
  <c r="H1798" i="62906" s="1"/>
  <c r="H1799" i="62906" s="1"/>
  <c r="H1800" i="62906" s="1"/>
  <c r="H1801" i="62906" s="1"/>
  <c r="H1802" i="62906" s="1"/>
  <c r="H1803" i="62906" s="1"/>
  <c r="H1804" i="62906" s="1"/>
  <c r="H1805" i="62906" s="1"/>
  <c r="H1806" i="62906" s="1"/>
  <c r="H1807" i="62906" s="1"/>
  <c r="H1808" i="62906" s="1"/>
  <c r="H1809" i="62906" s="1"/>
  <c r="H1810" i="62906" s="1"/>
  <c r="H1811" i="62906" s="1"/>
  <c r="H1812" i="62906" s="1"/>
  <c r="H1813" i="62906" s="1"/>
  <c r="H1814" i="62906" s="1"/>
  <c r="H1815" i="62906" s="1"/>
  <c r="H1816" i="62906" s="1"/>
  <c r="H1823" i="62906"/>
  <c r="H1824" i="62906" s="1"/>
  <c r="H1825" i="62906" s="1"/>
  <c r="H1826" i="62906" s="1"/>
  <c r="H1827" i="62906" s="1"/>
  <c r="H1828" i="62906" s="1"/>
  <c r="H1829" i="62906" s="1"/>
  <c r="AL70" i="11"/>
  <c r="G1823" i="62906"/>
  <c r="G1824" i="62906"/>
  <c r="G1825" i="62906"/>
  <c r="G1826" i="62906"/>
  <c r="G1827" i="62906" s="1"/>
  <c r="G1828" i="62906" s="1"/>
  <c r="G1829" i="62906" s="1"/>
  <c r="E1822" i="62906"/>
  <c r="E1823" i="62906"/>
  <c r="E1824" i="62906" s="1"/>
  <c r="E1825" i="62906" s="1"/>
  <c r="E1826" i="62906" s="1"/>
  <c r="E1827" i="62906" s="1"/>
  <c r="F1823" i="62906"/>
  <c r="F1824" i="62906"/>
  <c r="F1825" i="62906" s="1"/>
  <c r="F1826" i="62906" s="1"/>
  <c r="F1827" i="62906" s="1"/>
  <c r="F1828" i="62906" s="1"/>
  <c r="F1829" i="62906" s="1"/>
  <c r="AH70" i="11"/>
  <c r="AJ70" i="11"/>
  <c r="I1823" i="62906"/>
  <c r="I1824" i="62906"/>
  <c r="I1825" i="62906" s="1"/>
  <c r="I1826" i="62906" s="1"/>
  <c r="I1827" i="62906" s="1"/>
  <c r="I1828" i="62906" s="1"/>
  <c r="I1829" i="62906" s="1"/>
  <c r="I1845" i="62906"/>
  <c r="I1846" i="62906"/>
  <c r="I1847" i="62906" s="1"/>
  <c r="I1848" i="62906" s="1"/>
  <c r="I1849" i="62906" s="1"/>
  <c r="I1850" i="62906" s="1"/>
  <c r="I1851" i="62906"/>
  <c r="I1852" i="62906" s="1"/>
  <c r="I1853" i="62906" s="1"/>
  <c r="I1854" i="62906" s="1"/>
  <c r="I1855" i="62906" s="1"/>
  <c r="AR70" i="11"/>
  <c r="Z70" i="11"/>
  <c r="AA70" i="11" s="1"/>
  <c r="AL68" i="11"/>
  <c r="E1845" i="62906"/>
  <c r="U70" i="11"/>
  <c r="V70" i="11"/>
  <c r="AP70" i="11"/>
  <c r="AD70" i="11"/>
  <c r="AE70" i="11" s="1"/>
  <c r="AH68" i="11"/>
  <c r="E1856" i="62906"/>
  <c r="E1857" i="62906" s="1"/>
  <c r="E1858" i="62906" s="1"/>
  <c r="E1859" i="62906" s="1"/>
  <c r="E1860" i="62906" s="1"/>
  <c r="E1861" i="62906" s="1"/>
  <c r="E1862" i="62906" s="1"/>
  <c r="E1863" i="62906" s="1"/>
  <c r="E1864" i="62906" s="1"/>
  <c r="E1865" i="62906" s="1"/>
  <c r="E1867" i="62906" s="1"/>
  <c r="E1868" i="62906" s="1"/>
  <c r="E1869" i="62906" s="1"/>
  <c r="E1870" i="62906" s="1"/>
  <c r="E1871" i="62906" s="1"/>
  <c r="E1872" i="62906" s="1"/>
  <c r="AR68" i="11"/>
  <c r="AJ68" i="11"/>
  <c r="D68" i="11"/>
  <c r="E68" i="11" s="1"/>
  <c r="AP68" i="11"/>
  <c r="U68" i="11"/>
  <c r="V68" i="11"/>
  <c r="AD68" i="11"/>
  <c r="Z68" i="11"/>
  <c r="AA68" i="11"/>
  <c r="K177" i="11"/>
  <c r="D70" i="11"/>
  <c r="AD69" i="11"/>
  <c r="U69" i="11"/>
  <c r="V69" i="11" s="1"/>
  <c r="Z69" i="11"/>
  <c r="AP69" i="11"/>
  <c r="J177" i="11"/>
  <c r="E70" i="11"/>
  <c r="AA69" i="11"/>
  <c r="AE69" i="11"/>
  <c r="D17" i="62892"/>
  <c r="AT75" i="1" l="1"/>
  <c r="AH75" i="1"/>
  <c r="AI75" i="1" s="1"/>
  <c r="Y75" i="1"/>
  <c r="Z75" i="1" s="1"/>
  <c r="AD75" i="1"/>
  <c r="AE75" i="1" s="1"/>
  <c r="AG76" i="1"/>
  <c r="X76" i="1"/>
  <c r="AC76" i="1"/>
  <c r="AS76" i="1"/>
  <c r="D111" i="5"/>
  <c r="AG111" i="5"/>
  <c r="AG113" i="5" s="1"/>
  <c r="AI111" i="5"/>
  <c r="AI113" i="5" s="1"/>
  <c r="Z111" i="5"/>
  <c r="Z113" i="5" s="1"/>
  <c r="M691" i="5" s="1"/>
  <c r="M693" i="5" s="1"/>
  <c r="AW111" i="5"/>
  <c r="AW113" i="5" s="1"/>
  <c r="X121" i="1"/>
  <c r="AO121" i="1"/>
  <c r="E458" i="62898"/>
  <c r="E474" i="62898" s="1"/>
  <c r="E426" i="62898"/>
  <c r="E442" i="62898" s="1"/>
  <c r="G458" i="62898"/>
  <c r="G474" i="62898" s="1"/>
  <c r="G426" i="62898"/>
  <c r="G442" i="62898" s="1"/>
  <c r="AM112" i="1"/>
  <c r="D75" i="1"/>
  <c r="E75" i="1" s="1"/>
  <c r="AK112" i="1"/>
  <c r="AE67" i="62904"/>
  <c r="AD73" i="62904" s="1"/>
  <c r="E658" i="5"/>
  <c r="E678" i="5" s="1"/>
  <c r="AL123" i="1"/>
  <c r="L71" i="62892"/>
  <c r="N259" i="9"/>
  <c r="G49" i="62914"/>
  <c r="E49" i="62914"/>
  <c r="F49" i="62914"/>
  <c r="H49" i="62914"/>
  <c r="X20" i="62914"/>
  <c r="I71" i="62892"/>
  <c r="I70" i="62892" s="1"/>
  <c r="I102" i="62892" s="1"/>
  <c r="K263" i="9"/>
  <c r="AM269" i="62898"/>
  <c r="AG17" i="62904"/>
  <c r="S92" i="5"/>
  <c r="D36" i="1"/>
  <c r="E36" i="1" s="1"/>
  <c r="M41" i="1"/>
  <c r="X36" i="1"/>
  <c r="AS36" i="1"/>
  <c r="AC36" i="1"/>
  <c r="AG36" i="1"/>
  <c r="AG17" i="1"/>
  <c r="X17" i="1"/>
  <c r="AT13" i="62905"/>
  <c r="AD13" i="62905"/>
  <c r="AM131" i="62898"/>
  <c r="AA235" i="62898"/>
  <c r="AH235" i="62898"/>
  <c r="AM235" i="62898"/>
  <c r="U235" i="62898"/>
  <c r="AG291" i="5"/>
  <c r="Z291" i="5"/>
  <c r="L420" i="62898"/>
  <c r="L422" i="62898" s="1"/>
  <c r="J455" i="62898"/>
  <c r="J457" i="62898" s="1"/>
  <c r="AL273" i="62898"/>
  <c r="AH273" i="62898"/>
  <c r="AH554" i="5"/>
  <c r="BB554" i="5"/>
  <c r="D99" i="1"/>
  <c r="E99" i="1" s="1"/>
  <c r="AE99" i="1"/>
  <c r="X99" i="1"/>
  <c r="AC99" i="1"/>
  <c r="AO99" i="1"/>
  <c r="Y28" i="1"/>
  <c r="Z28" i="1" s="1"/>
  <c r="AH28" i="1"/>
  <c r="AI28" i="1" s="1"/>
  <c r="AT28" i="1"/>
  <c r="Y28" i="62904"/>
  <c r="AH28" i="62904"/>
  <c r="Z20" i="5"/>
  <c r="AB20" i="5" s="1"/>
  <c r="D20" i="5"/>
  <c r="E20" i="5" s="1"/>
  <c r="J78" i="1"/>
  <c r="AG74" i="1"/>
  <c r="AS74" i="1"/>
  <c r="AS78" i="1" s="1"/>
  <c r="AC74" i="1"/>
  <c r="AC78" i="1" s="1"/>
  <c r="X74" i="1"/>
  <c r="Z74" i="1" s="1"/>
  <c r="BB131" i="62898"/>
  <c r="AL131" i="62898"/>
  <c r="AA131" i="62898"/>
  <c r="AB131" i="62898" s="1"/>
  <c r="D121" i="1"/>
  <c r="E121" i="1" s="1"/>
  <c r="AC121" i="1"/>
  <c r="AE121" i="1"/>
  <c r="F49" i="62915"/>
  <c r="F71" i="62892"/>
  <c r="F70" i="62892" s="1"/>
  <c r="F102" i="62892" s="1"/>
  <c r="AC88" i="5"/>
  <c r="BB269" i="62898"/>
  <c r="AH269" i="62898"/>
  <c r="AL269" i="62898"/>
  <c r="BA329" i="5"/>
  <c r="D95" i="1"/>
  <c r="E95" i="1" s="1"/>
  <c r="X95" i="1"/>
  <c r="X101" i="1" s="1"/>
  <c r="AE95" i="1"/>
  <c r="AE101" i="1" s="1"/>
  <c r="AO95" i="1"/>
  <c r="AO101" i="1" s="1"/>
  <c r="AC95" i="1"/>
  <c r="AC101" i="1" s="1"/>
  <c r="X16" i="1"/>
  <c r="Z16" i="1" s="1"/>
  <c r="AC16" i="1"/>
  <c r="AE16" i="1" s="1"/>
  <c r="D16" i="1"/>
  <c r="E16" i="1" s="1"/>
  <c r="N143" i="1"/>
  <c r="G49" i="62915"/>
  <c r="M161" i="1"/>
  <c r="M15" i="62914"/>
  <c r="AM16" i="62898"/>
  <c r="Z13" i="62904"/>
  <c r="D21" i="62898"/>
  <c r="E21" i="62898" s="1"/>
  <c r="AG21" i="62898"/>
  <c r="AI21" i="62898" s="1"/>
  <c r="Z21" i="62898"/>
  <c r="AB21" i="62898" s="1"/>
  <c r="BA21" i="62898"/>
  <c r="T20" i="1"/>
  <c r="AD13" i="1"/>
  <c r="AT13" i="1"/>
  <c r="D120" i="1"/>
  <c r="E120" i="1" s="1"/>
  <c r="X120" i="1"/>
  <c r="D84" i="1"/>
  <c r="AC84" i="1"/>
  <c r="AC89" i="1" s="1"/>
  <c r="AO84" i="1"/>
  <c r="L159" i="1" s="1"/>
  <c r="AE84" i="1"/>
  <c r="AE89" i="1" s="1"/>
  <c r="I89" i="1"/>
  <c r="X84" i="1"/>
  <c r="X89" i="1" s="1"/>
  <c r="AI130" i="62898"/>
  <c r="BF492" i="5"/>
  <c r="U492" i="5"/>
  <c r="AT39" i="1"/>
  <c r="AH39" i="1"/>
  <c r="Y39" i="1"/>
  <c r="AD39" i="1"/>
  <c r="Y14" i="62905"/>
  <c r="AT14" i="62905"/>
  <c r="AG39" i="1"/>
  <c r="AI39" i="1" s="1"/>
  <c r="AS39" i="1"/>
  <c r="D39" i="1"/>
  <c r="E39" i="1" s="1"/>
  <c r="X39" i="1"/>
  <c r="AC39" i="1"/>
  <c r="G42" i="62914"/>
  <c r="AC54" i="1"/>
  <c r="K143" i="1" s="1"/>
  <c r="I9" i="62892" s="1"/>
  <c r="BB302" i="62898"/>
  <c r="AA302" i="62898"/>
  <c r="Y38" i="1"/>
  <c r="AD38" i="1"/>
  <c r="AE38" i="1" s="1"/>
  <c r="AT38" i="1"/>
  <c r="D23" i="62905"/>
  <c r="E23" i="62905" s="1"/>
  <c r="AH23" i="62905"/>
  <c r="F42" i="62914"/>
  <c r="X10" i="62914"/>
  <c r="Z38" i="1"/>
  <c r="BB296" i="62898"/>
  <c r="AH296" i="62898"/>
  <c r="D271" i="62898"/>
  <c r="E271" i="62898" s="1"/>
  <c r="AG271" i="62898"/>
  <c r="BA559" i="5"/>
  <c r="AK559" i="5"/>
  <c r="H130" i="1"/>
  <c r="H73" i="62904"/>
  <c r="F40" i="62915"/>
  <c r="D515" i="5"/>
  <c r="I517" i="5"/>
  <c r="AW515" i="5"/>
  <c r="AW517" i="5" s="1"/>
  <c r="J691" i="5" s="1"/>
  <c r="J693" i="5" s="1"/>
  <c r="Z515" i="5"/>
  <c r="Z517" i="5" s="1"/>
  <c r="AI515" i="5"/>
  <c r="AI517" i="5" s="1"/>
  <c r="D492" i="5"/>
  <c r="E492" i="5" s="1"/>
  <c r="AT76" i="1"/>
  <c r="AT78" i="1" s="1"/>
  <c r="AD76" i="1"/>
  <c r="AE76" i="1" s="1"/>
  <c r="Y76" i="1"/>
  <c r="AH76" i="1"/>
  <c r="AI76" i="1" s="1"/>
  <c r="G40" i="62915"/>
  <c r="M317" i="9"/>
  <c r="M333" i="9" s="1"/>
  <c r="AM90" i="5"/>
  <c r="U90" i="5"/>
  <c r="D90" i="5" s="1"/>
  <c r="E90" i="5" s="1"/>
  <c r="AH90" i="5"/>
  <c r="U291" i="5"/>
  <c r="AH291" i="5"/>
  <c r="Z218" i="5"/>
  <c r="AB218" i="5" s="1"/>
  <c r="AG218" i="5"/>
  <c r="AI218" i="5" s="1"/>
  <c r="AL298" i="62898"/>
  <c r="AH298" i="62898"/>
  <c r="D296" i="62898"/>
  <c r="E296" i="62898" s="1"/>
  <c r="Z274" i="62898"/>
  <c r="AK274" i="62898"/>
  <c r="AG274" i="62898"/>
  <c r="D555" i="5"/>
  <c r="E555" i="5" s="1"/>
  <c r="AG555" i="5"/>
  <c r="AI555" i="5" s="1"/>
  <c r="BA555" i="5"/>
  <c r="Y36" i="1"/>
  <c r="AD36" i="1"/>
  <c r="AH36" i="1"/>
  <c r="AT36" i="1"/>
  <c r="N41" i="1"/>
  <c r="M659" i="5"/>
  <c r="M22" i="62914" s="1"/>
  <c r="Y22" i="62914" s="1"/>
  <c r="D269" i="62898"/>
  <c r="E269" i="62898" s="1"/>
  <c r="D221" i="5"/>
  <c r="E221" i="5" s="1"/>
  <c r="D88" i="5"/>
  <c r="E88" i="5" s="1"/>
  <c r="S18" i="1"/>
  <c r="T274" i="62898"/>
  <c r="D131" i="62898"/>
  <c r="E131" i="62898" s="1"/>
  <c r="S331" i="5"/>
  <c r="S14" i="62904"/>
  <c r="S558" i="5"/>
  <c r="S353" i="5"/>
  <c r="T217" i="5"/>
  <c r="T154" i="5"/>
  <c r="S127" i="5"/>
  <c r="S26" i="62904"/>
  <c r="S234" i="62898"/>
  <c r="S494" i="5"/>
  <c r="T219" i="5"/>
  <c r="S129" i="5"/>
  <c r="I315" i="5"/>
  <c r="I113" i="5"/>
  <c r="E694" i="5"/>
  <c r="E714" i="5" s="1"/>
  <c r="D219" i="5"/>
  <c r="E219" i="5" s="1"/>
  <c r="S298" i="62898"/>
  <c r="S304" i="62898" s="1"/>
  <c r="S236" i="62898"/>
  <c r="S127" i="62898"/>
  <c r="T556" i="5"/>
  <c r="S424" i="5"/>
  <c r="S421" i="5"/>
  <c r="S356" i="5"/>
  <c r="T292" i="5"/>
  <c r="S217" i="5"/>
  <c r="S151" i="5"/>
  <c r="S15" i="5"/>
  <c r="T17" i="1"/>
  <c r="S28" i="62904"/>
  <c r="T18" i="62904"/>
  <c r="S16" i="62904"/>
  <c r="T270" i="62898"/>
  <c r="S532" i="5"/>
  <c r="T27" i="62904"/>
  <c r="S18" i="62904"/>
  <c r="S17" i="62898"/>
  <c r="T559" i="5"/>
  <c r="T222" i="5"/>
  <c r="S154" i="5"/>
  <c r="D54" i="1"/>
  <c r="D143" i="1" s="1"/>
  <c r="T26" i="1"/>
  <c r="S554" i="5"/>
  <c r="S290" i="5"/>
  <c r="S17" i="5"/>
  <c r="T297" i="62898"/>
  <c r="T22" i="62898"/>
  <c r="S556" i="5"/>
  <c r="S330" i="5"/>
  <c r="X29" i="62914"/>
  <c r="AO100" i="9"/>
  <c r="F46" i="62915"/>
  <c r="T423" i="5"/>
  <c r="S222" i="5"/>
  <c r="K177" i="62904"/>
  <c r="AY100" i="9"/>
  <c r="T15" i="62904"/>
  <c r="D16" i="62898"/>
  <c r="E16" i="62898" s="1"/>
  <c r="T152" i="5"/>
  <c r="S26" i="1"/>
  <c r="AI23" i="62905"/>
  <c r="S273" i="62898"/>
  <c r="T128" i="62898"/>
  <c r="T221" i="5"/>
  <c r="T16" i="5"/>
  <c r="D16" i="5" s="1"/>
  <c r="E16" i="5" s="1"/>
  <c r="D76" i="1"/>
  <c r="E76" i="1" s="1"/>
  <c r="G11" i="62915"/>
  <c r="S11" i="62915" s="1"/>
  <c r="S22" i="62898"/>
  <c r="S420" i="5"/>
  <c r="S150" i="5"/>
  <c r="S14" i="62905"/>
  <c r="G11" i="62914"/>
  <c r="S11" i="62914" s="1"/>
  <c r="AM20" i="1"/>
  <c r="Y26" i="1"/>
  <c r="AL30" i="1"/>
  <c r="AW22" i="5"/>
  <c r="AX22" i="5"/>
  <c r="AU157" i="5"/>
  <c r="AV24" i="62898"/>
  <c r="AT133" i="62898"/>
  <c r="AV133" i="62898"/>
  <c r="AX276" i="62898"/>
  <c r="BD276" i="62898"/>
  <c r="AS304" i="62898"/>
  <c r="AW304" i="62898"/>
  <c r="AN30" i="62904"/>
  <c r="AV17" i="62905"/>
  <c r="AK27" i="62905"/>
  <c r="AX131" i="5"/>
  <c r="AT92" i="5"/>
  <c r="AY92" i="5"/>
  <c r="S27" i="62904"/>
  <c r="D27" i="62904" s="1"/>
  <c r="E27" i="62904" s="1"/>
  <c r="T17" i="62904"/>
  <c r="V27" i="62915"/>
  <c r="S235" i="62898"/>
  <c r="T533" i="5"/>
  <c r="T329" i="5"/>
  <c r="D28" i="1"/>
  <c r="E28" i="1" s="1"/>
  <c r="T155" i="5"/>
  <c r="T19" i="5"/>
  <c r="S16" i="5"/>
  <c r="S18" i="62898"/>
  <c r="F57" i="62914"/>
  <c r="AC67" i="62904"/>
  <c r="AB73" i="62904" s="1"/>
  <c r="F11" i="62915"/>
  <c r="R11" i="62915" s="1"/>
  <c r="T14" i="62904"/>
  <c r="S302" i="62898"/>
  <c r="T236" i="62898"/>
  <c r="D38" i="1"/>
  <c r="E38" i="1" s="1"/>
  <c r="T27" i="1"/>
  <c r="D27" i="1" s="1"/>
  <c r="E27" i="1" s="1"/>
  <c r="F1830" i="62906"/>
  <c r="F1831" i="62906" s="1"/>
  <c r="F1832" i="62906" s="1"/>
  <c r="F1844" i="62906" s="1"/>
  <c r="F1845" i="62906" s="1"/>
  <c r="F1846" i="62906" s="1"/>
  <c r="F1847" i="62906" s="1"/>
  <c r="F1848" i="62906" s="1"/>
  <c r="F1849" i="62906" s="1"/>
  <c r="F1850" i="62906" s="1"/>
  <c r="F1851" i="62906" s="1"/>
  <c r="F1852" i="62906" s="1"/>
  <c r="F1853" i="62906" s="1"/>
  <c r="F1854" i="62906" s="1"/>
  <c r="F1855" i="62906" s="1"/>
  <c r="AH71" i="11"/>
  <c r="AJ71" i="11"/>
  <c r="G1830" i="62906"/>
  <c r="G1831" i="62906" s="1"/>
  <c r="G1832" i="62906" s="1"/>
  <c r="G1844" i="62906" s="1"/>
  <c r="G1845" i="62906" s="1"/>
  <c r="G1846" i="62906" s="1"/>
  <c r="G1847" i="62906" s="1"/>
  <c r="G1848" i="62906" s="1"/>
  <c r="G1849" i="62906" s="1"/>
  <c r="G1850" i="62906" s="1"/>
  <c r="G1851" i="62906" s="1"/>
  <c r="G1852" i="62906" s="1"/>
  <c r="G1853" i="62906" s="1"/>
  <c r="G1854" i="62906" s="1"/>
  <c r="G1855" i="62906" s="1"/>
  <c r="H1830" i="62906"/>
  <c r="H1831" i="62906" s="1"/>
  <c r="H1832" i="62906" s="1"/>
  <c r="H1844" i="62906" s="1"/>
  <c r="H1845" i="62906" s="1"/>
  <c r="H1846" i="62906" s="1"/>
  <c r="H1847" i="62906" s="1"/>
  <c r="H1848" i="62906" s="1"/>
  <c r="H1849" i="62906" s="1"/>
  <c r="H1850" i="62906" s="1"/>
  <c r="H1851" i="62906" s="1"/>
  <c r="H1852" i="62906" s="1"/>
  <c r="H1853" i="62906" s="1"/>
  <c r="H1854" i="62906" s="1"/>
  <c r="H1855" i="62906" s="1"/>
  <c r="AL71" i="11"/>
  <c r="AR69" i="11"/>
  <c r="I1856" i="62906"/>
  <c r="I1857" i="62906" s="1"/>
  <c r="I1858" i="62906" s="1"/>
  <c r="I1859" i="62906" s="1"/>
  <c r="I1860" i="62906" s="1"/>
  <c r="I1861" i="62906" s="1"/>
  <c r="I1862" i="62906" s="1"/>
  <c r="I1863" i="62906" s="1"/>
  <c r="I1864" i="62906" s="1"/>
  <c r="I1865" i="62906" s="1"/>
  <c r="I1867" i="62906" s="1"/>
  <c r="I1868" i="62906" s="1"/>
  <c r="I1869" i="62906" s="1"/>
  <c r="I1870" i="62906" s="1"/>
  <c r="I1871" i="62906" s="1"/>
  <c r="I1872" i="62906" s="1"/>
  <c r="AR71" i="11"/>
  <c r="I1830" i="62906"/>
  <c r="I1831" i="62906" s="1"/>
  <c r="I1832" i="62906" s="1"/>
  <c r="Y31" i="62915"/>
  <c r="E59" i="62915"/>
  <c r="AE68" i="11"/>
  <c r="E57" i="62914"/>
  <c r="AC360" i="62898"/>
  <c r="I183" i="62904"/>
  <c r="AA249" i="62898"/>
  <c r="AC247" i="62898"/>
  <c r="AC249" i="62898" s="1"/>
  <c r="AD41" i="5"/>
  <c r="AN395" i="5"/>
  <c r="AN399" i="5" s="1"/>
  <c r="AL399" i="5"/>
  <c r="AA243" i="5"/>
  <c r="AC233" i="5"/>
  <c r="M162" i="11"/>
  <c r="M177" i="11" s="1"/>
  <c r="N127" i="11"/>
  <c r="AA334" i="62898"/>
  <c r="AC330" i="62898"/>
  <c r="AC334" i="62898" s="1"/>
  <c r="AD78" i="1"/>
  <c r="AE74" i="1"/>
  <c r="AE78" i="1" s="1"/>
  <c r="AP73" i="62898"/>
  <c r="AP76" i="62898" s="1"/>
  <c r="AO76" i="62898"/>
  <c r="AH46" i="62898"/>
  <c r="AJ44" i="62898"/>
  <c r="AJ46" i="62898" s="1"/>
  <c r="AP160" i="62898"/>
  <c r="AP163" i="62898" s="1"/>
  <c r="AO163" i="62898"/>
  <c r="AP100" i="5"/>
  <c r="AM102" i="5"/>
  <c r="AC74" i="62898"/>
  <c r="AC76" i="62898" s="1"/>
  <c r="AA76" i="62898"/>
  <c r="AM100" i="9"/>
  <c r="AN97" i="9"/>
  <c r="AN100" i="9" s="1"/>
  <c r="M658" i="5"/>
  <c r="I180" i="62905"/>
  <c r="I179" i="62905" s="1"/>
  <c r="J699" i="5"/>
  <c r="L660" i="5"/>
  <c r="E84" i="62904"/>
  <c r="Z314" i="62898"/>
  <c r="M24" i="62911"/>
  <c r="Q25" i="62911"/>
  <c r="H20" i="62911"/>
  <c r="J180" i="62905"/>
  <c r="J179" i="62905" s="1"/>
  <c r="Z37" i="5"/>
  <c r="AD37" i="5"/>
  <c r="AA37" i="5"/>
  <c r="AJ183" i="62898"/>
  <c r="AJ186" i="62898" s="1"/>
  <c r="K395" i="62898" s="1"/>
  <c r="I56" i="62892" s="1"/>
  <c r="Z203" i="5"/>
  <c r="AC203" i="5"/>
  <c r="AC207" i="5" s="1"/>
  <c r="AA203" i="5"/>
  <c r="AA207" i="5" s="1"/>
  <c r="AK182" i="62898"/>
  <c r="AK186" i="62898" s="1"/>
  <c r="AD182" i="62898"/>
  <c r="AD186" i="62898" s="1"/>
  <c r="N186" i="62898"/>
  <c r="G44" i="62914"/>
  <c r="F16" i="62915"/>
  <c r="AJ374" i="62898"/>
  <c r="Z304" i="5"/>
  <c r="BA96" i="62898"/>
  <c r="AD83" i="62898"/>
  <c r="AD86" i="62898" s="1"/>
  <c r="N86" i="62898"/>
  <c r="G55" i="62915"/>
  <c r="Z94" i="62898"/>
  <c r="AD94" i="62898"/>
  <c r="AD96" i="62898" s="1"/>
  <c r="AJ581" i="5"/>
  <c r="AP176" i="62898"/>
  <c r="L395" i="62898" s="1"/>
  <c r="N73" i="11"/>
  <c r="D109" i="11" s="1"/>
  <c r="E109" i="11" s="1"/>
  <c r="E284" i="9"/>
  <c r="AW69" i="5"/>
  <c r="W47" i="3"/>
  <c r="G156" i="3"/>
  <c r="G122" i="3"/>
  <c r="G64" i="62914"/>
  <c r="F64" i="62914"/>
  <c r="AK176" i="62898"/>
  <c r="AQ163" i="62898"/>
  <c r="M1708" i="62906"/>
  <c r="M1709" i="62906" s="1"/>
  <c r="V60" i="62905"/>
  <c r="J450" i="62898"/>
  <c r="L416" i="62898"/>
  <c r="AI120" i="9"/>
  <c r="J156" i="3"/>
  <c r="F156" i="3"/>
  <c r="F122" i="3"/>
  <c r="M419" i="62898"/>
  <c r="M11" i="62914"/>
  <c r="AK193" i="62898"/>
  <c r="AK196" i="62898" s="1"/>
  <c r="AD193" i="62898"/>
  <c r="AD196" i="62898" s="1"/>
  <c r="AQ193" i="62898"/>
  <c r="AQ196" i="62898" s="1"/>
  <c r="L124" i="3"/>
  <c r="AQ186" i="62898"/>
  <c r="AK76" i="5"/>
  <c r="AK79" i="5" s="1"/>
  <c r="AQ76" i="5"/>
  <c r="AQ79" i="5" s="1"/>
  <c r="R79" i="5"/>
  <c r="AD76" i="5"/>
  <c r="AD79" i="5" s="1"/>
  <c r="D92" i="62898"/>
  <c r="I67" i="62904"/>
  <c r="G73" i="62904" s="1"/>
  <c r="I73" i="62904" s="1"/>
  <c r="D62" i="62904"/>
  <c r="D116" i="62898"/>
  <c r="D406" i="62898" s="1"/>
  <c r="D73" i="62898"/>
  <c r="E73" i="62898" s="1"/>
  <c r="D274" i="62898"/>
  <c r="E274" i="62898" s="1"/>
  <c r="D54" i="62898"/>
  <c r="E54" i="62898" s="1"/>
  <c r="E56" i="62898" s="1"/>
  <c r="D234" i="62898"/>
  <c r="D567" i="5"/>
  <c r="D479" i="5"/>
  <c r="D101" i="62904"/>
  <c r="E101" i="62904" s="1"/>
  <c r="AO101" i="62904"/>
  <c r="D371" i="62898"/>
  <c r="E371" i="62898" s="1"/>
  <c r="D312" i="62898"/>
  <c r="E312" i="62898" s="1"/>
  <c r="D258" i="62898"/>
  <c r="E258" i="62898" s="1"/>
  <c r="D106" i="62898"/>
  <c r="D42" i="62898"/>
  <c r="E42" i="62898" s="1"/>
  <c r="D611" i="5"/>
  <c r="D578" i="5"/>
  <c r="E578" i="5" s="1"/>
  <c r="D589" i="5"/>
  <c r="E589" i="5" s="1"/>
  <c r="D462" i="5"/>
  <c r="E462" i="5" s="1"/>
  <c r="AO99" i="62904"/>
  <c r="D99" i="62904"/>
  <c r="D172" i="62898"/>
  <c r="D140" i="62898"/>
  <c r="E140" i="62898" s="1"/>
  <c r="E143" i="62898" s="1"/>
  <c r="D130" i="62898"/>
  <c r="E130" i="62898" s="1"/>
  <c r="D127" i="62898"/>
  <c r="E127" i="62898" s="1"/>
  <c r="D72" i="62898"/>
  <c r="N30" i="62898"/>
  <c r="L430" i="62898"/>
  <c r="L25" i="62914" s="1"/>
  <c r="D370" i="62898"/>
  <c r="D311" i="62898"/>
  <c r="E311" i="62898" s="1"/>
  <c r="D577" i="5"/>
  <c r="D284" i="62898"/>
  <c r="E284" i="62898" s="1"/>
  <c r="E286" i="62898" s="1"/>
  <c r="D270" i="62898"/>
  <c r="E270" i="62898" s="1"/>
  <c r="M257" i="62898"/>
  <c r="N257" i="62898"/>
  <c r="O257" i="62898"/>
  <c r="D104" i="62898"/>
  <c r="E104" i="62898" s="1"/>
  <c r="D17" i="62898"/>
  <c r="E17" i="62898" s="1"/>
  <c r="D334" i="62898"/>
  <c r="D246" i="62898"/>
  <c r="E246" i="62898" s="1"/>
  <c r="D193" i="62898"/>
  <c r="E193" i="62898" s="1"/>
  <c r="E196" i="62898" s="1"/>
  <c r="D83" i="62898"/>
  <c r="E83" i="62898" s="1"/>
  <c r="E86" i="62898" s="1"/>
  <c r="D481" i="5"/>
  <c r="E481" i="5" s="1"/>
  <c r="V31" i="62915"/>
  <c r="G59" i="62915"/>
  <c r="D310" i="62898"/>
  <c r="D225" i="62898"/>
  <c r="T126" i="62898"/>
  <c r="D126" i="62898" s="1"/>
  <c r="D64" i="62898"/>
  <c r="E64" i="62898" s="1"/>
  <c r="D503" i="5"/>
  <c r="E503" i="5" s="1"/>
  <c r="P455" i="5"/>
  <c r="S455" i="5" s="1"/>
  <c r="E194" i="1"/>
  <c r="E159" i="1"/>
  <c r="D89" i="62904"/>
  <c r="E89" i="62904" s="1"/>
  <c r="AN89" i="62904"/>
  <c r="M362" i="62898"/>
  <c r="N362" i="62898"/>
  <c r="O362" i="62898"/>
  <c r="D182" i="62898"/>
  <c r="D56" i="62898"/>
  <c r="D545" i="5"/>
  <c r="D469" i="5"/>
  <c r="E469" i="5" s="1"/>
  <c r="D87" i="62904"/>
  <c r="E87" i="62904" s="1"/>
  <c r="AO87" i="62904"/>
  <c r="AO93" i="62904" s="1"/>
  <c r="D15" i="62904"/>
  <c r="E15" i="62904" s="1"/>
  <c r="D13" i="62904"/>
  <c r="D350" i="62898"/>
  <c r="D256" i="62898"/>
  <c r="E256" i="62898" s="1"/>
  <c r="D245" i="62898"/>
  <c r="E245" i="62898" s="1"/>
  <c r="D93" i="62898"/>
  <c r="E93" i="62898" s="1"/>
  <c r="D493" i="5"/>
  <c r="E493" i="5" s="1"/>
  <c r="D464" i="5"/>
  <c r="E464" i="5" s="1"/>
  <c r="D375" i="5"/>
  <c r="D361" i="62898"/>
  <c r="E361" i="62898" s="1"/>
  <c r="D299" i="62898"/>
  <c r="E299" i="62898" s="1"/>
  <c r="D297" i="62898"/>
  <c r="E297" i="62898" s="1"/>
  <c r="D205" i="62898"/>
  <c r="I207" i="62898"/>
  <c r="D128" i="62898"/>
  <c r="E128" i="62898" s="1"/>
  <c r="D63" i="62898"/>
  <c r="E63" i="62898" s="1"/>
  <c r="D22" i="62898"/>
  <c r="E22" i="62898" s="1"/>
  <c r="D587" i="5"/>
  <c r="D452" i="5"/>
  <c r="E452" i="5" s="1"/>
  <c r="D384" i="62898"/>
  <c r="F406" i="62898" s="1"/>
  <c r="D286" i="62898"/>
  <c r="D103" i="62898"/>
  <c r="E103" i="62898" s="1"/>
  <c r="E106" i="62898" s="1"/>
  <c r="D44" i="62898"/>
  <c r="E44" i="62898" s="1"/>
  <c r="BE44" i="62898"/>
  <c r="D480" i="5"/>
  <c r="E480" i="5" s="1"/>
  <c r="D340" i="62898"/>
  <c r="D196" i="62898"/>
  <c r="D163" i="62898"/>
  <c r="D153" i="62898"/>
  <c r="D533" i="5"/>
  <c r="E533" i="5" s="1"/>
  <c r="D531" i="5"/>
  <c r="D74" i="62898"/>
  <c r="E74" i="62898" s="1"/>
  <c r="D62" i="62898"/>
  <c r="Q463" i="5"/>
  <c r="T463" i="5" s="1"/>
  <c r="D255" i="62898"/>
  <c r="P460" i="5"/>
  <c r="S460" i="5" s="1"/>
  <c r="D432" i="5"/>
  <c r="O256" i="62898"/>
  <c r="R249" i="5"/>
  <c r="U249" i="5" s="1"/>
  <c r="D595" i="62906"/>
  <c r="D601" i="62906"/>
  <c r="D602" i="62906"/>
  <c r="I451" i="5"/>
  <c r="D434" i="5"/>
  <c r="E434" i="5" s="1"/>
  <c r="D278" i="5"/>
  <c r="E278" i="5" s="1"/>
  <c r="K51" i="5"/>
  <c r="G51" i="5"/>
  <c r="M51" i="5"/>
  <c r="L51" i="5"/>
  <c r="N51" i="5"/>
  <c r="H51" i="5"/>
  <c r="J51" i="5"/>
  <c r="I51" i="5"/>
  <c r="B223" i="2"/>
  <c r="O258" i="62898"/>
  <c r="M455" i="5"/>
  <c r="N455" i="5"/>
  <c r="J455" i="5"/>
  <c r="K455" i="5"/>
  <c r="S15" i="1"/>
  <c r="B272" i="7"/>
  <c r="B708" i="5"/>
  <c r="B327" i="9"/>
  <c r="E172" i="62906"/>
  <c r="L39" i="62904" s="1"/>
  <c r="N39" i="62904" s="1"/>
  <c r="H451" i="5"/>
  <c r="Q435" i="5"/>
  <c r="T435" i="5" s="1"/>
  <c r="T419" i="5"/>
  <c r="R47" i="5"/>
  <c r="U47" i="5" s="1"/>
  <c r="D73" i="1"/>
  <c r="K78" i="1"/>
  <c r="D220" i="9"/>
  <c r="D150" i="9"/>
  <c r="D20" i="9"/>
  <c r="R46" i="5"/>
  <c r="N74" i="5" s="1"/>
  <c r="N258" i="62898"/>
  <c r="P93" i="62898"/>
  <c r="O30" i="62898"/>
  <c r="D504" i="5"/>
  <c r="E504" i="5" s="1"/>
  <c r="T494" i="5"/>
  <c r="L460" i="5"/>
  <c r="Q460" i="5" s="1"/>
  <c r="T460" i="5" s="1"/>
  <c r="D387" i="5"/>
  <c r="E387" i="5" s="1"/>
  <c r="D376" i="5"/>
  <c r="E376" i="5" s="1"/>
  <c r="D365" i="5"/>
  <c r="T352" i="5"/>
  <c r="P257" i="5"/>
  <c r="S257" i="5" s="1"/>
  <c r="O76" i="5"/>
  <c r="K110" i="1"/>
  <c r="L110" i="1" s="1"/>
  <c r="D26" i="1"/>
  <c r="D30" i="62915"/>
  <c r="N451" i="5"/>
  <c r="P261" i="5"/>
  <c r="S261" i="5" s="1"/>
  <c r="Q257" i="5"/>
  <c r="T257" i="5" s="1"/>
  <c r="D241" i="5"/>
  <c r="E241" i="5" s="1"/>
  <c r="Q232" i="5"/>
  <c r="T232" i="5" s="1"/>
  <c r="D232" i="5" s="1"/>
  <c r="Q47" i="5"/>
  <c r="T47" i="5" s="1"/>
  <c r="D98" i="3"/>
  <c r="D111" i="3" s="1"/>
  <c r="D40" i="9"/>
  <c r="D471" i="5"/>
  <c r="E471" i="5" s="1"/>
  <c r="M460" i="5"/>
  <c r="N460" i="5"/>
  <c r="K460" i="5"/>
  <c r="L451" i="5"/>
  <c r="D397" i="5"/>
  <c r="E397" i="5" s="1"/>
  <c r="E399" i="5" s="1"/>
  <c r="T330" i="5"/>
  <c r="D187" i="5"/>
  <c r="T129" i="5"/>
  <c r="D124" i="2"/>
  <c r="B468" i="62898"/>
  <c r="D29" i="62915"/>
  <c r="E452" i="62906"/>
  <c r="L41" i="62904" s="1"/>
  <c r="N41" i="62904" s="1"/>
  <c r="D440" i="5"/>
  <c r="E440" i="5" s="1"/>
  <c r="S419" i="5"/>
  <c r="R256" i="5"/>
  <c r="U256" i="5" s="1"/>
  <c r="D99" i="7"/>
  <c r="D204" i="7" s="1"/>
  <c r="D74" i="7"/>
  <c r="J451" i="5"/>
  <c r="K451" i="5"/>
  <c r="G451" i="5"/>
  <c r="P451" i="5" s="1"/>
  <c r="S451" i="5" s="1"/>
  <c r="D107" i="1"/>
  <c r="L112" i="1"/>
  <c r="D167" i="7"/>
  <c r="D206" i="7" s="1"/>
  <c r="O255" i="62898"/>
  <c r="R461" i="5"/>
  <c r="U461" i="5" s="1"/>
  <c r="D330" i="5"/>
  <c r="E330" i="5" s="1"/>
  <c r="P47" i="5"/>
  <c r="S47" i="5" s="1"/>
  <c r="B308" i="9"/>
  <c r="P458" i="5"/>
  <c r="S458" i="5" s="1"/>
  <c r="D240" i="5"/>
  <c r="E240" i="5" s="1"/>
  <c r="S19" i="5"/>
  <c r="D108" i="3"/>
  <c r="D70" i="9"/>
  <c r="D33" i="7"/>
  <c r="D200" i="7" s="1"/>
  <c r="B210" i="62905"/>
  <c r="D435" i="5"/>
  <c r="E435" i="5" s="1"/>
  <c r="D256" i="5"/>
  <c r="E256" i="5" s="1"/>
  <c r="D175" i="5"/>
  <c r="E175" i="5" s="1"/>
  <c r="E177" i="5" s="1"/>
  <c r="D130" i="9"/>
  <c r="D158" i="2"/>
  <c r="B181" i="62904"/>
  <c r="D26" i="62915"/>
  <c r="P92" i="62898"/>
  <c r="G463" i="5"/>
  <c r="N463" i="5"/>
  <c r="R463" i="5" s="1"/>
  <c r="U463" i="5" s="1"/>
  <c r="D357" i="5"/>
  <c r="E357" i="5" s="1"/>
  <c r="S354" i="5"/>
  <c r="D205" i="5"/>
  <c r="E205" i="5" s="1"/>
  <c r="E207" i="5" s="1"/>
  <c r="D154" i="5"/>
  <c r="E154" i="5" s="1"/>
  <c r="D35" i="5"/>
  <c r="E35" i="5" s="1"/>
  <c r="L69" i="11"/>
  <c r="B310" i="9"/>
  <c r="Q459" i="5"/>
  <c r="T459" i="5" s="1"/>
  <c r="M385" i="5"/>
  <c r="G251" i="5"/>
  <c r="M251" i="5"/>
  <c r="L251" i="5"/>
  <c r="N251" i="5"/>
  <c r="H251" i="5"/>
  <c r="J251" i="5"/>
  <c r="I251" i="5"/>
  <c r="K251" i="5"/>
  <c r="D234" i="5"/>
  <c r="E234" i="5" s="1"/>
  <c r="D193" i="5"/>
  <c r="D58" i="5"/>
  <c r="E58" i="5" s="1"/>
  <c r="D96" i="1"/>
  <c r="E96" i="1" s="1"/>
  <c r="I101" i="1"/>
  <c r="D37" i="1"/>
  <c r="E37" i="1" s="1"/>
  <c r="E41" i="1" s="1"/>
  <c r="D33" i="2"/>
  <c r="D168" i="2" s="1"/>
  <c r="B449" i="62898"/>
  <c r="P31" i="62898"/>
  <c r="J456" i="5"/>
  <c r="Q456" i="5" s="1"/>
  <c r="T456" i="5" s="1"/>
  <c r="K456" i="5"/>
  <c r="R456" i="5" s="1"/>
  <c r="U456" i="5" s="1"/>
  <c r="P454" i="5"/>
  <c r="S454" i="5" s="1"/>
  <c r="D443" i="5"/>
  <c r="E443" i="5" s="1"/>
  <c r="D343" i="5"/>
  <c r="D279" i="5"/>
  <c r="E279" i="5" s="1"/>
  <c r="D101" i="1"/>
  <c r="D242" i="9"/>
  <c r="D262" i="9" s="1"/>
  <c r="U2227" i="62906"/>
  <c r="H2240" i="62906" s="1"/>
  <c r="B173" i="3"/>
  <c r="B242" i="2"/>
  <c r="D11" i="62915"/>
  <c r="E406" i="62906"/>
  <c r="L40" i="62904" s="1"/>
  <c r="N40" i="62904" s="1"/>
  <c r="D291" i="5"/>
  <c r="E291" i="5" s="1"/>
  <c r="P94" i="62898"/>
  <c r="O31" i="62898"/>
  <c r="D31" i="62898" s="1"/>
  <c r="E31" i="62898" s="1"/>
  <c r="J106" i="62906"/>
  <c r="R19" i="62898" s="1"/>
  <c r="T19" i="62898" s="1"/>
  <c r="D19" i="62898" s="1"/>
  <c r="E19" i="62898" s="1"/>
  <c r="Q481" i="5"/>
  <c r="G461" i="5"/>
  <c r="P461" i="5" s="1"/>
  <c r="S461" i="5" s="1"/>
  <c r="I455" i="5"/>
  <c r="R455" i="5" s="1"/>
  <c r="U455" i="5" s="1"/>
  <c r="Q436" i="5"/>
  <c r="T436" i="5" s="1"/>
  <c r="T420" i="5"/>
  <c r="D420" i="5" s="1"/>
  <c r="E420" i="5" s="1"/>
  <c r="D185" i="5"/>
  <c r="E185" i="5" s="1"/>
  <c r="E187" i="5" s="1"/>
  <c r="D100" i="5"/>
  <c r="E100" i="5" s="1"/>
  <c r="T89" i="5"/>
  <c r="D60" i="9"/>
  <c r="O361" i="62898"/>
  <c r="J352" i="62898"/>
  <c r="M352" i="62898" s="1"/>
  <c r="D502" i="5"/>
  <c r="D423" i="5"/>
  <c r="E423" i="5" s="1"/>
  <c r="D167" i="5"/>
  <c r="Q57" i="5"/>
  <c r="T57" i="5" s="1"/>
  <c r="Q29" i="5"/>
  <c r="T29" i="5" s="1"/>
  <c r="D19" i="7"/>
  <c r="D199" i="7" s="1"/>
  <c r="B152" i="11"/>
  <c r="B239" i="2"/>
  <c r="P459" i="5"/>
  <c r="S459" i="5" s="1"/>
  <c r="H455" i="5"/>
  <c r="Q455" i="5" s="1"/>
  <c r="T455" i="5" s="1"/>
  <c r="T331" i="5"/>
  <c r="D331" i="5" s="1"/>
  <c r="E331" i="5" s="1"/>
  <c r="P250" i="5"/>
  <c r="S250" i="5" s="1"/>
  <c r="D218" i="5"/>
  <c r="E218" i="5" s="1"/>
  <c r="D207" i="5"/>
  <c r="D150" i="5"/>
  <c r="D57" i="5"/>
  <c r="E57" i="5" s="1"/>
  <c r="D38" i="5"/>
  <c r="E38" i="5" s="1"/>
  <c r="D17" i="5"/>
  <c r="E17" i="5" s="1"/>
  <c r="D85" i="7"/>
  <c r="I460" i="5"/>
  <c r="P278" i="5"/>
  <c r="D231" i="5"/>
  <c r="E231" i="5" s="1"/>
  <c r="L98" i="5"/>
  <c r="J98" i="5"/>
  <c r="M98" i="5" s="1"/>
  <c r="D261" i="9"/>
  <c r="N252" i="5"/>
  <c r="D98" i="5"/>
  <c r="R54" i="5"/>
  <c r="U54" i="5" s="1"/>
  <c r="D96" i="9"/>
  <c r="D135" i="7"/>
  <c r="D2288" i="62906"/>
  <c r="G2208" i="62906" s="1"/>
  <c r="G2309" i="62906" s="1"/>
  <c r="E2288" i="62906"/>
  <c r="F2288" i="62906"/>
  <c r="H2288" i="62906"/>
  <c r="I2288" i="62906"/>
  <c r="J2288" i="62906"/>
  <c r="K2288" i="62906"/>
  <c r="L2288" i="62906"/>
  <c r="M2288" i="62906"/>
  <c r="N2288" i="62906"/>
  <c r="C2288" i="62906"/>
  <c r="Y148" i="7"/>
  <c r="S148" i="7"/>
  <c r="Q148" i="7"/>
  <c r="N148" i="7"/>
  <c r="D148" i="7"/>
  <c r="E148" i="7" s="1"/>
  <c r="K259" i="5"/>
  <c r="R259" i="5" s="1"/>
  <c r="U259" i="5" s="1"/>
  <c r="J258" i="5"/>
  <c r="Q258" i="5" s="1"/>
  <c r="T258" i="5" s="1"/>
  <c r="N257" i="5"/>
  <c r="K254" i="5"/>
  <c r="L252" i="5"/>
  <c r="G56" i="5"/>
  <c r="P56" i="5" s="1"/>
  <c r="S56" i="5" s="1"/>
  <c r="L52" i="5"/>
  <c r="P52" i="5" s="1"/>
  <c r="S52" i="5" s="1"/>
  <c r="I88" i="62906"/>
  <c r="Q13" i="1" s="1"/>
  <c r="S13" i="1" s="1"/>
  <c r="S13" i="62905"/>
  <c r="D147" i="7"/>
  <c r="E147" i="7" s="1"/>
  <c r="S147" i="7"/>
  <c r="Q147" i="7"/>
  <c r="Y147" i="7"/>
  <c r="N147" i="7"/>
  <c r="N154" i="7" s="1"/>
  <c r="M252" i="5"/>
  <c r="S152" i="5"/>
  <c r="S15" i="62905"/>
  <c r="G252" i="5"/>
  <c r="P252" i="5" s="1"/>
  <c r="S252" i="5" s="1"/>
  <c r="D29" i="5"/>
  <c r="E29" i="5" s="1"/>
  <c r="Q2183" i="62906"/>
  <c r="K59" i="5"/>
  <c r="Q54" i="5"/>
  <c r="T54" i="5" s="1"/>
  <c r="D54" i="5" s="1"/>
  <c r="E54" i="5" s="1"/>
  <c r="Q30" i="5"/>
  <c r="T30" i="5" s="1"/>
  <c r="K260" i="5"/>
  <c r="J259" i="5"/>
  <c r="N258" i="5"/>
  <c r="K255" i="5"/>
  <c r="J254" i="5"/>
  <c r="N249" i="5"/>
  <c r="I59" i="5"/>
  <c r="P2183" i="62906"/>
  <c r="I260" i="5"/>
  <c r="H259" i="5"/>
  <c r="L258" i="5"/>
  <c r="R258" i="5" s="1"/>
  <c r="U258" i="5" s="1"/>
  <c r="I255" i="5"/>
  <c r="R255" i="5" s="1"/>
  <c r="U255" i="5" s="1"/>
  <c r="H254" i="5"/>
  <c r="Q254" i="5" s="1"/>
  <c r="T254" i="5" s="1"/>
  <c r="L249" i="5"/>
  <c r="Q249" i="5" s="1"/>
  <c r="T249" i="5" s="1"/>
  <c r="L49" i="5"/>
  <c r="Q49" i="5" s="1"/>
  <c r="T49" i="5" s="1"/>
  <c r="D111" i="62905"/>
  <c r="D139" i="62905" s="1"/>
  <c r="C2305" i="62906"/>
  <c r="P2184" i="62906"/>
  <c r="M258" i="5"/>
  <c r="H250" i="5"/>
  <c r="M249" i="5"/>
  <c r="I55" i="5"/>
  <c r="R55" i="5" s="1"/>
  <c r="U55" i="5" s="1"/>
  <c r="H50" i="5"/>
  <c r="M49" i="5"/>
  <c r="N458" i="5"/>
  <c r="Q458" i="5" s="1"/>
  <c r="T458" i="5" s="1"/>
  <c r="N453" i="5"/>
  <c r="Q453" i="5" s="1"/>
  <c r="T453" i="5" s="1"/>
  <c r="G258" i="5"/>
  <c r="G249" i="5"/>
  <c r="J59" i="5"/>
  <c r="G49" i="5"/>
  <c r="P49" i="5" s="1"/>
  <c r="S49" i="5" s="1"/>
  <c r="J260" i="5"/>
  <c r="Q260" i="5" s="1"/>
  <c r="T260" i="5" s="1"/>
  <c r="N259" i="5"/>
  <c r="J255" i="5"/>
  <c r="Q255" i="5" s="1"/>
  <c r="T255" i="5" s="1"/>
  <c r="N254" i="5"/>
  <c r="P254" i="5" s="1"/>
  <c r="S254" i="5" s="1"/>
  <c r="K60" i="5"/>
  <c r="R60" i="5" s="1"/>
  <c r="U60" i="5" s="1"/>
  <c r="H59" i="5"/>
  <c r="Q59" i="5" s="1"/>
  <c r="T59" i="5" s="1"/>
  <c r="D74" i="1"/>
  <c r="E74" i="1" s="1"/>
  <c r="T25" i="62905"/>
  <c r="O2184" i="62906"/>
  <c r="O1736" i="62906"/>
  <c r="O1738" i="62906"/>
  <c r="O1737" i="62906"/>
  <c r="O1739" i="62906"/>
  <c r="M259" i="5"/>
  <c r="P259" i="5" s="1"/>
  <c r="S259" i="5" s="1"/>
  <c r="M254" i="5"/>
  <c r="J99" i="5"/>
  <c r="M99" i="5" s="1"/>
  <c r="D99" i="5" s="1"/>
  <c r="E99" i="5" s="1"/>
  <c r="I56" i="5"/>
  <c r="R56" i="5" s="1"/>
  <c r="U56" i="5" s="1"/>
  <c r="L50" i="5"/>
  <c r="R50" i="5" s="1"/>
  <c r="U50" i="5" s="1"/>
  <c r="D27" i="9"/>
  <c r="E27" i="9" s="1"/>
  <c r="N1738" i="62906"/>
  <c r="N1737" i="62906"/>
  <c r="N1739" i="62906"/>
  <c r="N1736" i="62906"/>
  <c r="K252" i="5"/>
  <c r="M250" i="5"/>
  <c r="R250" i="5" s="1"/>
  <c r="U250" i="5" s="1"/>
  <c r="L59" i="5"/>
  <c r="K52" i="5"/>
  <c r="M50" i="5"/>
  <c r="P50" i="5" s="1"/>
  <c r="S50" i="5" s="1"/>
  <c r="I71" i="11"/>
  <c r="K71" i="11" s="1"/>
  <c r="L71" i="11" s="1"/>
  <c r="D71" i="11" s="1"/>
  <c r="E71" i="11" s="1"/>
  <c r="E1830" i="62906"/>
  <c r="E1831" i="62906" s="1"/>
  <c r="E1832" i="62906" s="1"/>
  <c r="C2303" i="62906"/>
  <c r="L2276" i="62906"/>
  <c r="K1735" i="62906" s="1"/>
  <c r="M2276" i="62906"/>
  <c r="N1735" i="62906" s="1"/>
  <c r="N2276" i="62906"/>
  <c r="O1735" i="62906" s="1"/>
  <c r="C2276" i="62906"/>
  <c r="D2276" i="62906"/>
  <c r="Z2185" i="62906" s="1"/>
  <c r="H2198" i="62906" s="1"/>
  <c r="E2276" i="62906"/>
  <c r="F2276" i="62906"/>
  <c r="G2276" i="62906"/>
  <c r="H2276" i="62906"/>
  <c r="I2276" i="62906"/>
  <c r="J2276" i="62906"/>
  <c r="K2276" i="62906"/>
  <c r="AB144" i="2"/>
  <c r="Q144" i="2"/>
  <c r="T144" i="2"/>
  <c r="T146" i="2" s="1"/>
  <c r="K172" i="2" s="1"/>
  <c r="I68" i="62892" s="1"/>
  <c r="D144" i="2"/>
  <c r="E144" i="2" s="1"/>
  <c r="E146" i="2" s="1"/>
  <c r="V144" i="2"/>
  <c r="I252" i="5"/>
  <c r="H60" i="5"/>
  <c r="M59" i="5"/>
  <c r="D26" i="9"/>
  <c r="I2249" i="62906"/>
  <c r="U2230" i="62906"/>
  <c r="H2249" i="62906" s="1"/>
  <c r="J2274" i="62906"/>
  <c r="I2239" i="62906" s="1"/>
  <c r="K2274" i="62906"/>
  <c r="L2274" i="62906"/>
  <c r="K1704" i="62906" s="1"/>
  <c r="M2274" i="62906"/>
  <c r="N2274" i="62906"/>
  <c r="C2274" i="62906"/>
  <c r="D2274" i="62906"/>
  <c r="Z2183" i="62906" s="1"/>
  <c r="H2196" i="62906" s="1"/>
  <c r="E2274" i="62906"/>
  <c r="F2274" i="62906"/>
  <c r="G2274" i="62906"/>
  <c r="I262" i="5"/>
  <c r="R262" i="5" s="1"/>
  <c r="U262" i="5" s="1"/>
  <c r="D262" i="5" s="1"/>
  <c r="E262" i="5" s="1"/>
  <c r="H261" i="5"/>
  <c r="Q261" i="5" s="1"/>
  <c r="T261" i="5" s="1"/>
  <c r="L260" i="5"/>
  <c r="P260" i="5" s="1"/>
  <c r="S260" i="5" s="1"/>
  <c r="I257" i="5"/>
  <c r="R257" i="5" s="1"/>
  <c r="U257" i="5" s="1"/>
  <c r="H256" i="5"/>
  <c r="Q256" i="5" s="1"/>
  <c r="T256" i="5" s="1"/>
  <c r="L255" i="5"/>
  <c r="P255" i="5" s="1"/>
  <c r="S255" i="5" s="1"/>
  <c r="G59" i="5"/>
  <c r="P59" i="5" s="1"/>
  <c r="S59" i="5" s="1"/>
  <c r="J56" i="5"/>
  <c r="Q56" i="5" s="1"/>
  <c r="T56" i="5" s="1"/>
  <c r="K118" i="1"/>
  <c r="L118" i="1" s="1"/>
  <c r="D17" i="1"/>
  <c r="E17" i="1" s="1"/>
  <c r="D134" i="2"/>
  <c r="C2244" i="62906"/>
  <c r="G2275" i="62906"/>
  <c r="J2275" i="62906"/>
  <c r="K2275" i="62906"/>
  <c r="L2275" i="62906"/>
  <c r="M2275" i="62906"/>
  <c r="N2275" i="62906"/>
  <c r="C2275" i="62906"/>
  <c r="D2275" i="62906"/>
  <c r="Z2184" i="62906" s="1"/>
  <c r="H2197" i="62906" s="1"/>
  <c r="E2275" i="62906"/>
  <c r="F2275" i="62906"/>
  <c r="H51" i="2"/>
  <c r="I51" i="2" s="1"/>
  <c r="H71" i="2"/>
  <c r="I71" i="2" s="1"/>
  <c r="H62" i="2"/>
  <c r="I62" i="2" s="1"/>
  <c r="H82" i="2"/>
  <c r="I82" i="2" s="1"/>
  <c r="AB143" i="2"/>
  <c r="AB146" i="2" s="1"/>
  <c r="Q143" i="2"/>
  <c r="Q146" i="2" s="1"/>
  <c r="H172" i="2" s="1"/>
  <c r="F68" i="62892" s="1"/>
  <c r="D143" i="2"/>
  <c r="V143" i="2"/>
  <c r="V146" i="2" s="1"/>
  <c r="L172" i="2" s="1"/>
  <c r="O1740" i="62906"/>
  <c r="C2197" i="62906"/>
  <c r="C2296" i="62906" s="1"/>
  <c r="F1719" i="62906" s="1"/>
  <c r="M2184" i="62906"/>
  <c r="I18" i="2" s="1"/>
  <c r="J18" i="2" s="1"/>
  <c r="M2183" i="62906"/>
  <c r="I19" i="2" s="1"/>
  <c r="J19" i="2" s="1"/>
  <c r="J252" i="5"/>
  <c r="Q252" i="5" s="1"/>
  <c r="T252" i="5" s="1"/>
  <c r="N60" i="5"/>
  <c r="G55" i="5"/>
  <c r="P55" i="5" s="1"/>
  <c r="S55" i="5" s="1"/>
  <c r="J52" i="5"/>
  <c r="Q52" i="5" s="1"/>
  <c r="T52" i="5" s="1"/>
  <c r="D140" i="9"/>
  <c r="N1740" i="62906"/>
  <c r="I2273" i="62906"/>
  <c r="J2273" i="62906"/>
  <c r="K2273" i="62906"/>
  <c r="M2273" i="62906"/>
  <c r="C2273" i="62906"/>
  <c r="N2273" i="62906"/>
  <c r="D2273" i="62906"/>
  <c r="E2273" i="62906"/>
  <c r="F2273" i="62906"/>
  <c r="G2273" i="62906"/>
  <c r="J91" i="2"/>
  <c r="K91" i="2" s="1"/>
  <c r="H2273" i="62906"/>
  <c r="Y142" i="7"/>
  <c r="Y154" i="7" s="1"/>
  <c r="D142" i="7"/>
  <c r="E142" i="7" s="1"/>
  <c r="E154" i="7" s="1"/>
  <c r="L60" i="5"/>
  <c r="I60" i="3"/>
  <c r="D180" i="7"/>
  <c r="D207" i="7" s="1"/>
  <c r="C2320" i="62906"/>
  <c r="H92" i="2"/>
  <c r="I92" i="2" s="1"/>
  <c r="I253" i="5"/>
  <c r="R253" i="5" s="1"/>
  <c r="U253" i="5" s="1"/>
  <c r="D253" i="5" s="1"/>
  <c r="E253" i="5" s="1"/>
  <c r="K249" i="5"/>
  <c r="M60" i="5"/>
  <c r="P60" i="5" s="1"/>
  <c r="S60" i="5" s="1"/>
  <c r="N56" i="5"/>
  <c r="K49" i="5"/>
  <c r="R49" i="5" s="1"/>
  <c r="U49" i="5" s="1"/>
  <c r="P31" i="5"/>
  <c r="S31" i="5" s="1"/>
  <c r="D97" i="9"/>
  <c r="E97" i="9" s="1"/>
  <c r="T24" i="62905"/>
  <c r="T15" i="62905"/>
  <c r="H2287" i="62906"/>
  <c r="K2287" i="62906"/>
  <c r="L2287" i="62906"/>
  <c r="N2287" i="62906"/>
  <c r="C2287" i="62906"/>
  <c r="D2287" i="62906"/>
  <c r="Z2188" i="62906" s="1"/>
  <c r="H2207" i="62906" s="1"/>
  <c r="F2287" i="62906"/>
  <c r="G2287" i="62906"/>
  <c r="I2277" i="62906"/>
  <c r="G2278" i="62906"/>
  <c r="H2277" i="62906"/>
  <c r="D2189" i="62906"/>
  <c r="I2189" i="62906" s="1"/>
  <c r="E2278" i="62906"/>
  <c r="D2259" i="62906"/>
  <c r="C2225" i="62906"/>
  <c r="H2225" i="62906" s="1"/>
  <c r="C2238" i="62906" s="1"/>
  <c r="D2278" i="62906"/>
  <c r="G2277" i="62906"/>
  <c r="D2226" i="62906"/>
  <c r="I2226" i="62906" s="1"/>
  <c r="C2189" i="62906"/>
  <c r="H2189" i="62906" s="1"/>
  <c r="C2278" i="62906"/>
  <c r="F2277" i="62906"/>
  <c r="E2277" i="62906"/>
  <c r="D2277" i="62906"/>
  <c r="G2197" i="62906"/>
  <c r="C2182" i="62906"/>
  <c r="H2182" i="62906" s="1"/>
  <c r="M2182" i="62906" s="1"/>
  <c r="I16" i="2" s="1"/>
  <c r="J16" i="2" s="1"/>
  <c r="C2277" i="62906"/>
  <c r="D2184" i="62906"/>
  <c r="I2184" i="62906" s="1"/>
  <c r="D2183" i="62906"/>
  <c r="I2183" i="62906" s="1"/>
  <c r="M2278" i="62906"/>
  <c r="L2278" i="62906"/>
  <c r="I2278" i="62906"/>
  <c r="L2277" i="62906"/>
  <c r="K2277" i="62906"/>
  <c r="X78" i="1" l="1"/>
  <c r="AO89" i="1"/>
  <c r="D113" i="5"/>
  <c r="E111" i="5"/>
  <c r="E113" i="5" s="1"/>
  <c r="J194" i="1"/>
  <c r="N652" i="5"/>
  <c r="N654" i="5" s="1"/>
  <c r="E101" i="1"/>
  <c r="AL155" i="5"/>
  <c r="AM155" i="5" s="1"/>
  <c r="AH155" i="5"/>
  <c r="AI155" i="5" s="1"/>
  <c r="AA155" i="5"/>
  <c r="AB155" i="5" s="1"/>
  <c r="BB155" i="5"/>
  <c r="D273" i="62898"/>
  <c r="E273" i="62898" s="1"/>
  <c r="AK273" i="62898"/>
  <c r="BA273" i="62898"/>
  <c r="BA276" i="62898" s="1"/>
  <c r="AG273" i="62898"/>
  <c r="AI273" i="62898" s="1"/>
  <c r="Z273" i="62898"/>
  <c r="D356" i="5"/>
  <c r="E356" i="5" s="1"/>
  <c r="AK356" i="5"/>
  <c r="AM356" i="5" s="1"/>
  <c r="Z356" i="5"/>
  <c r="AB356" i="5" s="1"/>
  <c r="BA356" i="5"/>
  <c r="AG356" i="5"/>
  <c r="AI356" i="5" s="1"/>
  <c r="D558" i="5"/>
  <c r="E558" i="5" s="1"/>
  <c r="Z558" i="5"/>
  <c r="AB558" i="5" s="1"/>
  <c r="AG558" i="5"/>
  <c r="AI558" i="5" s="1"/>
  <c r="AK558" i="5"/>
  <c r="AM558" i="5" s="1"/>
  <c r="BA558" i="5"/>
  <c r="D554" i="5"/>
  <c r="S561" i="5"/>
  <c r="AG554" i="5"/>
  <c r="Z554" i="5"/>
  <c r="BA554" i="5"/>
  <c r="AK554" i="5"/>
  <c r="D421" i="5"/>
  <c r="E421" i="5" s="1"/>
  <c r="BA421" i="5"/>
  <c r="AK421" i="5"/>
  <c r="AM421" i="5" s="1"/>
  <c r="AG421" i="5"/>
  <c r="AI421" i="5" s="1"/>
  <c r="Z421" i="5"/>
  <c r="AB421" i="5" s="1"/>
  <c r="D14" i="62904"/>
  <c r="E14" i="62904" s="1"/>
  <c r="AC14" i="62904"/>
  <c r="X14" i="62904"/>
  <c r="S20" i="62904"/>
  <c r="AG14" i="62904"/>
  <c r="AS14" i="62904"/>
  <c r="AS20" i="62904" s="1"/>
  <c r="Y78" i="1"/>
  <c r="Z76" i="1"/>
  <c r="S30" i="1"/>
  <c r="AS26" i="1"/>
  <c r="AS30" i="1" s="1"/>
  <c r="AC26" i="1"/>
  <c r="X26" i="1"/>
  <c r="AG26" i="1"/>
  <c r="AH26" i="1"/>
  <c r="AT26" i="1"/>
  <c r="T30" i="1"/>
  <c r="AD26" i="1"/>
  <c r="D424" i="5"/>
  <c r="E424" i="5" s="1"/>
  <c r="AK424" i="5"/>
  <c r="AM424" i="5" s="1"/>
  <c r="Z424" i="5"/>
  <c r="AB424" i="5" s="1"/>
  <c r="AG424" i="5"/>
  <c r="AI424" i="5" s="1"/>
  <c r="BA424" i="5"/>
  <c r="BA331" i="5"/>
  <c r="Z331" i="5"/>
  <c r="AG331" i="5"/>
  <c r="AK331" i="5"/>
  <c r="AC18" i="62904"/>
  <c r="AG18" i="62904"/>
  <c r="X18" i="62904"/>
  <c r="AS18" i="62904"/>
  <c r="AA329" i="5"/>
  <c r="AB329" i="5" s="1"/>
  <c r="AH329" i="5"/>
  <c r="AI329" i="5" s="1"/>
  <c r="BB329" i="5"/>
  <c r="AL329" i="5"/>
  <c r="AM329" i="5" s="1"/>
  <c r="AA152" i="5"/>
  <c r="BB152" i="5"/>
  <c r="AH152" i="5"/>
  <c r="AL152" i="5"/>
  <c r="C9" i="62892"/>
  <c r="E143" i="1"/>
  <c r="I143" i="1"/>
  <c r="Q143" i="1"/>
  <c r="T143" i="1"/>
  <c r="BB556" i="5"/>
  <c r="BB561" i="5" s="1"/>
  <c r="AH556" i="5"/>
  <c r="AH561" i="5" s="1"/>
  <c r="AL556" i="5"/>
  <c r="AA556" i="5"/>
  <c r="T561" i="5"/>
  <c r="AL533" i="5"/>
  <c r="T535" i="5"/>
  <c r="AA533" i="5"/>
  <c r="BB533" i="5"/>
  <c r="BB535" i="5" s="1"/>
  <c r="AH533" i="5"/>
  <c r="AK154" i="5"/>
  <c r="Z154" i="5"/>
  <c r="BA154" i="5"/>
  <c r="AG154" i="5"/>
  <c r="S133" i="62898"/>
  <c r="AG127" i="62898"/>
  <c r="BA127" i="62898"/>
  <c r="BA133" i="62898" s="1"/>
  <c r="AK127" i="62898"/>
  <c r="Z127" i="62898"/>
  <c r="AH274" i="62898"/>
  <c r="AH276" i="62898" s="1"/>
  <c r="BB274" i="62898"/>
  <c r="AL274" i="62898"/>
  <c r="AM274" i="62898" s="1"/>
  <c r="AA274" i="62898"/>
  <c r="AB274" i="62898" s="1"/>
  <c r="D235" i="62898"/>
  <c r="E235" i="62898" s="1"/>
  <c r="AL235" i="62898"/>
  <c r="BE235" i="62898"/>
  <c r="Z235" i="62898"/>
  <c r="AG235" i="62898"/>
  <c r="Y15" i="62904"/>
  <c r="Z15" i="62904" s="1"/>
  <c r="AT15" i="62904"/>
  <c r="AH15" i="62904"/>
  <c r="AI15" i="62904" s="1"/>
  <c r="AD15" i="62904"/>
  <c r="AE15" i="62904" s="1"/>
  <c r="AL222" i="5"/>
  <c r="AA222" i="5"/>
  <c r="AH222" i="5"/>
  <c r="BB222" i="5"/>
  <c r="D236" i="62898"/>
  <c r="E236" i="62898" s="1"/>
  <c r="BE236" i="62898"/>
  <c r="AG236" i="62898"/>
  <c r="AL236" i="62898"/>
  <c r="Z236" i="62898"/>
  <c r="AC18" i="1"/>
  <c r="AE18" i="1" s="1"/>
  <c r="D18" i="1"/>
  <c r="E18" i="1" s="1"/>
  <c r="AG18" i="1"/>
  <c r="AI18" i="1" s="1"/>
  <c r="AS18" i="1"/>
  <c r="X18" i="1"/>
  <c r="Z18" i="1" s="1"/>
  <c r="AH78" i="1"/>
  <c r="Y30" i="1"/>
  <c r="D559" i="5"/>
  <c r="E559" i="5" s="1"/>
  <c r="AA559" i="5"/>
  <c r="AB559" i="5" s="1"/>
  <c r="BB559" i="5"/>
  <c r="AL559" i="5"/>
  <c r="AH559" i="5"/>
  <c r="AI559" i="5" s="1"/>
  <c r="D298" i="62898"/>
  <c r="E298" i="62898" s="1"/>
  <c r="Z298" i="62898"/>
  <c r="BA298" i="62898"/>
  <c r="AG298" i="62898"/>
  <c r="AK298" i="62898"/>
  <c r="AG41" i="1"/>
  <c r="AI36" i="1"/>
  <c r="AI41" i="1" s="1"/>
  <c r="L142" i="1" s="1"/>
  <c r="Y17" i="62904"/>
  <c r="Z17" i="62904" s="1"/>
  <c r="AH17" i="62904"/>
  <c r="AD17" i="62904"/>
  <c r="AE17" i="62904" s="1"/>
  <c r="AT17" i="62904"/>
  <c r="K29" i="62915"/>
  <c r="W29" i="62915" s="1"/>
  <c r="Z17" i="62898"/>
  <c r="S24" i="62898"/>
  <c r="AG17" i="62898"/>
  <c r="AK17" i="62898"/>
  <c r="BA17" i="62898"/>
  <c r="Z78" i="1"/>
  <c r="AC41" i="1"/>
  <c r="AE36" i="1"/>
  <c r="G523" i="5"/>
  <c r="I523" i="5" s="1"/>
  <c r="Y523" i="5"/>
  <c r="J196" i="1"/>
  <c r="J16" i="62915"/>
  <c r="AS41" i="1"/>
  <c r="AD27" i="1"/>
  <c r="AE27" i="1" s="1"/>
  <c r="AH27" i="1"/>
  <c r="AI27" i="1" s="1"/>
  <c r="Y27" i="1"/>
  <c r="Z27" i="1" s="1"/>
  <c r="AT27" i="1"/>
  <c r="D222" i="5"/>
  <c r="E222" i="5" s="1"/>
  <c r="BA222" i="5"/>
  <c r="AK222" i="5"/>
  <c r="AM222" i="5" s="1"/>
  <c r="AG222" i="5"/>
  <c r="AI222" i="5" s="1"/>
  <c r="Z222" i="5"/>
  <c r="AB222" i="5" s="1"/>
  <c r="AH27" i="62904"/>
  <c r="AH30" i="62904" s="1"/>
  <c r="AT27" i="62904"/>
  <c r="AT30" i="62904" s="1"/>
  <c r="AD27" i="62904"/>
  <c r="AD30" i="62904" s="1"/>
  <c r="T30" i="62904"/>
  <c r="Y27" i="62904"/>
  <c r="G119" i="5"/>
  <c r="I119" i="5" s="1"/>
  <c r="Y119" i="5"/>
  <c r="L161" i="1"/>
  <c r="D517" i="5"/>
  <c r="E515" i="5"/>
  <c r="E517" i="5" s="1"/>
  <c r="AN492" i="5"/>
  <c r="AO492" i="5" s="1"/>
  <c r="BD492" i="5"/>
  <c r="AI492" i="5"/>
  <c r="AJ492" i="5" s="1"/>
  <c r="AB492" i="5"/>
  <c r="AC492" i="5" s="1"/>
  <c r="BG492" i="5"/>
  <c r="X41" i="1"/>
  <c r="Z36" i="1"/>
  <c r="AA423" i="5"/>
  <c r="AB423" i="5" s="1"/>
  <c r="BB423" i="5"/>
  <c r="AH423" i="5"/>
  <c r="AI423" i="5" s="1"/>
  <c r="AL423" i="5"/>
  <c r="AM423" i="5" s="1"/>
  <c r="D532" i="5"/>
  <c r="E532" i="5" s="1"/>
  <c r="AK532" i="5"/>
  <c r="S535" i="5"/>
  <c r="BA532" i="5"/>
  <c r="BA535" i="5" s="1"/>
  <c r="AG532" i="5"/>
  <c r="Z532" i="5"/>
  <c r="G321" i="5"/>
  <c r="I321" i="5" s="1"/>
  <c r="Y321" i="5"/>
  <c r="AI74" i="1"/>
  <c r="AI78" i="1" s="1"/>
  <c r="AG78" i="1"/>
  <c r="U236" i="62898"/>
  <c r="AH236" i="62898"/>
  <c r="AM236" i="62898"/>
  <c r="AM238" i="62898" s="1"/>
  <c r="T238" i="62898"/>
  <c r="AA236" i="62898"/>
  <c r="AA238" i="62898" s="1"/>
  <c r="BF236" i="62898"/>
  <c r="BF238" i="62898" s="1"/>
  <c r="D14" i="62905"/>
  <c r="E14" i="62905" s="1"/>
  <c r="X14" i="62905"/>
  <c r="Z14" i="62905" s="1"/>
  <c r="AC14" i="62905"/>
  <c r="AE14" i="62905" s="1"/>
  <c r="AS14" i="62905"/>
  <c r="AG14" i="62905"/>
  <c r="AI14" i="62905" s="1"/>
  <c r="BB270" i="62898"/>
  <c r="AA270" i="62898"/>
  <c r="AL270" i="62898"/>
  <c r="AM270" i="62898" s="1"/>
  <c r="T276" i="62898"/>
  <c r="AH270" i="62898"/>
  <c r="AI270" i="62898" s="1"/>
  <c r="AG129" i="5"/>
  <c r="AK129" i="5"/>
  <c r="Z129" i="5"/>
  <c r="BA129" i="5"/>
  <c r="D329" i="5"/>
  <c r="D302" i="62898"/>
  <c r="E302" i="62898" s="1"/>
  <c r="BA302" i="62898"/>
  <c r="AG302" i="62898"/>
  <c r="AI302" i="62898" s="1"/>
  <c r="Z302" i="62898"/>
  <c r="AB302" i="62898" s="1"/>
  <c r="AK302" i="62898"/>
  <c r="AM302" i="62898" s="1"/>
  <c r="AK150" i="5"/>
  <c r="AM150" i="5" s="1"/>
  <c r="Z150" i="5"/>
  <c r="AB150" i="5" s="1"/>
  <c r="BA150" i="5"/>
  <c r="AG150" i="5"/>
  <c r="AI150" i="5" s="1"/>
  <c r="D16" i="62904"/>
  <c r="E16" i="62904" s="1"/>
  <c r="AS16" i="62904"/>
  <c r="X16" i="62904"/>
  <c r="Z16" i="62904" s="1"/>
  <c r="AG16" i="62904"/>
  <c r="AC16" i="62904"/>
  <c r="AE16" i="62904" s="1"/>
  <c r="AL219" i="5"/>
  <c r="AM219" i="5" s="1"/>
  <c r="AA219" i="5"/>
  <c r="AB219" i="5" s="1"/>
  <c r="BB219" i="5"/>
  <c r="AH219" i="5"/>
  <c r="AI219" i="5" s="1"/>
  <c r="AT41" i="1"/>
  <c r="AB291" i="5"/>
  <c r="AN291" i="5"/>
  <c r="BD291" i="5"/>
  <c r="AI291" i="5"/>
  <c r="BG291" i="5"/>
  <c r="G180" i="62904"/>
  <c r="M147" i="62904"/>
  <c r="F180" i="62904"/>
  <c r="F32" i="62915" s="1"/>
  <c r="R32" i="62915" s="1"/>
  <c r="J180" i="62904"/>
  <c r="J32" i="62915" s="1"/>
  <c r="K180" i="62904"/>
  <c r="K32" i="62915" s="1"/>
  <c r="W32" i="62915" s="1"/>
  <c r="M144" i="62904"/>
  <c r="F144" i="62904"/>
  <c r="E180" i="62904"/>
  <c r="L144" i="62904"/>
  <c r="L30" i="62914" s="1"/>
  <c r="L147" i="62904"/>
  <c r="L33" i="62914" s="1"/>
  <c r="E144" i="62904"/>
  <c r="F147" i="62904"/>
  <c r="F33" i="62914" s="1"/>
  <c r="R33" i="62914" s="1"/>
  <c r="E147" i="62904"/>
  <c r="G147" i="62904"/>
  <c r="G144" i="62904"/>
  <c r="AL276" i="62898"/>
  <c r="AC291" i="5"/>
  <c r="E304" i="62898"/>
  <c r="AD14" i="62904"/>
  <c r="AD20" i="62904" s="1"/>
  <c r="Y14" i="62904"/>
  <c r="Y20" i="62904" s="1"/>
  <c r="T20" i="62904"/>
  <c r="AH14" i="62904"/>
  <c r="AH20" i="62904" s="1"/>
  <c r="AT14" i="62904"/>
  <c r="AT20" i="62904" s="1"/>
  <c r="AK420" i="5"/>
  <c r="Z420" i="5"/>
  <c r="BA420" i="5"/>
  <c r="AG420" i="5"/>
  <c r="AD18" i="62904"/>
  <c r="AH18" i="62904"/>
  <c r="AI18" i="62904" s="1"/>
  <c r="Y18" i="62904"/>
  <c r="AT18" i="62904"/>
  <c r="Z494" i="5"/>
  <c r="Z496" i="5" s="1"/>
  <c r="AL494" i="5"/>
  <c r="AL496" i="5" s="1"/>
  <c r="AG494" i="5"/>
  <c r="AG496" i="5" s="1"/>
  <c r="S496" i="5"/>
  <c r="BE494" i="5"/>
  <c r="BE496" i="5" s="1"/>
  <c r="AH41" i="1"/>
  <c r="E165" i="1"/>
  <c r="K197" i="1"/>
  <c r="F171" i="1"/>
  <c r="F27" i="62914" s="1"/>
  <c r="R27" i="62914" s="1"/>
  <c r="F212" i="1"/>
  <c r="F34" i="62915" s="1"/>
  <c r="R34" i="62915" s="1"/>
  <c r="F165" i="1"/>
  <c r="G197" i="1"/>
  <c r="L171" i="1"/>
  <c r="L27" i="62914" s="1"/>
  <c r="J212" i="1"/>
  <c r="J34" i="62915" s="1"/>
  <c r="E212" i="1"/>
  <c r="E34" i="62915" s="1"/>
  <c r="Q34" i="62915" s="1"/>
  <c r="L165" i="1"/>
  <c r="M170" i="1"/>
  <c r="M26" i="62914" s="1"/>
  <c r="Y26" i="62914" s="1"/>
  <c r="F170" i="1"/>
  <c r="F26" i="62914" s="1"/>
  <c r="R26" i="62914" s="1"/>
  <c r="E203" i="1"/>
  <c r="E25" i="62915" s="1"/>
  <c r="Q25" i="62915" s="1"/>
  <c r="K212" i="1"/>
  <c r="K34" i="62915" s="1"/>
  <c r="W34" i="62915" s="1"/>
  <c r="M165" i="1"/>
  <c r="E170" i="1"/>
  <c r="E26" i="62914" s="1"/>
  <c r="Q26" i="62914" s="1"/>
  <c r="G165" i="1"/>
  <c r="G171" i="1"/>
  <c r="G27" i="62914" s="1"/>
  <c r="S27" i="62914" s="1"/>
  <c r="J197" i="1"/>
  <c r="E171" i="1"/>
  <c r="E27" i="62914" s="1"/>
  <c r="Q27" i="62914" s="1"/>
  <c r="E197" i="1"/>
  <c r="F203" i="1"/>
  <c r="F25" i="62915" s="1"/>
  <c r="R25" i="62915" s="1"/>
  <c r="K203" i="1"/>
  <c r="K25" i="62915" s="1"/>
  <c r="W25" i="62915" s="1"/>
  <c r="M171" i="1"/>
  <c r="M27" i="62914" s="1"/>
  <c r="Y27" i="62914" s="1"/>
  <c r="F197" i="1"/>
  <c r="G212" i="1"/>
  <c r="G34" i="62915" s="1"/>
  <c r="S34" i="62915" s="1"/>
  <c r="G170" i="1"/>
  <c r="G26" i="62914" s="1"/>
  <c r="S26" i="62914" s="1"/>
  <c r="G203" i="1"/>
  <c r="G25" i="62915" s="1"/>
  <c r="S25" i="62915" s="1"/>
  <c r="L652" i="5"/>
  <c r="L654" i="5" s="1"/>
  <c r="AI269" i="62898"/>
  <c r="F145" i="62904"/>
  <c r="F31" i="62914" s="1"/>
  <c r="R31" i="62914" s="1"/>
  <c r="AK22" i="62898"/>
  <c r="Z22" i="62898"/>
  <c r="AG22" i="62898"/>
  <c r="BA22" i="62898"/>
  <c r="BA330" i="5"/>
  <c r="BA333" i="5" s="1"/>
  <c r="AG330" i="5"/>
  <c r="AG333" i="5" s="1"/>
  <c r="AK330" i="5"/>
  <c r="AK333" i="5" s="1"/>
  <c r="Z330" i="5"/>
  <c r="Z333" i="5" s="1"/>
  <c r="S333" i="5"/>
  <c r="D28" i="62904"/>
  <c r="E28" i="62904" s="1"/>
  <c r="AS28" i="62904"/>
  <c r="AC28" i="62904"/>
  <c r="X28" i="62904"/>
  <c r="AG28" i="62904"/>
  <c r="AI28" i="62904" s="1"/>
  <c r="S238" i="62898"/>
  <c r="AG234" i="62898"/>
  <c r="AL234" i="62898"/>
  <c r="BE234" i="62898"/>
  <c r="Z234" i="62898"/>
  <c r="AD41" i="1"/>
  <c r="AJ90" i="5"/>
  <c r="AM559" i="5"/>
  <c r="BB276" i="62898"/>
  <c r="AI17" i="62904"/>
  <c r="X27" i="62904"/>
  <c r="AG27" i="62904"/>
  <c r="AI27" i="62904" s="1"/>
  <c r="AS27" i="62904"/>
  <c r="AC27" i="62904"/>
  <c r="AE27" i="62904" s="1"/>
  <c r="D155" i="5"/>
  <c r="E155" i="5" s="1"/>
  <c r="Y17" i="1"/>
  <c r="AH17" i="1"/>
  <c r="AH20" i="1" s="1"/>
  <c r="AT17" i="1"/>
  <c r="AD17" i="1"/>
  <c r="AE17" i="1" s="1"/>
  <c r="D26" i="62904"/>
  <c r="E26" i="62904" s="1"/>
  <c r="E30" i="62904" s="1"/>
  <c r="AS26" i="62904"/>
  <c r="S30" i="62904"/>
  <c r="X26" i="62904"/>
  <c r="Z26" i="62904" s="1"/>
  <c r="AC26" i="62904"/>
  <c r="AE26" i="62904" s="1"/>
  <c r="AG26" i="62904"/>
  <c r="Y41" i="1"/>
  <c r="BD90" i="5"/>
  <c r="AI90" i="5"/>
  <c r="AB90" i="5"/>
  <c r="AC90" i="5" s="1"/>
  <c r="AN90" i="5"/>
  <c r="BG90" i="5"/>
  <c r="D17" i="62904"/>
  <c r="E17" i="62904" s="1"/>
  <c r="AK556" i="5"/>
  <c r="AM556" i="5" s="1"/>
  <c r="Z556" i="5"/>
  <c r="AB556" i="5" s="1"/>
  <c r="AG556" i="5"/>
  <c r="AI556" i="5" s="1"/>
  <c r="BA556" i="5"/>
  <c r="AH22" i="62898"/>
  <c r="AA22" i="62898"/>
  <c r="BB22" i="62898"/>
  <c r="AL22" i="62898"/>
  <c r="D15" i="5"/>
  <c r="E15" i="5" s="1"/>
  <c r="AK15" i="5"/>
  <c r="AM15" i="5" s="1"/>
  <c r="Z15" i="5"/>
  <c r="AB15" i="5" s="1"/>
  <c r="AG15" i="5"/>
  <c r="AI15" i="5" s="1"/>
  <c r="BA15" i="5"/>
  <c r="D127" i="5"/>
  <c r="E127" i="5" s="1"/>
  <c r="Z127" i="5"/>
  <c r="AK127" i="5"/>
  <c r="BA127" i="5"/>
  <c r="BA131" i="5" s="1"/>
  <c r="S131" i="5"/>
  <c r="AG127" i="5"/>
  <c r="AO90" i="5"/>
  <c r="AI271" i="62898"/>
  <c r="AG276" i="62898"/>
  <c r="T157" i="5"/>
  <c r="E276" i="62898"/>
  <c r="D18" i="62898"/>
  <c r="E18" i="62898" s="1"/>
  <c r="E24" i="62898" s="1"/>
  <c r="Z18" i="62898"/>
  <c r="AB18" i="62898" s="1"/>
  <c r="AG18" i="62898"/>
  <c r="AI18" i="62898" s="1"/>
  <c r="BA18" i="62898"/>
  <c r="AK18" i="62898"/>
  <c r="AM18" i="62898" s="1"/>
  <c r="AA16" i="5"/>
  <c r="AA22" i="5" s="1"/>
  <c r="BB16" i="5"/>
  <c r="AL16" i="5"/>
  <c r="AL22" i="5" s="1"/>
  <c r="AH16" i="5"/>
  <c r="AH22" i="5" s="1"/>
  <c r="T22" i="5"/>
  <c r="AA297" i="62898"/>
  <c r="T304" i="62898"/>
  <c r="AL297" i="62898"/>
  <c r="AH297" i="62898"/>
  <c r="AI297" i="62898" s="1"/>
  <c r="BB297" i="62898"/>
  <c r="BB304" i="62898" s="1"/>
  <c r="D151" i="5"/>
  <c r="E151" i="5" s="1"/>
  <c r="AG151" i="5"/>
  <c r="AI151" i="5" s="1"/>
  <c r="BA151" i="5"/>
  <c r="AK151" i="5"/>
  <c r="AM151" i="5" s="1"/>
  <c r="Z151" i="5"/>
  <c r="AB151" i="5" s="1"/>
  <c r="BB154" i="5"/>
  <c r="AL154" i="5"/>
  <c r="AA154" i="5"/>
  <c r="AH154" i="5"/>
  <c r="S276" i="62898"/>
  <c r="AE39" i="1"/>
  <c r="Y15" i="62914"/>
  <c r="Y17" i="62914" s="1"/>
  <c r="M17" i="62914"/>
  <c r="AB235" i="62898"/>
  <c r="BG235" i="62898"/>
  <c r="AN235" i="62898"/>
  <c r="AI235" i="62898"/>
  <c r="BD235" i="62898"/>
  <c r="U238" i="62898"/>
  <c r="Z39" i="1"/>
  <c r="D89" i="1"/>
  <c r="E84" i="1"/>
  <c r="E89" i="1" s="1"/>
  <c r="D556" i="5"/>
  <c r="E556" i="5" s="1"/>
  <c r="Z16" i="5"/>
  <c r="AB16" i="5" s="1"/>
  <c r="AK16" i="5"/>
  <c r="AM16" i="5" s="1"/>
  <c r="BA16" i="5"/>
  <c r="AG16" i="5"/>
  <c r="BB221" i="5"/>
  <c r="AL221" i="5"/>
  <c r="AM221" i="5" s="1"/>
  <c r="AH221" i="5"/>
  <c r="AI221" i="5" s="1"/>
  <c r="AA221" i="5"/>
  <c r="AB221" i="5" s="1"/>
  <c r="BA17" i="5"/>
  <c r="Z17" i="5"/>
  <c r="AB17" i="5" s="1"/>
  <c r="AG17" i="5"/>
  <c r="AI17" i="5" s="1"/>
  <c r="AK17" i="5"/>
  <c r="AM17" i="5" s="1"/>
  <c r="AG217" i="5"/>
  <c r="AG224" i="5" s="1"/>
  <c r="AK217" i="5"/>
  <c r="AK224" i="5" s="1"/>
  <c r="Z217" i="5"/>
  <c r="BA217" i="5"/>
  <c r="BA224" i="5" s="1"/>
  <c r="S224" i="5"/>
  <c r="D217" i="5"/>
  <c r="E217" i="5" s="1"/>
  <c r="E224" i="5" s="1"/>
  <c r="AA217" i="5"/>
  <c r="AA224" i="5" s="1"/>
  <c r="AL217" i="5"/>
  <c r="BB217" i="5"/>
  <c r="BB224" i="5" s="1"/>
  <c r="T224" i="5"/>
  <c r="AH217" i="5"/>
  <c r="D18" i="62904"/>
  <c r="E18" i="62904" s="1"/>
  <c r="AL19" i="5"/>
  <c r="AA19" i="5"/>
  <c r="AH19" i="5"/>
  <c r="BB19" i="5"/>
  <c r="AL128" i="62898"/>
  <c r="AM128" i="62898" s="1"/>
  <c r="AA128" i="62898"/>
  <c r="AB128" i="62898" s="1"/>
  <c r="AH128" i="62898"/>
  <c r="AI128" i="62898" s="1"/>
  <c r="BB128" i="62898"/>
  <c r="D290" i="5"/>
  <c r="AL290" i="5"/>
  <c r="Z290" i="5"/>
  <c r="BE290" i="5"/>
  <c r="BE294" i="5" s="1"/>
  <c r="AG290" i="5"/>
  <c r="S294" i="5"/>
  <c r="U292" i="5"/>
  <c r="BF292" i="5"/>
  <c r="BF294" i="5" s="1"/>
  <c r="AA292" i="5"/>
  <c r="AA294" i="5" s="1"/>
  <c r="T294" i="5"/>
  <c r="AM292" i="5"/>
  <c r="AH292" i="5"/>
  <c r="AH294" i="5" s="1"/>
  <c r="D353" i="5"/>
  <c r="E353" i="5" s="1"/>
  <c r="Z353" i="5"/>
  <c r="AB353" i="5" s="1"/>
  <c r="BA353" i="5"/>
  <c r="AK353" i="5"/>
  <c r="AM353" i="5" s="1"/>
  <c r="AG353" i="5"/>
  <c r="AI353" i="5" s="1"/>
  <c r="AI274" i="62898"/>
  <c r="AI296" i="62898"/>
  <c r="AH238" i="62898"/>
  <c r="D41" i="62904"/>
  <c r="E41" i="62904" s="1"/>
  <c r="AC41" i="62904"/>
  <c r="X41" i="62904"/>
  <c r="AE41" i="62904"/>
  <c r="AO41" i="62904"/>
  <c r="AM60" i="5"/>
  <c r="BE60" i="5"/>
  <c r="Z60" i="5"/>
  <c r="AG60" i="5"/>
  <c r="C89" i="62892"/>
  <c r="I139" i="62905"/>
  <c r="E139" i="62905"/>
  <c r="Q139" i="62905"/>
  <c r="T139" i="62905"/>
  <c r="AG260" i="5"/>
  <c r="BE260" i="5"/>
  <c r="Z260" i="5"/>
  <c r="AM260" i="5"/>
  <c r="AN49" i="5"/>
  <c r="BF49" i="5"/>
  <c r="AH49" i="5"/>
  <c r="AA49" i="5"/>
  <c r="D40" i="62904"/>
  <c r="E40" i="62904" s="1"/>
  <c r="AO40" i="62904"/>
  <c r="AE40" i="62904"/>
  <c r="X40" i="62904"/>
  <c r="AC40" i="62904"/>
  <c r="AG254" i="5"/>
  <c r="BE254" i="5"/>
  <c r="Z254" i="5"/>
  <c r="AM254" i="5"/>
  <c r="AN249" i="5"/>
  <c r="BF249" i="5"/>
  <c r="AA249" i="5"/>
  <c r="AH249" i="5"/>
  <c r="D39" i="62904"/>
  <c r="X39" i="62904"/>
  <c r="N43" i="62904"/>
  <c r="AE39" i="62904"/>
  <c r="AO39" i="62904"/>
  <c r="AC39" i="62904"/>
  <c r="H205" i="7"/>
  <c r="N228" i="7"/>
  <c r="M263" i="7"/>
  <c r="AI258" i="5"/>
  <c r="AO258" i="5"/>
  <c r="BG258" i="5"/>
  <c r="AB258" i="5"/>
  <c r="D133" i="62898"/>
  <c r="E126" i="62898"/>
  <c r="E133" i="62898" s="1"/>
  <c r="BF260" i="5"/>
  <c r="AN260" i="5"/>
  <c r="AH260" i="5"/>
  <c r="AA260" i="5"/>
  <c r="BF252" i="5"/>
  <c r="AN252" i="5"/>
  <c r="AH252" i="5"/>
  <c r="AA252" i="5"/>
  <c r="BF460" i="5"/>
  <c r="AN460" i="5"/>
  <c r="AA460" i="5"/>
  <c r="AH460" i="5"/>
  <c r="D255" i="5"/>
  <c r="E255" i="5" s="1"/>
  <c r="Z255" i="5"/>
  <c r="AM255" i="5"/>
  <c r="AG255" i="5"/>
  <c r="BE255" i="5"/>
  <c r="BG49" i="5"/>
  <c r="AI49" i="5"/>
  <c r="AB49" i="5"/>
  <c r="AO49" i="5"/>
  <c r="AB50" i="5"/>
  <c r="AO50" i="5"/>
  <c r="AI50" i="5"/>
  <c r="BG50" i="5"/>
  <c r="AI259" i="5"/>
  <c r="BG259" i="5"/>
  <c r="AO259" i="5"/>
  <c r="AB259" i="5"/>
  <c r="AI60" i="5"/>
  <c r="BG60" i="5"/>
  <c r="AB60" i="5"/>
  <c r="AO60" i="5"/>
  <c r="AH458" i="5"/>
  <c r="BF458" i="5"/>
  <c r="AA458" i="5"/>
  <c r="AN458" i="5"/>
  <c r="D13" i="1"/>
  <c r="AC13" i="1"/>
  <c r="AG13" i="1"/>
  <c r="AS13" i="1"/>
  <c r="X13" i="1"/>
  <c r="S20" i="1"/>
  <c r="AA255" i="5"/>
  <c r="AH255" i="5"/>
  <c r="AN255" i="5"/>
  <c r="BF255" i="5"/>
  <c r="BE259" i="5"/>
  <c r="AM259" i="5"/>
  <c r="Z259" i="5"/>
  <c r="AG259" i="5"/>
  <c r="BG456" i="5"/>
  <c r="AI456" i="5"/>
  <c r="AB456" i="5"/>
  <c r="AO456" i="5"/>
  <c r="E232" i="5"/>
  <c r="D243" i="5"/>
  <c r="AM50" i="5"/>
  <c r="BE50" i="5"/>
  <c r="Z50" i="5"/>
  <c r="AG50" i="5"/>
  <c r="AA52" i="5"/>
  <c r="AN52" i="5"/>
  <c r="BF52" i="5"/>
  <c r="AH52" i="5"/>
  <c r="BF456" i="5"/>
  <c r="AA456" i="5"/>
  <c r="AN456" i="5"/>
  <c r="AH456" i="5"/>
  <c r="D456" i="5"/>
  <c r="E456" i="5" s="1"/>
  <c r="J263" i="7"/>
  <c r="L228" i="7"/>
  <c r="BF56" i="5"/>
  <c r="AN56" i="5"/>
  <c r="AH56" i="5"/>
  <c r="AA56" i="5"/>
  <c r="N172" i="2"/>
  <c r="L68" i="62892"/>
  <c r="AG250" i="5"/>
  <c r="BE250" i="5"/>
  <c r="Z250" i="5"/>
  <c r="AM250" i="5"/>
  <c r="O35" i="62898"/>
  <c r="AN30" i="62898"/>
  <c r="BF30" i="62898"/>
  <c r="AA30" i="62898"/>
  <c r="AH30" i="62898"/>
  <c r="T27" i="62905"/>
  <c r="AT24" i="62905"/>
  <c r="AH24" i="62905"/>
  <c r="AD24" i="62905"/>
  <c r="Y24" i="62905"/>
  <c r="G106" i="2"/>
  <c r="H106" i="2" s="1"/>
  <c r="H121" i="62905"/>
  <c r="I121" i="62905" s="1"/>
  <c r="I2197" i="62906"/>
  <c r="O2275" i="62906"/>
  <c r="E2197" i="62906"/>
  <c r="E2296" i="62906" s="1"/>
  <c r="H1719" i="62906" s="1"/>
  <c r="D13" i="62905"/>
  <c r="S17" i="62905"/>
  <c r="AC13" i="62905"/>
  <c r="X13" i="62905"/>
  <c r="AS13" i="62905"/>
  <c r="AS17" i="62905" s="1"/>
  <c r="AG13" i="62905"/>
  <c r="AH57" i="5"/>
  <c r="AJ57" i="5" s="1"/>
  <c r="BF57" i="5"/>
  <c r="AA57" i="5"/>
  <c r="AC57" i="5" s="1"/>
  <c r="AN57" i="5"/>
  <c r="AP57" i="5" s="1"/>
  <c r="BG94" i="62898"/>
  <c r="AO94" i="62898"/>
  <c r="AP94" i="62898" s="1"/>
  <c r="AI94" i="62898"/>
  <c r="AJ94" i="62898" s="1"/>
  <c r="AB94" i="62898"/>
  <c r="D385" i="5"/>
  <c r="BA385" i="5"/>
  <c r="BA389" i="5" s="1"/>
  <c r="Z385" i="5"/>
  <c r="AG385" i="5"/>
  <c r="AL385" i="5"/>
  <c r="M389" i="5"/>
  <c r="AO461" i="5"/>
  <c r="AI461" i="5"/>
  <c r="BG461" i="5"/>
  <c r="AB461" i="5"/>
  <c r="D419" i="5"/>
  <c r="BA419" i="5"/>
  <c r="BA426" i="5" s="1"/>
  <c r="AK419" i="5"/>
  <c r="S426" i="5"/>
  <c r="Z419" i="5"/>
  <c r="AG419" i="5"/>
  <c r="D257" i="5"/>
  <c r="E257" i="5" s="1"/>
  <c r="AG257" i="5"/>
  <c r="AM257" i="5"/>
  <c r="Z257" i="5"/>
  <c r="BE257" i="5"/>
  <c r="AL419" i="5"/>
  <c r="AA419" i="5"/>
  <c r="AH419" i="5"/>
  <c r="AH426" i="5" s="1"/>
  <c r="BB419" i="5"/>
  <c r="T426" i="5"/>
  <c r="E205" i="62898"/>
  <c r="E207" i="62898" s="1"/>
  <c r="D207" i="62898"/>
  <c r="AH19" i="62898"/>
  <c r="T24" i="62898"/>
  <c r="AA19" i="62898"/>
  <c r="AL19" i="62898"/>
  <c r="BB19" i="62898"/>
  <c r="BB24" i="62898" s="1"/>
  <c r="F12" i="62915"/>
  <c r="F159" i="3"/>
  <c r="Z96" i="62898"/>
  <c r="AC94" i="62898"/>
  <c r="AA257" i="5"/>
  <c r="AH257" i="5"/>
  <c r="AN257" i="5"/>
  <c r="BF257" i="5"/>
  <c r="D15" i="62905"/>
  <c r="E15" i="62905" s="1"/>
  <c r="X15" i="62905"/>
  <c r="AC15" i="62905"/>
  <c r="AG15" i="62905"/>
  <c r="AS15" i="62905"/>
  <c r="N2183" i="62906"/>
  <c r="D2196" i="62906" s="1"/>
  <c r="D2295" i="62906" s="1"/>
  <c r="G1704" i="62906" s="1"/>
  <c r="X19" i="2"/>
  <c r="N2184" i="62906"/>
  <c r="D2197" i="62906"/>
  <c r="D2296" i="62906" s="1"/>
  <c r="G1719" i="62906" s="1"/>
  <c r="X18" i="2"/>
  <c r="X21" i="2" s="1"/>
  <c r="C29" i="62892"/>
  <c r="E207" i="7"/>
  <c r="T207" i="7"/>
  <c r="I207" i="7"/>
  <c r="Q207" i="7"/>
  <c r="D55" i="5"/>
  <c r="E55" i="5" s="1"/>
  <c r="AM55" i="5"/>
  <c r="AG55" i="5"/>
  <c r="AJ55" i="5" s="1"/>
  <c r="BE55" i="5"/>
  <c r="Z55" i="5"/>
  <c r="AC55" i="5" s="1"/>
  <c r="AH25" i="62905"/>
  <c r="AI25" i="62905" s="1"/>
  <c r="AD25" i="62905"/>
  <c r="AE25" i="62905" s="1"/>
  <c r="AT25" i="62905"/>
  <c r="Y25" i="62905"/>
  <c r="Z25" i="62905" s="1"/>
  <c r="F2197" i="62906"/>
  <c r="F2296" i="62906" s="1"/>
  <c r="I1719" i="62906" s="1"/>
  <c r="I2251" i="62906"/>
  <c r="U2232" i="62906"/>
  <c r="H2251" i="62906" s="1"/>
  <c r="D41" i="1"/>
  <c r="D142" i="1" s="1"/>
  <c r="P35" i="62898"/>
  <c r="AI31" i="62898"/>
  <c r="AI35" i="62898" s="1"/>
  <c r="AB31" i="62898"/>
  <c r="AB35" i="62898" s="1"/>
  <c r="AO31" i="62898"/>
  <c r="AO35" i="62898" s="1"/>
  <c r="BG31" i="62898"/>
  <c r="BG35" i="62898" s="1"/>
  <c r="AA459" i="5"/>
  <c r="AH459" i="5"/>
  <c r="BF459" i="5"/>
  <c r="AN459" i="5"/>
  <c r="D41" i="5"/>
  <c r="O260" i="62898"/>
  <c r="AB255" i="62898"/>
  <c r="BG255" i="62898"/>
  <c r="AO255" i="62898"/>
  <c r="BD255" i="62898"/>
  <c r="AI255" i="62898"/>
  <c r="BG435" i="5"/>
  <c r="AI435" i="5"/>
  <c r="AO435" i="5"/>
  <c r="T445" i="5"/>
  <c r="AB435" i="5"/>
  <c r="D24" i="62905"/>
  <c r="D344" i="62898"/>
  <c r="E340" i="62898"/>
  <c r="E344" i="62898" s="1"/>
  <c r="D46" i="62898"/>
  <c r="J12" i="62915"/>
  <c r="J159" i="3"/>
  <c r="R24" i="62911"/>
  <c r="I24" i="62911" s="1"/>
  <c r="H25" i="62911"/>
  <c r="C22" i="62892"/>
  <c r="I200" i="7"/>
  <c r="T200" i="7"/>
  <c r="E200" i="7"/>
  <c r="Q200" i="7"/>
  <c r="Y15" i="62905"/>
  <c r="Y17" i="62905" s="1"/>
  <c r="AH15" i="62905"/>
  <c r="AH17" i="62905" s="1"/>
  <c r="AD15" i="62905"/>
  <c r="AD17" i="62905" s="1"/>
  <c r="AT15" i="62905"/>
  <c r="AT17" i="62905" s="1"/>
  <c r="T17" i="62905"/>
  <c r="L1740" i="62906"/>
  <c r="D2199" i="62906"/>
  <c r="D2298" i="62906" s="1"/>
  <c r="L1737" i="62906"/>
  <c r="I2199" i="62906"/>
  <c r="E2199" i="62906"/>
  <c r="E2298" i="62906" s="1"/>
  <c r="L1739" i="62906"/>
  <c r="F2199" i="62906"/>
  <c r="F2298" i="62906" s="1"/>
  <c r="L1736" i="62906"/>
  <c r="G2199" i="62906"/>
  <c r="G2298" i="62906" s="1"/>
  <c r="C2199" i="62906"/>
  <c r="C2298" i="62906" s="1"/>
  <c r="L1738" i="62906"/>
  <c r="O2277" i="62906"/>
  <c r="D60" i="3"/>
  <c r="Q60" i="3"/>
  <c r="Q63" i="3" s="1"/>
  <c r="K109" i="3" s="1"/>
  <c r="Y60" i="3"/>
  <c r="Y63" i="3" s="1"/>
  <c r="I63" i="3"/>
  <c r="S60" i="3"/>
  <c r="S63" i="3" s="1"/>
  <c r="L109" i="3" s="1"/>
  <c r="N60" i="3"/>
  <c r="H2295" i="62906"/>
  <c r="Z52" i="5"/>
  <c r="AM52" i="5"/>
  <c r="AG52" i="5"/>
  <c r="BE52" i="5"/>
  <c r="R52" i="5"/>
  <c r="U52" i="5" s="1"/>
  <c r="C28" i="62892"/>
  <c r="I206" i="7"/>
  <c r="T206" i="7"/>
  <c r="E206" i="7"/>
  <c r="Q206" i="7"/>
  <c r="AL352" i="5"/>
  <c r="T359" i="5"/>
  <c r="AA352" i="5"/>
  <c r="AH352" i="5"/>
  <c r="BB352" i="5"/>
  <c r="BB359" i="5" s="1"/>
  <c r="Q451" i="5"/>
  <c r="T451" i="5" s="1"/>
  <c r="D143" i="62898"/>
  <c r="E46" i="62898"/>
  <c r="D67" i="62904"/>
  <c r="E62" i="62904"/>
  <c r="E67" i="62904" s="1"/>
  <c r="D24" i="62911"/>
  <c r="P24" i="62911"/>
  <c r="D16" i="2"/>
  <c r="T16" i="2"/>
  <c r="J21" i="2"/>
  <c r="AB16" i="2"/>
  <c r="AB21" i="2" s="1"/>
  <c r="Q16" i="2"/>
  <c r="Q21" i="2" s="1"/>
  <c r="V16" i="2"/>
  <c r="V21" i="2" s="1"/>
  <c r="L167" i="2" s="1"/>
  <c r="I2196" i="62906"/>
  <c r="O2274" i="62906"/>
  <c r="D506" i="5"/>
  <c r="E502" i="5"/>
  <c r="E506" i="5" s="1"/>
  <c r="C64" i="62892"/>
  <c r="I168" i="2"/>
  <c r="E168" i="2"/>
  <c r="Q168" i="2"/>
  <c r="T168" i="2"/>
  <c r="L73" i="11"/>
  <c r="F98" i="11" s="1"/>
  <c r="D69" i="11"/>
  <c r="D369" i="5"/>
  <c r="E365" i="5"/>
  <c r="E369" i="5" s="1"/>
  <c r="R51" i="5"/>
  <c r="U51" i="5" s="1"/>
  <c r="AO249" i="5"/>
  <c r="AB249" i="5"/>
  <c r="BG249" i="5"/>
  <c r="AI249" i="5"/>
  <c r="J464" i="62898"/>
  <c r="L431" i="62898"/>
  <c r="BE46" i="62898"/>
  <c r="D186" i="62898"/>
  <c r="E182" i="62898"/>
  <c r="E186" i="62898" s="1"/>
  <c r="D374" i="62898"/>
  <c r="F407" i="62898" s="1"/>
  <c r="E370" i="62898"/>
  <c r="E374" i="62898" s="1"/>
  <c r="D73" i="62904"/>
  <c r="I75" i="62904"/>
  <c r="AO73" i="62904"/>
  <c r="AO75" i="62904" s="1"/>
  <c r="AE73" i="62904"/>
  <c r="AE75" i="62904" s="1"/>
  <c r="L114" i="62904" s="1"/>
  <c r="AC73" i="62904"/>
  <c r="AC75" i="62904" s="1"/>
  <c r="K114" i="62904" s="1"/>
  <c r="I79" i="62892" s="1"/>
  <c r="L419" i="62898"/>
  <c r="L11" i="62914"/>
  <c r="K1726" i="62906"/>
  <c r="K1723" i="62906"/>
  <c r="K1728" i="62906"/>
  <c r="L1728" i="62906" s="1"/>
  <c r="K1724" i="62906"/>
  <c r="L1724" i="62906" s="1"/>
  <c r="K1719" i="62906"/>
  <c r="N27" i="11" s="1"/>
  <c r="O27" i="11" s="1"/>
  <c r="O32" i="11" s="1"/>
  <c r="K1729" i="62906"/>
  <c r="K1725" i="62906"/>
  <c r="K1727" i="62906"/>
  <c r="D56" i="5"/>
  <c r="E56" i="5" s="1"/>
  <c r="Z56" i="5"/>
  <c r="AM56" i="5"/>
  <c r="BE56" i="5"/>
  <c r="AG56" i="5"/>
  <c r="D154" i="7"/>
  <c r="D205" i="7" s="1"/>
  <c r="E107" i="1"/>
  <c r="C18" i="62892"/>
  <c r="Q111" i="3"/>
  <c r="E111" i="3"/>
  <c r="T111" i="3"/>
  <c r="I111" i="3"/>
  <c r="BG362" i="62898"/>
  <c r="AB362" i="62898"/>
  <c r="BD362" i="62898"/>
  <c r="AO362" i="62898"/>
  <c r="AI362" i="62898"/>
  <c r="E92" i="62898"/>
  <c r="J11" i="62915"/>
  <c r="J454" i="62898"/>
  <c r="E93" i="62904"/>
  <c r="H2308" i="62906"/>
  <c r="BF59" i="5"/>
  <c r="AA59" i="5"/>
  <c r="AN59" i="5"/>
  <c r="AH59" i="5"/>
  <c r="C2207" i="62906"/>
  <c r="C2308" i="62906" s="1"/>
  <c r="D2207" i="62906"/>
  <c r="D2308" i="62906" s="1"/>
  <c r="I2207" i="62906"/>
  <c r="E2207" i="62906"/>
  <c r="E2308" i="62906" s="1"/>
  <c r="F2207" i="62906"/>
  <c r="F2308" i="62906" s="1"/>
  <c r="G2207" i="62906"/>
  <c r="G2308" i="62906" s="1"/>
  <c r="O2287" i="62906"/>
  <c r="Z2189" i="62906"/>
  <c r="Z2186" i="62906"/>
  <c r="H2199" i="62906" s="1"/>
  <c r="D19" i="2"/>
  <c r="E19" i="2" s="1"/>
  <c r="Q19" i="2"/>
  <c r="T19" i="2"/>
  <c r="V19" i="2"/>
  <c r="AB19" i="2"/>
  <c r="AO361" i="62898"/>
  <c r="AB361" i="62898"/>
  <c r="BG361" i="62898"/>
  <c r="AI361" i="62898"/>
  <c r="BD361" i="62898"/>
  <c r="O364" i="62898"/>
  <c r="AA47" i="5"/>
  <c r="AN47" i="5"/>
  <c r="AH47" i="5"/>
  <c r="BF47" i="5"/>
  <c r="Q51" i="5"/>
  <c r="T51" i="5" s="1"/>
  <c r="T69" i="5" s="1"/>
  <c r="D379" i="5"/>
  <c r="E375" i="5"/>
  <c r="E379" i="5" s="1"/>
  <c r="AA362" i="62898"/>
  <c r="AA364" i="62898" s="1"/>
  <c r="BF362" i="62898"/>
  <c r="BF364" i="62898" s="1"/>
  <c r="AH362" i="62898"/>
  <c r="AH364" i="62898" s="1"/>
  <c r="AN362" i="62898"/>
  <c r="AN364" i="62898" s="1"/>
  <c r="N364" i="62898"/>
  <c r="D94" i="62898"/>
  <c r="E94" i="62898" s="1"/>
  <c r="G54" i="62914"/>
  <c r="F54" i="62914"/>
  <c r="X25" i="62914"/>
  <c r="D276" i="62898"/>
  <c r="D398" i="62898" s="1"/>
  <c r="D93" i="62904"/>
  <c r="D115" i="62904" s="1"/>
  <c r="M1735" i="62906"/>
  <c r="N56" i="11" s="1"/>
  <c r="O56" i="11" s="1"/>
  <c r="I2241" i="62906"/>
  <c r="U2228" i="62906"/>
  <c r="H2241" i="62906" s="1"/>
  <c r="AB30" i="5"/>
  <c r="AC30" i="5" s="1"/>
  <c r="AO30" i="5"/>
  <c r="AP30" i="5" s="1"/>
  <c r="AI30" i="5"/>
  <c r="AJ30" i="5" s="1"/>
  <c r="BG30" i="5"/>
  <c r="G2296" i="62906"/>
  <c r="J1719" i="62906" s="1"/>
  <c r="C2196" i="62906"/>
  <c r="C2295" i="62906" s="1"/>
  <c r="F1704" i="62906" s="1"/>
  <c r="AA54" i="5"/>
  <c r="AH54" i="5"/>
  <c r="BF54" i="5"/>
  <c r="AN54" i="5"/>
  <c r="BG352" i="62898"/>
  <c r="BG354" i="62898" s="1"/>
  <c r="M354" i="62898"/>
  <c r="AI352" i="62898"/>
  <c r="AO352" i="62898"/>
  <c r="AB352" i="62898"/>
  <c r="BD352" i="62898"/>
  <c r="BD354" i="62898" s="1"/>
  <c r="I2240" i="62906"/>
  <c r="R254" i="5"/>
  <c r="U254" i="5" s="1"/>
  <c r="D254" i="5" s="1"/>
  <c r="E254" i="5" s="1"/>
  <c r="I2238" i="62906"/>
  <c r="D18" i="2"/>
  <c r="E18" i="2" s="1"/>
  <c r="V18" i="2"/>
  <c r="T18" i="2"/>
  <c r="Q18" i="2"/>
  <c r="AB18" i="2"/>
  <c r="L1704" i="62906"/>
  <c r="L1705" i="62906" s="1"/>
  <c r="L1706" i="62906" s="1"/>
  <c r="L1707" i="62906" s="1"/>
  <c r="L1708" i="62906" s="1"/>
  <c r="L1709" i="62906" s="1"/>
  <c r="L1710" i="62906" s="1"/>
  <c r="L1711" i="62906" s="1"/>
  <c r="L1712" i="62906" s="1"/>
  <c r="L1713" i="62906" s="1"/>
  <c r="K1705" i="62906"/>
  <c r="N41" i="11"/>
  <c r="O41" i="11" s="1"/>
  <c r="E2208" i="62906"/>
  <c r="E2309" i="62906" s="1"/>
  <c r="G2196" i="62906"/>
  <c r="G2295" i="62906" s="1"/>
  <c r="J1704" i="62906" s="1"/>
  <c r="D100" i="9"/>
  <c r="D260" i="9" s="1"/>
  <c r="E96" i="9"/>
  <c r="E100" i="9" s="1"/>
  <c r="E150" i="5"/>
  <c r="D281" i="5"/>
  <c r="AI256" i="62898"/>
  <c r="AJ256" i="62898" s="1"/>
  <c r="BD256" i="62898"/>
  <c r="AO256" i="62898"/>
  <c r="AP256" i="62898" s="1"/>
  <c r="BG256" i="62898"/>
  <c r="AB256" i="62898"/>
  <c r="AC256" i="62898" s="1"/>
  <c r="R458" i="5"/>
  <c r="U458" i="5" s="1"/>
  <c r="D362" i="62898"/>
  <c r="E362" i="62898" s="1"/>
  <c r="E364" i="62898" s="1"/>
  <c r="Z362" i="62898"/>
  <c r="BE362" i="62898"/>
  <c r="BE364" i="62898" s="1"/>
  <c r="AM362" i="62898"/>
  <c r="M364" i="62898"/>
  <c r="AG362" i="62898"/>
  <c r="D30" i="62898"/>
  <c r="N35" i="62898"/>
  <c r="Z30" i="62898"/>
  <c r="AM30" i="62898"/>
  <c r="BE30" i="62898"/>
  <c r="BE35" i="62898" s="1"/>
  <c r="AG30" i="62898"/>
  <c r="D304" i="62898"/>
  <c r="M1710" i="62906"/>
  <c r="V59" i="62905"/>
  <c r="U494" i="5"/>
  <c r="AM494" i="5"/>
  <c r="AH494" i="5"/>
  <c r="AA494" i="5"/>
  <c r="T496" i="5"/>
  <c r="BF494" i="5"/>
  <c r="BF496" i="5" s="1"/>
  <c r="E432" i="5"/>
  <c r="AN93" i="62904"/>
  <c r="H177" i="62904" s="1"/>
  <c r="I144" i="62904"/>
  <c r="J147" i="62904"/>
  <c r="H147" i="62904"/>
  <c r="I147" i="62904"/>
  <c r="H144" i="62904"/>
  <c r="J144" i="62904"/>
  <c r="D76" i="62898"/>
  <c r="E72" i="62898"/>
  <c r="E76" i="62898" s="1"/>
  <c r="F18" i="62915"/>
  <c r="R16" i="62915"/>
  <c r="R18" i="62915" s="1"/>
  <c r="L659" i="5"/>
  <c r="D102" i="5"/>
  <c r="E98" i="5"/>
  <c r="E102" i="5" s="1"/>
  <c r="BE460" i="5"/>
  <c r="AG460" i="5"/>
  <c r="Z460" i="5"/>
  <c r="AM460" i="5"/>
  <c r="J24" i="62915"/>
  <c r="J698" i="5"/>
  <c r="I32" i="62914"/>
  <c r="U32" i="62914" s="1"/>
  <c r="I184" i="62905"/>
  <c r="AN258" i="5"/>
  <c r="AH258" i="5"/>
  <c r="AA258" i="5"/>
  <c r="BF258" i="5"/>
  <c r="AO255" i="5"/>
  <c r="BG255" i="5"/>
  <c r="AI255" i="5"/>
  <c r="AB255" i="5"/>
  <c r="AL129" i="5"/>
  <c r="T131" i="5"/>
  <c r="AH129" i="5"/>
  <c r="BB129" i="5"/>
  <c r="BB131" i="5" s="1"/>
  <c r="AA129" i="5"/>
  <c r="M678" i="5"/>
  <c r="AR73" i="11"/>
  <c r="BF254" i="5"/>
  <c r="AN254" i="5"/>
  <c r="AH254" i="5"/>
  <c r="AA254" i="5"/>
  <c r="I2198" i="62906"/>
  <c r="L1735" i="62906"/>
  <c r="N57" i="11" s="1"/>
  <c r="O57" i="11" s="1"/>
  <c r="F2198" i="62906"/>
  <c r="F2297" i="62906" s="1"/>
  <c r="I1735" i="62906" s="1"/>
  <c r="G2198" i="62906"/>
  <c r="G2297" i="62906" s="1"/>
  <c r="J1735" i="62906" s="1"/>
  <c r="C2198" i="62906"/>
  <c r="C2297" i="62906" s="1"/>
  <c r="F1735" i="62906" s="1"/>
  <c r="D2198" i="62906"/>
  <c r="D2297" i="62906" s="1"/>
  <c r="G1735" i="62906" s="1"/>
  <c r="E2198" i="62906"/>
  <c r="E2297" i="62906" s="1"/>
  <c r="H1735" i="62906" s="1"/>
  <c r="O2276" i="62906"/>
  <c r="AM252" i="5"/>
  <c r="Z252" i="5"/>
  <c r="AG252" i="5"/>
  <c r="BE252" i="5"/>
  <c r="D197" i="5"/>
  <c r="E193" i="5"/>
  <c r="E197" i="5" s="1"/>
  <c r="D146" i="2"/>
  <c r="D172" i="2" s="1"/>
  <c r="E143" i="2"/>
  <c r="E249" i="62898"/>
  <c r="D30" i="9"/>
  <c r="E26" i="9"/>
  <c r="E30" i="9" s="1"/>
  <c r="K71" i="62905"/>
  <c r="L71" i="62905" s="1"/>
  <c r="P249" i="5"/>
  <c r="S249" i="5" s="1"/>
  <c r="R260" i="5"/>
  <c r="U260" i="5" s="1"/>
  <c r="C73" i="62892"/>
  <c r="E261" i="9"/>
  <c r="T261" i="9"/>
  <c r="I261" i="9"/>
  <c r="Q261" i="9"/>
  <c r="BB331" i="5"/>
  <c r="AH331" i="5"/>
  <c r="AI331" i="5" s="1"/>
  <c r="AL331" i="5"/>
  <c r="AM331" i="5" s="1"/>
  <c r="AA331" i="5"/>
  <c r="AB331" i="5" s="1"/>
  <c r="D354" i="5"/>
  <c r="E354" i="5" s="1"/>
  <c r="BA354" i="5"/>
  <c r="BA359" i="5" s="1"/>
  <c r="AG354" i="5"/>
  <c r="Z354" i="5"/>
  <c r="S359" i="5"/>
  <c r="AK354" i="5"/>
  <c r="AH258" i="62898"/>
  <c r="AJ258" i="62898" s="1"/>
  <c r="AA258" i="62898"/>
  <c r="AC258" i="62898" s="1"/>
  <c r="BF258" i="62898"/>
  <c r="AN258" i="62898"/>
  <c r="AP258" i="62898" s="1"/>
  <c r="AA463" i="5"/>
  <c r="AH463" i="5"/>
  <c r="BF463" i="5"/>
  <c r="AN463" i="5"/>
  <c r="D455" i="5"/>
  <c r="E455" i="5" s="1"/>
  <c r="Z455" i="5"/>
  <c r="BE455" i="5"/>
  <c r="AG455" i="5"/>
  <c r="AM455" i="5"/>
  <c r="D176" i="62898"/>
  <c r="D395" i="62898" s="1"/>
  <c r="E172" i="62898"/>
  <c r="E176" i="62898" s="1"/>
  <c r="D571" i="5"/>
  <c r="E567" i="5"/>
  <c r="E571" i="5" s="1"/>
  <c r="G12" i="62914"/>
  <c r="G124" i="3"/>
  <c r="L260" i="9"/>
  <c r="AO54" i="5"/>
  <c r="AI54" i="5"/>
  <c r="AB54" i="5"/>
  <c r="BG54" i="5"/>
  <c r="P51" i="5"/>
  <c r="S51" i="5" s="1"/>
  <c r="S69" i="5" s="1"/>
  <c r="D2239" i="62906"/>
  <c r="X30" i="2"/>
  <c r="X33" i="2" s="1"/>
  <c r="Z2187" i="62906"/>
  <c r="AG59" i="5"/>
  <c r="BE59" i="5"/>
  <c r="AM59" i="5"/>
  <c r="Z59" i="5"/>
  <c r="P258" i="5"/>
  <c r="S258" i="5" s="1"/>
  <c r="F2196" i="62906"/>
  <c r="F2295" i="62906" s="1"/>
  <c r="I1704" i="62906" s="1"/>
  <c r="BF455" i="5"/>
  <c r="AA455" i="5"/>
  <c r="AH455" i="5"/>
  <c r="AN455" i="5"/>
  <c r="D30" i="5"/>
  <c r="E30" i="5" s="1"/>
  <c r="E41" i="5" s="1"/>
  <c r="R251" i="5"/>
  <c r="U251" i="5" s="1"/>
  <c r="D203" i="7"/>
  <c r="D208" i="7" s="1"/>
  <c r="E281" i="5"/>
  <c r="D66" i="62898"/>
  <c r="E62" i="62898"/>
  <c r="E66" i="62898" s="1"/>
  <c r="D354" i="62898"/>
  <c r="E350" i="62898"/>
  <c r="E354" i="62898" s="1"/>
  <c r="AO257" i="62898"/>
  <c r="AB257" i="62898"/>
  <c r="BD257" i="62898"/>
  <c r="BG257" i="62898"/>
  <c r="AI257" i="62898"/>
  <c r="D103" i="62904"/>
  <c r="E99" i="62904"/>
  <c r="E103" i="62904" s="1"/>
  <c r="D238" i="62898"/>
  <c r="E234" i="62898"/>
  <c r="E238" i="62898" s="1"/>
  <c r="G159" i="3"/>
  <c r="G12" i="62915"/>
  <c r="F2208" i="62906"/>
  <c r="F2309" i="62906" s="1"/>
  <c r="I2195" i="62906"/>
  <c r="E2195" i="62906"/>
  <c r="E2294" i="62906" s="1"/>
  <c r="H2195" i="62906"/>
  <c r="F2195" i="62906"/>
  <c r="F2294" i="62906" s="1"/>
  <c r="D2195" i="62906"/>
  <c r="D2294" i="62906" s="1"/>
  <c r="C2195" i="62906"/>
  <c r="C2294" i="62906" s="1"/>
  <c r="G2195" i="62906"/>
  <c r="G2294" i="62906" s="1"/>
  <c r="O2273" i="62906"/>
  <c r="D82" i="2"/>
  <c r="T82" i="2"/>
  <c r="T84" i="2" s="1"/>
  <c r="AB82" i="2"/>
  <c r="AB84" i="2" s="1"/>
  <c r="I84" i="2"/>
  <c r="Q82" i="2"/>
  <c r="Q84" i="2" s="1"/>
  <c r="V82" i="2"/>
  <c r="V84" i="2" s="1"/>
  <c r="Q60" i="5"/>
  <c r="T60" i="5" s="1"/>
  <c r="D60" i="5" s="1"/>
  <c r="E60" i="5" s="1"/>
  <c r="BF453" i="5"/>
  <c r="AH453" i="5"/>
  <c r="AA453" i="5"/>
  <c r="AN453" i="5"/>
  <c r="D152" i="5"/>
  <c r="E152" i="5" s="1"/>
  <c r="BA152" i="5"/>
  <c r="Z152" i="5"/>
  <c r="AG152" i="5"/>
  <c r="AK152" i="5"/>
  <c r="S157" i="5"/>
  <c r="M102" i="5"/>
  <c r="BG98" i="5"/>
  <c r="BG102" i="5" s="1"/>
  <c r="AI98" i="5"/>
  <c r="AO98" i="5"/>
  <c r="BD98" i="5"/>
  <c r="AB98" i="5"/>
  <c r="D459" i="5"/>
  <c r="E459" i="5" s="1"/>
  <c r="BE459" i="5"/>
  <c r="Z459" i="5"/>
  <c r="AC459" i="5" s="1"/>
  <c r="AM459" i="5"/>
  <c r="AP459" i="5" s="1"/>
  <c r="AG459" i="5"/>
  <c r="AJ459" i="5" s="1"/>
  <c r="AL420" i="5"/>
  <c r="AM420" i="5" s="1"/>
  <c r="AA420" i="5"/>
  <c r="AB420" i="5" s="1"/>
  <c r="AH420" i="5"/>
  <c r="AI420" i="5" s="1"/>
  <c r="BB420" i="5"/>
  <c r="AB463" i="5"/>
  <c r="BG463" i="5"/>
  <c r="AI463" i="5"/>
  <c r="AO463" i="5"/>
  <c r="C26" i="62892"/>
  <c r="Q204" i="7"/>
  <c r="T204" i="7"/>
  <c r="I204" i="7"/>
  <c r="E204" i="7"/>
  <c r="BB330" i="5"/>
  <c r="T333" i="5"/>
  <c r="AH330" i="5"/>
  <c r="AL330" i="5"/>
  <c r="AA330" i="5"/>
  <c r="D20" i="62904"/>
  <c r="E13" i="62904"/>
  <c r="E20" i="62904" s="1"/>
  <c r="AA257" i="62898"/>
  <c r="N260" i="62898"/>
  <c r="AH257" i="62898"/>
  <c r="AN257" i="62898"/>
  <c r="AN260" i="62898" s="1"/>
  <c r="BF257" i="62898"/>
  <c r="BF260" i="62898" s="1"/>
  <c r="AO103" i="62904"/>
  <c r="H1856" i="62906"/>
  <c r="H1857" i="62906" s="1"/>
  <c r="H1858" i="62906" s="1"/>
  <c r="H1859" i="62906" s="1"/>
  <c r="H1860" i="62906" s="1"/>
  <c r="H1861" i="62906" s="1"/>
  <c r="H1862" i="62906" s="1"/>
  <c r="H1863" i="62906" s="1"/>
  <c r="H1864" i="62906" s="1"/>
  <c r="H1865" i="62906" s="1"/>
  <c r="H1867" i="62906" s="1"/>
  <c r="H1868" i="62906" s="1"/>
  <c r="H1869" i="62906" s="1"/>
  <c r="H1870" i="62906" s="1"/>
  <c r="H1871" i="62906" s="1"/>
  <c r="H1872" i="62906" s="1"/>
  <c r="AL69" i="11"/>
  <c r="AL73" i="11" s="1"/>
  <c r="I2250" i="62906"/>
  <c r="U2231" i="62906"/>
  <c r="H2250" i="62906" s="1"/>
  <c r="E196" i="1"/>
  <c r="E16" i="62915"/>
  <c r="AN31" i="5"/>
  <c r="S41" i="5"/>
  <c r="BF31" i="5"/>
  <c r="BF41" i="5" s="1"/>
  <c r="AH31" i="5"/>
  <c r="AA31" i="5"/>
  <c r="D62" i="2"/>
  <c r="T62" i="2"/>
  <c r="T64" i="2" s="1"/>
  <c r="Q62" i="2"/>
  <c r="Q64" i="2" s="1"/>
  <c r="I64" i="2"/>
  <c r="V62" i="2"/>
  <c r="V64" i="2" s="1"/>
  <c r="AB62" i="2"/>
  <c r="AB64" i="2" s="1"/>
  <c r="BF256" i="5"/>
  <c r="AH256" i="5"/>
  <c r="AJ256" i="5" s="1"/>
  <c r="AN256" i="5"/>
  <c r="AP256" i="5" s="1"/>
  <c r="AA256" i="5"/>
  <c r="AC256" i="5" s="1"/>
  <c r="R252" i="5"/>
  <c r="U252" i="5" s="1"/>
  <c r="U271" i="5" s="1"/>
  <c r="R59" i="5"/>
  <c r="U59" i="5" s="1"/>
  <c r="D59" i="5" s="1"/>
  <c r="E59" i="5" s="1"/>
  <c r="I2208" i="62906"/>
  <c r="O2288" i="62906"/>
  <c r="AN98" i="5"/>
  <c r="BF98" i="5"/>
  <c r="BF102" i="5" s="1"/>
  <c r="AA98" i="5"/>
  <c r="AH98" i="5"/>
  <c r="L102" i="5"/>
  <c r="AI436" i="5"/>
  <c r="AJ436" i="5" s="1"/>
  <c r="AB436" i="5"/>
  <c r="AC436" i="5" s="1"/>
  <c r="AO436" i="5"/>
  <c r="AP436" i="5" s="1"/>
  <c r="BG436" i="5"/>
  <c r="Q251" i="5"/>
  <c r="T251" i="5" s="1"/>
  <c r="T271" i="5" s="1"/>
  <c r="P463" i="5"/>
  <c r="S463" i="5" s="1"/>
  <c r="D352" i="5"/>
  <c r="D259" i="9"/>
  <c r="D436" i="5"/>
  <c r="E436" i="5" s="1"/>
  <c r="D249" i="62898"/>
  <c r="D591" i="5"/>
  <c r="E587" i="5"/>
  <c r="E591" i="5" s="1"/>
  <c r="D257" i="62898"/>
  <c r="E257" i="62898" s="1"/>
  <c r="Z257" i="62898"/>
  <c r="BE257" i="62898"/>
  <c r="BE260" i="62898" s="1"/>
  <c r="AG257" i="62898"/>
  <c r="AM257" i="62898"/>
  <c r="M260" i="62898"/>
  <c r="D399" i="5"/>
  <c r="AB203" i="5"/>
  <c r="AB207" i="5" s="1"/>
  <c r="Z207" i="5"/>
  <c r="BE451" i="5"/>
  <c r="AG451" i="5"/>
  <c r="AM451" i="5"/>
  <c r="Z451" i="5"/>
  <c r="D49" i="5"/>
  <c r="E49" i="5" s="1"/>
  <c r="Z49" i="5"/>
  <c r="AC49" i="5" s="1"/>
  <c r="BE49" i="5"/>
  <c r="AM49" i="5"/>
  <c r="AP49" i="5" s="1"/>
  <c r="AG49" i="5"/>
  <c r="AJ49" i="5" s="1"/>
  <c r="Q259" i="5"/>
  <c r="T259" i="5" s="1"/>
  <c r="D259" i="5" s="1"/>
  <c r="E259" i="5" s="1"/>
  <c r="D15" i="1"/>
  <c r="E15" i="1" s="1"/>
  <c r="AC15" i="1"/>
  <c r="AE15" i="1" s="1"/>
  <c r="X15" i="1"/>
  <c r="Z15" i="1" s="1"/>
  <c r="AS15" i="1"/>
  <c r="AG15" i="1"/>
  <c r="AI15" i="1" s="1"/>
  <c r="D260" i="62898"/>
  <c r="E255" i="62898"/>
  <c r="E260" i="62898" s="1"/>
  <c r="E2196" i="62906"/>
  <c r="E2295" i="62906" s="1"/>
  <c r="H1704" i="62906" s="1"/>
  <c r="BG257" i="5"/>
  <c r="AI257" i="5"/>
  <c r="AB257" i="5"/>
  <c r="AO257" i="5"/>
  <c r="D177" i="5"/>
  <c r="AI455" i="5"/>
  <c r="BG455" i="5"/>
  <c r="AB455" i="5"/>
  <c r="AO455" i="5"/>
  <c r="AI92" i="62898"/>
  <c r="P96" i="62898"/>
  <c r="BG92" i="62898"/>
  <c r="AO92" i="62898"/>
  <c r="AB92" i="62898"/>
  <c r="BE458" i="5"/>
  <c r="AM458" i="5"/>
  <c r="Z458" i="5"/>
  <c r="AG458" i="5"/>
  <c r="D31" i="5"/>
  <c r="E31" i="5" s="1"/>
  <c r="D30" i="1"/>
  <c r="E26" i="1"/>
  <c r="E30" i="1" s="1"/>
  <c r="R451" i="5"/>
  <c r="U451" i="5" s="1"/>
  <c r="AH126" i="62898"/>
  <c r="AL126" i="62898"/>
  <c r="AA126" i="62898"/>
  <c r="T133" i="62898"/>
  <c r="BB126" i="62898"/>
  <c r="R453" i="5"/>
  <c r="U453" i="5" s="1"/>
  <c r="E20" i="62914"/>
  <c r="E301" i="9"/>
  <c r="G1856" i="62906"/>
  <c r="G1857" i="62906" s="1"/>
  <c r="G1858" i="62906" s="1"/>
  <c r="G1859" i="62906" s="1"/>
  <c r="G1860" i="62906" s="1"/>
  <c r="G1861" i="62906" s="1"/>
  <c r="G1862" i="62906" s="1"/>
  <c r="G1863" i="62906" s="1"/>
  <c r="G1864" i="62906" s="1"/>
  <c r="G1865" i="62906" s="1"/>
  <c r="G1867" i="62906" s="1"/>
  <c r="G1868" i="62906" s="1"/>
  <c r="G1869" i="62906" s="1"/>
  <c r="G1870" i="62906" s="1"/>
  <c r="G1871" i="62906" s="1"/>
  <c r="G1872" i="62906" s="1"/>
  <c r="AJ69" i="11"/>
  <c r="AJ73" i="11" s="1"/>
  <c r="J27" i="11"/>
  <c r="L27" i="11" s="1"/>
  <c r="F1723" i="62906"/>
  <c r="F1724" i="62906" s="1"/>
  <c r="BG99" i="5"/>
  <c r="AO99" i="5"/>
  <c r="AP99" i="5" s="1"/>
  <c r="BD99" i="5"/>
  <c r="AB99" i="5"/>
  <c r="AC99" i="5" s="1"/>
  <c r="AI99" i="5"/>
  <c r="AJ99" i="5" s="1"/>
  <c r="D261" i="5"/>
  <c r="E261" i="5" s="1"/>
  <c r="AG261" i="5"/>
  <c r="Z261" i="5"/>
  <c r="BE261" i="5"/>
  <c r="AM261" i="5"/>
  <c r="AP261" i="5" s="1"/>
  <c r="Z2182" i="62906"/>
  <c r="AD71" i="11"/>
  <c r="U71" i="11"/>
  <c r="AP71" i="11"/>
  <c r="AP73" i="11" s="1"/>
  <c r="K73" i="11"/>
  <c r="E98" i="11" s="1"/>
  <c r="Z71" i="11"/>
  <c r="K1740" i="62906"/>
  <c r="K1739" i="62906"/>
  <c r="K1736" i="62906"/>
  <c r="K1738" i="62906"/>
  <c r="K1737" i="62906"/>
  <c r="D51" i="2"/>
  <c r="Q51" i="2"/>
  <c r="Q54" i="2" s="1"/>
  <c r="H169" i="2" s="1"/>
  <c r="F65" i="62892" s="1"/>
  <c r="T51" i="2"/>
  <c r="T54" i="2" s="1"/>
  <c r="K169" i="2" s="1"/>
  <c r="I65" i="62892" s="1"/>
  <c r="I54" i="2"/>
  <c r="AB51" i="2"/>
  <c r="AB54" i="2" s="1"/>
  <c r="V51" i="2"/>
  <c r="V54" i="2" s="1"/>
  <c r="Q50" i="5"/>
  <c r="T50" i="5" s="1"/>
  <c r="E243" i="5"/>
  <c r="D461" i="5"/>
  <c r="E461" i="5" s="1"/>
  <c r="AM461" i="5"/>
  <c r="AP461" i="5" s="1"/>
  <c r="BE461" i="5"/>
  <c r="Z461" i="5"/>
  <c r="AC461" i="5" s="1"/>
  <c r="AG461" i="5"/>
  <c r="AJ461" i="5" s="1"/>
  <c r="D110" i="1"/>
  <c r="E110" i="1" s="1"/>
  <c r="AE110" i="1"/>
  <c r="AE112" i="1" s="1"/>
  <c r="X110" i="1"/>
  <c r="AC110" i="1"/>
  <c r="AC112" i="1" s="1"/>
  <c r="AO110" i="1"/>
  <c r="AO112" i="1" s="1"/>
  <c r="J62" i="1"/>
  <c r="L62" i="1" s="1"/>
  <c r="J51" i="62904"/>
  <c r="L51" i="62904" s="1"/>
  <c r="D535" i="5"/>
  <c r="E531" i="5"/>
  <c r="E535" i="5" s="1"/>
  <c r="H2200" i="62906"/>
  <c r="H2299" i="62906" s="1"/>
  <c r="D2200" i="62906"/>
  <c r="D2299" i="62906" s="1"/>
  <c r="I2200" i="62906"/>
  <c r="J94" i="2" s="1"/>
  <c r="K94" i="2" s="1"/>
  <c r="E2200" i="62906"/>
  <c r="E2299" i="62906" s="1"/>
  <c r="F2200" i="62906"/>
  <c r="F2299" i="62906" s="1"/>
  <c r="G2200" i="62906"/>
  <c r="G2299" i="62906" s="1"/>
  <c r="C2200" i="62906"/>
  <c r="C2299" i="62906" s="1"/>
  <c r="O2278" i="62906"/>
  <c r="AI56" i="5"/>
  <c r="BG56" i="5"/>
  <c r="AO56" i="5"/>
  <c r="AB56" i="5"/>
  <c r="U89" i="5"/>
  <c r="D89" i="5" s="1"/>
  <c r="BF89" i="5"/>
  <c r="BF92" i="5" s="1"/>
  <c r="AH89" i="5"/>
  <c r="T92" i="5"/>
  <c r="AM89" i="5"/>
  <c r="AA89" i="5"/>
  <c r="D483" i="5"/>
  <c r="E479" i="5"/>
  <c r="E483" i="5" s="1"/>
  <c r="L123" i="1"/>
  <c r="G130" i="1" s="1"/>
  <c r="I130" i="1" s="1"/>
  <c r="D118" i="1"/>
  <c r="X118" i="1"/>
  <c r="X123" i="1" s="1"/>
  <c r="AO118" i="1"/>
  <c r="AO123" i="1" s="1"/>
  <c r="AC118" i="1"/>
  <c r="AC123" i="1" s="1"/>
  <c r="AE118" i="1"/>
  <c r="AE123" i="1" s="1"/>
  <c r="D19" i="5"/>
  <c r="E19" i="5" s="1"/>
  <c r="E22" i="5" s="1"/>
  <c r="Z19" i="5"/>
  <c r="AK19" i="5"/>
  <c r="BA19" i="5"/>
  <c r="S22" i="5"/>
  <c r="AG19" i="5"/>
  <c r="D71" i="2"/>
  <c r="T71" i="2"/>
  <c r="T74" i="2" s="1"/>
  <c r="V71" i="2"/>
  <c r="V74" i="2" s="1"/>
  <c r="AB71" i="2"/>
  <c r="AB74" i="2" s="1"/>
  <c r="Q71" i="2"/>
  <c r="Q74" i="2" s="1"/>
  <c r="I74" i="2"/>
  <c r="N2189" i="62906"/>
  <c r="D2208" i="62906"/>
  <c r="D2309" i="62906" s="1"/>
  <c r="BG253" i="5"/>
  <c r="AI253" i="5"/>
  <c r="AJ253" i="5" s="1"/>
  <c r="AO253" i="5"/>
  <c r="AP253" i="5" s="1"/>
  <c r="AB253" i="5"/>
  <c r="AC253" i="5" s="1"/>
  <c r="AN261" i="5"/>
  <c r="AH261" i="5"/>
  <c r="BF261" i="5"/>
  <c r="AA261" i="5"/>
  <c r="D25" i="62905"/>
  <c r="E25" i="62905" s="1"/>
  <c r="BG55" i="5"/>
  <c r="AO55" i="5"/>
  <c r="AB55" i="5"/>
  <c r="AI55" i="5"/>
  <c r="Q154" i="7"/>
  <c r="K205" i="7" s="1"/>
  <c r="AA278" i="5"/>
  <c r="P281" i="5"/>
  <c r="BF278" i="5"/>
  <c r="BF281" i="5" s="1"/>
  <c r="AH278" i="5"/>
  <c r="AN278" i="5"/>
  <c r="C21" i="62892"/>
  <c r="Q199" i="7"/>
  <c r="T199" i="7"/>
  <c r="I199" i="7"/>
  <c r="E199" i="7"/>
  <c r="BG481" i="5"/>
  <c r="BG483" i="5" s="1"/>
  <c r="AO481" i="5"/>
  <c r="AB481" i="5"/>
  <c r="AI481" i="5"/>
  <c r="Q483" i="5"/>
  <c r="D47" i="5"/>
  <c r="AM47" i="5"/>
  <c r="BE47" i="5"/>
  <c r="Z47" i="5"/>
  <c r="AG47" i="5"/>
  <c r="D129" i="5"/>
  <c r="P453" i="5"/>
  <c r="S453" i="5" s="1"/>
  <c r="S473" i="5" s="1"/>
  <c r="J61" i="1"/>
  <c r="L61" i="1" s="1"/>
  <c r="J50" i="62904"/>
  <c r="L50" i="62904" s="1"/>
  <c r="D86" i="62898"/>
  <c r="D314" i="62898"/>
  <c r="E310" i="62898"/>
  <c r="E314" i="62898" s="1"/>
  <c r="Y11" i="62914"/>
  <c r="Y14" i="62914" s="1"/>
  <c r="M14" i="62914"/>
  <c r="N395" i="62898"/>
  <c r="L56" i="62892"/>
  <c r="H2297" i="62906"/>
  <c r="P1735" i="62906" s="1"/>
  <c r="M2189" i="62906"/>
  <c r="C2208" i="62906"/>
  <c r="C2309" i="62906" s="1"/>
  <c r="C15" i="62892"/>
  <c r="Q108" i="3"/>
  <c r="T108" i="3"/>
  <c r="E108" i="3"/>
  <c r="I108" i="3"/>
  <c r="C74" i="62892"/>
  <c r="T262" i="9"/>
  <c r="E262" i="9"/>
  <c r="I262" i="9"/>
  <c r="Q262" i="9"/>
  <c r="AB93" i="62898"/>
  <c r="AC93" i="62898" s="1"/>
  <c r="AO93" i="62898"/>
  <c r="AP93" i="62898" s="1"/>
  <c r="BG93" i="62898"/>
  <c r="AI93" i="62898"/>
  <c r="AJ93" i="62898" s="1"/>
  <c r="X50" i="2"/>
  <c r="X61" i="2"/>
  <c r="X82" i="2"/>
  <c r="X81" i="2"/>
  <c r="X72" i="2"/>
  <c r="X52" i="2"/>
  <c r="X71" i="2"/>
  <c r="X80" i="2"/>
  <c r="X60" i="2"/>
  <c r="X62" i="2"/>
  <c r="X70" i="2"/>
  <c r="X51" i="2"/>
  <c r="M1738" i="62906"/>
  <c r="M1740" i="62906"/>
  <c r="U2229" i="62906"/>
  <c r="H2242" i="62906" s="1"/>
  <c r="M1737" i="62906"/>
  <c r="M1739" i="62906"/>
  <c r="M1736" i="62906"/>
  <c r="I2242" i="62906"/>
  <c r="AI262" i="5"/>
  <c r="AJ262" i="5" s="1"/>
  <c r="AB262" i="5"/>
  <c r="AC262" i="5" s="1"/>
  <c r="AO262" i="5"/>
  <c r="AP262" i="5" s="1"/>
  <c r="BG262" i="5"/>
  <c r="S154" i="7"/>
  <c r="L205" i="7" s="1"/>
  <c r="R460" i="5"/>
  <c r="U460" i="5" s="1"/>
  <c r="D460" i="5" s="1"/>
  <c r="E460" i="5" s="1"/>
  <c r="D454" i="5"/>
  <c r="E454" i="5" s="1"/>
  <c r="AG454" i="5"/>
  <c r="AJ454" i="5" s="1"/>
  <c r="AM454" i="5"/>
  <c r="AP454" i="5" s="1"/>
  <c r="BE454" i="5"/>
  <c r="Z454" i="5"/>
  <c r="AC454" i="5" s="1"/>
  <c r="P251" i="5"/>
  <c r="S251" i="5" s="1"/>
  <c r="AI256" i="5"/>
  <c r="AB256" i="5"/>
  <c r="AO256" i="5"/>
  <c r="BG256" i="5"/>
  <c r="D76" i="5"/>
  <c r="Z76" i="5"/>
  <c r="AM76" i="5"/>
  <c r="O79" i="5"/>
  <c r="BE76" i="5"/>
  <c r="BE79" i="5" s="1"/>
  <c r="AG76" i="5"/>
  <c r="D78" i="1"/>
  <c r="E73" i="1"/>
  <c r="E78" i="1" s="1"/>
  <c r="J60" i="1"/>
  <c r="L60" i="1" s="1"/>
  <c r="J49" i="62904"/>
  <c r="L49" i="62904" s="1"/>
  <c r="D352" i="62898"/>
  <c r="E352" i="62898" s="1"/>
  <c r="AC37" i="5"/>
  <c r="Z41" i="5"/>
  <c r="AI232" i="5"/>
  <c r="T243" i="5"/>
  <c r="AO232" i="5"/>
  <c r="BG232" i="5"/>
  <c r="BG243" i="5" s="1"/>
  <c r="AB232" i="5"/>
  <c r="E15" i="62914"/>
  <c r="E161" i="1"/>
  <c r="D92" i="2"/>
  <c r="T92" i="2"/>
  <c r="V92" i="2"/>
  <c r="AB92" i="2"/>
  <c r="Q92" i="2"/>
  <c r="H2296" i="62906"/>
  <c r="K49" i="62905"/>
  <c r="L49" i="62905" s="1"/>
  <c r="N28" i="11"/>
  <c r="O28" i="11" s="1"/>
  <c r="K48" i="62905"/>
  <c r="L48" i="62905" s="1"/>
  <c r="K50" i="62905"/>
  <c r="L50" i="62905" s="1"/>
  <c r="N29" i="11"/>
  <c r="O29" i="11" s="1"/>
  <c r="N30" i="11"/>
  <c r="O30" i="11" s="1"/>
  <c r="AO250" i="5"/>
  <c r="AI250" i="5"/>
  <c r="AB250" i="5"/>
  <c r="BG250" i="5"/>
  <c r="Q250" i="5"/>
  <c r="T250" i="5" s="1"/>
  <c r="T41" i="5"/>
  <c r="AB29" i="5"/>
  <c r="AO29" i="5"/>
  <c r="BG29" i="5"/>
  <c r="BG41" i="5" s="1"/>
  <c r="AI29" i="5"/>
  <c r="AN31" i="62898"/>
  <c r="AP31" i="62898" s="1"/>
  <c r="AA31" i="62898"/>
  <c r="AC31" i="62898" s="1"/>
  <c r="BF31" i="62898"/>
  <c r="AH31" i="62898"/>
  <c r="AJ31" i="62898" s="1"/>
  <c r="AO47" i="5"/>
  <c r="AB47" i="5"/>
  <c r="AI47" i="5"/>
  <c r="BG47" i="5"/>
  <c r="AB258" i="62898"/>
  <c r="BD258" i="62898"/>
  <c r="BG258" i="62898"/>
  <c r="AO258" i="62898"/>
  <c r="AI258" i="62898"/>
  <c r="G213" i="62898"/>
  <c r="I213" i="62898" s="1"/>
  <c r="Y213" i="62898"/>
  <c r="D581" i="5"/>
  <c r="E577" i="5"/>
  <c r="E581" i="5" s="1"/>
  <c r="F12" i="62914"/>
  <c r="F124" i="3"/>
  <c r="J32" i="62914"/>
  <c r="V32" i="62914" s="1"/>
  <c r="J184" i="62905"/>
  <c r="AH69" i="11"/>
  <c r="AH73" i="11" s="1"/>
  <c r="F1856" i="62906"/>
  <c r="F1857" i="62906" s="1"/>
  <c r="F1858" i="62906" s="1"/>
  <c r="F1859" i="62906" s="1"/>
  <c r="F1860" i="62906" s="1"/>
  <c r="F1861" i="62906" s="1"/>
  <c r="F1862" i="62906" s="1"/>
  <c r="F1863" i="62906" s="1"/>
  <c r="F1864" i="62906" s="1"/>
  <c r="F1865" i="62906" s="1"/>
  <c r="F1867" i="62906" s="1"/>
  <c r="F1868" i="62906" s="1"/>
  <c r="F1869" i="62906" s="1"/>
  <c r="F1870" i="62906" s="1"/>
  <c r="F1871" i="62906" s="1"/>
  <c r="F1872" i="62906" s="1"/>
  <c r="K183" i="62904" l="1"/>
  <c r="AO292" i="5"/>
  <c r="AM294" i="5"/>
  <c r="AI217" i="5"/>
  <c r="AI224" i="5" s="1"/>
  <c r="AH224" i="5"/>
  <c r="L170" i="1"/>
  <c r="L181" i="1" s="1"/>
  <c r="J203" i="1"/>
  <c r="J25" i="62915" s="1"/>
  <c r="X27" i="62914"/>
  <c r="G56" i="62914"/>
  <c r="F56" i="62914"/>
  <c r="V32" i="62915"/>
  <c r="F60" i="62915"/>
  <c r="G60" i="62915"/>
  <c r="AM532" i="5"/>
  <c r="AK535" i="5"/>
  <c r="AJ236" i="62898"/>
  <c r="X30" i="62904"/>
  <c r="Z28" i="62904"/>
  <c r="G213" i="1"/>
  <c r="G19" i="62915"/>
  <c r="S19" i="62915" s="1"/>
  <c r="AI14" i="62904"/>
  <c r="N154" i="1"/>
  <c r="Y20" i="1"/>
  <c r="M188" i="1" s="1"/>
  <c r="AC30" i="62904"/>
  <c r="AE28" i="62904"/>
  <c r="F19" i="62915"/>
  <c r="R19" i="62915" s="1"/>
  <c r="F213" i="1"/>
  <c r="F21" i="62914"/>
  <c r="R21" i="62914" s="1"/>
  <c r="F181" i="1"/>
  <c r="M145" i="62904"/>
  <c r="M31" i="62914" s="1"/>
  <c r="Y31" i="62914" s="1"/>
  <c r="M33" i="62914"/>
  <c r="Y33" i="62914" s="1"/>
  <c r="BA24" i="62898"/>
  <c r="AI561" i="5"/>
  <c r="K631" i="5" s="1"/>
  <c r="I51" i="62892" s="1"/>
  <c r="G32" i="62915"/>
  <c r="S32" i="62915" s="1"/>
  <c r="G177" i="62904"/>
  <c r="AM17" i="62898"/>
  <c r="AK24" i="62898"/>
  <c r="AB127" i="62898"/>
  <c r="Z133" i="62898"/>
  <c r="Z14" i="62904"/>
  <c r="X20" i="62904"/>
  <c r="AL426" i="5"/>
  <c r="BD292" i="5"/>
  <c r="AI292" i="5"/>
  <c r="AN292" i="5"/>
  <c r="BG292" i="5"/>
  <c r="BG294" i="5" s="1"/>
  <c r="AB292" i="5"/>
  <c r="AC292" i="5" s="1"/>
  <c r="D292" i="5"/>
  <c r="E292" i="5" s="1"/>
  <c r="U294" i="5"/>
  <c r="AI17" i="62898"/>
  <c r="AG24" i="62898"/>
  <c r="AM127" i="62898"/>
  <c r="AK133" i="62898"/>
  <c r="AC20" i="62904"/>
  <c r="AE14" i="62904"/>
  <c r="AA426" i="5"/>
  <c r="K19" i="62915"/>
  <c r="W19" i="62915" s="1"/>
  <c r="K213" i="1"/>
  <c r="O143" i="1"/>
  <c r="S143" i="1"/>
  <c r="R143" i="1"/>
  <c r="AG294" i="5"/>
  <c r="AJ290" i="5"/>
  <c r="E19" i="62915"/>
  <c r="Q19" i="62915" s="1"/>
  <c r="E213" i="1"/>
  <c r="E181" i="1"/>
  <c r="E21" i="62914"/>
  <c r="Q21" i="62914" s="1"/>
  <c r="AJ291" i="5"/>
  <c r="AI294" i="5"/>
  <c r="Z41" i="1"/>
  <c r="H142" i="1" s="1"/>
  <c r="F8" i="62892" s="1"/>
  <c r="Z24" i="62898"/>
  <c r="N430" i="62898" s="1"/>
  <c r="N25" i="62914" s="1"/>
  <c r="AB17" i="62898"/>
  <c r="AI127" i="62898"/>
  <c r="AG133" i="62898"/>
  <c r="D9" i="62892"/>
  <c r="G9" i="62892"/>
  <c r="J9" i="62892"/>
  <c r="M9" i="62892"/>
  <c r="AG131" i="5"/>
  <c r="AI127" i="5"/>
  <c r="BD294" i="5"/>
  <c r="AL157" i="5"/>
  <c r="BB333" i="5"/>
  <c r="AT27" i="62905"/>
  <c r="Z294" i="5"/>
  <c r="AC290" i="5"/>
  <c r="AC294" i="5" s="1"/>
  <c r="H625" i="5" s="1"/>
  <c r="F45" i="62892" s="1"/>
  <c r="AB217" i="5"/>
  <c r="AB224" i="5" s="1"/>
  <c r="Z224" i="5"/>
  <c r="AL304" i="62898"/>
  <c r="AM297" i="62898"/>
  <c r="AM304" i="62898" s="1"/>
  <c r="J213" i="1"/>
  <c r="AO291" i="5"/>
  <c r="AO294" i="5" s="1"/>
  <c r="L625" i="5" s="1"/>
  <c r="AN294" i="5"/>
  <c r="AI17" i="1"/>
  <c r="AI154" i="5"/>
  <c r="AH157" i="5"/>
  <c r="AD30" i="1"/>
  <c r="AO290" i="5"/>
  <c r="AL294" i="5"/>
  <c r="AJ235" i="62898"/>
  <c r="G30" i="62914"/>
  <c r="S30" i="62914" s="1"/>
  <c r="AB294" i="5"/>
  <c r="E329" i="5"/>
  <c r="E333" i="5" s="1"/>
  <c r="D333" i="5"/>
  <c r="BB157" i="5"/>
  <c r="E290" i="5"/>
  <c r="E294" i="5" s="1"/>
  <c r="D294" i="5"/>
  <c r="D625" i="5" s="1"/>
  <c r="AN238" i="62898"/>
  <c r="AB297" i="62898"/>
  <c r="AA304" i="62898"/>
  <c r="AK131" i="5"/>
  <c r="AM127" i="5"/>
  <c r="G21" i="62914"/>
  <c r="S21" i="62914" s="1"/>
  <c r="G181" i="1"/>
  <c r="G33" i="62914"/>
  <c r="S33" i="62914" s="1"/>
  <c r="G145" i="62904"/>
  <c r="G31" i="62914" s="1"/>
  <c r="S31" i="62914" s="1"/>
  <c r="AB236" i="62898"/>
  <c r="AB238" i="62898" s="1"/>
  <c r="BG236" i="62898"/>
  <c r="AN236" i="62898"/>
  <c r="AI236" i="62898"/>
  <c r="AI238" i="62898" s="1"/>
  <c r="BD236" i="62898"/>
  <c r="BD238" i="62898" s="1"/>
  <c r="AB154" i="5"/>
  <c r="AA157" i="5"/>
  <c r="AT30" i="1"/>
  <c r="AB273" i="62898"/>
  <c r="Z276" i="62898"/>
  <c r="AH304" i="62898"/>
  <c r="BG238" i="62898"/>
  <c r="Z131" i="5"/>
  <c r="AB127" i="5"/>
  <c r="AI22" i="62898"/>
  <c r="E33" i="62914"/>
  <c r="Q33" i="62914" s="1"/>
  <c r="E145" i="62904"/>
  <c r="E31" i="62914" s="1"/>
  <c r="Q31" i="62914" s="1"/>
  <c r="AT20" i="1"/>
  <c r="AM154" i="5"/>
  <c r="AH30" i="1"/>
  <c r="AK561" i="5"/>
  <c r="AM554" i="5"/>
  <c r="AM561" i="5" s="1"/>
  <c r="L631" i="5" s="1"/>
  <c r="AM217" i="5"/>
  <c r="AM224" i="5" s="1"/>
  <c r="AL224" i="5"/>
  <c r="AB22" i="62898"/>
  <c r="M181" i="1"/>
  <c r="AC235" i="62898"/>
  <c r="AI533" i="5"/>
  <c r="AH535" i="5"/>
  <c r="AG30" i="1"/>
  <c r="AI26" i="1"/>
  <c r="AI30" i="1" s="1"/>
  <c r="BA561" i="5"/>
  <c r="AI26" i="62904"/>
  <c r="AI30" i="62904" s="1"/>
  <c r="AG30" i="62904"/>
  <c r="E30" i="62914"/>
  <c r="Q30" i="62914" s="1"/>
  <c r="N142" i="1"/>
  <c r="L8" i="62892"/>
  <c r="X30" i="1"/>
  <c r="Z26" i="1"/>
  <c r="Z30" i="1" s="1"/>
  <c r="AB554" i="5"/>
  <c r="AB561" i="5" s="1"/>
  <c r="H631" i="5" s="1"/>
  <c r="F51" i="62892" s="1"/>
  <c r="Z561" i="5"/>
  <c r="AM273" i="62898"/>
  <c r="AM276" i="62898" s="1"/>
  <c r="L398" i="62898" s="1"/>
  <c r="AK276" i="62898"/>
  <c r="BB22" i="5"/>
  <c r="AE30" i="62904"/>
  <c r="F177" i="62904"/>
  <c r="G61" i="62914"/>
  <c r="X33" i="62914"/>
  <c r="F61" i="62914"/>
  <c r="V16" i="62915"/>
  <c r="V18" i="62915" s="1"/>
  <c r="F45" i="62915"/>
  <c r="G45" i="62915"/>
  <c r="J18" i="62915"/>
  <c r="AO235" i="62898"/>
  <c r="AB533" i="5"/>
  <c r="AA535" i="5"/>
  <c r="AC30" i="1"/>
  <c r="AE26" i="1"/>
  <c r="AE30" i="1" s="1"/>
  <c r="AI554" i="5"/>
  <c r="AG561" i="5"/>
  <c r="Z30" i="62904"/>
  <c r="AC234" i="62898"/>
  <c r="Z238" i="62898"/>
  <c r="X30" i="62914"/>
  <c r="G58" i="62914"/>
  <c r="F58" i="62914"/>
  <c r="D321" i="5"/>
  <c r="AG321" i="5"/>
  <c r="AG323" i="5" s="1"/>
  <c r="Z321" i="5"/>
  <c r="Z323" i="5" s="1"/>
  <c r="I323" i="5"/>
  <c r="AW321" i="5"/>
  <c r="AW323" i="5" s="1"/>
  <c r="AI321" i="5"/>
  <c r="AI323" i="5" s="1"/>
  <c r="AD20" i="1"/>
  <c r="D224" i="5"/>
  <c r="BE238" i="62898"/>
  <c r="E32" i="62915"/>
  <c r="Q32" i="62915" s="1"/>
  <c r="E177" i="62904"/>
  <c r="AG20" i="62904"/>
  <c r="AI16" i="62904"/>
  <c r="AB532" i="5"/>
  <c r="AB535" i="5" s="1"/>
  <c r="Z535" i="5"/>
  <c r="L15" i="62914"/>
  <c r="AK304" i="62898"/>
  <c r="AM298" i="62898"/>
  <c r="Z17" i="1"/>
  <c r="AM533" i="5"/>
  <c r="AL535" i="5"/>
  <c r="Z18" i="62904"/>
  <c r="E554" i="5"/>
  <c r="D561" i="5"/>
  <c r="D631" i="5" s="1"/>
  <c r="D30" i="62904"/>
  <c r="BA157" i="5"/>
  <c r="D24" i="62898"/>
  <c r="AS30" i="62904"/>
  <c r="AL238" i="62898"/>
  <c r="AO234" i="62898"/>
  <c r="AO238" i="62898" s="1"/>
  <c r="AI276" i="62898"/>
  <c r="K398" i="62898" s="1"/>
  <c r="I59" i="62892" s="1"/>
  <c r="F30" i="62914"/>
  <c r="R30" i="62914" s="1"/>
  <c r="F151" i="62904"/>
  <c r="AG535" i="5"/>
  <c r="AI532" i="5"/>
  <c r="D523" i="5"/>
  <c r="AG523" i="5"/>
  <c r="AG525" i="5" s="1"/>
  <c r="AI523" i="5"/>
  <c r="AI525" i="5" s="1"/>
  <c r="AW523" i="5"/>
  <c r="AW525" i="5" s="1"/>
  <c r="I525" i="5"/>
  <c r="Z523" i="5"/>
  <c r="Z525" i="5" s="1"/>
  <c r="AI298" i="62898"/>
  <c r="AI304" i="62898" s="1"/>
  <c r="AG304" i="62898"/>
  <c r="AM22" i="62898"/>
  <c r="AG238" i="62898"/>
  <c r="AJ234" i="62898"/>
  <c r="M30" i="62914"/>
  <c r="Y30" i="62914" s="1"/>
  <c r="AB270" i="62898"/>
  <c r="AB276" i="62898" s="1"/>
  <c r="H398" i="62898" s="1"/>
  <c r="F59" i="62892" s="1"/>
  <c r="AA276" i="62898"/>
  <c r="D119" i="5"/>
  <c r="AI119" i="5"/>
  <c r="AI121" i="5" s="1"/>
  <c r="AW119" i="5"/>
  <c r="AW121" i="5" s="1"/>
  <c r="I121" i="5"/>
  <c r="AG119" i="5"/>
  <c r="AG121" i="5" s="1"/>
  <c r="Z119" i="5"/>
  <c r="Z121" i="5" s="1"/>
  <c r="BA304" i="62898"/>
  <c r="AA561" i="5"/>
  <c r="AE18" i="62904"/>
  <c r="E561" i="5"/>
  <c r="BA22" i="5"/>
  <c r="BB133" i="62898"/>
  <c r="M21" i="62914"/>
  <c r="AJ292" i="5"/>
  <c r="AI16" i="5"/>
  <c r="V34" i="62915"/>
  <c r="F62" i="62915"/>
  <c r="G62" i="62915"/>
  <c r="Z27" i="62904"/>
  <c r="Y30" i="62904"/>
  <c r="AE41" i="1"/>
  <c r="K142" i="1" s="1"/>
  <c r="I8" i="62892" s="1"/>
  <c r="AB298" i="62898"/>
  <c r="Z304" i="62898"/>
  <c r="M466" i="62898" s="1"/>
  <c r="M27" i="62915" s="1"/>
  <c r="AO236" i="62898"/>
  <c r="AL561" i="5"/>
  <c r="D106" i="11"/>
  <c r="F201" i="7"/>
  <c r="F207" i="7"/>
  <c r="F199" i="7"/>
  <c r="F200" i="7"/>
  <c r="F206" i="7"/>
  <c r="F204" i="7"/>
  <c r="F208" i="7"/>
  <c r="F203" i="7"/>
  <c r="F202" i="7"/>
  <c r="F205" i="7"/>
  <c r="G1705" i="62906"/>
  <c r="AK61" i="62905"/>
  <c r="AH41" i="11"/>
  <c r="C27" i="62892"/>
  <c r="E205" i="7"/>
  <c r="I205" i="7"/>
  <c r="Q205" i="7"/>
  <c r="T205" i="7"/>
  <c r="E89" i="5"/>
  <c r="E92" i="5" s="1"/>
  <c r="D92" i="5"/>
  <c r="D621" i="5" s="1"/>
  <c r="D130" i="1"/>
  <c r="AO130" i="1"/>
  <c r="AO132" i="1" s="1"/>
  <c r="I132" i="1"/>
  <c r="AL71" i="62905"/>
  <c r="AL70" i="62905"/>
  <c r="AJ56" i="11"/>
  <c r="AJ57" i="11"/>
  <c r="H167" i="2"/>
  <c r="I1737" i="62906"/>
  <c r="I1738" i="62906"/>
  <c r="I1740" i="62906"/>
  <c r="I1739" i="62906"/>
  <c r="I1736" i="62906"/>
  <c r="Z389" i="5"/>
  <c r="AB385" i="5"/>
  <c r="AB389" i="5" s="1"/>
  <c r="D121" i="62905"/>
  <c r="I124" i="62905"/>
  <c r="AC121" i="62905"/>
  <c r="AC124" i="62905" s="1"/>
  <c r="K140" i="62905" s="1"/>
  <c r="I90" i="62892" s="1"/>
  <c r="AE121" i="62905"/>
  <c r="AE124" i="62905" s="1"/>
  <c r="L140" i="62905" s="1"/>
  <c r="AO121" i="62905"/>
  <c r="AO124" i="62905" s="1"/>
  <c r="X121" i="62905"/>
  <c r="X124" i="62905" s="1"/>
  <c r="H140" i="62905" s="1"/>
  <c r="F90" i="62892" s="1"/>
  <c r="AC260" i="5"/>
  <c r="G26" i="62892"/>
  <c r="D26" i="62892"/>
  <c r="J26" i="62892"/>
  <c r="M26" i="62892"/>
  <c r="AK157" i="5"/>
  <c r="AM152" i="5"/>
  <c r="AM157" i="5" s="1"/>
  <c r="L623" i="5" s="1"/>
  <c r="AI260" i="5"/>
  <c r="AO260" i="5"/>
  <c r="AB260" i="5"/>
  <c r="BG260" i="5"/>
  <c r="AO458" i="5"/>
  <c r="AB458" i="5"/>
  <c r="BG458" i="5"/>
  <c r="AI458" i="5"/>
  <c r="L1723" i="62906"/>
  <c r="M28" i="62892"/>
  <c r="D28" i="62892"/>
  <c r="G28" i="62892"/>
  <c r="J28" i="62892"/>
  <c r="D106" i="2"/>
  <c r="AB106" i="2"/>
  <c r="AB109" i="2" s="1"/>
  <c r="Q106" i="2"/>
  <c r="Q109" i="2" s="1"/>
  <c r="H171" i="2" s="1"/>
  <c r="F67" i="62892" s="1"/>
  <c r="V106" i="2"/>
  <c r="V109" i="2" s="1"/>
  <c r="L171" i="2" s="1"/>
  <c r="T106" i="2"/>
  <c r="T109" i="2" s="1"/>
  <c r="K171" i="2" s="1"/>
  <c r="I67" i="62892" s="1"/>
  <c r="H109" i="2"/>
  <c r="S261" i="9"/>
  <c r="O261" i="9"/>
  <c r="R261" i="9"/>
  <c r="AC481" i="5"/>
  <c r="AC483" i="5" s="1"/>
  <c r="AB483" i="5"/>
  <c r="AM19" i="5"/>
  <c r="AM22" i="5" s="1"/>
  <c r="AK22" i="5"/>
  <c r="AE71" i="11"/>
  <c r="AE73" i="11" s="1"/>
  <c r="N98" i="11" s="1"/>
  <c r="AD73" i="11"/>
  <c r="I1692" i="62906"/>
  <c r="Z93" i="2"/>
  <c r="Z96" i="2" s="1"/>
  <c r="AH57" i="11"/>
  <c r="AH56" i="11"/>
  <c r="AK70" i="62905"/>
  <c r="AK71" i="62905"/>
  <c r="L22" i="62914"/>
  <c r="AJ76" i="5"/>
  <c r="AJ79" i="5" s="1"/>
  <c r="AG79" i="5"/>
  <c r="AP481" i="5"/>
  <c r="AP483" i="5" s="1"/>
  <c r="AO483" i="5"/>
  <c r="AB19" i="5"/>
  <c r="AB22" i="5" s="1"/>
  <c r="Z22" i="5"/>
  <c r="C71" i="62892"/>
  <c r="E259" i="9"/>
  <c r="Q259" i="9"/>
  <c r="D263" i="9"/>
  <c r="T259" i="9"/>
  <c r="I259" i="9"/>
  <c r="AG157" i="5"/>
  <c r="AI152" i="5"/>
  <c r="AI157" i="5" s="1"/>
  <c r="K623" i="5" s="1"/>
  <c r="I43" i="62892" s="1"/>
  <c r="H2294" i="62906"/>
  <c r="H2208" i="62906"/>
  <c r="H2309" i="62906" s="1"/>
  <c r="D249" i="5"/>
  <c r="AG249" i="5"/>
  <c r="S271" i="5"/>
  <c r="AM249" i="5"/>
  <c r="Z249" i="5"/>
  <c r="BE249" i="5"/>
  <c r="I71" i="62905"/>
  <c r="J71" i="62905" s="1"/>
  <c r="J56" i="11"/>
  <c r="L56" i="11" s="1"/>
  <c r="J57" i="11"/>
  <c r="L57" i="11" s="1"/>
  <c r="I70" i="62905"/>
  <c r="J70" i="62905" s="1"/>
  <c r="AH69" i="5"/>
  <c r="L1726" i="62906"/>
  <c r="AB52" i="5"/>
  <c r="BG52" i="5"/>
  <c r="AO52" i="5"/>
  <c r="AI52" i="5"/>
  <c r="AJ52" i="5" s="1"/>
  <c r="H1739" i="62906"/>
  <c r="H1738" i="62906"/>
  <c r="H1736" i="62906"/>
  <c r="H1740" i="62906"/>
  <c r="H1737" i="62906"/>
  <c r="AP55" i="5"/>
  <c r="D389" i="5"/>
  <c r="E385" i="5"/>
  <c r="E389" i="5" s="1"/>
  <c r="Z24" i="62905"/>
  <c r="Z27" i="62905" s="1"/>
  <c r="Y27" i="62905"/>
  <c r="AJ260" i="5"/>
  <c r="AP260" i="5"/>
  <c r="AB126" i="62898"/>
  <c r="AB133" i="62898" s="1"/>
  <c r="H394" i="62898" s="1"/>
  <c r="F55" i="62892" s="1"/>
  <c r="AA133" i="62898"/>
  <c r="T21" i="2"/>
  <c r="K167" i="2" s="1"/>
  <c r="V12" i="62915"/>
  <c r="F42" i="62915"/>
  <c r="G42" i="62915"/>
  <c r="AC257" i="5"/>
  <c r="AD27" i="62905"/>
  <c r="AE24" i="62905"/>
  <c r="AE27" i="62905" s="1"/>
  <c r="L19" i="62914"/>
  <c r="L246" i="7"/>
  <c r="D260" i="5"/>
  <c r="E260" i="5" s="1"/>
  <c r="J73" i="62892"/>
  <c r="D73" i="62892"/>
  <c r="M73" i="62892"/>
  <c r="G73" i="62892"/>
  <c r="D21" i="2"/>
  <c r="D167" i="2" s="1"/>
  <c r="E16" i="2"/>
  <c r="E21" i="2" s="1"/>
  <c r="D364" i="62898"/>
  <c r="AP257" i="5"/>
  <c r="AI24" i="62905"/>
  <c r="AI27" i="62905" s="1"/>
  <c r="AH27" i="62905"/>
  <c r="J20" i="62915"/>
  <c r="J278" i="7"/>
  <c r="AN271" i="5"/>
  <c r="AJ92" i="62898"/>
  <c r="AJ96" i="62898" s="1"/>
  <c r="AI96" i="62898"/>
  <c r="AM496" i="5"/>
  <c r="AH133" i="62898"/>
  <c r="AI126" i="62898"/>
  <c r="K70" i="62905"/>
  <c r="L70" i="62905" s="1"/>
  <c r="C59" i="62892"/>
  <c r="E398" i="62898"/>
  <c r="I398" i="62898"/>
  <c r="X11" i="62914"/>
  <c r="X14" i="62914" s="1"/>
  <c r="G43" i="62914"/>
  <c r="F43" i="62914"/>
  <c r="L14" i="62914"/>
  <c r="AO51" i="5"/>
  <c r="BG51" i="5"/>
  <c r="BG69" i="5" s="1"/>
  <c r="AB51" i="5"/>
  <c r="AI51" i="5"/>
  <c r="G24" i="62911"/>
  <c r="Q23" i="62911"/>
  <c r="AP52" i="5"/>
  <c r="G1739" i="62906"/>
  <c r="G1738" i="62906"/>
  <c r="G1736" i="62906"/>
  <c r="G1740" i="62906"/>
  <c r="G1737" i="62906"/>
  <c r="AJ257" i="5"/>
  <c r="D394" i="62898"/>
  <c r="AA51" i="5"/>
  <c r="AH51" i="5"/>
  <c r="AN51" i="5"/>
  <c r="AN69" i="5" s="1"/>
  <c r="BF51" i="5"/>
  <c r="AJ481" i="5"/>
  <c r="AJ483" i="5" s="1"/>
  <c r="AI483" i="5"/>
  <c r="Z213" i="62898"/>
  <c r="Z215" i="62898" s="1"/>
  <c r="AB41" i="5"/>
  <c r="AC29" i="5"/>
  <c r="AC41" i="5" s="1"/>
  <c r="Z79" i="5"/>
  <c r="AC76" i="5"/>
  <c r="AC79" i="5" s="1"/>
  <c r="L1914" i="62906"/>
  <c r="AL80" i="62905"/>
  <c r="AL81" i="62905"/>
  <c r="Y94" i="2"/>
  <c r="L169" i="2"/>
  <c r="AJ261" i="5"/>
  <c r="AB451" i="5"/>
  <c r="BG451" i="5"/>
  <c r="AI451" i="5"/>
  <c r="AO451" i="5"/>
  <c r="U473" i="5"/>
  <c r="AM354" i="5"/>
  <c r="AK359" i="5"/>
  <c r="J30" i="62914"/>
  <c r="AC352" i="62898"/>
  <c r="AC354" i="62898" s="1"/>
  <c r="AB354" i="62898"/>
  <c r="BD364" i="62898"/>
  <c r="J18" i="62892"/>
  <c r="G18" i="62892"/>
  <c r="M18" i="62892"/>
  <c r="D18" i="62892"/>
  <c r="AC52" i="5"/>
  <c r="AJ456" i="5"/>
  <c r="AC259" i="5"/>
  <c r="O139" i="62905"/>
  <c r="R139" i="62905"/>
  <c r="S139" i="62905"/>
  <c r="AG389" i="5"/>
  <c r="AI385" i="5"/>
  <c r="AI389" i="5" s="1"/>
  <c r="J93" i="2"/>
  <c r="K93" i="2" s="1"/>
  <c r="K96" i="2" s="1"/>
  <c r="M1914" i="62906"/>
  <c r="Z94" i="2"/>
  <c r="AM81" i="62905"/>
  <c r="AM80" i="62905"/>
  <c r="AM83" i="62905" s="1"/>
  <c r="AA260" i="62898"/>
  <c r="S12" i="62915"/>
  <c r="S15" i="62915" s="1"/>
  <c r="G15" i="62915"/>
  <c r="S12" i="62914"/>
  <c r="S14" i="62914" s="1"/>
  <c r="G14" i="62914"/>
  <c r="H30" i="62914"/>
  <c r="H151" i="62904"/>
  <c r="M1711" i="62906"/>
  <c r="R42" i="11"/>
  <c r="AP352" i="62898"/>
  <c r="AP354" i="62898" s="1"/>
  <c r="AO354" i="62898"/>
  <c r="AJ361" i="62898"/>
  <c r="AI364" i="62898"/>
  <c r="E112" i="1"/>
  <c r="D52" i="5"/>
  <c r="E52" i="5" s="1"/>
  <c r="S207" i="7"/>
  <c r="O207" i="7"/>
  <c r="R207" i="7"/>
  <c r="R12" i="62915"/>
  <c r="R15" i="62915" s="1"/>
  <c r="F15" i="62915"/>
  <c r="AG426" i="5"/>
  <c r="AI419" i="5"/>
  <c r="AI426" i="5" s="1"/>
  <c r="AH35" i="62898"/>
  <c r="AP456" i="5"/>
  <c r="X93" i="2"/>
  <c r="G1692" i="62906"/>
  <c r="Y93" i="2"/>
  <c r="Y96" i="2" s="1"/>
  <c r="H1692" i="62906"/>
  <c r="N260" i="9"/>
  <c r="N263" i="9" s="1"/>
  <c r="L263" i="9"/>
  <c r="L72" i="62892"/>
  <c r="L70" i="62892" s="1"/>
  <c r="L102" i="62892" s="1"/>
  <c r="D213" i="62898"/>
  <c r="AG213" i="62898"/>
  <c r="AG215" i="62898" s="1"/>
  <c r="K396" i="62898" s="1"/>
  <c r="I57" i="62892" s="1"/>
  <c r="AW213" i="62898"/>
  <c r="AW215" i="62898" s="1"/>
  <c r="AI213" i="62898"/>
  <c r="AI215" i="62898" s="1"/>
  <c r="L396" i="62898" s="1"/>
  <c r="I215" i="62898"/>
  <c r="E92" i="2"/>
  <c r="E76" i="5"/>
  <c r="E79" i="5" s="1"/>
  <c r="D79" i="5"/>
  <c r="AH250" i="5"/>
  <c r="AH271" i="5" s="1"/>
  <c r="AA250" i="5"/>
  <c r="AA271" i="5" s="1"/>
  <c r="AN250" i="5"/>
  <c r="BF250" i="5"/>
  <c r="BF271" i="5" s="1"/>
  <c r="D123" i="1"/>
  <c r="E118" i="1"/>
  <c r="E123" i="1" s="1"/>
  <c r="X94" i="2"/>
  <c r="K1914" i="62906"/>
  <c r="AK80" i="62905"/>
  <c r="AK81" i="62905"/>
  <c r="D451" i="5"/>
  <c r="E62" i="2"/>
  <c r="E64" i="2" s="1"/>
  <c r="D64" i="2"/>
  <c r="AB354" i="5"/>
  <c r="Z359" i="5"/>
  <c r="I33" i="62914"/>
  <c r="U33" i="62914" s="1"/>
  <c r="I145" i="62904"/>
  <c r="I31" i="62914" s="1"/>
  <c r="U31" i="62914" s="1"/>
  <c r="D399" i="62898"/>
  <c r="F404" i="62898"/>
  <c r="E157" i="5"/>
  <c r="AI354" i="62898"/>
  <c r="AJ352" i="62898"/>
  <c r="AJ354" i="62898" s="1"/>
  <c r="BG364" i="62898"/>
  <c r="D112" i="1"/>
  <c r="L79" i="62892"/>
  <c r="N114" i="62904"/>
  <c r="E69" i="11"/>
  <c r="E73" i="11" s="1"/>
  <c r="D73" i="11"/>
  <c r="E24" i="62905"/>
  <c r="E27" i="62905" s="1"/>
  <c r="D27" i="62905"/>
  <c r="D29" i="62892"/>
  <c r="J29" i="62892"/>
  <c r="M29" i="62892"/>
  <c r="G29" i="62892"/>
  <c r="AB419" i="5"/>
  <c r="AB426" i="5" s="1"/>
  <c r="Z426" i="5"/>
  <c r="AA35" i="62898"/>
  <c r="AC456" i="5"/>
  <c r="AJ255" i="5"/>
  <c r="D89" i="62892"/>
  <c r="M89" i="62892"/>
  <c r="G89" i="62892"/>
  <c r="J89" i="62892"/>
  <c r="F1692" i="62906"/>
  <c r="H93" i="2"/>
  <c r="I93" i="2" s="1"/>
  <c r="D20" i="1"/>
  <c r="D141" i="1" s="1"/>
  <c r="E13" i="1"/>
  <c r="E20" i="1" s="1"/>
  <c r="AB251" i="5"/>
  <c r="AB271" i="5" s="1"/>
  <c r="BG251" i="5"/>
  <c r="BG271" i="5" s="1"/>
  <c r="AI251" i="5"/>
  <c r="AI271" i="5" s="1"/>
  <c r="AO251" i="5"/>
  <c r="AO271" i="5" s="1"/>
  <c r="AA251" i="5"/>
  <c r="BF251" i="5"/>
  <c r="AH251" i="5"/>
  <c r="AN251" i="5"/>
  <c r="M21" i="62892"/>
  <c r="G21" i="62892"/>
  <c r="J21" i="62892"/>
  <c r="D21" i="62892"/>
  <c r="H1705" i="62906"/>
  <c r="AL61" i="62905"/>
  <c r="AJ41" i="11"/>
  <c r="AA41" i="5"/>
  <c r="AC31" i="5"/>
  <c r="D112" i="62904"/>
  <c r="AI354" i="5"/>
  <c r="AG359" i="5"/>
  <c r="J23" i="62915"/>
  <c r="H33" i="62914"/>
  <c r="T33" i="62914" s="1"/>
  <c r="H145" i="62904"/>
  <c r="H31" i="62914" s="1"/>
  <c r="T31" i="62914" s="1"/>
  <c r="AG35" i="62898"/>
  <c r="AJ30" i="62898"/>
  <c r="AJ35" i="62898" s="1"/>
  <c r="D157" i="5"/>
  <c r="D623" i="5" s="1"/>
  <c r="AC361" i="62898"/>
  <c r="AB364" i="62898"/>
  <c r="C36" i="62892"/>
  <c r="S98" i="11"/>
  <c r="K98" i="11"/>
  <c r="G98" i="11"/>
  <c r="V98" i="11"/>
  <c r="N63" i="3"/>
  <c r="H109" i="3" s="1"/>
  <c r="AB445" i="5"/>
  <c r="AC435" i="5"/>
  <c r="AC445" i="5" s="1"/>
  <c r="BF35" i="62898"/>
  <c r="AP255" i="5"/>
  <c r="D43" i="62904"/>
  <c r="E39" i="62904"/>
  <c r="E43" i="62904" s="1"/>
  <c r="V71" i="11"/>
  <c r="V73" i="11" s="1"/>
  <c r="J98" i="11" s="1"/>
  <c r="F36" i="62892" s="1"/>
  <c r="U73" i="11"/>
  <c r="I80" i="62905"/>
  <c r="J80" i="62905" s="1"/>
  <c r="I81" i="62905"/>
  <c r="J81" i="62905" s="1"/>
  <c r="H94" i="2"/>
  <c r="I94" i="2" s="1"/>
  <c r="J1914" i="62906"/>
  <c r="AM71" i="62905"/>
  <c r="AL57" i="11"/>
  <c r="AM70" i="62905"/>
  <c r="AL56" i="11"/>
  <c r="AN50" i="5"/>
  <c r="AH50" i="5"/>
  <c r="AA50" i="5"/>
  <c r="BF50" i="5"/>
  <c r="BF69" i="5" s="1"/>
  <c r="E17" i="62914"/>
  <c r="Q15" i="62914"/>
  <c r="Q17" i="62914" s="1"/>
  <c r="R262" i="9"/>
  <c r="O262" i="9"/>
  <c r="S262" i="9"/>
  <c r="AJ31" i="5"/>
  <c r="AH41" i="5"/>
  <c r="I1705" i="62906"/>
  <c r="I1706" i="62906" s="1"/>
  <c r="I1707" i="62906" s="1"/>
  <c r="AM61" i="62905"/>
  <c r="V24" i="62915"/>
  <c r="G52" i="62915"/>
  <c r="F52" i="62915"/>
  <c r="J33" i="62914"/>
  <c r="V33" i="62914" s="1"/>
  <c r="J145" i="62904"/>
  <c r="J31" i="62914" s="1"/>
  <c r="V31" i="62914" s="1"/>
  <c r="AO364" i="62898"/>
  <c r="AP361" i="62898"/>
  <c r="AJ56" i="5"/>
  <c r="L16" i="62892"/>
  <c r="L13" i="62892" s="1"/>
  <c r="L96" i="62892" s="1"/>
  <c r="L112" i="3"/>
  <c r="N109" i="3"/>
  <c r="N112" i="3" s="1"/>
  <c r="D22" i="5"/>
  <c r="G1723" i="62906"/>
  <c r="G1724" i="62906" s="1"/>
  <c r="AH27" i="11"/>
  <c r="AM19" i="62898"/>
  <c r="AM24" i="62898" s="1"/>
  <c r="AL24" i="62898"/>
  <c r="AK426" i="5"/>
  <c r="AM419" i="5"/>
  <c r="AM426" i="5" s="1"/>
  <c r="AN35" i="62898"/>
  <c r="AC255" i="5"/>
  <c r="AC60" i="5"/>
  <c r="R12" i="62914"/>
  <c r="R14" i="62914" s="1"/>
  <c r="F14" i="62914"/>
  <c r="D359" i="5"/>
  <c r="D627" i="5" s="1"/>
  <c r="E352" i="5"/>
  <c r="E359" i="5" s="1"/>
  <c r="AC94" i="2"/>
  <c r="AP81" i="62905"/>
  <c r="N1914" i="62906"/>
  <c r="AP80" i="62905"/>
  <c r="AP76" i="5"/>
  <c r="AP79" i="5" s="1"/>
  <c r="AM79" i="5"/>
  <c r="AG473" i="5"/>
  <c r="D453" i="5"/>
  <c r="E453" i="5" s="1"/>
  <c r="BE453" i="5"/>
  <c r="BE473" i="5" s="1"/>
  <c r="AM453" i="5"/>
  <c r="AG453" i="5"/>
  <c r="AJ453" i="5" s="1"/>
  <c r="Z453" i="5"/>
  <c r="AC453" i="5" s="1"/>
  <c r="AJ278" i="5"/>
  <c r="AJ281" i="5" s="1"/>
  <c r="AH281" i="5"/>
  <c r="E51" i="2"/>
  <c r="E54" i="2" s="1"/>
  <c r="D54" i="2"/>
  <c r="AC458" i="5"/>
  <c r="AJ98" i="5"/>
  <c r="AJ102" i="5" s="1"/>
  <c r="AH102" i="5"/>
  <c r="AB330" i="5"/>
  <c r="AB333" i="5" s="1"/>
  <c r="H626" i="5" s="1"/>
  <c r="AA333" i="5"/>
  <c r="D258" i="5"/>
  <c r="E258" i="5" s="1"/>
  <c r="AG258" i="5"/>
  <c r="AJ258" i="5" s="1"/>
  <c r="Z258" i="5"/>
  <c r="AC258" i="5" s="1"/>
  <c r="AM258" i="5"/>
  <c r="AP258" i="5" s="1"/>
  <c r="BE258" i="5"/>
  <c r="C56" i="62892"/>
  <c r="E395" i="62898"/>
  <c r="T395" i="62898"/>
  <c r="I395" i="62898"/>
  <c r="Q395" i="62898"/>
  <c r="C68" i="62892"/>
  <c r="Q172" i="2"/>
  <c r="T172" i="2"/>
  <c r="I172" i="2"/>
  <c r="E172" i="2"/>
  <c r="I30" i="62914"/>
  <c r="I151" i="62904"/>
  <c r="AP30" i="62898"/>
  <c r="AP35" i="62898" s="1"/>
  <c r="AM35" i="62898"/>
  <c r="C72" i="62892"/>
  <c r="E260" i="9"/>
  <c r="Q260" i="9"/>
  <c r="T260" i="9"/>
  <c r="I260" i="9"/>
  <c r="AP54" i="5"/>
  <c r="D75" i="62904"/>
  <c r="D114" i="62904" s="1"/>
  <c r="E73" i="62904"/>
  <c r="E75" i="62904" s="1"/>
  <c r="AH451" i="5"/>
  <c r="AH473" i="5" s="1"/>
  <c r="AN451" i="5"/>
  <c r="AN473" i="5" s="1"/>
  <c r="AA451" i="5"/>
  <c r="AA473" i="5" s="1"/>
  <c r="BF451" i="5"/>
  <c r="BF473" i="5" s="1"/>
  <c r="T473" i="5"/>
  <c r="AP435" i="5"/>
  <c r="AP445" i="5" s="1"/>
  <c r="AO445" i="5"/>
  <c r="C8" i="62892"/>
  <c r="I142" i="1"/>
  <c r="E142" i="1"/>
  <c r="Q142" i="1"/>
  <c r="T142" i="1"/>
  <c r="AA24" i="62898"/>
  <c r="M472" i="62898" s="1"/>
  <c r="M33" i="62915" s="1"/>
  <c r="AB19" i="62898"/>
  <c r="AB24" i="62898" s="1"/>
  <c r="H393" i="62898" s="1"/>
  <c r="AI13" i="62905"/>
  <c r="AG17" i="62905"/>
  <c r="M20" i="62915"/>
  <c r="Y20" i="62915" s="1"/>
  <c r="M278" i="7"/>
  <c r="F405" i="62898"/>
  <c r="BG254" i="5"/>
  <c r="AB254" i="5"/>
  <c r="AC254" i="5" s="1"/>
  <c r="AI254" i="5"/>
  <c r="AJ254" i="5" s="1"/>
  <c r="AO254" i="5"/>
  <c r="AP254" i="5" s="1"/>
  <c r="D463" i="5"/>
  <c r="E463" i="5" s="1"/>
  <c r="BE463" i="5"/>
  <c r="AG463" i="5"/>
  <c r="AJ463" i="5" s="1"/>
  <c r="AM463" i="5"/>
  <c r="AP463" i="5" s="1"/>
  <c r="Z463" i="5"/>
  <c r="AC463" i="5" s="1"/>
  <c r="AC261" i="5"/>
  <c r="D397" i="62898"/>
  <c r="D251" i="5"/>
  <c r="E251" i="5" s="1"/>
  <c r="BE251" i="5"/>
  <c r="AM251" i="5"/>
  <c r="AP251" i="5" s="1"/>
  <c r="Z251" i="5"/>
  <c r="AC251" i="5" s="1"/>
  <c r="AG251" i="5"/>
  <c r="AJ251" i="5" s="1"/>
  <c r="E129" i="5"/>
  <c r="E131" i="5" s="1"/>
  <c r="D131" i="5"/>
  <c r="AA92" i="5"/>
  <c r="D51" i="62904"/>
  <c r="E51" i="62904" s="1"/>
  <c r="AO51" i="62904"/>
  <c r="AC51" i="62904"/>
  <c r="AE51" i="62904"/>
  <c r="X51" i="62904"/>
  <c r="AP458" i="5"/>
  <c r="AC98" i="5"/>
  <c r="AC102" i="5" s="1"/>
  <c r="AA102" i="5"/>
  <c r="AL333" i="5"/>
  <c r="AM330" i="5"/>
  <c r="AM333" i="5" s="1"/>
  <c r="L626" i="5" s="1"/>
  <c r="AP455" i="5"/>
  <c r="Y21" i="62914"/>
  <c r="H29" i="62915"/>
  <c r="H183" i="62904"/>
  <c r="Z35" i="62898"/>
  <c r="M460" i="62898"/>
  <c r="M21" i="62915" s="1"/>
  <c r="AC30" i="62898"/>
  <c r="AC35" i="62898" s="1"/>
  <c r="J1705" i="62906"/>
  <c r="AR41" i="11"/>
  <c r="AP61" i="62905"/>
  <c r="AL41" i="11"/>
  <c r="AP56" i="5"/>
  <c r="R168" i="2"/>
  <c r="O168" i="2"/>
  <c r="S168" i="2"/>
  <c r="AJ435" i="5"/>
  <c r="AJ445" i="5" s="1"/>
  <c r="AI445" i="5"/>
  <c r="D426" i="5"/>
  <c r="E419" i="5"/>
  <c r="E426" i="5" s="1"/>
  <c r="AP250" i="5"/>
  <c r="N19" i="62914"/>
  <c r="N246" i="7"/>
  <c r="N167" i="2"/>
  <c r="L63" i="62892"/>
  <c r="AO453" i="5"/>
  <c r="BG453" i="5"/>
  <c r="AI453" i="5"/>
  <c r="AB453" i="5"/>
  <c r="C80" i="62892"/>
  <c r="E115" i="62904"/>
  <c r="Q115" i="62904"/>
  <c r="T115" i="62904"/>
  <c r="I115" i="62904"/>
  <c r="D61" i="1"/>
  <c r="E61" i="1" s="1"/>
  <c r="AC61" i="1"/>
  <c r="AE61" i="1"/>
  <c r="X61" i="1"/>
  <c r="AO61" i="1"/>
  <c r="AO243" i="5"/>
  <c r="AP232" i="5"/>
  <c r="AP243" i="5" s="1"/>
  <c r="G74" i="62892"/>
  <c r="J74" i="62892"/>
  <c r="D74" i="62892"/>
  <c r="M74" i="62892"/>
  <c r="K47" i="62905"/>
  <c r="L47" i="62905" s="1"/>
  <c r="L52" i="62905" s="1"/>
  <c r="D146" i="62905" s="1"/>
  <c r="X74" i="2"/>
  <c r="AJ47" i="5"/>
  <c r="AM92" i="5"/>
  <c r="D62" i="1"/>
  <c r="E62" i="1" s="1"/>
  <c r="AE62" i="1"/>
  <c r="X62" i="1"/>
  <c r="AC62" i="1"/>
  <c r="AO62" i="1"/>
  <c r="I47" i="62905"/>
  <c r="J47" i="62905" s="1"/>
  <c r="F1725" i="62906"/>
  <c r="F1726" i="62906" s="1"/>
  <c r="AP257" i="62898"/>
  <c r="AM260" i="62898"/>
  <c r="AN41" i="5"/>
  <c r="AP31" i="5"/>
  <c r="AH333" i="5"/>
  <c r="AI330" i="5"/>
  <c r="AI333" i="5" s="1"/>
  <c r="K626" i="5" s="1"/>
  <c r="I46" i="62892" s="1"/>
  <c r="AJ455" i="5"/>
  <c r="E445" i="5"/>
  <c r="AJ54" i="5"/>
  <c r="AC56" i="5"/>
  <c r="AI352" i="5"/>
  <c r="AH359" i="5"/>
  <c r="I16" i="62892"/>
  <c r="I13" i="62892" s="1"/>
  <c r="I96" i="62892" s="1"/>
  <c r="K112" i="3"/>
  <c r="BG445" i="5"/>
  <c r="AH24" i="62898"/>
  <c r="AI19" i="62898"/>
  <c r="AI24" i="62898" s="1"/>
  <c r="K393" i="62898" s="1"/>
  <c r="X17" i="62905"/>
  <c r="Z13" i="62905"/>
  <c r="AC250" i="5"/>
  <c r="F27" i="62892"/>
  <c r="F20" i="62892" s="1"/>
  <c r="F97" i="62892" s="1"/>
  <c r="H208" i="7"/>
  <c r="T208" i="7" s="1"/>
  <c r="BG494" i="5"/>
  <c r="BG496" i="5" s="1"/>
  <c r="U496" i="5"/>
  <c r="AB494" i="5"/>
  <c r="AB496" i="5" s="1"/>
  <c r="BD494" i="5"/>
  <c r="BD496" i="5" s="1"/>
  <c r="AI494" i="5"/>
  <c r="AI496" i="5" s="1"/>
  <c r="AN494" i="5"/>
  <c r="AN496" i="5" s="1"/>
  <c r="AL133" i="62898"/>
  <c r="AM126" i="62898"/>
  <c r="AM133" i="62898" s="1"/>
  <c r="L394" i="62898" s="1"/>
  <c r="D50" i="62904"/>
  <c r="E50" i="62904" s="1"/>
  <c r="AO50" i="62904"/>
  <c r="AC50" i="62904"/>
  <c r="AE50" i="62904"/>
  <c r="X50" i="62904"/>
  <c r="AJ232" i="5"/>
  <c r="AJ243" i="5" s="1"/>
  <c r="AI243" i="5"/>
  <c r="AC47" i="5"/>
  <c r="Q16" i="62915"/>
  <c r="Q18" i="62915" s="1"/>
  <c r="E18" i="62915"/>
  <c r="AB102" i="5"/>
  <c r="AA131" i="5"/>
  <c r="AB129" i="5"/>
  <c r="AB131" i="5" s="1"/>
  <c r="AJ460" i="5"/>
  <c r="D445" i="5"/>
  <c r="D35" i="62898"/>
  <c r="E30" i="62898"/>
  <c r="E35" i="62898" s="1"/>
  <c r="AC54" i="5"/>
  <c r="V11" i="62915"/>
  <c r="V15" i="62915" s="1"/>
  <c r="F41" i="62915"/>
  <c r="G41" i="62915"/>
  <c r="J15" i="62915"/>
  <c r="M64" i="62892"/>
  <c r="G64" i="62892"/>
  <c r="J64" i="62892"/>
  <c r="D64" i="62892"/>
  <c r="AB352" i="5"/>
  <c r="AB359" i="5" s="1"/>
  <c r="H627" i="5" s="1"/>
  <c r="F47" i="62892" s="1"/>
  <c r="AA359" i="5"/>
  <c r="E60" i="3"/>
  <c r="E63" i="3" s="1"/>
  <c r="D63" i="3"/>
  <c r="D109" i="3" s="1"/>
  <c r="O200" i="7"/>
  <c r="R200" i="7"/>
  <c r="S200" i="7"/>
  <c r="AI260" i="62898"/>
  <c r="AJ255" i="62898"/>
  <c r="AJ260" i="62898" s="1"/>
  <c r="I1723" i="62906"/>
  <c r="I1724" i="62906" s="1"/>
  <c r="AL27" i="11"/>
  <c r="AE13" i="62905"/>
  <c r="AE17" i="62905" s="1"/>
  <c r="K133" i="62905" s="1"/>
  <c r="AC17" i="62905"/>
  <c r="AJ50" i="5"/>
  <c r="AC43" i="62904"/>
  <c r="N205" i="7"/>
  <c r="N208" i="7" s="1"/>
  <c r="L27" i="62892"/>
  <c r="L20" i="62892" s="1"/>
  <c r="L97" i="62892" s="1"/>
  <c r="L208" i="7"/>
  <c r="L209" i="7" s="1"/>
  <c r="AP70" i="62905"/>
  <c r="AP71" i="62905"/>
  <c r="AR56" i="11"/>
  <c r="AR57" i="11"/>
  <c r="R199" i="7"/>
  <c r="O199" i="7"/>
  <c r="S199" i="7"/>
  <c r="E208" i="7"/>
  <c r="AA281" i="5"/>
  <c r="AC278" i="5"/>
  <c r="AC281" i="5" s="1"/>
  <c r="K69" i="62905"/>
  <c r="L69" i="62905" s="1"/>
  <c r="L73" i="62905" s="1"/>
  <c r="D148" i="62905" s="1"/>
  <c r="E148" i="62905" s="1"/>
  <c r="N55" i="11"/>
  <c r="O55" i="11" s="1"/>
  <c r="O59" i="11" s="1"/>
  <c r="D108" i="11" s="1"/>
  <c r="E108" i="11" s="1"/>
  <c r="X64" i="2"/>
  <c r="I27" i="62892"/>
  <c r="I20" i="62892" s="1"/>
  <c r="I97" i="62892" s="1"/>
  <c r="K208" i="7"/>
  <c r="K209" i="7" s="1"/>
  <c r="AH92" i="5"/>
  <c r="K145" i="1"/>
  <c r="I11" i="62892" s="1"/>
  <c r="AB96" i="62898"/>
  <c r="AC92" i="62898"/>
  <c r="AC96" i="62898" s="1"/>
  <c r="BD102" i="5"/>
  <c r="AC455" i="5"/>
  <c r="AJ362" i="62898"/>
  <c r="AG364" i="62898"/>
  <c r="K1706" i="62906"/>
  <c r="K1707" i="62906" s="1"/>
  <c r="K1708" i="62906" s="1"/>
  <c r="K1709" i="62906" s="1"/>
  <c r="K1710" i="62906" s="1"/>
  <c r="N43" i="11"/>
  <c r="O43" i="11" s="1"/>
  <c r="J41" i="11"/>
  <c r="L41" i="11" s="1"/>
  <c r="I61" i="62905"/>
  <c r="J61" i="62905" s="1"/>
  <c r="F1705" i="62906"/>
  <c r="E96" i="62898"/>
  <c r="L1727" i="62906"/>
  <c r="BD260" i="62898"/>
  <c r="AJ250" i="5"/>
  <c r="AC50" i="5"/>
  <c r="Z13" i="1"/>
  <c r="Z20" i="1" s="1"/>
  <c r="H141" i="1" s="1"/>
  <c r="X20" i="1"/>
  <c r="AO43" i="62904"/>
  <c r="Q20" i="62914"/>
  <c r="AC362" i="62898"/>
  <c r="Z364" i="62898"/>
  <c r="N441" i="62898" s="1"/>
  <c r="N36" i="62914" s="1"/>
  <c r="AJ29" i="5"/>
  <c r="AJ41" i="5" s="1"/>
  <c r="AI41" i="5"/>
  <c r="C25" i="62892"/>
  <c r="C20" i="62892" s="1"/>
  <c r="T203" i="7"/>
  <c r="I203" i="7"/>
  <c r="E203" i="7"/>
  <c r="Q203" i="7"/>
  <c r="AH260" i="62898"/>
  <c r="AP278" i="5"/>
  <c r="AP281" i="5" s="1"/>
  <c r="AN281" i="5"/>
  <c r="AJ458" i="5"/>
  <c r="BF60" i="5"/>
  <c r="AN60" i="5"/>
  <c r="AP60" i="5" s="1"/>
  <c r="AH60" i="5"/>
  <c r="AJ60" i="5" s="1"/>
  <c r="AA60" i="5"/>
  <c r="AA69" i="5" s="1"/>
  <c r="AI69" i="5"/>
  <c r="R108" i="3"/>
  <c r="S108" i="3"/>
  <c r="O108" i="3"/>
  <c r="M27" i="11"/>
  <c r="AP27" i="11"/>
  <c r="U27" i="11"/>
  <c r="Z27" i="11"/>
  <c r="AD27" i="11"/>
  <c r="D458" i="5"/>
  <c r="E458" i="5" s="1"/>
  <c r="AJ257" i="62898"/>
  <c r="AG260" i="62898"/>
  <c r="AP98" i="5"/>
  <c r="AP102" i="5" s="1"/>
  <c r="AN102" i="5"/>
  <c r="U69" i="5"/>
  <c r="AB69" i="5"/>
  <c r="X84" i="2"/>
  <c r="E71" i="2"/>
  <c r="E74" i="2" s="1"/>
  <c r="D74" i="2"/>
  <c r="X112" i="1"/>
  <c r="N159" i="1" s="1"/>
  <c r="M194" i="1"/>
  <c r="AP92" i="62898"/>
  <c r="AP96" i="62898" s="1"/>
  <c r="AO96" i="62898"/>
  <c r="AC257" i="62898"/>
  <c r="Z260" i="62898"/>
  <c r="R204" i="7"/>
  <c r="S204" i="7"/>
  <c r="O204" i="7"/>
  <c r="AO102" i="5"/>
  <c r="E82" i="2"/>
  <c r="E84" i="2" s="1"/>
  <c r="D84" i="2"/>
  <c r="AI129" i="5"/>
  <c r="AI131" i="5" s="1"/>
  <c r="AH131" i="5"/>
  <c r="AR27" i="11"/>
  <c r="J1723" i="62906"/>
  <c r="J1724" i="62906" s="1"/>
  <c r="D96" i="62898"/>
  <c r="L1725" i="62906"/>
  <c r="AM352" i="5"/>
  <c r="AL359" i="5"/>
  <c r="AO260" i="62898"/>
  <c r="AP255" i="62898"/>
  <c r="AP260" i="62898" s="1"/>
  <c r="L397" i="62898" s="1"/>
  <c r="AI15" i="62905"/>
  <c r="D17" i="62905"/>
  <c r="D133" i="62905" s="1"/>
  <c r="E13" i="62905"/>
  <c r="E17" i="62905" s="1"/>
  <c r="D250" i="5"/>
  <c r="E250" i="5" s="1"/>
  <c r="AS20" i="1"/>
  <c r="AE43" i="62904"/>
  <c r="D60" i="1"/>
  <c r="AE60" i="1"/>
  <c r="AO60" i="1"/>
  <c r="L64" i="1"/>
  <c r="X60" i="1"/>
  <c r="AC60" i="1"/>
  <c r="D51" i="5"/>
  <c r="E51" i="5" s="1"/>
  <c r="BE51" i="5"/>
  <c r="BE69" i="5" s="1"/>
  <c r="AM51" i="5"/>
  <c r="AM69" i="5" s="1"/>
  <c r="AG51" i="5"/>
  <c r="AJ51" i="5" s="1"/>
  <c r="Z51" i="5"/>
  <c r="Z69" i="5" s="1"/>
  <c r="X54" i="2"/>
  <c r="AB152" i="5"/>
  <c r="AB157" i="5" s="1"/>
  <c r="H623" i="5" s="1"/>
  <c r="F43" i="62892" s="1"/>
  <c r="Z157" i="5"/>
  <c r="R111" i="3"/>
  <c r="S111" i="3"/>
  <c r="O111" i="3"/>
  <c r="AO41" i="5"/>
  <c r="AP29" i="5"/>
  <c r="AP41" i="5" s="1"/>
  <c r="O1914" i="62906"/>
  <c r="K81" i="62905"/>
  <c r="L81" i="62905" s="1"/>
  <c r="K80" i="62905"/>
  <c r="L80" i="62905" s="1"/>
  <c r="L83" i="62905" s="1"/>
  <c r="D149" i="62905" s="1"/>
  <c r="E149" i="62905" s="1"/>
  <c r="AC232" i="5"/>
  <c r="AC243" i="5" s="1"/>
  <c r="AB243" i="5"/>
  <c r="AP47" i="5"/>
  <c r="D494" i="5"/>
  <c r="AN89" i="5"/>
  <c r="AN92" i="5" s="1"/>
  <c r="U92" i="5"/>
  <c r="BG89" i="5"/>
  <c r="BG92" i="5" s="1"/>
  <c r="AI89" i="5"/>
  <c r="AI92" i="5" s="1"/>
  <c r="AB89" i="5"/>
  <c r="AB92" i="5" s="1"/>
  <c r="BD89" i="5"/>
  <c r="BD92" i="5" s="1"/>
  <c r="L145" i="1"/>
  <c r="AA71" i="11"/>
  <c r="AA73" i="11" s="1"/>
  <c r="M98" i="11" s="1"/>
  <c r="I36" i="62892" s="1"/>
  <c r="Z73" i="11"/>
  <c r="BG96" i="62898"/>
  <c r="AH259" i="5"/>
  <c r="AJ259" i="5" s="1"/>
  <c r="BF259" i="5"/>
  <c r="AN259" i="5"/>
  <c r="AP259" i="5" s="1"/>
  <c r="AA259" i="5"/>
  <c r="BG59" i="5"/>
  <c r="AB59" i="5"/>
  <c r="AC59" i="5" s="1"/>
  <c r="AO59" i="5"/>
  <c r="AO69" i="5" s="1"/>
  <c r="AI59" i="5"/>
  <c r="AJ59" i="5" s="1"/>
  <c r="AI102" i="5"/>
  <c r="AA496" i="5"/>
  <c r="AP362" i="62898"/>
  <c r="AM364" i="62898"/>
  <c r="H2298" i="62906"/>
  <c r="L1729" i="62906"/>
  <c r="F1737" i="62906"/>
  <c r="F1738" i="62906"/>
  <c r="F1736" i="62906"/>
  <c r="F1740" i="62906"/>
  <c r="F1739" i="62906"/>
  <c r="D22" i="62892"/>
  <c r="G22" i="62892"/>
  <c r="M22" i="62892"/>
  <c r="J22" i="62892"/>
  <c r="BG260" i="62898"/>
  <c r="AE15" i="62905"/>
  <c r="H1723" i="62906"/>
  <c r="H1724" i="62906" s="1"/>
  <c r="AJ27" i="11"/>
  <c r="AP50" i="5"/>
  <c r="AG20" i="1"/>
  <c r="AI13" i="1"/>
  <c r="AI20" i="1" s="1"/>
  <c r="L141" i="1" s="1"/>
  <c r="D49" i="62904"/>
  <c r="X49" i="62904"/>
  <c r="X53" i="62904" s="1"/>
  <c r="AE49" i="62904"/>
  <c r="AE53" i="62904" s="1"/>
  <c r="AO49" i="62904"/>
  <c r="AC49" i="62904"/>
  <c r="L53" i="62904"/>
  <c r="BG460" i="5"/>
  <c r="AO460" i="5"/>
  <c r="AP460" i="5" s="1"/>
  <c r="AI460" i="5"/>
  <c r="AB460" i="5"/>
  <c r="AC460" i="5" s="1"/>
  <c r="M15" i="62892"/>
  <c r="J15" i="62892"/>
  <c r="G15" i="62892"/>
  <c r="E47" i="5"/>
  <c r="E69" i="5" s="1"/>
  <c r="AG22" i="5"/>
  <c r="AI19" i="5"/>
  <c r="AI22" i="5" s="1"/>
  <c r="AI252" i="5"/>
  <c r="AJ252" i="5" s="1"/>
  <c r="BG252" i="5"/>
  <c r="AO252" i="5"/>
  <c r="AP252" i="5" s="1"/>
  <c r="AB252" i="5"/>
  <c r="AC252" i="5" s="1"/>
  <c r="AC93" i="2"/>
  <c r="AC96" i="2" s="1"/>
  <c r="J1692" i="62906"/>
  <c r="D252" i="5"/>
  <c r="E252" i="5" s="1"/>
  <c r="AM129" i="5"/>
  <c r="AM131" i="5" s="1"/>
  <c r="AL131" i="5"/>
  <c r="AH496" i="5"/>
  <c r="L1719" i="62906"/>
  <c r="O206" i="7"/>
  <c r="R206" i="7"/>
  <c r="S206" i="7"/>
  <c r="J1737" i="62906"/>
  <c r="J1739" i="62906"/>
  <c r="J1736" i="62906"/>
  <c r="J1740" i="62906"/>
  <c r="J1738" i="62906"/>
  <c r="AB260" i="62898"/>
  <c r="AC255" i="62898"/>
  <c r="AC260" i="62898" s="1"/>
  <c r="Z15" i="62905"/>
  <c r="BB426" i="5"/>
  <c r="AN385" i="5"/>
  <c r="AN389" i="5" s="1"/>
  <c r="AL389" i="5"/>
  <c r="D50" i="5"/>
  <c r="E50" i="5" s="1"/>
  <c r="AE13" i="1"/>
  <c r="AE20" i="1" s="1"/>
  <c r="K141" i="1" s="1"/>
  <c r="AC20" i="1"/>
  <c r="X43" i="62904"/>
  <c r="V25" i="62915" l="1"/>
  <c r="F53" i="62915"/>
  <c r="K622" i="5"/>
  <c r="I42" i="62892" s="1"/>
  <c r="L622" i="5"/>
  <c r="H622" i="5"/>
  <c r="F42" i="62892" s="1"/>
  <c r="G151" i="62904"/>
  <c r="N398" i="62898"/>
  <c r="L59" i="62892"/>
  <c r="C51" i="62892"/>
  <c r="E631" i="5"/>
  <c r="Q631" i="5"/>
  <c r="I631" i="5"/>
  <c r="T631" i="5"/>
  <c r="AJ238" i="62898"/>
  <c r="K397" i="62898" s="1"/>
  <c r="I58" i="62892" s="1"/>
  <c r="AE20" i="62904"/>
  <c r="K112" i="62904" s="1"/>
  <c r="I77" i="62892" s="1"/>
  <c r="G183" i="62904"/>
  <c r="G29" i="62915"/>
  <c r="S29" i="62915" s="1"/>
  <c r="AB304" i="62898"/>
  <c r="N625" i="5"/>
  <c r="L45" i="62892"/>
  <c r="AM535" i="5"/>
  <c r="L630" i="5" s="1"/>
  <c r="D323" i="5"/>
  <c r="D626" i="5" s="1"/>
  <c r="E321" i="5"/>
  <c r="E323" i="5" s="1"/>
  <c r="C45" i="62892"/>
  <c r="T625" i="5"/>
  <c r="I625" i="5"/>
  <c r="Q625" i="5"/>
  <c r="E625" i="5"/>
  <c r="Q398" i="62898"/>
  <c r="AC236" i="62898"/>
  <c r="AC238" i="62898" s="1"/>
  <c r="H397" i="62898" s="1"/>
  <c r="F29" i="62915"/>
  <c r="R29" i="62915" s="1"/>
  <c r="F183" i="62904"/>
  <c r="T398" i="62898"/>
  <c r="L26" i="62914"/>
  <c r="D525" i="5"/>
  <c r="D630" i="5" s="1"/>
  <c r="E523" i="5"/>
  <c r="E525" i="5" s="1"/>
  <c r="M463" i="62898"/>
  <c r="M24" i="62915" s="1"/>
  <c r="Y24" i="62915" s="1"/>
  <c r="AI535" i="5"/>
  <c r="K630" i="5" s="1"/>
  <c r="I50" i="62892" s="1"/>
  <c r="L17" i="62914"/>
  <c r="G46" i="62914"/>
  <c r="X15" i="62914"/>
  <c r="X17" i="62914" s="1"/>
  <c r="F46" i="62914"/>
  <c r="L658" i="5"/>
  <c r="L678" i="5" s="1"/>
  <c r="J694" i="5"/>
  <c r="J714" i="5" s="1"/>
  <c r="H630" i="5"/>
  <c r="F50" i="62892" s="1"/>
  <c r="D121" i="5"/>
  <c r="E119" i="5"/>
  <c r="E121" i="5" s="1"/>
  <c r="L51" i="62892"/>
  <c r="N631" i="5"/>
  <c r="AJ294" i="5"/>
  <c r="K625" i="5" s="1"/>
  <c r="I45" i="62892" s="1"/>
  <c r="AO89" i="5"/>
  <c r="AO92" i="5" s="1"/>
  <c r="L621" i="5" s="1"/>
  <c r="D622" i="5"/>
  <c r="C42" i="62892" s="1"/>
  <c r="G53" i="62915"/>
  <c r="E29" i="62915"/>
  <c r="Q29" i="62915" s="1"/>
  <c r="E183" i="62904"/>
  <c r="M193" i="1"/>
  <c r="M10" i="62915"/>
  <c r="N10" i="62914"/>
  <c r="N158" i="1"/>
  <c r="AI359" i="5"/>
  <c r="K627" i="5" s="1"/>
  <c r="I47" i="62892" s="1"/>
  <c r="AI133" i="62898"/>
  <c r="K394" i="62898" s="1"/>
  <c r="I55" i="62892" s="1"/>
  <c r="AI20" i="62904"/>
  <c r="L112" i="62904" s="1"/>
  <c r="AC53" i="62904"/>
  <c r="K113" i="62904" s="1"/>
  <c r="AM359" i="5"/>
  <c r="AO53" i="62904"/>
  <c r="D393" i="62898"/>
  <c r="T393" i="62898" s="1"/>
  <c r="M151" i="62904"/>
  <c r="E151" i="62904"/>
  <c r="Z20" i="62904"/>
  <c r="H112" i="62904" s="1"/>
  <c r="F77" i="62892" s="1"/>
  <c r="C79" i="62892"/>
  <c r="E114" i="62904"/>
  <c r="Q114" i="62904"/>
  <c r="T114" i="62904"/>
  <c r="I114" i="62904"/>
  <c r="C54" i="62892"/>
  <c r="I393" i="62898"/>
  <c r="Q393" i="62898"/>
  <c r="Y33" i="62915"/>
  <c r="H61" i="62915"/>
  <c r="E61" i="62915"/>
  <c r="M694" i="5"/>
  <c r="M714" i="5" s="1"/>
  <c r="Z36" i="62914"/>
  <c r="H64" i="62914"/>
  <c r="E64" i="62914"/>
  <c r="C97" i="62892"/>
  <c r="M20" i="62892"/>
  <c r="G20" i="62892"/>
  <c r="G97" i="62892" s="1"/>
  <c r="J20" i="62892"/>
  <c r="F54" i="62892"/>
  <c r="G202" i="2"/>
  <c r="G235" i="2"/>
  <c r="R115" i="62904"/>
  <c r="O115" i="62904"/>
  <c r="S115" i="62904"/>
  <c r="AH13" i="11"/>
  <c r="G1693" i="62906"/>
  <c r="N658" i="5"/>
  <c r="N678" i="5" s="1"/>
  <c r="I1693" i="62906"/>
  <c r="AL13" i="11"/>
  <c r="N626" i="5"/>
  <c r="L46" i="62892"/>
  <c r="M1712" i="62906"/>
  <c r="R44" i="11"/>
  <c r="G1706" i="62906"/>
  <c r="G1707" i="62906" s="1"/>
  <c r="AH43" i="11"/>
  <c r="D81" i="62905"/>
  <c r="E81" i="62905" s="1"/>
  <c r="AO81" i="62905"/>
  <c r="AE81" i="62905"/>
  <c r="AC81" i="62905"/>
  <c r="X81" i="62905"/>
  <c r="AJ69" i="5"/>
  <c r="AP451" i="5"/>
  <c r="M464" i="62898"/>
  <c r="G72" i="62892"/>
  <c r="J72" i="62892"/>
  <c r="D72" i="62892"/>
  <c r="M72" i="62892"/>
  <c r="AJ451" i="5"/>
  <c r="AJ473" i="5" s="1"/>
  <c r="T98" i="11"/>
  <c r="U98" i="11"/>
  <c r="H1706" i="62906"/>
  <c r="H1707" i="62906" s="1"/>
  <c r="AJ43" i="11"/>
  <c r="AL83" i="62905"/>
  <c r="Z56" i="11"/>
  <c r="AA56" i="11" s="1"/>
  <c r="AD56" i="11"/>
  <c r="AE56" i="11" s="1"/>
  <c r="AP56" i="11"/>
  <c r="U56" i="11"/>
  <c r="V56" i="11" s="1"/>
  <c r="M56" i="11"/>
  <c r="D56" i="11" s="1"/>
  <c r="E56" i="11" s="1"/>
  <c r="P98" i="11"/>
  <c r="Q98" i="11" s="1"/>
  <c r="L36" i="62892"/>
  <c r="H112" i="3"/>
  <c r="F16" i="62892"/>
  <c r="F13" i="62892" s="1"/>
  <c r="F96" i="62892" s="1"/>
  <c r="C70" i="62892"/>
  <c r="G71" i="62892"/>
  <c r="M71" i="62892"/>
  <c r="J71" i="62892"/>
  <c r="D80" i="62905"/>
  <c r="X80" i="62905"/>
  <c r="AE80" i="62905"/>
  <c r="AE83" i="62905" s="1"/>
  <c r="L138" i="62905" s="1"/>
  <c r="AO80" i="62905"/>
  <c r="AO83" i="62905" s="1"/>
  <c r="AC80" i="62905"/>
  <c r="AC83" i="62905" s="1"/>
  <c r="K138" i="62905" s="1"/>
  <c r="I88" i="62892" s="1"/>
  <c r="J83" i="62905"/>
  <c r="J1725" i="62906"/>
  <c r="J1726" i="62906" s="1"/>
  <c r="AP47" i="62905"/>
  <c r="AM473" i="5"/>
  <c r="F46" i="62892"/>
  <c r="L393" i="62898"/>
  <c r="L2003" i="62906"/>
  <c r="L1991" i="62906"/>
  <c r="L2038" i="62906"/>
  <c r="L1932" i="62906"/>
  <c r="L1951" i="62906"/>
  <c r="L2024" i="62906"/>
  <c r="L1984" i="62906"/>
  <c r="L2034" i="62906"/>
  <c r="L1947" i="62906"/>
  <c r="L1988" i="62906"/>
  <c r="L1971" i="62906"/>
  <c r="L1994" i="62906"/>
  <c r="L1923" i="62906"/>
  <c r="L1952" i="62906"/>
  <c r="L2005" i="62906"/>
  <c r="L1969" i="62906"/>
  <c r="L2035" i="62906"/>
  <c r="L1944" i="62906"/>
  <c r="L1980" i="62906"/>
  <c r="L1966" i="62906"/>
  <c r="L1979" i="62906"/>
  <c r="L1921" i="62906"/>
  <c r="L1936" i="62906"/>
  <c r="L1986" i="62906"/>
  <c r="L1960" i="62906"/>
  <c r="L1989" i="62906"/>
  <c r="L1930" i="62906"/>
  <c r="L1976" i="62906"/>
  <c r="L1958" i="62906"/>
  <c r="L1949" i="62906"/>
  <c r="L2022" i="62906"/>
  <c r="L1926" i="62906"/>
  <c r="L1975" i="62906"/>
  <c r="L1941" i="62906"/>
  <c r="L1982" i="62906"/>
  <c r="L1933" i="62906"/>
  <c r="L1928" i="62906"/>
  <c r="L2033" i="62906"/>
  <c r="L2109" i="62906"/>
  <c r="L2071" i="62906"/>
  <c r="AJ82" i="11" s="1"/>
  <c r="AJ86" i="11" s="1"/>
  <c r="L1934" i="62906"/>
  <c r="L2042" i="62906"/>
  <c r="L1956" i="62906"/>
  <c r="L2051" i="62906"/>
  <c r="L1962" i="62906"/>
  <c r="L1995" i="62906"/>
  <c r="L1977" i="62906"/>
  <c r="L1915" i="62906"/>
  <c r="L1927" i="62906"/>
  <c r="L2114" i="62906"/>
  <c r="L1945" i="62906"/>
  <c r="L2108" i="62906"/>
  <c r="L1967" i="62906"/>
  <c r="L2049" i="62906"/>
  <c r="L2115" i="62906"/>
  <c r="L2066" i="62906"/>
  <c r="L1946" i="62906"/>
  <c r="L2089" i="62906"/>
  <c r="L1954" i="62906"/>
  <c r="L1987" i="62906"/>
  <c r="L2112" i="62906"/>
  <c r="L2068" i="62906"/>
  <c r="L1938" i="62906"/>
  <c r="L2037" i="62906"/>
  <c r="L1942" i="62906"/>
  <c r="L1950" i="62906"/>
  <c r="L2090" i="62906"/>
  <c r="L2070" i="62906"/>
  <c r="L1922" i="62906"/>
  <c r="L2123" i="62906"/>
  <c r="L2110" i="62906"/>
  <c r="L2064" i="62906"/>
  <c r="L2075" i="62906"/>
  <c r="L1965" i="62906"/>
  <c r="L1916" i="62906"/>
  <c r="L2124" i="62906"/>
  <c r="L2087" i="62906"/>
  <c r="L2084" i="62906"/>
  <c r="L2079" i="62906"/>
  <c r="L1948" i="62906"/>
  <c r="L2073" i="62906"/>
  <c r="L2063" i="62906"/>
  <c r="L2122" i="62906"/>
  <c r="L2117" i="62906"/>
  <c r="L2043" i="62906"/>
  <c r="L1937" i="62906"/>
  <c r="L2055" i="62906"/>
  <c r="L2047" i="62906"/>
  <c r="L2107" i="62906"/>
  <c r="L2113" i="62906"/>
  <c r="L1996" i="62906"/>
  <c r="L1919" i="62906"/>
  <c r="L2048" i="62906"/>
  <c r="L1999" i="62906"/>
  <c r="L2058" i="62906"/>
  <c r="L2116" i="62906"/>
  <c r="L1925" i="62906"/>
  <c r="L2086" i="62906"/>
  <c r="L2056" i="62906"/>
  <c r="L2088" i="62906"/>
  <c r="L2050" i="62906"/>
  <c r="L2080" i="62906"/>
  <c r="L2072" i="62906"/>
  <c r="L2082" i="62906"/>
  <c r="L2041" i="62906"/>
  <c r="L2000" i="62906"/>
  <c r="L2061" i="62906"/>
  <c r="AJ83" i="11" s="1"/>
  <c r="L2062" i="62906"/>
  <c r="L1963" i="62906"/>
  <c r="L2085" i="62906"/>
  <c r="L2078" i="62906"/>
  <c r="L2027" i="62906"/>
  <c r="L2021" i="62906"/>
  <c r="L2004" i="62906"/>
  <c r="L2045" i="62906"/>
  <c r="L2040" i="62906"/>
  <c r="L2053" i="62906"/>
  <c r="L2060" i="62906"/>
  <c r="L1959" i="62906"/>
  <c r="L2091" i="62906"/>
  <c r="L2025" i="62906"/>
  <c r="L1964" i="62906"/>
  <c r="L1924" i="62906"/>
  <c r="L2028" i="62906"/>
  <c r="L2054" i="62906"/>
  <c r="L1943" i="62906"/>
  <c r="L2069" i="62906"/>
  <c r="L1997" i="62906"/>
  <c r="L1961" i="62906"/>
  <c r="L2074" i="62906"/>
  <c r="L2029" i="62906"/>
  <c r="L2065" i="62906"/>
  <c r="L1931" i="62906"/>
  <c r="L2044" i="62906"/>
  <c r="L1981" i="62906"/>
  <c r="L1940" i="62906"/>
  <c r="L1953" i="62906"/>
  <c r="L1990" i="62906"/>
  <c r="L2026" i="62906"/>
  <c r="L1935" i="62906"/>
  <c r="L2036" i="62906"/>
  <c r="L1974" i="62906"/>
  <c r="L1929" i="62906"/>
  <c r="L1939" i="62906"/>
  <c r="L1978" i="62906"/>
  <c r="L2031" i="62906"/>
  <c r="L2067" i="62906"/>
  <c r="AJ84" i="11" s="1"/>
  <c r="L2023" i="62906"/>
  <c r="L1968" i="62906"/>
  <c r="L1917" i="62906"/>
  <c r="L2120" i="62906"/>
  <c r="L1972" i="62906"/>
  <c r="L1970" i="62906"/>
  <c r="L2092" i="62906"/>
  <c r="L1985" i="62906"/>
  <c r="L1918" i="62906"/>
  <c r="L1983" i="62906"/>
  <c r="L2119" i="62906"/>
  <c r="L1920" i="62906"/>
  <c r="L2006" i="62906"/>
  <c r="L2083" i="62906"/>
  <c r="L2002" i="62906"/>
  <c r="L2052" i="62906"/>
  <c r="L2039" i="62906"/>
  <c r="L2030" i="62906"/>
  <c r="L2046" i="62906"/>
  <c r="L2077" i="62906"/>
  <c r="L1993" i="62906"/>
  <c r="L1955" i="62906"/>
  <c r="L2059" i="62906"/>
  <c r="C55" i="62892"/>
  <c r="I394" i="62898"/>
  <c r="Q394" i="62898"/>
  <c r="E394" i="62898"/>
  <c r="T394" i="62898"/>
  <c r="V20" i="62915"/>
  <c r="H48" i="62915"/>
  <c r="F48" i="62915"/>
  <c r="G48" i="62915"/>
  <c r="E48" i="62915"/>
  <c r="D71" i="62905"/>
  <c r="E71" i="62905" s="1"/>
  <c r="AE71" i="62905"/>
  <c r="AC71" i="62905"/>
  <c r="X71" i="62905"/>
  <c r="AO71" i="62905"/>
  <c r="L90" i="62892"/>
  <c r="N140" i="62905"/>
  <c r="L65" i="62892"/>
  <c r="N169" i="2"/>
  <c r="E146" i="62905"/>
  <c r="E150" i="62905" s="1"/>
  <c r="C116" i="62892" s="1"/>
  <c r="D150" i="62905"/>
  <c r="X19" i="62914"/>
  <c r="E48" i="62914"/>
  <c r="H48" i="62914"/>
  <c r="F48" i="62914"/>
  <c r="G48" i="62914"/>
  <c r="BE271" i="5"/>
  <c r="N141" i="1"/>
  <c r="L7" i="62892"/>
  <c r="M156" i="3"/>
  <c r="M180" i="62904"/>
  <c r="M177" i="62904" s="1"/>
  <c r="H113" i="62904"/>
  <c r="AP59" i="5"/>
  <c r="O142" i="1"/>
  <c r="S142" i="1"/>
  <c r="R142" i="1"/>
  <c r="AP83" i="62905"/>
  <c r="G1725" i="62906"/>
  <c r="G1726" i="62906" s="1"/>
  <c r="AK47" i="62905"/>
  <c r="J36" i="62892"/>
  <c r="D36" i="62892"/>
  <c r="G36" i="62892"/>
  <c r="M36" i="62892"/>
  <c r="K628" i="5"/>
  <c r="I48" i="62892" s="1"/>
  <c r="Z271" i="5"/>
  <c r="AC249" i="5"/>
  <c r="AC271" i="5" s="1"/>
  <c r="H624" i="5" s="1"/>
  <c r="F44" i="62892" s="1"/>
  <c r="D132" i="1"/>
  <c r="D145" i="1" s="1"/>
  <c r="D146" i="1" s="1"/>
  <c r="E130" i="1"/>
  <c r="E132" i="1" s="1"/>
  <c r="N144" i="62904"/>
  <c r="AL47" i="62905"/>
  <c r="H1725" i="62906"/>
  <c r="H1726" i="62906" s="1"/>
  <c r="AC64" i="1"/>
  <c r="K144" i="1" s="1"/>
  <c r="I10" i="62892" s="1"/>
  <c r="X64" i="1"/>
  <c r="N160" i="1" s="1"/>
  <c r="M195" i="1"/>
  <c r="AO64" i="1"/>
  <c r="F7" i="62892"/>
  <c r="U30" i="62914"/>
  <c r="U37" i="62914" s="1"/>
  <c r="I37" i="62914"/>
  <c r="N1985" i="62906"/>
  <c r="N2108" i="62906"/>
  <c r="N2047" i="62906"/>
  <c r="N1978" i="62906"/>
  <c r="N1949" i="62906"/>
  <c r="N2004" i="62906"/>
  <c r="N2116" i="62906"/>
  <c r="N1947" i="62906"/>
  <c r="N2044" i="62906"/>
  <c r="N1968" i="62906"/>
  <c r="N1993" i="62906"/>
  <c r="N2110" i="62906"/>
  <c r="N1944" i="62906"/>
  <c r="N2021" i="62906"/>
  <c r="N1941" i="62906"/>
  <c r="N2002" i="62906"/>
  <c r="N2119" i="62906"/>
  <c r="N2049" i="62906"/>
  <c r="N1928" i="62906"/>
  <c r="N2068" i="62906"/>
  <c r="N1960" i="62906"/>
  <c r="N1962" i="62906"/>
  <c r="N2090" i="62906"/>
  <c r="N2061" i="62906"/>
  <c r="N1995" i="62906"/>
  <c r="N2027" i="62906"/>
  <c r="N2123" i="62906"/>
  <c r="N2069" i="62906"/>
  <c r="N2114" i="62906"/>
  <c r="N2120" i="62906"/>
  <c r="N1936" i="62906"/>
  <c r="N2065" i="62906"/>
  <c r="N2051" i="62906"/>
  <c r="N2070" i="62906"/>
  <c r="N2092" i="62906"/>
  <c r="N1955" i="62906"/>
  <c r="N1924" i="62906"/>
  <c r="N1926" i="62906"/>
  <c r="N2055" i="62906"/>
  <c r="N1970" i="62906"/>
  <c r="N2078" i="62906"/>
  <c r="N2124" i="62906"/>
  <c r="N2064" i="62906"/>
  <c r="N1945" i="62906"/>
  <c r="N2059" i="62906"/>
  <c r="N2086" i="62906"/>
  <c r="N2117" i="62906"/>
  <c r="N1997" i="62906"/>
  <c r="N1948" i="62906"/>
  <c r="N2039" i="62906"/>
  <c r="N1975" i="62906"/>
  <c r="N1986" i="62906"/>
  <c r="N1951" i="62906"/>
  <c r="N2077" i="62906"/>
  <c r="N1925" i="62906"/>
  <c r="N1989" i="62906"/>
  <c r="N2075" i="62906"/>
  <c r="N1940" i="62906"/>
  <c r="N1965" i="62906"/>
  <c r="N1918" i="62906"/>
  <c r="N1938" i="62906"/>
  <c r="N1935" i="62906"/>
  <c r="N1917" i="62906"/>
  <c r="N2006" i="62906"/>
  <c r="N1916" i="62906"/>
  <c r="N1961" i="62906"/>
  <c r="N1952" i="62906"/>
  <c r="N2000" i="62906"/>
  <c r="N1934" i="62906"/>
  <c r="N2037" i="62906"/>
  <c r="N1996" i="62906"/>
  <c r="N1976" i="62906"/>
  <c r="N2083" i="62906"/>
  <c r="N1963" i="62906"/>
  <c r="N1931" i="62906"/>
  <c r="N2122" i="62906"/>
  <c r="N2080" i="62906"/>
  <c r="N1990" i="62906"/>
  <c r="N2079" i="62906"/>
  <c r="N2022" i="62906"/>
  <c r="N2046" i="62906"/>
  <c r="N2056" i="62906"/>
  <c r="N2003" i="62906"/>
  <c r="N1980" i="62906"/>
  <c r="N1984" i="62906"/>
  <c r="N2091" i="62906"/>
  <c r="N2041" i="62906"/>
  <c r="N2088" i="62906"/>
  <c r="N2030" i="62906"/>
  <c r="N2034" i="62906"/>
  <c r="N2043" i="62906"/>
  <c r="N2066" i="62906"/>
  <c r="N1932" i="62906"/>
  <c r="N2024" i="62906"/>
  <c r="N2073" i="62906"/>
  <c r="N1953" i="62906"/>
  <c r="N1921" i="62906"/>
  <c r="N2040" i="62906"/>
  <c r="N1971" i="62906"/>
  <c r="N1920" i="62906"/>
  <c r="N1979" i="62906"/>
  <c r="N1942" i="62906"/>
  <c r="N2085" i="62906"/>
  <c r="N1964" i="62906"/>
  <c r="N2107" i="62906"/>
  <c r="N2026" i="62906"/>
  <c r="N2060" i="62906"/>
  <c r="N1977" i="62906"/>
  <c r="N2109" i="62906"/>
  <c r="N2025" i="62906"/>
  <c r="N2031" i="62906"/>
  <c r="N2062" i="62906"/>
  <c r="N1972" i="62906"/>
  <c r="N2115" i="62906"/>
  <c r="N2054" i="62906"/>
  <c r="N1954" i="62906"/>
  <c r="N1987" i="62906"/>
  <c r="N1959" i="62906"/>
  <c r="N1946" i="62906"/>
  <c r="N2082" i="62906"/>
  <c r="N2042" i="62906"/>
  <c r="N2067" i="62906"/>
  <c r="N2023" i="62906"/>
  <c r="N1919" i="62906"/>
  <c r="N1974" i="62906"/>
  <c r="N1994" i="62906"/>
  <c r="N1958" i="62906"/>
  <c r="N1937" i="62906"/>
  <c r="N1956" i="62906"/>
  <c r="N1929" i="62906"/>
  <c r="N2074" i="62906"/>
  <c r="N2113" i="62906"/>
  <c r="N2050" i="62906"/>
  <c r="N1933" i="62906"/>
  <c r="N1981" i="62906"/>
  <c r="N2035" i="62906"/>
  <c r="N2028" i="62906"/>
  <c r="N2063" i="62906"/>
  <c r="N1930" i="62906"/>
  <c r="N1927" i="62906"/>
  <c r="N1982" i="62906"/>
  <c r="N1950" i="62906"/>
  <c r="N1915" i="62906"/>
  <c r="N2052" i="62906"/>
  <c r="N1969" i="62906"/>
  <c r="N1988" i="62906"/>
  <c r="N2029" i="62906"/>
  <c r="N2072" i="62906"/>
  <c r="N1991" i="62906"/>
  <c r="N2033" i="62906"/>
  <c r="N2112" i="62906"/>
  <c r="N1983" i="62906"/>
  <c r="N2005" i="62906"/>
  <c r="N2045" i="62906"/>
  <c r="N1967" i="62906"/>
  <c r="N2084" i="62906"/>
  <c r="N2036" i="62906"/>
  <c r="N2038" i="62906"/>
  <c r="N1922" i="62906"/>
  <c r="N1943" i="62906"/>
  <c r="N1939" i="62906"/>
  <c r="N2053" i="62906"/>
  <c r="N2071" i="62906"/>
  <c r="N2058" i="62906"/>
  <c r="N2089" i="62906"/>
  <c r="N2087" i="62906"/>
  <c r="N1999" i="62906"/>
  <c r="N1923" i="62906"/>
  <c r="N1966" i="62906"/>
  <c r="N2048" i="62906"/>
  <c r="AP249" i="5"/>
  <c r="AP271" i="5" s="1"/>
  <c r="AM271" i="5"/>
  <c r="E121" i="62905"/>
  <c r="E124" i="62905" s="1"/>
  <c r="D124" i="62905"/>
  <c r="D140" i="62905" s="1"/>
  <c r="C41" i="62892"/>
  <c r="E621" i="5"/>
  <c r="I621" i="5"/>
  <c r="D93" i="2"/>
  <c r="AB93" i="2"/>
  <c r="V93" i="2"/>
  <c r="Q93" i="2"/>
  <c r="Q96" i="2" s="1"/>
  <c r="T93" i="2"/>
  <c r="I96" i="2"/>
  <c r="K620" i="5"/>
  <c r="J177" i="62904"/>
  <c r="L145" i="62904"/>
  <c r="E494" i="5"/>
  <c r="E496" i="5" s="1"/>
  <c r="D496" i="5"/>
  <c r="D629" i="5" s="1"/>
  <c r="N431" i="62898"/>
  <c r="R260" i="9"/>
  <c r="O260" i="9"/>
  <c r="S260" i="9"/>
  <c r="D69" i="5"/>
  <c r="D620" i="5" s="1"/>
  <c r="AE64" i="1"/>
  <c r="L144" i="1" s="1"/>
  <c r="AJ89" i="5"/>
  <c r="AJ92" i="5" s="1"/>
  <c r="K621" i="5" s="1"/>
  <c r="I41" i="62892" s="1"/>
  <c r="J8" i="62892"/>
  <c r="G8" i="62892"/>
  <c r="M8" i="62892"/>
  <c r="D8" i="62892"/>
  <c r="O172" i="2"/>
  <c r="S172" i="2"/>
  <c r="R172" i="2"/>
  <c r="D169" i="2"/>
  <c r="AC364" i="62898"/>
  <c r="F408" i="62898"/>
  <c r="M686" i="5"/>
  <c r="E407" i="62898"/>
  <c r="G407" i="62898" s="1"/>
  <c r="R398" i="62898"/>
  <c r="O398" i="62898"/>
  <c r="S398" i="62898"/>
  <c r="G80" i="62892"/>
  <c r="D80" i="62892"/>
  <c r="M80" i="62892"/>
  <c r="J80" i="62892"/>
  <c r="I1708" i="62906"/>
  <c r="I1709" i="62906" s="1"/>
  <c r="AM60" i="62905"/>
  <c r="T30" i="62914"/>
  <c r="T37" i="62914" s="1"/>
  <c r="H37" i="62914"/>
  <c r="Z57" i="11"/>
  <c r="AA57" i="11" s="1"/>
  <c r="U57" i="11"/>
  <c r="V57" i="11" s="1"/>
  <c r="AD57" i="11"/>
  <c r="AE57" i="11" s="1"/>
  <c r="AP57" i="11"/>
  <c r="M57" i="11"/>
  <c r="D57" i="11" s="1"/>
  <c r="E57" i="11" s="1"/>
  <c r="D64" i="1"/>
  <c r="D144" i="1" s="1"/>
  <c r="E60" i="1"/>
  <c r="E64" i="1" s="1"/>
  <c r="AR43" i="11"/>
  <c r="J1706" i="62906"/>
  <c r="J1707" i="62906" s="1"/>
  <c r="AL43" i="11"/>
  <c r="E202" i="2"/>
  <c r="C43" i="62892"/>
  <c r="E623" i="5"/>
  <c r="I623" i="5"/>
  <c r="T623" i="5"/>
  <c r="Q623" i="5"/>
  <c r="C60" i="62892"/>
  <c r="I399" i="62898"/>
  <c r="E399" i="62898"/>
  <c r="Q399" i="62898"/>
  <c r="H399" i="62898"/>
  <c r="F60" i="62892" s="1"/>
  <c r="AH55" i="11"/>
  <c r="AH59" i="11" s="1"/>
  <c r="AK69" i="62905"/>
  <c r="AK73" i="62905" s="1"/>
  <c r="D59" i="62892"/>
  <c r="G59" i="62892"/>
  <c r="J59" i="62892"/>
  <c r="M59" i="62892"/>
  <c r="AG271" i="5"/>
  <c r="AJ249" i="5"/>
  <c r="AJ271" i="5" s="1"/>
  <c r="K624" i="5" s="1"/>
  <c r="I44" i="62892" s="1"/>
  <c r="N621" i="5"/>
  <c r="L41" i="62892"/>
  <c r="F235" i="2"/>
  <c r="F202" i="2"/>
  <c r="N147" i="62904"/>
  <c r="I7" i="62892"/>
  <c r="O2044" i="62906"/>
  <c r="O2054" i="62906"/>
  <c r="O2050" i="62906"/>
  <c r="O1984" i="62906"/>
  <c r="O1933" i="62906"/>
  <c r="O2045" i="62906"/>
  <c r="O2048" i="62906"/>
  <c r="O2087" i="62906"/>
  <c r="O2124" i="62906"/>
  <c r="O1982" i="62906"/>
  <c r="O1938" i="62906"/>
  <c r="O2002" i="62906"/>
  <c r="O2107" i="62906"/>
  <c r="O2005" i="62906"/>
  <c r="O1939" i="62906"/>
  <c r="O1976" i="62906"/>
  <c r="O1962" i="62906"/>
  <c r="O1986" i="62906"/>
  <c r="O2078" i="62906"/>
  <c r="O2026" i="62906"/>
  <c r="O1997" i="62906"/>
  <c r="O2055" i="62906"/>
  <c r="O1925" i="62906"/>
  <c r="O2053" i="62906"/>
  <c r="O1999" i="62906"/>
  <c r="O2004" i="62906"/>
  <c r="O1946" i="62906"/>
  <c r="O2051" i="62906"/>
  <c r="O2084" i="62906"/>
  <c r="O2049" i="62906"/>
  <c r="O1995" i="62906"/>
  <c r="O1950" i="62906"/>
  <c r="O2052" i="62906"/>
  <c r="O2059" i="62906"/>
  <c r="O2037" i="62906"/>
  <c r="O1930" i="62906"/>
  <c r="O1972" i="62906"/>
  <c r="O2072" i="62906"/>
  <c r="O1993" i="62906"/>
  <c r="O1975" i="62906"/>
  <c r="O1936" i="62906"/>
  <c r="O2083" i="62906"/>
  <c r="O2060" i="62906"/>
  <c r="O1974" i="62906"/>
  <c r="O1965" i="62906"/>
  <c r="O1918" i="62906"/>
  <c r="O1980" i="62906"/>
  <c r="O2036" i="62906"/>
  <c r="O1961" i="62906"/>
  <c r="O2064" i="62906"/>
  <c r="O1960" i="62906"/>
  <c r="O1929" i="62906"/>
  <c r="O2046" i="62906"/>
  <c r="O2088" i="62906"/>
  <c r="O1923" i="62906"/>
  <c r="O1966" i="62906"/>
  <c r="O1916" i="62906"/>
  <c r="O1944" i="62906"/>
  <c r="O1952" i="62906"/>
  <c r="O2006" i="62906"/>
  <c r="O2033" i="62906"/>
  <c r="O2000" i="62906"/>
  <c r="O2070" i="62906"/>
  <c r="O1970" i="62906"/>
  <c r="O2022" i="62906"/>
  <c r="O2110" i="62906"/>
  <c r="O1927" i="62906"/>
  <c r="O1919" i="62906"/>
  <c r="O2058" i="62906"/>
  <c r="O2024" i="62906"/>
  <c r="O2030" i="62906"/>
  <c r="O1981" i="62906"/>
  <c r="O1963" i="62906"/>
  <c r="O1931" i="62906"/>
  <c r="O1954" i="62906"/>
  <c r="O2028" i="62906"/>
  <c r="O1928" i="62906"/>
  <c r="O1943" i="62906"/>
  <c r="O1947" i="62906"/>
  <c r="O2113" i="62906"/>
  <c r="O1948" i="62906"/>
  <c r="O2119" i="62906"/>
  <c r="O1969" i="62906"/>
  <c r="O2027" i="62906"/>
  <c r="O1968" i="62906"/>
  <c r="O1959" i="62906"/>
  <c r="O2043" i="62906"/>
  <c r="O1996" i="62906"/>
  <c r="O2108" i="62906"/>
  <c r="O1994" i="62906"/>
  <c r="O1926" i="62906"/>
  <c r="O2025" i="62906"/>
  <c r="O2038" i="62906"/>
  <c r="O2039" i="62906"/>
  <c r="O1920" i="62906"/>
  <c r="O2120" i="62906"/>
  <c r="O1989" i="62906"/>
  <c r="O2091" i="62906"/>
  <c r="O2042" i="62906"/>
  <c r="O1958" i="62906"/>
  <c r="O2021" i="62906"/>
  <c r="O2077" i="62906"/>
  <c r="O2080" i="62906"/>
  <c r="O1940" i="62906"/>
  <c r="O2067" i="62906"/>
  <c r="O1990" i="62906"/>
  <c r="O1922" i="62906"/>
  <c r="O2075" i="62906"/>
  <c r="O1949" i="62906"/>
  <c r="O1917" i="62906"/>
  <c r="O2114" i="62906"/>
  <c r="O1985" i="62906"/>
  <c r="O2035" i="62906"/>
  <c r="O2061" i="62906"/>
  <c r="O2034" i="62906"/>
  <c r="O1937" i="62906"/>
  <c r="O2069" i="62906"/>
  <c r="O2003" i="62906"/>
  <c r="O1955" i="62906"/>
  <c r="O2047" i="62906"/>
  <c r="O2056" i="62906"/>
  <c r="O1953" i="62906"/>
  <c r="O1979" i="62906"/>
  <c r="O1941" i="62906"/>
  <c r="O2082" i="62906"/>
  <c r="O2065" i="62906"/>
  <c r="O2029" i="62906"/>
  <c r="O1988" i="62906"/>
  <c r="O1924" i="62906"/>
  <c r="O2112" i="62906"/>
  <c r="O1983" i="62906"/>
  <c r="O1934" i="62906"/>
  <c r="O2109" i="62906"/>
  <c r="O1915" i="62906"/>
  <c r="O2085" i="62906"/>
  <c r="O1967" i="62906"/>
  <c r="O1991" i="62906"/>
  <c r="O1987" i="62906"/>
  <c r="O2066" i="62906"/>
  <c r="O2090" i="62906"/>
  <c r="O2123" i="62906"/>
  <c r="O1951" i="62906"/>
  <c r="O2073" i="62906"/>
  <c r="O1964" i="62906"/>
  <c r="O2071" i="62906"/>
  <c r="O2116" i="62906"/>
  <c r="O2122" i="62906"/>
  <c r="O2063" i="62906"/>
  <c r="O2074" i="62906"/>
  <c r="O1942" i="62906"/>
  <c r="O2089" i="62906"/>
  <c r="O1978" i="62906"/>
  <c r="O1945" i="62906"/>
  <c r="O1932" i="62906"/>
  <c r="O2115" i="62906"/>
  <c r="O1971" i="62906"/>
  <c r="O2062" i="62906"/>
  <c r="O1977" i="62906"/>
  <c r="O2086" i="62906"/>
  <c r="O2040" i="62906"/>
  <c r="O1921" i="62906"/>
  <c r="O2092" i="62906"/>
  <c r="O1935" i="62906"/>
  <c r="O1956" i="62906"/>
  <c r="O2117" i="62906"/>
  <c r="O2023" i="62906"/>
  <c r="O2041" i="62906"/>
  <c r="O2068" i="62906"/>
  <c r="O2079" i="62906"/>
  <c r="O2031" i="62906"/>
  <c r="L113" i="62904"/>
  <c r="AC89" i="5"/>
  <c r="AC92" i="5" s="1"/>
  <c r="H621" i="5" s="1"/>
  <c r="F41" i="62892" s="1"/>
  <c r="J151" i="62904"/>
  <c r="D271" i="5"/>
  <c r="D624" i="5" s="1"/>
  <c r="E249" i="5"/>
  <c r="E271" i="5" s="1"/>
  <c r="AL55" i="11"/>
  <c r="AL59" i="11" s="1"/>
  <c r="AM69" i="62905"/>
  <c r="AM73" i="62905" s="1"/>
  <c r="Y21" i="62915"/>
  <c r="E49" i="62915"/>
  <c r="H49" i="62915"/>
  <c r="C47" i="62892"/>
  <c r="T627" i="5"/>
  <c r="Q627" i="5"/>
  <c r="I627" i="5"/>
  <c r="E627" i="5"/>
  <c r="H628" i="5"/>
  <c r="F48" i="62892" s="1"/>
  <c r="V30" i="62914"/>
  <c r="V37" i="62914" s="1"/>
  <c r="J37" i="62914"/>
  <c r="C63" i="62892"/>
  <c r="T167" i="2"/>
  <c r="E167" i="2"/>
  <c r="I167" i="2"/>
  <c r="Q167" i="2"/>
  <c r="AL69" i="62905"/>
  <c r="AL73" i="62905" s="1"/>
  <c r="AJ55" i="11"/>
  <c r="AJ59" i="11" s="1"/>
  <c r="AC494" i="5"/>
  <c r="AC496" i="5" s="1"/>
  <c r="H629" i="5" s="1"/>
  <c r="F49" i="62892" s="1"/>
  <c r="C16" i="62892"/>
  <c r="Q109" i="3"/>
  <c r="I109" i="3"/>
  <c r="E109" i="3"/>
  <c r="T109" i="3"/>
  <c r="D112" i="3"/>
  <c r="F1693" i="62906"/>
  <c r="J13" i="11"/>
  <c r="L13" i="11" s="1"/>
  <c r="D70" i="62905"/>
  <c r="E70" i="62905" s="1"/>
  <c r="X70" i="62905"/>
  <c r="AC70" i="62905"/>
  <c r="AE70" i="62905"/>
  <c r="AO70" i="62905"/>
  <c r="AG69" i="5"/>
  <c r="X96" i="2"/>
  <c r="E235" i="2" s="1"/>
  <c r="AJ494" i="5"/>
  <c r="AJ496" i="5" s="1"/>
  <c r="K629" i="5" s="1"/>
  <c r="I49" i="62892" s="1"/>
  <c r="O203" i="7"/>
  <c r="S203" i="7"/>
  <c r="R203" i="7"/>
  <c r="I83" i="62892"/>
  <c r="L624" i="5"/>
  <c r="AE27" i="11"/>
  <c r="D404" i="62898"/>
  <c r="Z17" i="62905"/>
  <c r="H133" i="62905" s="1"/>
  <c r="E622" i="5"/>
  <c r="I622" i="5"/>
  <c r="T622" i="5"/>
  <c r="G68" i="62892"/>
  <c r="D68" i="62892"/>
  <c r="M68" i="62892"/>
  <c r="J68" i="62892"/>
  <c r="AP364" i="62898"/>
  <c r="N396" i="62898"/>
  <c r="L57" i="62892"/>
  <c r="M2124" i="62906"/>
  <c r="M2062" i="62906"/>
  <c r="M2064" i="62906"/>
  <c r="M1970" i="62906"/>
  <c r="M2044" i="62906"/>
  <c r="M1974" i="62906"/>
  <c r="M2066" i="62906"/>
  <c r="M2049" i="62906"/>
  <c r="M2022" i="62906"/>
  <c r="M2005" i="62906"/>
  <c r="M2006" i="62906"/>
  <c r="M1963" i="62906"/>
  <c r="M2027" i="62906"/>
  <c r="M1941" i="62906"/>
  <c r="M1923" i="62906"/>
  <c r="M2033" i="62906"/>
  <c r="M2123" i="62906"/>
  <c r="M1947" i="62906"/>
  <c r="M1969" i="62906"/>
  <c r="M1946" i="62906"/>
  <c r="M2034" i="62906"/>
  <c r="M1918" i="62906"/>
  <c r="M1984" i="62906"/>
  <c r="M2109" i="62906"/>
  <c r="M2074" i="62906"/>
  <c r="M1917" i="62906"/>
  <c r="M1944" i="62906"/>
  <c r="M1949" i="62906"/>
  <c r="M1994" i="62906"/>
  <c r="M2110" i="62906"/>
  <c r="M2114" i="62906"/>
  <c r="M2051" i="62906"/>
  <c r="M2056" i="62906"/>
  <c r="M2085" i="62906"/>
  <c r="M1938" i="62906"/>
  <c r="M1940" i="62906"/>
  <c r="M1987" i="62906"/>
  <c r="M2083" i="62906"/>
  <c r="M2117" i="62906"/>
  <c r="M1965" i="62906"/>
  <c r="M2053" i="62906"/>
  <c r="M2082" i="62906"/>
  <c r="M1922" i="62906"/>
  <c r="M1930" i="62906"/>
  <c r="M1979" i="62906"/>
  <c r="M1990" i="62906"/>
  <c r="M2063" i="62906"/>
  <c r="M2024" i="62906"/>
  <c r="M2071" i="62906"/>
  <c r="AL82" i="11" s="1"/>
  <c r="M2119" i="62906"/>
  <c r="M1981" i="62906"/>
  <c r="M1945" i="62906"/>
  <c r="M1955" i="62906"/>
  <c r="M2029" i="62906"/>
  <c r="M1927" i="62906"/>
  <c r="M2073" i="62906"/>
  <c r="M2003" i="62906"/>
  <c r="M1961" i="62906"/>
  <c r="M1953" i="62906"/>
  <c r="M1971" i="62906"/>
  <c r="M2031" i="62906"/>
  <c r="M2086" i="62906"/>
  <c r="M1928" i="62906"/>
  <c r="M2084" i="62906"/>
  <c r="M1932" i="62906"/>
  <c r="M2092" i="62906"/>
  <c r="M1943" i="62906"/>
  <c r="M2028" i="62906"/>
  <c r="M2045" i="62906"/>
  <c r="M2091" i="62906"/>
  <c r="M1939" i="62906"/>
  <c r="M1915" i="62906"/>
  <c r="M1988" i="62906"/>
  <c r="M2035" i="62906"/>
  <c r="M2002" i="62906"/>
  <c r="M2072" i="62906"/>
  <c r="M2037" i="62906"/>
  <c r="M1985" i="62906"/>
  <c r="M1960" i="62906"/>
  <c r="M2115" i="62906"/>
  <c r="M2030" i="62906"/>
  <c r="M2112" i="62906"/>
  <c r="M1954" i="62906"/>
  <c r="M1933" i="62906"/>
  <c r="M2077" i="62906"/>
  <c r="M1964" i="62906"/>
  <c r="M2058" i="62906"/>
  <c r="M1958" i="62906"/>
  <c r="M2021" i="62906"/>
  <c r="M2048" i="62906"/>
  <c r="M2107" i="62906"/>
  <c r="M2038" i="62906"/>
  <c r="M1929" i="62906"/>
  <c r="M2122" i="62906"/>
  <c r="M1982" i="62906"/>
  <c r="M2087" i="62906"/>
  <c r="M2043" i="62906"/>
  <c r="M1921" i="62906"/>
  <c r="M2108" i="62906"/>
  <c r="M1934" i="62906"/>
  <c r="M1976" i="62906"/>
  <c r="M1980" i="62906"/>
  <c r="M1993" i="62906"/>
  <c r="M2088" i="62906"/>
  <c r="M2025" i="62906"/>
  <c r="M1986" i="62906"/>
  <c r="M1975" i="62906"/>
  <c r="M2116" i="62906"/>
  <c r="M2065" i="62906"/>
  <c r="M1978" i="62906"/>
  <c r="M2040" i="62906"/>
  <c r="M1967" i="62906"/>
  <c r="M2000" i="62906"/>
  <c r="M2069" i="62906"/>
  <c r="M1942" i="62906"/>
  <c r="M2055" i="62906"/>
  <c r="M1950" i="62906"/>
  <c r="M2113" i="62906"/>
  <c r="M2080" i="62906"/>
  <c r="M1995" i="62906"/>
  <c r="M2036" i="62906"/>
  <c r="M1937" i="62906"/>
  <c r="M2070" i="62906"/>
  <c r="M1966" i="62906"/>
  <c r="M2120" i="62906"/>
  <c r="M1968" i="62906"/>
  <c r="M1919" i="62906"/>
  <c r="M2047" i="62906"/>
  <c r="M1962" i="62906"/>
  <c r="M1931" i="62906"/>
  <c r="M1996" i="62906"/>
  <c r="M1916" i="62906"/>
  <c r="M2046" i="62906"/>
  <c r="M1936" i="62906"/>
  <c r="M2075" i="62906"/>
  <c r="M1948" i="62906"/>
  <c r="M2079" i="62906"/>
  <c r="M2039" i="62906"/>
  <c r="M1926" i="62906"/>
  <c r="M2089" i="62906"/>
  <c r="M1920" i="62906"/>
  <c r="M2050" i="62906"/>
  <c r="M2061" i="62906"/>
  <c r="AL83" i="11" s="1"/>
  <c r="M2004" i="62906"/>
  <c r="M1935" i="62906"/>
  <c r="M1956" i="62906"/>
  <c r="M2067" i="62906"/>
  <c r="AL84" i="11" s="1"/>
  <c r="M2041" i="62906"/>
  <c r="M2060" i="62906"/>
  <c r="M1991" i="62906"/>
  <c r="M2068" i="62906"/>
  <c r="M2026" i="62906"/>
  <c r="M1952" i="62906"/>
  <c r="M1989" i="62906"/>
  <c r="M2042" i="62906"/>
  <c r="M1983" i="62906"/>
  <c r="M1997" i="62906"/>
  <c r="M2059" i="62906"/>
  <c r="M1951" i="62906"/>
  <c r="M1972" i="62906"/>
  <c r="M2023" i="62906"/>
  <c r="M1924" i="62906"/>
  <c r="M1999" i="62906"/>
  <c r="M1977" i="62906"/>
  <c r="M2090" i="62906"/>
  <c r="M2054" i="62906"/>
  <c r="M1925" i="62906"/>
  <c r="M2078" i="62906"/>
  <c r="M1959" i="62906"/>
  <c r="M2052" i="62906"/>
  <c r="H396" i="62898"/>
  <c r="F57" i="62892" s="1"/>
  <c r="M458" i="62898"/>
  <c r="N426" i="62898"/>
  <c r="S205" i="7"/>
  <c r="O205" i="7"/>
  <c r="R205" i="7"/>
  <c r="I208" i="7"/>
  <c r="AP51" i="5"/>
  <c r="AP69" i="5" s="1"/>
  <c r="L620" i="5" s="1"/>
  <c r="L42" i="62892"/>
  <c r="N622" i="5"/>
  <c r="I69" i="62905"/>
  <c r="J69" i="62905" s="1"/>
  <c r="J55" i="11"/>
  <c r="L55" i="11" s="1"/>
  <c r="AA27" i="11"/>
  <c r="I49" i="62905"/>
  <c r="J49" i="62905" s="1"/>
  <c r="F1727" i="62906"/>
  <c r="I48" i="62905"/>
  <c r="J48" i="62905" s="1"/>
  <c r="J30" i="11"/>
  <c r="L30" i="11" s="1"/>
  <c r="I50" i="62905"/>
  <c r="J50" i="62905" s="1"/>
  <c r="N137" i="3"/>
  <c r="J458" i="62898"/>
  <c r="L426" i="62898"/>
  <c r="D181" i="2"/>
  <c r="O235" i="2"/>
  <c r="O202" i="2"/>
  <c r="H23" i="62911"/>
  <c r="Q26" i="62911"/>
  <c r="J27" i="62892"/>
  <c r="M27" i="62892"/>
  <c r="D27" i="62892"/>
  <c r="G27" i="62892"/>
  <c r="H55" i="62915"/>
  <c r="E55" i="62915"/>
  <c r="Y27" i="62915"/>
  <c r="I54" i="62892"/>
  <c r="T29" i="62915"/>
  <c r="T35" i="62915" s="1"/>
  <c r="H35" i="62915"/>
  <c r="M169" i="3"/>
  <c r="I63" i="62892"/>
  <c r="L67" i="62892"/>
  <c r="N171" i="2"/>
  <c r="J1693" i="62906"/>
  <c r="AR13" i="11"/>
  <c r="N145" i="1"/>
  <c r="L11" i="62892"/>
  <c r="D61" i="62905"/>
  <c r="E61" i="62905" s="1"/>
  <c r="AO61" i="62905"/>
  <c r="AC61" i="62905"/>
  <c r="AE61" i="62905"/>
  <c r="X61" i="62905"/>
  <c r="AM47" i="62905"/>
  <c r="I1725" i="62906"/>
  <c r="I1726" i="62906" s="1"/>
  <c r="N394" i="62898"/>
  <c r="L55" i="62892"/>
  <c r="AI17" i="62905"/>
  <c r="L133" i="62905" s="1"/>
  <c r="M178" i="3"/>
  <c r="F51" i="62915"/>
  <c r="G51" i="62915"/>
  <c r="V23" i="62915"/>
  <c r="H51" i="62915"/>
  <c r="E51" i="62915"/>
  <c r="D215" i="62898"/>
  <c r="D396" i="62898" s="1"/>
  <c r="D400" i="62898" s="1"/>
  <c r="E213" i="62898"/>
  <c r="E215" i="62898" s="1"/>
  <c r="AO473" i="5"/>
  <c r="Z473" i="5"/>
  <c r="G51" i="62914"/>
  <c r="X22" i="62914"/>
  <c r="F51" i="62914"/>
  <c r="H51" i="62914"/>
  <c r="E51" i="62914"/>
  <c r="L43" i="62892"/>
  <c r="N623" i="5"/>
  <c r="Q208" i="7"/>
  <c r="C83" i="62892"/>
  <c r="Q133" i="62905"/>
  <c r="I133" i="62905"/>
  <c r="E133" i="62905"/>
  <c r="T133" i="62905"/>
  <c r="V27" i="11"/>
  <c r="G25" i="62892"/>
  <c r="J25" i="62892"/>
  <c r="M25" i="62892"/>
  <c r="F1706" i="62906"/>
  <c r="F1707" i="62906" s="1"/>
  <c r="J43" i="11"/>
  <c r="L43" i="11" s="1"/>
  <c r="D47" i="62905"/>
  <c r="AC47" i="62905"/>
  <c r="AO47" i="62905"/>
  <c r="AE47" i="62905"/>
  <c r="X47" i="62905"/>
  <c r="Z19" i="62914"/>
  <c r="L235" i="2"/>
  <c r="M202" i="2"/>
  <c r="N397" i="62898"/>
  <c r="L58" i="62892"/>
  <c r="D27" i="11"/>
  <c r="M41" i="11"/>
  <c r="U41" i="11"/>
  <c r="AD41" i="11"/>
  <c r="Z41" i="11"/>
  <c r="AP41" i="11"/>
  <c r="N416" i="62898"/>
  <c r="N419" i="62898" s="1"/>
  <c r="S395" i="62898"/>
  <c r="O395" i="62898"/>
  <c r="R395" i="62898"/>
  <c r="N123" i="3"/>
  <c r="N13" i="62914" s="1"/>
  <c r="D473" i="5"/>
  <c r="E451" i="5"/>
  <c r="E473" i="5" s="1"/>
  <c r="AJ364" i="62898"/>
  <c r="K399" i="62898" s="1"/>
  <c r="AI473" i="5"/>
  <c r="AC451" i="5"/>
  <c r="AC473" i="5" s="1"/>
  <c r="Z25" i="62914"/>
  <c r="E54" i="62914"/>
  <c r="H54" i="62914"/>
  <c r="M157" i="3"/>
  <c r="M13" i="62915" s="1"/>
  <c r="BG473" i="5"/>
  <c r="N429" i="62898"/>
  <c r="N24" i="62914" s="1"/>
  <c r="T263" i="9"/>
  <c r="F261" i="9"/>
  <c r="F260" i="9"/>
  <c r="Q263" i="9"/>
  <c r="F262" i="9"/>
  <c r="L264" i="9"/>
  <c r="F263" i="9"/>
  <c r="I263" i="9"/>
  <c r="F259" i="9"/>
  <c r="K264" i="9"/>
  <c r="E106" i="2"/>
  <c r="E109" i="2" s="1"/>
  <c r="D109" i="2"/>
  <c r="D171" i="2" s="1"/>
  <c r="F63" i="62892"/>
  <c r="M16" i="62915"/>
  <c r="M196" i="1"/>
  <c r="S208" i="7"/>
  <c r="R208" i="7"/>
  <c r="J56" i="62892"/>
  <c r="D56" i="62892"/>
  <c r="G56" i="62892"/>
  <c r="M56" i="62892"/>
  <c r="N15" i="62914"/>
  <c r="N42" i="11"/>
  <c r="O42" i="11" s="1"/>
  <c r="K1711" i="62906"/>
  <c r="M450" i="62898"/>
  <c r="M454" i="62898" s="1"/>
  <c r="J2067" i="62906"/>
  <c r="I84" i="11" s="1"/>
  <c r="K84" i="11" s="1"/>
  <c r="J2071" i="62906"/>
  <c r="I82" i="11" s="1"/>
  <c r="K82" i="11" s="1"/>
  <c r="J2061" i="62906"/>
  <c r="I83" i="11" s="1"/>
  <c r="K83" i="11" s="1"/>
  <c r="J2045" i="62906"/>
  <c r="J1930" i="62906"/>
  <c r="J2044" i="62906"/>
  <c r="J1982" i="62906"/>
  <c r="J1942" i="62906"/>
  <c r="J2123" i="62906"/>
  <c r="J2050" i="62906"/>
  <c r="J2109" i="62906"/>
  <c r="J1989" i="62906"/>
  <c r="J1945" i="62906"/>
  <c r="J1983" i="62906"/>
  <c r="J2086" i="62906"/>
  <c r="J1996" i="62906"/>
  <c r="J2024" i="62906"/>
  <c r="J2031" i="62906"/>
  <c r="J1970" i="62906"/>
  <c r="J1949" i="62906"/>
  <c r="J1951" i="62906"/>
  <c r="J2080" i="62906"/>
  <c r="J2053" i="62906"/>
  <c r="J2120" i="62906"/>
  <c r="J1931" i="62906"/>
  <c r="J2092" i="62906"/>
  <c r="J1958" i="62906"/>
  <c r="J2119" i="62906"/>
  <c r="J2051" i="62906"/>
  <c r="J2038" i="62906"/>
  <c r="J2025" i="62906"/>
  <c r="J1927" i="62906"/>
  <c r="J2058" i="62906"/>
  <c r="J1975" i="62906"/>
  <c r="J1946" i="62906"/>
  <c r="J1928" i="62906"/>
  <c r="J2023" i="62906"/>
  <c r="J2070" i="62906"/>
  <c r="J2077" i="62906"/>
  <c r="J1984" i="62906"/>
  <c r="J1994" i="62906"/>
  <c r="J2073" i="62906"/>
  <c r="J1936" i="62906"/>
  <c r="J2122" i="62906"/>
  <c r="J1939" i="62906"/>
  <c r="J1963" i="62906"/>
  <c r="J2063" i="62906"/>
  <c r="J2043" i="62906"/>
  <c r="J1965" i="62906"/>
  <c r="J1976" i="62906"/>
  <c r="J2062" i="62906"/>
  <c r="J2048" i="62906"/>
  <c r="J1938" i="62906"/>
  <c r="J1999" i="62906"/>
  <c r="J2003" i="62906"/>
  <c r="J1952" i="62906"/>
  <c r="J1934" i="62906"/>
  <c r="J2033" i="62906"/>
  <c r="J1941" i="62906"/>
  <c r="J1986" i="62906"/>
  <c r="J1926" i="62906"/>
  <c r="J2110" i="62906"/>
  <c r="J2004" i="62906"/>
  <c r="J1967" i="62906"/>
  <c r="J1922" i="62906"/>
  <c r="J1917" i="62906"/>
  <c r="J1933" i="62906"/>
  <c r="J2000" i="62906"/>
  <c r="J2078" i="62906"/>
  <c r="J1969" i="62906"/>
  <c r="J1974" i="62906"/>
  <c r="J1920" i="62906"/>
  <c r="J2042" i="62906"/>
  <c r="J2107" i="62906"/>
  <c r="J2065" i="62906"/>
  <c r="J2075" i="62906"/>
  <c r="J1987" i="62906"/>
  <c r="J2006" i="62906"/>
  <c r="J2021" i="62906"/>
  <c r="J1990" i="62906"/>
  <c r="J1977" i="62906"/>
  <c r="J1981" i="62906"/>
  <c r="J2056" i="62906"/>
  <c r="J1985" i="62906"/>
  <c r="J1991" i="62906"/>
  <c r="J2060" i="62906"/>
  <c r="J2108" i="62906"/>
  <c r="J1962" i="62906"/>
  <c r="J2089" i="62906"/>
  <c r="J2082" i="62906"/>
  <c r="J2035" i="62906"/>
  <c r="J2074" i="62906"/>
  <c r="J2084" i="62906"/>
  <c r="J1955" i="62906"/>
  <c r="J2026" i="62906"/>
  <c r="J2049" i="62906"/>
  <c r="J2036" i="62906"/>
  <c r="J2085" i="62906"/>
  <c r="J2039" i="62906"/>
  <c r="J1993" i="62906"/>
  <c r="J1966" i="62906"/>
  <c r="J1956" i="62906"/>
  <c r="J1968" i="62906"/>
  <c r="J2041" i="62906"/>
  <c r="J2083" i="62906"/>
  <c r="J2002" i="62906"/>
  <c r="J2090" i="62906"/>
  <c r="J2022" i="62906"/>
  <c r="J2005" i="62906"/>
  <c r="J2040" i="62906"/>
  <c r="J1916" i="62906"/>
  <c r="J2054" i="62906"/>
  <c r="J2047" i="62906"/>
  <c r="J2116" i="62906"/>
  <c r="J2055" i="62906"/>
  <c r="J1960" i="62906"/>
  <c r="J1929" i="62906"/>
  <c r="J2072" i="62906"/>
  <c r="J1940" i="62906"/>
  <c r="J2059" i="62906"/>
  <c r="J1932" i="62906"/>
  <c r="J2046" i="62906"/>
  <c r="J2027" i="62906"/>
  <c r="J1935" i="62906"/>
  <c r="J2064" i="62906"/>
  <c r="J1924" i="62906"/>
  <c r="J1972" i="62906"/>
  <c r="J1980" i="62906"/>
  <c r="J1997" i="62906"/>
  <c r="J1947" i="62906"/>
  <c r="J2124" i="62906"/>
  <c r="J1923" i="62906"/>
  <c r="J1943" i="62906"/>
  <c r="J2117" i="62906"/>
  <c r="J2066" i="62906"/>
  <c r="J2034" i="62906"/>
  <c r="J1915" i="62906"/>
  <c r="J2028" i="62906"/>
  <c r="J2114" i="62906"/>
  <c r="J2088" i="62906"/>
  <c r="J1950" i="62906"/>
  <c r="J1964" i="62906"/>
  <c r="J1988" i="62906"/>
  <c r="J1937" i="62906"/>
  <c r="J1944" i="62906"/>
  <c r="J1961" i="62906"/>
  <c r="J1919" i="62906"/>
  <c r="J1918" i="62906"/>
  <c r="J2112" i="62906"/>
  <c r="J1921" i="62906"/>
  <c r="J1995" i="62906"/>
  <c r="J2115" i="62906"/>
  <c r="J1948" i="62906"/>
  <c r="J1953" i="62906"/>
  <c r="J2037" i="62906"/>
  <c r="J2079" i="62906"/>
  <c r="J1971" i="62906"/>
  <c r="J2030" i="62906"/>
  <c r="J1925" i="62906"/>
  <c r="J2113" i="62906"/>
  <c r="J2091" i="62906"/>
  <c r="J1954" i="62906"/>
  <c r="J2029" i="62906"/>
  <c r="J2052" i="62906"/>
  <c r="J2069" i="62906"/>
  <c r="J1978" i="62906"/>
  <c r="J2087" i="62906"/>
  <c r="J2068" i="62906"/>
  <c r="J1959" i="62906"/>
  <c r="J1979" i="62906"/>
  <c r="C77" i="62892"/>
  <c r="I112" i="62904"/>
  <c r="E112" i="62904"/>
  <c r="T112" i="62904"/>
  <c r="Q112" i="62904"/>
  <c r="AK83" i="62905"/>
  <c r="L399" i="62898"/>
  <c r="AB473" i="5"/>
  <c r="N648" i="5" s="1"/>
  <c r="AO494" i="5"/>
  <c r="AO496" i="5" s="1"/>
  <c r="L629" i="5" s="1"/>
  <c r="F639" i="5"/>
  <c r="R631" i="5"/>
  <c r="O631" i="5"/>
  <c r="S631" i="5"/>
  <c r="E106" i="11"/>
  <c r="P1736" i="62906"/>
  <c r="P1740" i="62906"/>
  <c r="P1737" i="62906"/>
  <c r="P1739" i="62906"/>
  <c r="P1738" i="62906"/>
  <c r="AP69" i="62905"/>
  <c r="AP73" i="62905" s="1"/>
  <c r="AR55" i="11"/>
  <c r="AR59" i="11" s="1"/>
  <c r="N122" i="3"/>
  <c r="D53" i="62904"/>
  <c r="D113" i="62904" s="1"/>
  <c r="E49" i="62904"/>
  <c r="E53" i="62904" s="1"/>
  <c r="AC51" i="5"/>
  <c r="AC69" i="5" s="1"/>
  <c r="H620" i="5" s="1"/>
  <c r="L627" i="5"/>
  <c r="W130" i="1"/>
  <c r="X130" i="1" s="1"/>
  <c r="X132" i="1" s="1"/>
  <c r="H145" i="1"/>
  <c r="F11" i="62892" s="1"/>
  <c r="O208" i="7"/>
  <c r="D628" i="5"/>
  <c r="C58" i="62892"/>
  <c r="I397" i="62898"/>
  <c r="E397" i="62898"/>
  <c r="AP453" i="5"/>
  <c r="D94" i="2"/>
  <c r="E94" i="2" s="1"/>
  <c r="AB94" i="2"/>
  <c r="V94" i="2"/>
  <c r="T94" i="2"/>
  <c r="N136" i="3"/>
  <c r="C7" i="62892"/>
  <c r="I141" i="1"/>
  <c r="E141" i="1"/>
  <c r="Q141" i="1"/>
  <c r="T141" i="1"/>
  <c r="K2036" i="62906"/>
  <c r="K1920" i="62906"/>
  <c r="K1980" i="62906"/>
  <c r="K2033" i="62906"/>
  <c r="K1932" i="62906"/>
  <c r="K1949" i="62906"/>
  <c r="K1976" i="62906"/>
  <c r="K2023" i="62906"/>
  <c r="K2026" i="62906"/>
  <c r="K1917" i="62906"/>
  <c r="K1979" i="62906"/>
  <c r="K2092" i="62906"/>
  <c r="K1934" i="62906"/>
  <c r="K1940" i="62906"/>
  <c r="K1964" i="62906"/>
  <c r="K2028" i="62906"/>
  <c r="K1997" i="62906"/>
  <c r="K2002" i="62906"/>
  <c r="K1975" i="62906"/>
  <c r="K2021" i="62906"/>
  <c r="K1916" i="62906"/>
  <c r="K1930" i="62906"/>
  <c r="K1956" i="62906"/>
  <c r="K1988" i="62906"/>
  <c r="K1986" i="62906"/>
  <c r="K2052" i="62906"/>
  <c r="K1966" i="62906"/>
  <c r="K2085" i="62906"/>
  <c r="K2109" i="62906"/>
  <c r="K2000" i="62906"/>
  <c r="K1960" i="62906"/>
  <c r="K1985" i="62906"/>
  <c r="K2077" i="62906"/>
  <c r="K1969" i="62906"/>
  <c r="K2078" i="62906"/>
  <c r="K1945" i="62906"/>
  <c r="K2055" i="62906"/>
  <c r="K2070" i="62906"/>
  <c r="K2117" i="62906"/>
  <c r="K2124" i="62906"/>
  <c r="K1929" i="62906"/>
  <c r="K1952" i="62906"/>
  <c r="K2024" i="62906"/>
  <c r="K2108" i="62906"/>
  <c r="K2047" i="62906"/>
  <c r="K2025" i="62906"/>
  <c r="K1971" i="62906"/>
  <c r="K1944" i="62906"/>
  <c r="K1994" i="62906"/>
  <c r="K2072" i="62906"/>
  <c r="K2050" i="62906"/>
  <c r="K2030" i="62906"/>
  <c r="K1954" i="62906"/>
  <c r="K1955" i="62906"/>
  <c r="K2003" i="62906"/>
  <c r="K2054" i="62906"/>
  <c r="K2031" i="62906"/>
  <c r="K1990" i="62906"/>
  <c r="K1958" i="62906"/>
  <c r="K1947" i="62906"/>
  <c r="K1987" i="62906"/>
  <c r="K2049" i="62906"/>
  <c r="K2039" i="62906"/>
  <c r="K1984" i="62906"/>
  <c r="K1941" i="62906"/>
  <c r="K2068" i="62906"/>
  <c r="K1939" i="62906"/>
  <c r="K1967" i="62906"/>
  <c r="K2035" i="62906"/>
  <c r="K2004" i="62906"/>
  <c r="K1943" i="62906"/>
  <c r="K1918" i="62906"/>
  <c r="K2075" i="62906"/>
  <c r="K1927" i="62906"/>
  <c r="K1950" i="62906"/>
  <c r="K2006" i="62906"/>
  <c r="K1970" i="62906"/>
  <c r="K1922" i="62906"/>
  <c r="K2091" i="62906"/>
  <c r="K2058" i="62906"/>
  <c r="K1928" i="62906"/>
  <c r="K1962" i="62906"/>
  <c r="K1996" i="62906"/>
  <c r="K1963" i="62906"/>
  <c r="K1933" i="62906"/>
  <c r="K1999" i="62906"/>
  <c r="K2045" i="62906"/>
  <c r="K1923" i="62906"/>
  <c r="K1953" i="62906"/>
  <c r="K1978" i="62906"/>
  <c r="K1946" i="62906"/>
  <c r="K2087" i="62906"/>
  <c r="K2112" i="62906"/>
  <c r="K2064" i="62906"/>
  <c r="K2074" i="62906"/>
  <c r="K1937" i="62906"/>
  <c r="K1972" i="62906"/>
  <c r="K2119" i="62906"/>
  <c r="K2089" i="62906"/>
  <c r="K2123" i="62906"/>
  <c r="K2048" i="62906"/>
  <c r="K2065" i="62906"/>
  <c r="K1936" i="62906"/>
  <c r="K1965" i="62906"/>
  <c r="K2084" i="62906"/>
  <c r="K2037" i="62906"/>
  <c r="K2113" i="62906"/>
  <c r="K2040" i="62906"/>
  <c r="K2056" i="62906"/>
  <c r="K1925" i="62906"/>
  <c r="K1948" i="62906"/>
  <c r="K2122" i="62906"/>
  <c r="K2090" i="62906"/>
  <c r="K2067" i="62906"/>
  <c r="AH84" i="11" s="1"/>
  <c r="K2005" i="62906"/>
  <c r="K2053" i="62906"/>
  <c r="K1919" i="62906"/>
  <c r="K1942" i="62906"/>
  <c r="K2110" i="62906"/>
  <c r="K1993" i="62906"/>
  <c r="K1989" i="62906"/>
  <c r="K2060" i="62906"/>
  <c r="K1935" i="62906"/>
  <c r="K2051" i="62906"/>
  <c r="K1983" i="62906"/>
  <c r="K2079" i="62906"/>
  <c r="K1982" i="62906"/>
  <c r="K2044" i="62906"/>
  <c r="K1915" i="62906"/>
  <c r="K2115" i="62906"/>
  <c r="K1924" i="62906"/>
  <c r="K2061" i="62906"/>
  <c r="AH83" i="11" s="1"/>
  <c r="K1981" i="62906"/>
  <c r="K2038" i="62906"/>
  <c r="K2022" i="62906"/>
  <c r="K2107" i="62906"/>
  <c r="K2063" i="62906"/>
  <c r="K2062" i="62906"/>
  <c r="K1977" i="62906"/>
  <c r="K2027" i="62906"/>
  <c r="K2083" i="62906"/>
  <c r="K2088" i="62906"/>
  <c r="K2066" i="62906"/>
  <c r="K2069" i="62906"/>
  <c r="K1968" i="62906"/>
  <c r="K2043" i="62906"/>
  <c r="K2114" i="62906"/>
  <c r="K2086" i="62906"/>
  <c r="K2073" i="62906"/>
  <c r="K2042" i="62906"/>
  <c r="K1961" i="62906"/>
  <c r="K2034" i="62906"/>
  <c r="K2120" i="62906"/>
  <c r="K2080" i="62906"/>
  <c r="K2046" i="62906"/>
  <c r="K1974" i="62906"/>
  <c r="K2041" i="62906"/>
  <c r="K1951" i="62906"/>
  <c r="K1991" i="62906"/>
  <c r="K2082" i="62906"/>
  <c r="K1931" i="62906"/>
  <c r="K2116" i="62906"/>
  <c r="K1921" i="62906"/>
  <c r="K1995" i="62906"/>
  <c r="K2059" i="62906"/>
  <c r="K2029" i="62906"/>
  <c r="K1938" i="62906"/>
  <c r="K2071" i="62906"/>
  <c r="AH82" i="11" s="1"/>
  <c r="AH86" i="11" s="1"/>
  <c r="K1959" i="62906"/>
  <c r="K1926" i="62906"/>
  <c r="H1693" i="62906"/>
  <c r="AJ13" i="11"/>
  <c r="S259" i="9"/>
  <c r="R259" i="9"/>
  <c r="E263" i="9"/>
  <c r="O259" i="9"/>
  <c r="O263" i="9" s="1"/>
  <c r="J51" i="62892"/>
  <c r="M51" i="62892"/>
  <c r="G51" i="62892"/>
  <c r="D51" i="62892"/>
  <c r="Q622" i="5" l="1"/>
  <c r="C46" i="62892"/>
  <c r="I626" i="5"/>
  <c r="E626" i="5"/>
  <c r="Q626" i="5"/>
  <c r="T626" i="5"/>
  <c r="L50" i="62892"/>
  <c r="N630" i="5"/>
  <c r="F58" i="62892"/>
  <c r="T397" i="62898"/>
  <c r="Q397" i="62898"/>
  <c r="K146" i="1"/>
  <c r="K147" i="1" s="1"/>
  <c r="I6" i="62892"/>
  <c r="I95" i="62892" s="1"/>
  <c r="M45" i="62892"/>
  <c r="D45" i="62892"/>
  <c r="G45" i="62892"/>
  <c r="J45" i="62892"/>
  <c r="Z10" i="62914"/>
  <c r="E42" i="62914"/>
  <c r="H42" i="62914"/>
  <c r="N145" i="62904"/>
  <c r="N31" i="62914" s="1"/>
  <c r="Z31" i="62914" s="1"/>
  <c r="E52" i="62915"/>
  <c r="Y10" i="62915"/>
  <c r="H40" i="62915"/>
  <c r="E40" i="62915"/>
  <c r="H52" i="62915"/>
  <c r="C50" i="62892"/>
  <c r="I630" i="5"/>
  <c r="E630" i="5"/>
  <c r="Q630" i="5"/>
  <c r="T630" i="5"/>
  <c r="X26" i="62914"/>
  <c r="F55" i="62914"/>
  <c r="G55" i="62914"/>
  <c r="N442" i="62898"/>
  <c r="O626" i="5"/>
  <c r="O625" i="5"/>
  <c r="R625" i="5"/>
  <c r="S625" i="5"/>
  <c r="E637" i="5"/>
  <c r="E393" i="62898"/>
  <c r="S393" i="62898" s="1"/>
  <c r="N112" i="62904"/>
  <c r="L77" i="62892"/>
  <c r="T399" i="62898"/>
  <c r="N11" i="62914"/>
  <c r="N651" i="5"/>
  <c r="F394" i="62898"/>
  <c r="F400" i="62898"/>
  <c r="F399" i="62898"/>
  <c r="F398" i="62898"/>
  <c r="F396" i="62898"/>
  <c r="F397" i="62898"/>
  <c r="F393" i="62898"/>
  <c r="F395" i="62898"/>
  <c r="C78" i="62892"/>
  <c r="E113" i="62904"/>
  <c r="I113" i="62904"/>
  <c r="Q113" i="62904"/>
  <c r="T113" i="62904"/>
  <c r="D116" i="62904"/>
  <c r="F40" i="62892"/>
  <c r="F39" i="62892" s="1"/>
  <c r="F99" i="62892" s="1"/>
  <c r="H632" i="5"/>
  <c r="N16" i="62914"/>
  <c r="N165" i="1"/>
  <c r="N161" i="1"/>
  <c r="I60" i="62892"/>
  <c r="K400" i="62898"/>
  <c r="K401" i="62898" s="1"/>
  <c r="C40" i="62892"/>
  <c r="E620" i="5"/>
  <c r="D632" i="5"/>
  <c r="T620" i="5"/>
  <c r="I620" i="5"/>
  <c r="Q620" i="5"/>
  <c r="N620" i="5"/>
  <c r="L40" i="62892"/>
  <c r="E22" i="62915"/>
  <c r="E248" i="2"/>
  <c r="J29" i="11"/>
  <c r="L29" i="11" s="1"/>
  <c r="F1728" i="62906"/>
  <c r="F1729" i="62906" s="1"/>
  <c r="AL86" i="11"/>
  <c r="L10" i="62892"/>
  <c r="N144" i="1"/>
  <c r="Q621" i="5"/>
  <c r="AK37" i="62905"/>
  <c r="G1694" i="62906"/>
  <c r="G1695" i="62906" s="1"/>
  <c r="G1696" i="62906" s="1"/>
  <c r="AK38" i="62905"/>
  <c r="AH14" i="11"/>
  <c r="M179" i="3"/>
  <c r="L83" i="62892"/>
  <c r="N133" i="62905"/>
  <c r="M43" i="62892"/>
  <c r="D43" i="62892"/>
  <c r="G43" i="62892"/>
  <c r="J43" i="62892"/>
  <c r="AL14" i="11"/>
  <c r="I1694" i="62906"/>
  <c r="I1695" i="62906" s="1"/>
  <c r="I1696" i="62906" s="1"/>
  <c r="AM37" i="62905"/>
  <c r="AM38" i="62905"/>
  <c r="L60" i="62892"/>
  <c r="N399" i="62898"/>
  <c r="O399" i="62898" s="1"/>
  <c r="O141" i="1"/>
  <c r="S141" i="1"/>
  <c r="R141" i="1"/>
  <c r="D49" i="62905"/>
  <c r="E49" i="62905" s="1"/>
  <c r="AE49" i="62905"/>
  <c r="AC49" i="62905"/>
  <c r="AC52" i="62905" s="1"/>
  <c r="K135" i="62905" s="1"/>
  <c r="I85" i="62892" s="1"/>
  <c r="AO49" i="62905"/>
  <c r="X49" i="62905"/>
  <c r="J63" i="62892"/>
  <c r="G63" i="62892"/>
  <c r="M63" i="62892"/>
  <c r="D63" i="62892"/>
  <c r="J1708" i="62906"/>
  <c r="J1709" i="62906" s="1"/>
  <c r="AP60" i="62905"/>
  <c r="D637" i="5"/>
  <c r="R621" i="5"/>
  <c r="O621" i="5"/>
  <c r="S621" i="5"/>
  <c r="G1727" i="62906"/>
  <c r="AK50" i="62905"/>
  <c r="AH30" i="11"/>
  <c r="AK48" i="62905"/>
  <c r="AK52" i="62905" s="1"/>
  <c r="AK49" i="62905"/>
  <c r="L54" i="62892"/>
  <c r="N393" i="62898"/>
  <c r="L400" i="62898"/>
  <c r="L401" i="62898" s="1"/>
  <c r="R622" i="5"/>
  <c r="D638" i="5"/>
  <c r="O622" i="5"/>
  <c r="S622" i="5"/>
  <c r="G41" i="62892"/>
  <c r="M41" i="62892"/>
  <c r="J41" i="62892"/>
  <c r="D41" i="62892"/>
  <c r="AP473" i="5"/>
  <c r="L628" i="5" s="1"/>
  <c r="L632" i="5" s="1"/>
  <c r="D48" i="62905"/>
  <c r="E48" i="62905" s="1"/>
  <c r="AO48" i="62905"/>
  <c r="AC48" i="62905"/>
  <c r="AE48" i="62905"/>
  <c r="X48" i="62905"/>
  <c r="Z15" i="62914"/>
  <c r="E46" i="62914"/>
  <c r="N17" i="62914"/>
  <c r="H46" i="62914"/>
  <c r="I53" i="62892"/>
  <c r="I100" i="62892" s="1"/>
  <c r="L78" i="62892"/>
  <c r="L76" i="62892" s="1"/>
  <c r="L103" i="62892" s="1"/>
  <c r="L116" i="62904"/>
  <c r="N113" i="62904"/>
  <c r="N116" i="62904" s="1"/>
  <c r="R263" i="9"/>
  <c r="S263" i="9"/>
  <c r="G7" i="62892"/>
  <c r="M7" i="62892"/>
  <c r="D7" i="62892"/>
  <c r="J7" i="62892"/>
  <c r="N12" i="62914"/>
  <c r="N124" i="3"/>
  <c r="AA41" i="11"/>
  <c r="C90" i="62892"/>
  <c r="E140" i="62905"/>
  <c r="I140" i="62905"/>
  <c r="T140" i="62905"/>
  <c r="Q140" i="62905"/>
  <c r="Z13" i="62914"/>
  <c r="H45" i="62914"/>
  <c r="E45" i="62914"/>
  <c r="E23" i="62914"/>
  <c r="E216" i="2"/>
  <c r="N147" i="3"/>
  <c r="S112" i="62904"/>
  <c r="O112" i="62904"/>
  <c r="R112" i="62904"/>
  <c r="AE41" i="11"/>
  <c r="E47" i="62905"/>
  <c r="G42" i="62892"/>
  <c r="M42" i="62892"/>
  <c r="J42" i="62892"/>
  <c r="D42" i="62892"/>
  <c r="AP13" i="11"/>
  <c r="AD13" i="11"/>
  <c r="Z13" i="11"/>
  <c r="U13" i="11"/>
  <c r="M13" i="11"/>
  <c r="M17" i="62915"/>
  <c r="M197" i="1"/>
  <c r="M203" i="1"/>
  <c r="M25" i="62915" s="1"/>
  <c r="Z24" i="62914"/>
  <c r="E53" i="62914"/>
  <c r="H53" i="62914"/>
  <c r="V41" i="11"/>
  <c r="F83" i="62892"/>
  <c r="I38" i="62905"/>
  <c r="J38" i="62905" s="1"/>
  <c r="F1694" i="62906"/>
  <c r="F1695" i="62906" s="1"/>
  <c r="F1696" i="62906" s="1"/>
  <c r="J14" i="11"/>
  <c r="L14" i="11" s="1"/>
  <c r="I37" i="62905"/>
  <c r="J37" i="62905" s="1"/>
  <c r="S627" i="5"/>
  <c r="E639" i="5"/>
  <c r="R627" i="5"/>
  <c r="G248" i="2"/>
  <c r="G22" i="62915"/>
  <c r="H144" i="1"/>
  <c r="N171" i="1"/>
  <c r="N27" i="62914" s="1"/>
  <c r="N170" i="1"/>
  <c r="N26" i="62914" s="1"/>
  <c r="G23" i="62914"/>
  <c r="G216" i="2"/>
  <c r="J52" i="62905"/>
  <c r="S167" i="2"/>
  <c r="R167" i="2"/>
  <c r="O167" i="2"/>
  <c r="AM48" i="62905"/>
  <c r="AM52" i="62905" s="1"/>
  <c r="I1727" i="62906"/>
  <c r="AL30" i="11"/>
  <c r="AM49" i="62905"/>
  <c r="AM50" i="62905"/>
  <c r="M77" i="62892"/>
  <c r="D77" i="62892"/>
  <c r="J77" i="62892"/>
  <c r="G77" i="62892"/>
  <c r="D41" i="11"/>
  <c r="U43" i="11"/>
  <c r="V43" i="11" s="1"/>
  <c r="AD43" i="11"/>
  <c r="AE43" i="11" s="1"/>
  <c r="AP43" i="11"/>
  <c r="Z43" i="11"/>
  <c r="AA43" i="11" s="1"/>
  <c r="M43" i="11"/>
  <c r="D43" i="11" s="1"/>
  <c r="E43" i="11" s="1"/>
  <c r="AD55" i="11"/>
  <c r="Z55" i="11"/>
  <c r="AP55" i="11"/>
  <c r="AP59" i="11" s="1"/>
  <c r="U55" i="11"/>
  <c r="L59" i="11"/>
  <c r="E97" i="11" s="1"/>
  <c r="M55" i="11"/>
  <c r="F110" i="3"/>
  <c r="F107" i="3"/>
  <c r="F108" i="3"/>
  <c r="F111" i="3"/>
  <c r="Q112" i="3"/>
  <c r="T112" i="3"/>
  <c r="F112" i="3"/>
  <c r="K113" i="3"/>
  <c r="L113" i="3"/>
  <c r="F109" i="3"/>
  <c r="I112" i="3"/>
  <c r="H43" i="62915"/>
  <c r="Y13" i="62915"/>
  <c r="E43" i="62915"/>
  <c r="E27" i="11"/>
  <c r="I60" i="62905"/>
  <c r="J60" i="62905" s="1"/>
  <c r="F1708" i="62906"/>
  <c r="F1709" i="62906" s="1"/>
  <c r="D69" i="62905"/>
  <c r="AC69" i="62905"/>
  <c r="AC73" i="62905" s="1"/>
  <c r="K137" i="62905" s="1"/>
  <c r="I87" i="62892" s="1"/>
  <c r="J73" i="62905"/>
  <c r="AE69" i="62905"/>
  <c r="AE73" i="62905" s="1"/>
  <c r="L137" i="62905" s="1"/>
  <c r="AO69" i="62905"/>
  <c r="AO73" i="62905" s="1"/>
  <c r="X69" i="62905"/>
  <c r="X73" i="62905" s="1"/>
  <c r="H137" i="62905" s="1"/>
  <c r="F87" i="62892" s="1"/>
  <c r="C49" i="62892"/>
  <c r="T629" i="5"/>
  <c r="E629" i="5"/>
  <c r="Q629" i="5"/>
  <c r="I629" i="5"/>
  <c r="R394" i="62898"/>
  <c r="S394" i="62898"/>
  <c r="O394" i="62898"/>
  <c r="E404" i="62898"/>
  <c r="F53" i="62892"/>
  <c r="F100" i="62892" s="1"/>
  <c r="M690" i="5"/>
  <c r="M11" i="62915"/>
  <c r="H1694" i="62906"/>
  <c r="H1695" i="62906" s="1"/>
  <c r="H1696" i="62906" s="1"/>
  <c r="AL37" i="62905"/>
  <c r="AJ14" i="11"/>
  <c r="AL38" i="62905"/>
  <c r="R109" i="3"/>
  <c r="O109" i="3"/>
  <c r="S109" i="3"/>
  <c r="E112" i="3"/>
  <c r="AL48" i="62905"/>
  <c r="AL50" i="62905"/>
  <c r="AL52" i="62905" s="1"/>
  <c r="H1727" i="62906"/>
  <c r="AJ30" i="11"/>
  <c r="AL49" i="62905"/>
  <c r="J1727" i="62906"/>
  <c r="AP48" i="62905"/>
  <c r="AP52" i="62905" s="1"/>
  <c r="AP49" i="62905"/>
  <c r="AP50" i="62905"/>
  <c r="AR30" i="11"/>
  <c r="H400" i="62898"/>
  <c r="T400" i="62898" s="1"/>
  <c r="J54" i="62892"/>
  <c r="G54" i="62892"/>
  <c r="AD30" i="11"/>
  <c r="AE30" i="11" s="1"/>
  <c r="U30" i="11"/>
  <c r="V30" i="11" s="1"/>
  <c r="Z30" i="11"/>
  <c r="AA30" i="11" s="1"/>
  <c r="AP30" i="11"/>
  <c r="M30" i="11"/>
  <c r="D30" i="11" s="1"/>
  <c r="E30" i="11" s="1"/>
  <c r="D408" i="62898"/>
  <c r="C10" i="62892"/>
  <c r="T144" i="1"/>
  <c r="E144" i="1"/>
  <c r="Q144" i="1"/>
  <c r="I144" i="1"/>
  <c r="H26" i="62911"/>
  <c r="S24" i="62911"/>
  <c r="J47" i="62892"/>
  <c r="D47" i="62892"/>
  <c r="G47" i="62892"/>
  <c r="M47" i="62892"/>
  <c r="C65" i="62892"/>
  <c r="I169" i="2"/>
  <c r="E169" i="2"/>
  <c r="Q169" i="2"/>
  <c r="T169" i="2"/>
  <c r="L151" i="62904"/>
  <c r="L31" i="62914"/>
  <c r="K1712" i="62906"/>
  <c r="K1713" i="62906" s="1"/>
  <c r="N44" i="11"/>
  <c r="O44" i="11" s="1"/>
  <c r="O46" i="11" s="1"/>
  <c r="L47" i="62892"/>
  <c r="N627" i="5"/>
  <c r="O627" i="5" s="1"/>
  <c r="T621" i="5"/>
  <c r="F142" i="1"/>
  <c r="F145" i="1"/>
  <c r="L147" i="1"/>
  <c r="F146" i="1"/>
  <c r="F141" i="1"/>
  <c r="F144" i="1"/>
  <c r="F143" i="1"/>
  <c r="Y16" i="62915"/>
  <c r="M18" i="62915"/>
  <c r="H45" i="62915"/>
  <c r="E45" i="62915"/>
  <c r="N624" i="5"/>
  <c r="L44" i="62892"/>
  <c r="N30" i="62914"/>
  <c r="N151" i="62904"/>
  <c r="M29" i="62915"/>
  <c r="Y29" i="62915" s="1"/>
  <c r="M183" i="62904"/>
  <c r="M55" i="62892"/>
  <c r="J55" i="62892"/>
  <c r="G55" i="62892"/>
  <c r="C11" i="62892"/>
  <c r="D147" i="1"/>
  <c r="E145" i="1"/>
  <c r="I145" i="1"/>
  <c r="T145" i="1"/>
  <c r="Q145" i="1"/>
  <c r="M23" i="62914"/>
  <c r="M216" i="2"/>
  <c r="C57" i="62892"/>
  <c r="C53" i="62892" s="1"/>
  <c r="Q396" i="62898"/>
  <c r="I396" i="62898"/>
  <c r="E396" i="62898"/>
  <c r="T396" i="62898"/>
  <c r="O23" i="62914"/>
  <c r="O216" i="2"/>
  <c r="J16" i="62892"/>
  <c r="M16" i="62892"/>
  <c r="G16" i="62892"/>
  <c r="C13" i="62892"/>
  <c r="I40" i="62892"/>
  <c r="I39" i="62892" s="1"/>
  <c r="I99" i="62892" s="1"/>
  <c r="K632" i="5"/>
  <c r="F78" i="62892"/>
  <c r="F76" i="62892" s="1"/>
  <c r="F103" i="62892" s="1"/>
  <c r="H116" i="62904"/>
  <c r="G1708" i="62906"/>
  <c r="G1709" i="62906" s="1"/>
  <c r="AK60" i="62905"/>
  <c r="I78" i="62892"/>
  <c r="I76" i="62892" s="1"/>
  <c r="I103" i="62892" s="1"/>
  <c r="K116" i="62904"/>
  <c r="S399" i="62898"/>
  <c r="R399" i="62898"/>
  <c r="J29" i="62915"/>
  <c r="J183" i="62904"/>
  <c r="L22" i="62915"/>
  <c r="L248" i="2"/>
  <c r="J1694" i="62906"/>
  <c r="J1695" i="62906" s="1"/>
  <c r="J1696" i="62906" s="1"/>
  <c r="AP38" i="62905"/>
  <c r="AP37" i="62905"/>
  <c r="AR14" i="11"/>
  <c r="O248" i="2"/>
  <c r="O22" i="62915"/>
  <c r="N138" i="62905"/>
  <c r="L88" i="62892"/>
  <c r="H1708" i="62906"/>
  <c r="H1709" i="62906" s="1"/>
  <c r="AL60" i="62905"/>
  <c r="AD84" i="11"/>
  <c r="AE84" i="11" s="1"/>
  <c r="AP84" i="11"/>
  <c r="Z84" i="11"/>
  <c r="AA84" i="11" s="1"/>
  <c r="U84" i="11"/>
  <c r="V84" i="11" s="1"/>
  <c r="L84" i="11"/>
  <c r="D84" i="11" s="1"/>
  <c r="E84" i="11" s="1"/>
  <c r="D50" i="62905"/>
  <c r="E50" i="62905" s="1"/>
  <c r="AE50" i="62905"/>
  <c r="AE52" i="62905" s="1"/>
  <c r="L135" i="62905" s="1"/>
  <c r="X50" i="62905"/>
  <c r="X52" i="62905" s="1"/>
  <c r="H135" i="62905" s="1"/>
  <c r="F85" i="62892" s="1"/>
  <c r="AC50" i="62905"/>
  <c r="AO50" i="62905"/>
  <c r="AO52" i="62905" s="1"/>
  <c r="S397" i="62898"/>
  <c r="R397" i="62898"/>
  <c r="O397" i="62898"/>
  <c r="E405" i="62898"/>
  <c r="G405" i="62898" s="1"/>
  <c r="C67" i="62892"/>
  <c r="I171" i="2"/>
  <c r="T171" i="2"/>
  <c r="E171" i="2"/>
  <c r="Q171" i="2"/>
  <c r="E181" i="2"/>
  <c r="E182" i="2" s="1"/>
  <c r="C115" i="62892" s="1"/>
  <c r="D182" i="2"/>
  <c r="M60" i="62892"/>
  <c r="J60" i="62892"/>
  <c r="D60" i="62892"/>
  <c r="G60" i="62892"/>
  <c r="T96" i="2"/>
  <c r="K170" i="2" s="1"/>
  <c r="M12" i="62915"/>
  <c r="M159" i="3"/>
  <c r="X83" i="62905"/>
  <c r="H138" i="62905" s="1"/>
  <c r="F88" i="62892" s="1"/>
  <c r="T97" i="62892"/>
  <c r="M97" i="62892"/>
  <c r="U97" i="62892"/>
  <c r="J97" i="62892"/>
  <c r="N97" i="62892"/>
  <c r="S97" i="62892"/>
  <c r="R97" i="62892"/>
  <c r="L49" i="62892"/>
  <c r="N629" i="5"/>
  <c r="C102" i="62892"/>
  <c r="G70" i="62892"/>
  <c r="G102" i="62892" s="1"/>
  <c r="J70" i="62892"/>
  <c r="M70" i="62892"/>
  <c r="L442" i="62898"/>
  <c r="L21" i="62914"/>
  <c r="H170" i="2"/>
  <c r="M235" i="2"/>
  <c r="N202" i="2"/>
  <c r="M83" i="11"/>
  <c r="N83" i="11" s="1"/>
  <c r="AR83" i="11"/>
  <c r="L6" i="62892"/>
  <c r="L95" i="62892" s="1"/>
  <c r="E80" i="62905"/>
  <c r="E83" i="62905" s="1"/>
  <c r="D83" i="62905"/>
  <c r="D138" i="62905" s="1"/>
  <c r="M1713" i="62906"/>
  <c r="V58" i="62905"/>
  <c r="R133" i="62905"/>
  <c r="S133" i="62905"/>
  <c r="O133" i="62905"/>
  <c r="G83" i="62892"/>
  <c r="J83" i="62892"/>
  <c r="D83" i="62892"/>
  <c r="M83" i="62892"/>
  <c r="M58" i="62892"/>
  <c r="G58" i="62892"/>
  <c r="D58" i="62892"/>
  <c r="J58" i="62892"/>
  <c r="L83" i="11"/>
  <c r="D83" i="11" s="1"/>
  <c r="E83" i="11" s="1"/>
  <c r="AD83" i="11"/>
  <c r="AE83" i="11" s="1"/>
  <c r="U83" i="11"/>
  <c r="V83" i="11" s="1"/>
  <c r="Z83" i="11"/>
  <c r="AA83" i="11" s="1"/>
  <c r="AP83" i="11"/>
  <c r="C48" i="62892"/>
  <c r="I628" i="5"/>
  <c r="T628" i="5"/>
  <c r="E628" i="5"/>
  <c r="Q628" i="5"/>
  <c r="AD82" i="11"/>
  <c r="K86" i="11"/>
  <c r="E99" i="11" s="1"/>
  <c r="AP82" i="11"/>
  <c r="U82" i="11"/>
  <c r="Z82" i="11"/>
  <c r="L82" i="11"/>
  <c r="J474" i="62898"/>
  <c r="J19" i="62915"/>
  <c r="F23" i="62914"/>
  <c r="F216" i="2"/>
  <c r="V96" i="2"/>
  <c r="L170" i="2" s="1"/>
  <c r="M82" i="11"/>
  <c r="N82" i="11" s="1"/>
  <c r="AR82" i="11"/>
  <c r="AR86" i="11" s="1"/>
  <c r="L146" i="1"/>
  <c r="C44" i="62892"/>
  <c r="I624" i="5"/>
  <c r="T624" i="5"/>
  <c r="E624" i="5"/>
  <c r="Q624" i="5"/>
  <c r="F22" i="62915"/>
  <c r="F248" i="2"/>
  <c r="AB96" i="2"/>
  <c r="AR84" i="11"/>
  <c r="M84" i="11"/>
  <c r="N84" i="11" s="1"/>
  <c r="N146" i="1"/>
  <c r="M474" i="62898"/>
  <c r="D639" i="5"/>
  <c r="S623" i="5"/>
  <c r="R623" i="5"/>
  <c r="O623" i="5"/>
  <c r="AM59" i="62905"/>
  <c r="I1710" i="62906"/>
  <c r="I1711" i="62906" s="1"/>
  <c r="I1712" i="62906" s="1"/>
  <c r="E93" i="2"/>
  <c r="E96" i="2" s="1"/>
  <c r="D96" i="2"/>
  <c r="D170" i="2" s="1"/>
  <c r="D173" i="2" s="1"/>
  <c r="M212" i="1"/>
  <c r="M34" i="62915" s="1"/>
  <c r="R114" i="62904"/>
  <c r="S114" i="62904"/>
  <c r="O114" i="62904"/>
  <c r="G79" i="62892"/>
  <c r="M79" i="62892"/>
  <c r="D79" i="62892"/>
  <c r="J79" i="62892"/>
  <c r="S630" i="5" l="1"/>
  <c r="F638" i="5"/>
  <c r="O630" i="5"/>
  <c r="R630" i="5"/>
  <c r="R393" i="62898"/>
  <c r="G50" i="62892"/>
  <c r="J50" i="62892"/>
  <c r="M50" i="62892"/>
  <c r="D50" i="62892"/>
  <c r="N400" i="62898"/>
  <c r="R626" i="5"/>
  <c r="S626" i="5"/>
  <c r="E638" i="5"/>
  <c r="G638" i="5" s="1"/>
  <c r="J46" i="62892"/>
  <c r="M46" i="62892"/>
  <c r="D46" i="62892"/>
  <c r="G46" i="62892"/>
  <c r="D107" i="11"/>
  <c r="F168" i="2"/>
  <c r="F167" i="2"/>
  <c r="F172" i="2"/>
  <c r="F170" i="2"/>
  <c r="I173" i="2"/>
  <c r="F171" i="2"/>
  <c r="F173" i="2"/>
  <c r="L174" i="2"/>
  <c r="F169" i="2"/>
  <c r="K174" i="2"/>
  <c r="L85" i="62892"/>
  <c r="N135" i="62905"/>
  <c r="M14" i="11"/>
  <c r="D14" i="11" s="1"/>
  <c r="E14" i="11" s="1"/>
  <c r="AD14" i="11"/>
  <c r="AE14" i="11" s="1"/>
  <c r="AP14" i="11"/>
  <c r="Z14" i="11"/>
  <c r="AA14" i="11" s="1"/>
  <c r="U14" i="11"/>
  <c r="V14" i="11" s="1"/>
  <c r="V55" i="11"/>
  <c r="V59" i="11" s="1"/>
  <c r="J97" i="11" s="1"/>
  <c r="F35" i="62892" s="1"/>
  <c r="U59" i="11"/>
  <c r="D60" i="62905"/>
  <c r="E60" i="62905" s="1"/>
  <c r="AO60" i="62905"/>
  <c r="AC60" i="62905"/>
  <c r="AE60" i="62905"/>
  <c r="X60" i="62905"/>
  <c r="AA13" i="11"/>
  <c r="Q22" i="62915"/>
  <c r="J235" i="2"/>
  <c r="L202" i="2"/>
  <c r="AP86" i="11"/>
  <c r="AA23" i="62914"/>
  <c r="AA55" i="11"/>
  <c r="AA59" i="11" s="1"/>
  <c r="M97" i="11" s="1"/>
  <c r="I35" i="62892" s="1"/>
  <c r="Z59" i="11"/>
  <c r="AE13" i="11"/>
  <c r="S113" i="62904"/>
  <c r="O113" i="62904"/>
  <c r="R113" i="62904"/>
  <c r="X22" i="62915"/>
  <c r="X35" i="62915" s="1"/>
  <c r="L35" i="62915"/>
  <c r="S25" i="62911"/>
  <c r="J24" i="62911"/>
  <c r="F1710" i="62906"/>
  <c r="I59" i="62905"/>
  <c r="J59" i="62905" s="1"/>
  <c r="U86" i="11"/>
  <c r="V82" i="11"/>
  <c r="V86" i="11" s="1"/>
  <c r="J99" i="11" s="1"/>
  <c r="F37" i="62892" s="1"/>
  <c r="H57" i="62915"/>
  <c r="F57" i="62915"/>
  <c r="V29" i="62915"/>
  <c r="E57" i="62915"/>
  <c r="G57" i="62915"/>
  <c r="AE55" i="11"/>
  <c r="AE59" i="11" s="1"/>
  <c r="N97" i="11" s="1"/>
  <c r="AD59" i="11"/>
  <c r="G78" i="62892"/>
  <c r="D78" i="62892"/>
  <c r="J78" i="62892"/>
  <c r="M78" i="62892"/>
  <c r="X21" i="62914"/>
  <c r="G50" i="62914"/>
  <c r="F50" i="62914"/>
  <c r="C100" i="62892"/>
  <c r="J53" i="62892"/>
  <c r="G53" i="62892"/>
  <c r="G100" i="62892" s="1"/>
  <c r="I36" i="62905"/>
  <c r="J36" i="62905" s="1"/>
  <c r="F1697" i="62906"/>
  <c r="F1698" i="62906" s="1"/>
  <c r="J15" i="11"/>
  <c r="L15" i="11" s="1"/>
  <c r="D38" i="62905"/>
  <c r="E38" i="62905" s="1"/>
  <c r="X38" i="62905"/>
  <c r="AC38" i="62905"/>
  <c r="AE38" i="62905"/>
  <c r="AO38" i="62905"/>
  <c r="R22" i="62915"/>
  <c r="AE82" i="11"/>
  <c r="AE86" i="11" s="1"/>
  <c r="N99" i="11" s="1"/>
  <c r="AD86" i="11"/>
  <c r="S144" i="1"/>
  <c r="R144" i="1"/>
  <c r="O144" i="1"/>
  <c r="N632" i="5"/>
  <c r="L66" i="62892"/>
  <c r="L62" i="62892" s="1"/>
  <c r="L101" i="62892" s="1"/>
  <c r="N170" i="2"/>
  <c r="N173" i="2" s="1"/>
  <c r="L173" i="2"/>
  <c r="S140" i="62905"/>
  <c r="O140" i="62905"/>
  <c r="R140" i="62905"/>
  <c r="J10" i="62892"/>
  <c r="D10" i="62892"/>
  <c r="G10" i="62892"/>
  <c r="M10" i="62892"/>
  <c r="J90" i="62892"/>
  <c r="G90" i="62892"/>
  <c r="M90" i="62892"/>
  <c r="D90" i="62892"/>
  <c r="L53" i="62892"/>
  <c r="L100" i="62892" s="1"/>
  <c r="H1697" i="62906"/>
  <c r="H1698" i="62906" s="1"/>
  <c r="AL36" i="62905"/>
  <c r="AJ15" i="11"/>
  <c r="V13" i="11"/>
  <c r="Y11" i="62915"/>
  <c r="M15" i="62915"/>
  <c r="H41" i="62915"/>
  <c r="E41" i="62915"/>
  <c r="U102" i="62892"/>
  <c r="R102" i="62892"/>
  <c r="M102" i="62892"/>
  <c r="N102" i="62892"/>
  <c r="T102" i="62892"/>
  <c r="S102" i="62892"/>
  <c r="J102" i="62892"/>
  <c r="S396" i="62898"/>
  <c r="E406" i="62898"/>
  <c r="G406" i="62898" s="1"/>
  <c r="R396" i="62898"/>
  <c r="O396" i="62898"/>
  <c r="E58" i="62914"/>
  <c r="H58" i="62914"/>
  <c r="Z30" i="62914"/>
  <c r="S624" i="5"/>
  <c r="O624" i="5"/>
  <c r="R624" i="5"/>
  <c r="E636" i="5"/>
  <c r="E640" i="5" s="1"/>
  <c r="S628" i="5"/>
  <c r="R628" i="5"/>
  <c r="F636" i="5"/>
  <c r="J1728" i="62906"/>
  <c r="J1729" i="62906" s="1"/>
  <c r="AR29" i="11"/>
  <c r="AR32" i="11" s="1"/>
  <c r="G404" i="62898"/>
  <c r="Q400" i="62898"/>
  <c r="H62" i="62915"/>
  <c r="Y34" i="62915"/>
  <c r="E62" i="62915"/>
  <c r="O171" i="2"/>
  <c r="R171" i="2"/>
  <c r="S171" i="2"/>
  <c r="H1710" i="62906"/>
  <c r="AL59" i="62905"/>
  <c r="G57" i="62892"/>
  <c r="J57" i="62892"/>
  <c r="D57" i="62892"/>
  <c r="M57" i="62892"/>
  <c r="S23" i="62914"/>
  <c r="E52" i="62905"/>
  <c r="K633" i="5"/>
  <c r="F627" i="5"/>
  <c r="F624" i="5"/>
  <c r="F631" i="5"/>
  <c r="L633" i="5"/>
  <c r="F620" i="5"/>
  <c r="F626" i="5"/>
  <c r="F625" i="5"/>
  <c r="F628" i="5"/>
  <c r="Q632" i="5"/>
  <c r="F629" i="5"/>
  <c r="F622" i="5"/>
  <c r="F632" i="5"/>
  <c r="F630" i="5"/>
  <c r="I632" i="5"/>
  <c r="T632" i="5"/>
  <c r="F621" i="5"/>
  <c r="F623" i="5"/>
  <c r="Z26" i="62914"/>
  <c r="H55" i="62914"/>
  <c r="E55" i="62914"/>
  <c r="D52" i="62905"/>
  <c r="D135" i="62905" s="1"/>
  <c r="R620" i="5"/>
  <c r="E632" i="5"/>
  <c r="D636" i="5"/>
  <c r="O620" i="5"/>
  <c r="S620" i="5"/>
  <c r="H56" i="62914"/>
  <c r="Z27" i="62914"/>
  <c r="E56" i="62914"/>
  <c r="E146" i="1"/>
  <c r="AH15" i="11"/>
  <c r="G1697" i="62906"/>
  <c r="G1698" i="62906" s="1"/>
  <c r="AK36" i="62905"/>
  <c r="C39" i="62892"/>
  <c r="D40" i="62892"/>
  <c r="M40" i="62892"/>
  <c r="J40" i="62892"/>
  <c r="G40" i="62892"/>
  <c r="D73" i="62905"/>
  <c r="D137" i="62905" s="1"/>
  <c r="E69" i="62905"/>
  <c r="E73" i="62905" s="1"/>
  <c r="G44" i="62892"/>
  <c r="M44" i="62892"/>
  <c r="D44" i="62892"/>
  <c r="J44" i="62892"/>
  <c r="J48" i="62892"/>
  <c r="G48" i="62892"/>
  <c r="D48" i="62892"/>
  <c r="M48" i="62892"/>
  <c r="E41" i="11"/>
  <c r="Y23" i="62914"/>
  <c r="E400" i="62898"/>
  <c r="G67" i="62892"/>
  <c r="D67" i="62892"/>
  <c r="M67" i="62892"/>
  <c r="J67" i="62892"/>
  <c r="G1710" i="62906"/>
  <c r="AK59" i="62905"/>
  <c r="Y18" i="62915"/>
  <c r="O629" i="5"/>
  <c r="F637" i="5"/>
  <c r="G637" i="5" s="1"/>
  <c r="R629" i="5"/>
  <c r="S629" i="5"/>
  <c r="F10" i="62892"/>
  <c r="F6" i="62892" s="1"/>
  <c r="F95" i="62892" s="1"/>
  <c r="H146" i="1"/>
  <c r="Z12" i="62914"/>
  <c r="H44" i="62914"/>
  <c r="E44" i="62914"/>
  <c r="AH29" i="11"/>
  <c r="AH32" i="11" s="1"/>
  <c r="G1728" i="62906"/>
  <c r="G1729" i="62906" s="1"/>
  <c r="R112" i="3"/>
  <c r="O112" i="3"/>
  <c r="S112" i="3"/>
  <c r="S22" i="62915"/>
  <c r="N628" i="5"/>
  <c r="O628" i="5" s="1"/>
  <c r="L48" i="62892"/>
  <c r="L39" i="62892" s="1"/>
  <c r="L99" i="62892" s="1"/>
  <c r="O146" i="1"/>
  <c r="L86" i="11"/>
  <c r="F99" i="11" s="1"/>
  <c r="D82" i="11"/>
  <c r="I1728" i="62906"/>
  <c r="I1729" i="62906" s="1"/>
  <c r="AL29" i="11"/>
  <c r="AL32" i="11" s="1"/>
  <c r="AA82" i="11"/>
  <c r="AA86" i="11" s="1"/>
  <c r="M99" i="11" s="1"/>
  <c r="I37" i="62892" s="1"/>
  <c r="Z86" i="11"/>
  <c r="F59" i="62914"/>
  <c r="G59" i="62914"/>
  <c r="X31" i="62914"/>
  <c r="H59" i="62914"/>
  <c r="E59" i="62914"/>
  <c r="H1728" i="62906"/>
  <c r="H1729" i="62906" s="1"/>
  <c r="AJ29" i="11"/>
  <c r="AJ32" i="11" s="1"/>
  <c r="C66" i="62892"/>
  <c r="T170" i="2"/>
  <c r="Q170" i="2"/>
  <c r="E170" i="2"/>
  <c r="I170" i="2"/>
  <c r="C88" i="62892"/>
  <c r="I138" i="62905"/>
  <c r="Q138" i="62905"/>
  <c r="T138" i="62905"/>
  <c r="E138" i="62905"/>
  <c r="I1713" i="62906"/>
  <c r="AM58" i="62905"/>
  <c r="AM63" i="62905" s="1"/>
  <c r="N86" i="11"/>
  <c r="D110" i="11" s="1"/>
  <c r="E110" i="11" s="1"/>
  <c r="O35" i="62915"/>
  <c r="AA22" i="62915"/>
  <c r="AA35" i="62915" s="1"/>
  <c r="O169" i="2"/>
  <c r="R169" i="2"/>
  <c r="S169" i="2"/>
  <c r="M49" i="62892"/>
  <c r="G49" i="62892"/>
  <c r="D49" i="62892"/>
  <c r="J49" i="62892"/>
  <c r="O393" i="62898"/>
  <c r="E116" i="62904"/>
  <c r="I400" i="62898"/>
  <c r="N181" i="1"/>
  <c r="N21" i="62914"/>
  <c r="H50" i="62914" s="1"/>
  <c r="Y25" i="62915"/>
  <c r="E53" i="62915"/>
  <c r="H53" i="62915"/>
  <c r="O116" i="62904"/>
  <c r="N216" i="2"/>
  <c r="N23" i="62914"/>
  <c r="Z23" i="62914" s="1"/>
  <c r="R145" i="1"/>
  <c r="S145" i="1"/>
  <c r="O145" i="1"/>
  <c r="J65" i="62892"/>
  <c r="G65" i="62892"/>
  <c r="D65" i="62892"/>
  <c r="M65" i="62892"/>
  <c r="C76" i="62892"/>
  <c r="E47" i="62914"/>
  <c r="H47" i="62914"/>
  <c r="Z16" i="62914"/>
  <c r="Z17" i="62914" s="1"/>
  <c r="M19" i="62915"/>
  <c r="E47" i="62915" s="1"/>
  <c r="M213" i="1"/>
  <c r="C6" i="62892"/>
  <c r="M248" i="2"/>
  <c r="M22" i="62915"/>
  <c r="Y22" i="62915" s="1"/>
  <c r="V19" i="62915"/>
  <c r="H47" i="62915"/>
  <c r="F47" i="62915"/>
  <c r="G47" i="62915"/>
  <c r="F66" i="62892"/>
  <c r="F62" i="62892" s="1"/>
  <c r="F101" i="62892" s="1"/>
  <c r="H173" i="2"/>
  <c r="T173" i="2" s="1"/>
  <c r="Y12" i="62915"/>
  <c r="H42" i="62915"/>
  <c r="E42" i="62915"/>
  <c r="M11" i="62892"/>
  <c r="J11" i="62892"/>
  <c r="G11" i="62892"/>
  <c r="H46" i="62915"/>
  <c r="E46" i="62915"/>
  <c r="Y17" i="62915"/>
  <c r="AL15" i="11"/>
  <c r="I1697" i="62906"/>
  <c r="I1698" i="62906" s="1"/>
  <c r="AM36" i="62905"/>
  <c r="R23" i="62914"/>
  <c r="C96" i="62892"/>
  <c r="J13" i="62892"/>
  <c r="G13" i="62892"/>
  <c r="G96" i="62892" s="1"/>
  <c r="M13" i="62892"/>
  <c r="AD130" i="1"/>
  <c r="AE130" i="1" s="1"/>
  <c r="AE132" i="1" s="1"/>
  <c r="AB130" i="1"/>
  <c r="AC130" i="1" s="1"/>
  <c r="AC132" i="1" s="1"/>
  <c r="L87" i="62892"/>
  <c r="N137" i="62905"/>
  <c r="G639" i="5"/>
  <c r="I66" i="62892"/>
  <c r="I62" i="62892" s="1"/>
  <c r="I101" i="62892" s="1"/>
  <c r="K173" i="2"/>
  <c r="AP36" i="62905"/>
  <c r="J1697" i="62906"/>
  <c r="J1698" i="62906" s="1"/>
  <c r="AR15" i="11"/>
  <c r="M54" i="62892"/>
  <c r="M59" i="11"/>
  <c r="F97" i="11" s="1"/>
  <c r="D55" i="11"/>
  <c r="D37" i="62905"/>
  <c r="E37" i="62905" s="1"/>
  <c r="AE37" i="62905"/>
  <c r="AO37" i="62905"/>
  <c r="AC37" i="62905"/>
  <c r="X37" i="62905"/>
  <c r="D13" i="11"/>
  <c r="Q23" i="62914"/>
  <c r="J1710" i="62906"/>
  <c r="AP59" i="62905"/>
  <c r="M29" i="11"/>
  <c r="Z29" i="11"/>
  <c r="U29" i="11"/>
  <c r="AP29" i="11"/>
  <c r="AP32" i="11" s="1"/>
  <c r="AD29" i="11"/>
  <c r="L32" i="11"/>
  <c r="E95" i="11" s="1"/>
  <c r="L117" i="62904"/>
  <c r="F115" i="62904"/>
  <c r="F114" i="62904"/>
  <c r="Q116" i="62904"/>
  <c r="F113" i="62904"/>
  <c r="F116" i="62904"/>
  <c r="I116" i="62904"/>
  <c r="T116" i="62904"/>
  <c r="K117" i="62904"/>
  <c r="F112" i="62904"/>
  <c r="Z11" i="62914"/>
  <c r="N14" i="62914"/>
  <c r="H43" i="62914"/>
  <c r="E43" i="62914"/>
  <c r="M53" i="62892" l="1"/>
  <c r="AJ16" i="11"/>
  <c r="AL39" i="62905"/>
  <c r="AL41" i="62905" s="1"/>
  <c r="Q146" i="1"/>
  <c r="T146" i="1"/>
  <c r="I146" i="1"/>
  <c r="U100" i="62892"/>
  <c r="J100" i="62892"/>
  <c r="M100" i="62892"/>
  <c r="N100" i="62892"/>
  <c r="S100" i="62892"/>
  <c r="T100" i="62892"/>
  <c r="R100" i="62892"/>
  <c r="E55" i="11"/>
  <c r="E59" i="11" s="1"/>
  <c r="D59" i="11"/>
  <c r="O632" i="5"/>
  <c r="L216" i="2"/>
  <c r="L23" i="62914"/>
  <c r="R138" i="62905"/>
  <c r="O138" i="62905"/>
  <c r="S138" i="62905"/>
  <c r="G636" i="5"/>
  <c r="G640" i="5" s="1"/>
  <c r="D640" i="5"/>
  <c r="E50" i="62914"/>
  <c r="J22" i="62915"/>
  <c r="J248" i="2"/>
  <c r="E82" i="11"/>
  <c r="E86" i="11" s="1"/>
  <c r="D86" i="11"/>
  <c r="S632" i="5"/>
  <c r="R632" i="5"/>
  <c r="N96" i="62892"/>
  <c r="J96" i="62892"/>
  <c r="M96" i="62892"/>
  <c r="S96" i="62892"/>
  <c r="R96" i="62892"/>
  <c r="T96" i="62892"/>
  <c r="U96" i="62892"/>
  <c r="C37" i="62892"/>
  <c r="K99" i="11"/>
  <c r="V99" i="11"/>
  <c r="S99" i="11"/>
  <c r="G99" i="11"/>
  <c r="AJ42" i="11"/>
  <c r="H1711" i="62906"/>
  <c r="Z21" i="62914"/>
  <c r="L37" i="62892"/>
  <c r="P99" i="11"/>
  <c r="D59" i="62905"/>
  <c r="E59" i="62905" s="1"/>
  <c r="X59" i="62905"/>
  <c r="AE59" i="62905"/>
  <c r="AO59" i="62905"/>
  <c r="AC59" i="62905"/>
  <c r="J42" i="11"/>
  <c r="L42" i="11" s="1"/>
  <c r="F1711" i="62906"/>
  <c r="Q173" i="2"/>
  <c r="G88" i="62892"/>
  <c r="J88" i="62892"/>
  <c r="M88" i="62892"/>
  <c r="AA29" i="11"/>
  <c r="AA32" i="11" s="1"/>
  <c r="M95" i="11" s="1"/>
  <c r="I33" i="62892" s="1"/>
  <c r="Z32" i="11"/>
  <c r="AH42" i="11"/>
  <c r="G1711" i="62906"/>
  <c r="J25" i="62911"/>
  <c r="R26" i="62911"/>
  <c r="I26" i="62911" s="1"/>
  <c r="C35" i="62892"/>
  <c r="G97" i="11"/>
  <c r="K97" i="11"/>
  <c r="V97" i="11"/>
  <c r="S97" i="11"/>
  <c r="D29" i="11"/>
  <c r="M32" i="11"/>
  <c r="F95" i="11" s="1"/>
  <c r="O400" i="62898"/>
  <c r="F640" i="5"/>
  <c r="Y19" i="62915"/>
  <c r="S170" i="2"/>
  <c r="R170" i="2"/>
  <c r="O170" i="2"/>
  <c r="O173" i="2" s="1"/>
  <c r="E173" i="2"/>
  <c r="J1711" i="62906"/>
  <c r="AL42" i="11"/>
  <c r="AR42" i="11"/>
  <c r="C103" i="62892"/>
  <c r="M76" i="62892"/>
  <c r="J76" i="62892"/>
  <c r="D76" i="62892"/>
  <c r="D103" i="62892" s="1"/>
  <c r="G76" i="62892"/>
  <c r="G103" i="62892" s="1"/>
  <c r="D66" i="62892"/>
  <c r="G66" i="62892"/>
  <c r="M66" i="62892"/>
  <c r="J66" i="62892"/>
  <c r="C62" i="62892"/>
  <c r="V29" i="11"/>
  <c r="V32" i="11" s="1"/>
  <c r="J95" i="11" s="1"/>
  <c r="F33" i="62892" s="1"/>
  <c r="U32" i="11"/>
  <c r="C99" i="62892"/>
  <c r="J39" i="62892"/>
  <c r="M39" i="62892"/>
  <c r="G39" i="62892"/>
  <c r="G99" i="62892" s="1"/>
  <c r="D39" i="62892"/>
  <c r="D99" i="62892" s="1"/>
  <c r="C85" i="62892"/>
  <c r="T135" i="62905"/>
  <c r="E135" i="62905"/>
  <c r="Q135" i="62905"/>
  <c r="I135" i="62905"/>
  <c r="S400" i="62898"/>
  <c r="R400" i="62898"/>
  <c r="Y15" i="62915"/>
  <c r="Z15" i="11"/>
  <c r="AD15" i="11"/>
  <c r="AE15" i="11" s="1"/>
  <c r="AP15" i="11"/>
  <c r="U15" i="11"/>
  <c r="M15" i="11"/>
  <c r="D15" i="11" s="1"/>
  <c r="E15" i="11" s="1"/>
  <c r="AM39" i="62905"/>
  <c r="AM41" i="62905" s="1"/>
  <c r="AL16" i="11"/>
  <c r="AL18" i="11" s="1"/>
  <c r="C87" i="62892"/>
  <c r="T137" i="62905"/>
  <c r="I137" i="62905"/>
  <c r="E137" i="62905"/>
  <c r="Q137" i="62905"/>
  <c r="E13" i="11"/>
  <c r="AH16" i="11"/>
  <c r="AH18" i="11" s="1"/>
  <c r="AK39" i="62905"/>
  <c r="AK41" i="62905" s="1"/>
  <c r="E408" i="62898"/>
  <c r="G408" i="62898" s="1"/>
  <c r="I39" i="62905"/>
  <c r="J39" i="62905" s="1"/>
  <c r="J16" i="11"/>
  <c r="L16" i="11" s="1"/>
  <c r="L18" i="11"/>
  <c r="E94" i="11" s="1"/>
  <c r="AE29" i="11"/>
  <c r="AE32" i="11" s="1"/>
  <c r="N95" i="11" s="1"/>
  <c r="AD32" i="11"/>
  <c r="C95" i="62892"/>
  <c r="G6" i="62892"/>
  <c r="G95" i="62892" s="1"/>
  <c r="M6" i="62892"/>
  <c r="J6" i="62892"/>
  <c r="S116" i="62904"/>
  <c r="R116" i="62904"/>
  <c r="D36" i="62905"/>
  <c r="AC36" i="62905"/>
  <c r="AE36" i="62905"/>
  <c r="X36" i="62905"/>
  <c r="AO36" i="62905"/>
  <c r="L35" i="62892"/>
  <c r="P97" i="11"/>
  <c r="O140" i="11"/>
  <c r="AP39" i="62905"/>
  <c r="AP41" i="62905" s="1"/>
  <c r="AR16" i="11"/>
  <c r="AR18" i="11" s="1"/>
  <c r="Z14" i="62914"/>
  <c r="R146" i="1"/>
  <c r="S146" i="1"/>
  <c r="AJ18" i="11"/>
  <c r="E107" i="11"/>
  <c r="E111" i="11" s="1"/>
  <c r="C114" i="62892" s="1"/>
  <c r="C117" i="62892" s="1"/>
  <c r="D111" i="11"/>
  <c r="G179" i="62905" l="1"/>
  <c r="G184" i="62905" s="1"/>
  <c r="G211" i="62905"/>
  <c r="AR46" i="11"/>
  <c r="M140" i="11" s="1"/>
  <c r="J87" i="62892"/>
  <c r="G87" i="62892"/>
  <c r="D87" i="62892"/>
  <c r="M87" i="62892"/>
  <c r="M35" i="62892"/>
  <c r="J35" i="62892"/>
  <c r="D35" i="62892"/>
  <c r="G35" i="62892"/>
  <c r="R173" i="2"/>
  <c r="S173" i="2"/>
  <c r="J99" i="62892"/>
  <c r="M99" i="62892"/>
  <c r="R99" i="62892"/>
  <c r="S99" i="62892"/>
  <c r="U99" i="62892"/>
  <c r="N99" i="62892"/>
  <c r="T99" i="62892"/>
  <c r="R135" i="62905"/>
  <c r="S135" i="62905"/>
  <c r="O135" i="62905"/>
  <c r="AH44" i="11"/>
  <c r="AH46" i="11" s="1"/>
  <c r="E140" i="11" s="1"/>
  <c r="G1712" i="62906"/>
  <c r="AL46" i="11"/>
  <c r="G140" i="11" s="1"/>
  <c r="V22" i="62915"/>
  <c r="H50" i="62915"/>
  <c r="F50" i="62915"/>
  <c r="G50" i="62915"/>
  <c r="E50" i="62915"/>
  <c r="J1712" i="62906"/>
  <c r="AR44" i="11"/>
  <c r="AL44" i="11"/>
  <c r="AA15" i="11"/>
  <c r="Z18" i="11"/>
  <c r="AJ44" i="11"/>
  <c r="AJ46" i="11" s="1"/>
  <c r="F140" i="11" s="1"/>
  <c r="H1712" i="62906"/>
  <c r="P95" i="11"/>
  <c r="L33" i="62892"/>
  <c r="T99" i="11"/>
  <c r="Q99" i="11"/>
  <c r="U99" i="11"/>
  <c r="C33" i="62892"/>
  <c r="V95" i="11"/>
  <c r="S95" i="11"/>
  <c r="G95" i="11"/>
  <c r="K95" i="11"/>
  <c r="V15" i="11"/>
  <c r="C101" i="62892"/>
  <c r="G62" i="62892"/>
  <c r="G101" i="62892" s="1"/>
  <c r="D62" i="62892"/>
  <c r="D101" i="62892" s="1"/>
  <c r="M62" i="62892"/>
  <c r="J62" i="62892"/>
  <c r="E29" i="11"/>
  <c r="E32" i="11" s="1"/>
  <c r="D32" i="11"/>
  <c r="J44" i="11"/>
  <c r="L44" i="11" s="1"/>
  <c r="F1712" i="62906"/>
  <c r="M37" i="62892"/>
  <c r="G37" i="62892"/>
  <c r="D37" i="62892"/>
  <c r="J37" i="62892"/>
  <c r="T103" i="62892"/>
  <c r="N103" i="62892"/>
  <c r="U103" i="62892"/>
  <c r="M103" i="62892"/>
  <c r="S103" i="62892"/>
  <c r="R103" i="62892"/>
  <c r="J103" i="62892"/>
  <c r="M16" i="11"/>
  <c r="AP16" i="11"/>
  <c r="AP18" i="11" s="1"/>
  <c r="Z16" i="11"/>
  <c r="AA16" i="11" s="1"/>
  <c r="U16" i="11"/>
  <c r="V16" i="11" s="1"/>
  <c r="AD16" i="11"/>
  <c r="AE16" i="11" s="1"/>
  <c r="AE18" i="11" s="1"/>
  <c r="N94" i="11" s="1"/>
  <c r="AP42" i="11"/>
  <c r="AD42" i="11"/>
  <c r="Z42" i="11"/>
  <c r="U42" i="11"/>
  <c r="M42" i="11"/>
  <c r="L46" i="11"/>
  <c r="E96" i="11" s="1"/>
  <c r="E101" i="11" s="1"/>
  <c r="G85" i="62892"/>
  <c r="D85" i="62892"/>
  <c r="M85" i="62892"/>
  <c r="J85" i="62892"/>
  <c r="O137" i="62905"/>
  <c r="R137" i="62905"/>
  <c r="S137" i="62905"/>
  <c r="S95" i="62892"/>
  <c r="R95" i="62892"/>
  <c r="U95" i="62892"/>
  <c r="T95" i="62892"/>
  <c r="J95" i="62892"/>
  <c r="N95" i="62892"/>
  <c r="M95" i="62892"/>
  <c r="D39" i="62905"/>
  <c r="E39" i="62905" s="1"/>
  <c r="X39" i="62905"/>
  <c r="X41" i="62905" s="1"/>
  <c r="AO39" i="62905"/>
  <c r="AO41" i="62905" s="1"/>
  <c r="AC39" i="62905"/>
  <c r="AC41" i="62905" s="1"/>
  <c r="K134" i="62905" s="1"/>
  <c r="AE39" i="62905"/>
  <c r="AE41" i="62905" s="1"/>
  <c r="L134" i="62905" s="1"/>
  <c r="O32" i="62914"/>
  <c r="O145" i="11"/>
  <c r="AD18" i="11"/>
  <c r="J41" i="62905"/>
  <c r="H52" i="62914"/>
  <c r="F52" i="62914"/>
  <c r="G52" i="62914"/>
  <c r="X23" i="62914"/>
  <c r="E52" i="62914"/>
  <c r="D41" i="62905"/>
  <c r="D134" i="62905" s="1"/>
  <c r="E36" i="62905"/>
  <c r="E41" i="62905" s="1"/>
  <c r="Q97" i="11"/>
  <c r="U97" i="11"/>
  <c r="T97" i="11"/>
  <c r="N134" i="62905" l="1"/>
  <c r="L84" i="62892"/>
  <c r="I84" i="62892"/>
  <c r="F145" i="11"/>
  <c r="E145" i="11"/>
  <c r="H134" i="62905"/>
  <c r="L140" i="11"/>
  <c r="G32" i="62914"/>
  <c r="G145" i="11"/>
  <c r="M145" i="11"/>
  <c r="U95" i="11"/>
  <c r="T95" i="11"/>
  <c r="Q95" i="11"/>
  <c r="G33" i="62892"/>
  <c r="J33" i="62892"/>
  <c r="D33" i="62892"/>
  <c r="M33" i="62892"/>
  <c r="I58" i="62905"/>
  <c r="J58" i="62905" s="1"/>
  <c r="F1713" i="62906"/>
  <c r="C84" i="62892"/>
  <c r="T134" i="62905"/>
  <c r="E134" i="62905"/>
  <c r="I134" i="62905"/>
  <c r="Q134" i="62905"/>
  <c r="M44" i="11"/>
  <c r="D44" i="11" s="1"/>
  <c r="E44" i="11" s="1"/>
  <c r="U44" i="11"/>
  <c r="V44" i="11" s="1"/>
  <c r="Z44" i="11"/>
  <c r="AA44" i="11" s="1"/>
  <c r="AP44" i="11"/>
  <c r="AD44" i="11"/>
  <c r="AE44" i="11" s="1"/>
  <c r="H1713" i="62906"/>
  <c r="AL58" i="62905"/>
  <c r="AL63" i="62905" s="1"/>
  <c r="AA18" i="11"/>
  <c r="M94" i="11" s="1"/>
  <c r="G216" i="62905"/>
  <c r="G30" i="62915"/>
  <c r="D16" i="11"/>
  <c r="M18" i="11"/>
  <c r="F94" i="11" s="1"/>
  <c r="D42" i="11"/>
  <c r="AP46" i="11"/>
  <c r="AA32" i="62914"/>
  <c r="AA37" i="62914" s="1"/>
  <c r="O37" i="62914"/>
  <c r="J101" i="62892"/>
  <c r="T101" i="62892"/>
  <c r="R101" i="62892"/>
  <c r="N101" i="62892"/>
  <c r="M101" i="62892"/>
  <c r="U101" i="62892"/>
  <c r="S101" i="62892"/>
  <c r="V42" i="11"/>
  <c r="AA42" i="11"/>
  <c r="AE42" i="11"/>
  <c r="AE46" i="11" s="1"/>
  <c r="N96" i="11" s="1"/>
  <c r="AD46" i="11"/>
  <c r="G1713" i="62906"/>
  <c r="AK58" i="62905"/>
  <c r="AK63" i="62905" s="1"/>
  <c r="P94" i="11"/>
  <c r="N101" i="11"/>
  <c r="L32" i="62892"/>
  <c r="U18" i="11"/>
  <c r="AP58" i="62905"/>
  <c r="AP63" i="62905" s="1"/>
  <c r="J1713" i="62906"/>
  <c r="V18" i="11"/>
  <c r="J94" i="11" s="1"/>
  <c r="S32" i="62914" l="1"/>
  <c r="S37" i="62914" s="1"/>
  <c r="G37" i="62914"/>
  <c r="G84" i="62892"/>
  <c r="J84" i="62892"/>
  <c r="M84" i="62892"/>
  <c r="D84" i="62892"/>
  <c r="E42" i="11"/>
  <c r="E46" i="11" s="1"/>
  <c r="D46" i="11"/>
  <c r="M46" i="11"/>
  <c r="F96" i="11" s="1"/>
  <c r="S134" i="62905"/>
  <c r="O134" i="62905"/>
  <c r="R134" i="62905"/>
  <c r="F32" i="62892"/>
  <c r="D58" i="62905"/>
  <c r="J63" i="62905"/>
  <c r="X58" i="62905"/>
  <c r="AO58" i="62905"/>
  <c r="AO63" i="62905" s="1"/>
  <c r="AE58" i="62905"/>
  <c r="AE63" i="62905" s="1"/>
  <c r="L136" i="62905" s="1"/>
  <c r="AC58" i="62905"/>
  <c r="AC63" i="62905" s="1"/>
  <c r="K136" i="62905" s="1"/>
  <c r="Z46" i="11"/>
  <c r="L145" i="11"/>
  <c r="E211" i="62905"/>
  <c r="E179" i="62905"/>
  <c r="C32" i="62892"/>
  <c r="G94" i="11"/>
  <c r="S94" i="11"/>
  <c r="K94" i="11"/>
  <c r="V94" i="11"/>
  <c r="F101" i="11"/>
  <c r="E16" i="11"/>
  <c r="E18" i="11" s="1"/>
  <c r="D18" i="11"/>
  <c r="N140" i="11"/>
  <c r="S30" i="62915"/>
  <c r="S35" i="62915" s="1"/>
  <c r="G35" i="62915"/>
  <c r="P96" i="11"/>
  <c r="P101" i="11" s="1"/>
  <c r="L34" i="62892"/>
  <c r="U46" i="11"/>
  <c r="L31" i="62892"/>
  <c r="L98" i="62892" s="1"/>
  <c r="F84" i="62892"/>
  <c r="I32" i="62892"/>
  <c r="AA46" i="11"/>
  <c r="M96" i="11" s="1"/>
  <c r="I34" i="62892" s="1"/>
  <c r="M179" i="62905"/>
  <c r="K211" i="62905"/>
  <c r="F211" i="62905"/>
  <c r="F179" i="62905"/>
  <c r="V46" i="11"/>
  <c r="J96" i="11" s="1"/>
  <c r="F34" i="62892" s="1"/>
  <c r="J211" i="62905" l="1"/>
  <c r="L179" i="62905"/>
  <c r="F216" i="62905"/>
  <c r="F30" i="62915"/>
  <c r="M101" i="11"/>
  <c r="N145" i="11"/>
  <c r="J101" i="11"/>
  <c r="Q94" i="11"/>
  <c r="U94" i="11"/>
  <c r="T94" i="11"/>
  <c r="G101" i="11"/>
  <c r="I31" i="62892"/>
  <c r="I98" i="62892" s="1"/>
  <c r="I105" i="62892" s="1"/>
  <c r="X63" i="62905"/>
  <c r="M213" i="62905"/>
  <c r="M32" i="62915" s="1"/>
  <c r="D63" i="62905"/>
  <c r="D136" i="62905" s="1"/>
  <c r="E58" i="62905"/>
  <c r="E63" i="62905" s="1"/>
  <c r="M184" i="62905"/>
  <c r="M32" i="62914"/>
  <c r="C31" i="62892"/>
  <c r="M32" i="62892"/>
  <c r="G32" i="62892"/>
  <c r="J32" i="62892"/>
  <c r="D32" i="62892"/>
  <c r="F31" i="62892"/>
  <c r="F98" i="62892" s="1"/>
  <c r="K30" i="62915"/>
  <c r="K216" i="62905"/>
  <c r="H97" i="11"/>
  <c r="N102" i="11"/>
  <c r="K101" i="11"/>
  <c r="V101" i="11"/>
  <c r="H98" i="11"/>
  <c r="H94" i="11"/>
  <c r="H95" i="11"/>
  <c r="M102" i="11"/>
  <c r="H101" i="11"/>
  <c r="S101" i="11"/>
  <c r="H96" i="11"/>
  <c r="H99" i="11"/>
  <c r="C34" i="62892"/>
  <c r="G96" i="11"/>
  <c r="V96" i="11"/>
  <c r="K96" i="11"/>
  <c r="S96" i="11"/>
  <c r="E184" i="62905"/>
  <c r="E32" i="62914"/>
  <c r="I86" i="62892"/>
  <c r="I82" i="62892" s="1"/>
  <c r="I104" i="62892" s="1"/>
  <c r="K141" i="62905"/>
  <c r="F184" i="62905"/>
  <c r="F32" i="62914"/>
  <c r="E216" i="62905"/>
  <c r="E30" i="62915"/>
  <c r="L86" i="62892"/>
  <c r="L82" i="62892" s="1"/>
  <c r="L104" i="62892" s="1"/>
  <c r="L105" i="62892" s="1"/>
  <c r="N136" i="62905"/>
  <c r="N141" i="62905" s="1"/>
  <c r="L141" i="62905"/>
  <c r="C86" i="62892" l="1"/>
  <c r="I136" i="62905"/>
  <c r="E136" i="62905"/>
  <c r="D141" i="62905"/>
  <c r="C98" i="62892"/>
  <c r="J31" i="62892"/>
  <c r="G31" i="62892"/>
  <c r="G98" i="62892" s="1"/>
  <c r="M31" i="62892"/>
  <c r="D31" i="62892"/>
  <c r="D98" i="62892" s="1"/>
  <c r="H136" i="62905"/>
  <c r="Q136" i="62905" s="1"/>
  <c r="M211" i="62905"/>
  <c r="N180" i="62905"/>
  <c r="N33" i="62914" s="1"/>
  <c r="Q30" i="62915"/>
  <c r="Q35" i="62915" s="1"/>
  <c r="E35" i="62915"/>
  <c r="U101" i="11"/>
  <c r="T101" i="11"/>
  <c r="Q32" i="62914"/>
  <c r="Q37" i="62914" s="1"/>
  <c r="E37" i="62914"/>
  <c r="R30" i="62915"/>
  <c r="R35" i="62915" s="1"/>
  <c r="F35" i="62915"/>
  <c r="Y32" i="62914"/>
  <c r="Y37" i="62914" s="1"/>
  <c r="M37" i="62914"/>
  <c r="Y32" i="62915"/>
  <c r="H60" i="62915"/>
  <c r="E60" i="62915"/>
  <c r="L184" i="62905"/>
  <c r="L32" i="62914"/>
  <c r="R32" i="62914"/>
  <c r="R37" i="62914" s="1"/>
  <c r="F37" i="62914"/>
  <c r="W30" i="62915"/>
  <c r="W35" i="62915" s="1"/>
  <c r="K35" i="62915"/>
  <c r="T96" i="11"/>
  <c r="Q96" i="11"/>
  <c r="Q101" i="11" s="1"/>
  <c r="U96" i="11"/>
  <c r="G34" i="62892"/>
  <c r="D34" i="62892"/>
  <c r="M34" i="62892"/>
  <c r="J34" i="62892"/>
  <c r="J216" i="62905"/>
  <c r="J30" i="62915"/>
  <c r="N179" i="62905" l="1"/>
  <c r="V30" i="62915"/>
  <c r="V35" i="62915" s="1"/>
  <c r="G58" i="62915"/>
  <c r="F58" i="62915"/>
  <c r="J35" i="62915"/>
  <c r="X32" i="62914"/>
  <c r="X37" i="62914" s="1"/>
  <c r="F60" i="62914"/>
  <c r="G60" i="62914"/>
  <c r="L37" i="62914"/>
  <c r="F86" i="62892"/>
  <c r="F82" i="62892" s="1"/>
  <c r="F104" i="62892" s="1"/>
  <c r="F105" i="62892" s="1"/>
  <c r="H141" i="62905"/>
  <c r="I141" i="62905" s="1"/>
  <c r="T98" i="62892"/>
  <c r="S98" i="62892"/>
  <c r="U98" i="62892"/>
  <c r="M98" i="62892"/>
  <c r="J98" i="62892"/>
  <c r="R98" i="62892"/>
  <c r="N98" i="62892"/>
  <c r="S136" i="62905"/>
  <c r="R136" i="62905"/>
  <c r="O136" i="62905"/>
  <c r="O141" i="62905" s="1"/>
  <c r="E141" i="62905"/>
  <c r="M216" i="62905"/>
  <c r="M30" i="62915"/>
  <c r="H58" i="62915" s="1"/>
  <c r="F140" i="62905"/>
  <c r="F134" i="62905"/>
  <c r="F141" i="62905"/>
  <c r="L142" i="62905"/>
  <c r="F139" i="62905"/>
  <c r="K142" i="62905"/>
  <c r="F137" i="62905"/>
  <c r="F135" i="62905"/>
  <c r="F138" i="62905"/>
  <c r="F133" i="62905"/>
  <c r="F136" i="62905"/>
  <c r="T136" i="62905"/>
  <c r="Z33" i="62914"/>
  <c r="H61" i="62914"/>
  <c r="E61" i="62914"/>
  <c r="D86" i="62892"/>
  <c r="J86" i="62892"/>
  <c r="M86" i="62892"/>
  <c r="G86" i="62892"/>
  <c r="C82" i="62892"/>
  <c r="Q141" i="62905" l="1"/>
  <c r="C104" i="62892"/>
  <c r="J82" i="62892"/>
  <c r="M82" i="62892"/>
  <c r="G82" i="62892"/>
  <c r="G104" i="62892" s="1"/>
  <c r="T141" i="62905"/>
  <c r="E58" i="62915"/>
  <c r="S141" i="62905"/>
  <c r="R141" i="62905"/>
  <c r="Y30" i="62915"/>
  <c r="Y35" i="62915" s="1"/>
  <c r="M35" i="62915"/>
  <c r="N184" i="62905"/>
  <c r="N32" i="62914"/>
  <c r="Z32" i="62914" l="1"/>
  <c r="Z37" i="62914" s="1"/>
  <c r="N37" i="62914"/>
  <c r="H60" i="62914"/>
  <c r="E60" i="62914"/>
  <c r="M104" i="62892"/>
  <c r="U104" i="62892"/>
  <c r="T104" i="62892"/>
  <c r="N104" i="62892"/>
  <c r="R104" i="62892"/>
  <c r="J104" i="62892"/>
  <c r="S104" i="62892"/>
  <c r="C105" i="62892"/>
  <c r="D14" i="62892" l="1"/>
  <c r="S105" i="62892"/>
  <c r="R105" i="62892"/>
  <c r="U105" i="62892"/>
  <c r="T105" i="62892"/>
  <c r="J105" i="62892"/>
  <c r="N105" i="62892"/>
  <c r="M105" i="62892"/>
  <c r="G105" i="62892"/>
  <c r="D15" i="62892"/>
  <c r="D71" i="62892"/>
  <c r="D20" i="62892"/>
  <c r="D97" i="62892" s="1"/>
  <c r="D25" i="62892"/>
  <c r="D54" i="62892"/>
  <c r="D16" i="62892"/>
  <c r="D55" i="62892"/>
  <c r="D70" i="62892"/>
  <c r="D102" i="62892" s="1"/>
  <c r="D13" i="62892"/>
  <c r="D96" i="62892" s="1"/>
  <c r="D11" i="62892"/>
  <c r="D53" i="62892"/>
  <c r="D100" i="62892" s="1"/>
  <c r="D6" i="62892"/>
  <c r="D95" i="62892" s="1"/>
  <c r="D88" i="62892"/>
  <c r="D82" i="62892"/>
  <c r="D104" i="62892" s="1"/>
  <c r="D105" i="6289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Simon Dely</author>
  </authors>
  <commentList>
    <comment ref="D7" authorId="0" shapeId="0" xr:uid="{00000000-0006-0000-0000-000001000000}">
      <text>
        <r>
          <rPr>
            <b/>
            <sz val="9"/>
            <color indexed="81"/>
            <rFont val="Tahoma"/>
            <family val="2"/>
          </rPr>
          <t xml:space="preserve">Please select your approach before fulfilling the rest of the spreadsheet if you want to:
</t>
        </r>
        <r>
          <rPr>
            <sz val="9"/>
            <color indexed="81"/>
            <rFont val="Tahoma"/>
            <family val="2"/>
          </rPr>
          <t xml:space="preserve">
     - Obtain a GHG Protocol extraction, and/or; 
     - Obtain an ISO/TR 14069:2013.  extraction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Simon Dely</author>
  </authors>
  <commentList>
    <comment ref="F11" authorId="0" shapeId="0" xr:uid="{00000000-0006-0000-0A00-000001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 ref="J11" authorId="0" shapeId="0" xr:uid="{00000000-0006-0000-0A00-000002000000}">
      <text>
        <r>
          <rPr>
            <b/>
            <sz val="9"/>
            <color indexed="81"/>
            <rFont val="Tahoma"/>
            <family val="2"/>
          </rPr>
          <t>Caution : Data have to be LHV</t>
        </r>
        <r>
          <rPr>
            <sz val="9"/>
            <color indexed="81"/>
            <rFont val="Tahoma"/>
            <family val="2"/>
          </rPr>
          <t xml:space="preserve">
To convert HHV into LHV, go to "utilities"</t>
        </r>
      </text>
    </comment>
    <comment ref="M11" authorId="0" shapeId="0" xr:uid="{00000000-0006-0000-0A00-000003000000}">
      <text>
        <r>
          <rPr>
            <b/>
            <sz val="9"/>
            <color indexed="81"/>
            <rFont val="Tahoma"/>
            <family val="2"/>
          </rPr>
          <t>Caution : Data have to be LHV</t>
        </r>
        <r>
          <rPr>
            <sz val="9"/>
            <color indexed="81"/>
            <rFont val="Tahoma"/>
            <family val="2"/>
          </rPr>
          <t xml:space="preserve">
To convert HHV into LHV, go to "utilities"</t>
        </r>
      </text>
    </comment>
    <comment ref="F21" authorId="0" shapeId="0" xr:uid="{00000000-0006-0000-0A00-000004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 ref="J21" authorId="0" shapeId="0" xr:uid="{00000000-0006-0000-0A00-000005000000}">
      <text>
        <r>
          <rPr>
            <b/>
            <sz val="9"/>
            <color indexed="81"/>
            <rFont val="Tahoma"/>
            <family val="2"/>
          </rPr>
          <t>Caution : Data have to be LHV</t>
        </r>
        <r>
          <rPr>
            <sz val="9"/>
            <color indexed="81"/>
            <rFont val="Tahoma"/>
            <family val="2"/>
          </rPr>
          <t xml:space="preserve">
To convert HHV into LHV, go to "utilities"</t>
        </r>
      </text>
    </comment>
    <comment ref="M21" authorId="0" shapeId="0" xr:uid="{00000000-0006-0000-0A00-000006000000}">
      <text>
        <r>
          <rPr>
            <b/>
            <sz val="9"/>
            <color indexed="81"/>
            <rFont val="Tahoma"/>
            <family val="2"/>
          </rPr>
          <t>Caution : Data have to be LHV</t>
        </r>
        <r>
          <rPr>
            <sz val="9"/>
            <color indexed="81"/>
            <rFont val="Tahoma"/>
            <family val="2"/>
          </rPr>
          <t xml:space="preserve">
To convert HHV into LHV, go to "utilities"</t>
        </r>
      </text>
    </comment>
    <comment ref="F34" authorId="0" shapeId="0" xr:uid="{00000000-0006-0000-0A00-000007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 ref="F45" authorId="0" shapeId="0" xr:uid="{00000000-0006-0000-0A00-000008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 ref="F56" authorId="0" shapeId="0" xr:uid="{00000000-0006-0000-0A00-000009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 ref="F67" authorId="0" shapeId="0" xr:uid="{00000000-0006-0000-0A00-00000A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 ref="F77" authorId="0" shapeId="0" xr:uid="{00000000-0006-0000-0A00-00000B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 ref="F90" authorId="0" shapeId="0" xr:uid="{00000000-0006-0000-0A00-00000C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 ref="F105" authorId="0" shapeId="0" xr:uid="{00000000-0006-0000-0A00-00000D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 ref="F118" authorId="0" shapeId="0" xr:uid="{00000000-0006-0000-0A00-00000E000000}">
      <text>
        <r>
          <rPr>
            <sz val="9"/>
            <color indexed="81"/>
            <rFont val="Tahoma"/>
            <family val="2"/>
          </rPr>
          <t xml:space="preserve">Please indicate </t>
        </r>
        <r>
          <rPr>
            <b/>
            <sz val="9"/>
            <color indexed="81"/>
            <rFont val="Tahoma"/>
            <family val="2"/>
          </rPr>
          <t>"Yes"</t>
        </r>
        <r>
          <rPr>
            <sz val="9"/>
            <color indexed="81"/>
            <rFont val="Tahoma"/>
            <family val="2"/>
          </rPr>
          <t xml:space="preserve"> if the source of emissions is </t>
        </r>
        <r>
          <rPr>
            <b/>
            <sz val="9"/>
            <color indexed="81"/>
            <rFont val="Tahoma"/>
            <family val="2"/>
          </rPr>
          <t>a material for rent</t>
        </r>
        <r>
          <rPr>
            <sz val="9"/>
            <color indexed="81"/>
            <rFont val="Tahoma"/>
            <family val="2"/>
          </rPr>
          <t xml:space="preserve"> (if you are losser).
</t>
        </r>
        <r>
          <rPr>
            <b/>
            <sz val="9"/>
            <color indexed="81"/>
            <rFont val="Tahoma"/>
            <family val="2"/>
          </rPr>
          <t>Caution : NOT use this tab if you have selected the financial control approach and if the material is under operational leasing.</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Simon Dely</author>
    <author>JMJ</author>
    <author>Sylvie Padilla</author>
  </authors>
  <commentList>
    <comment ref="B764" authorId="0" shapeId="0" xr:uid="{00000000-0006-0000-0B00-000001000000}">
      <text>
        <r>
          <rPr>
            <sz val="9"/>
            <color indexed="81"/>
            <rFont val="Tahoma"/>
            <family val="2"/>
          </rPr>
          <t>La valeure s'actualise en fonction de l'année renseignée dans l'onglet Descriptif.
Si aucune année n'est renseignée, alors c'est l'année 2014 qui est prise par défaut.</t>
        </r>
      </text>
    </comment>
    <comment ref="B1285" authorId="0" shapeId="0" xr:uid="{00000000-0006-0000-0B00-000002000000}">
      <text>
        <r>
          <rPr>
            <sz val="9"/>
            <color indexed="81"/>
            <rFont val="Tahoma"/>
            <family val="2"/>
          </rPr>
          <t>Ce coefficiant permet de calculer la quantité d'émissions hors Kyoto (tel que l'H2O) produites par un avion en vol. 
Ainsi pour 1 kg de CO2 produit par combustion, 1 kg de CO2e d'émissions hors Kyoto est produit.</t>
        </r>
      </text>
    </comment>
    <comment ref="B1335" authorId="1" shapeId="0" xr:uid="{00000000-0006-0000-0B00-000003000000}">
      <text>
        <r>
          <rPr>
            <sz val="9"/>
            <color indexed="81"/>
            <rFont val="Geneva"/>
            <family val="2"/>
          </rPr>
          <t>TEU is the standard unit of measurement of container ship capacity in the merchant marine. It stands for "twenty-foot equivalent", and represents the volume of a standard 20-foot container, which is 36.6 m3 (6mx2.44mx2.5m). 500 TEU means the ship can transport 500 standard containers of 36.6m3, or a total volume of 29,280m3 of freight.</t>
        </r>
      </text>
    </comment>
    <comment ref="B1619" authorId="0" shapeId="0" xr:uid="{00000000-0006-0000-0B00-000004000000}">
      <text>
        <r>
          <rPr>
            <sz val="9"/>
            <color indexed="81"/>
            <rFont val="Tahoma"/>
            <family val="2"/>
          </rPr>
          <t xml:space="preserve">This coefficient enables to calculate the quantity of emissions not covered by Kyoto (e.g. H2O) generated by an aircraft in flight.
So, for 1kg of CO2e generated by combustion, 1 kg of CO2e of emissions not covered by Kyoto is generated.  </t>
        </r>
      </text>
    </comment>
    <comment ref="B1751" authorId="2" shapeId="0" xr:uid="{00000000-0006-0000-0B00-000005000000}">
      <text>
        <r>
          <rPr>
            <sz val="8"/>
            <color indexed="81"/>
            <rFont val="Tahoma"/>
            <family val="2"/>
          </rPr>
          <t>Type PSE th 38 - ep10+80 mm</t>
        </r>
      </text>
    </comment>
    <comment ref="B1754" authorId="2" shapeId="0" xr:uid="{00000000-0006-0000-0B00-000006000000}">
      <text>
        <r>
          <rPr>
            <sz val="8"/>
            <color indexed="81"/>
            <rFont val="Tahoma"/>
            <family val="2"/>
          </rPr>
          <t>Type ROCKFON EKLA tegular ep 20mm</t>
        </r>
      </text>
    </comment>
    <comment ref="B2333" authorId="1" shapeId="0" xr:uid="{00000000-0006-0000-0B00-000007000000}">
      <text>
        <r>
          <rPr>
            <b/>
            <sz val="9"/>
            <color indexed="81"/>
            <rFont val="Geneva"/>
            <family val="2"/>
          </rPr>
          <t xml:space="preserve">Caution : not appropriate for tertiary activity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Simon Dely</author>
  </authors>
  <commentList>
    <comment ref="B73" authorId="0" shapeId="0" xr:uid="{00000000-0006-0000-0C00-000001000000}">
      <text>
        <r>
          <rPr>
            <sz val="9"/>
            <color indexed="81"/>
            <rFont val="Tahoma"/>
            <family val="2"/>
          </rPr>
          <t xml:space="preserve">Given the fact Winter conditions depend on the location in Metropolitan France, energy consumption related to heating also vary depending on the the location of the concerned building. 
To be as accurate as possible, climate correction factor can be used to obtain regional average issued from national average energy consumption .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Simon Dely</author>
  </authors>
  <commentList>
    <comment ref="E4" authorId="0" shapeId="0" xr:uid="{00000000-0006-0000-0E00-000001000000}">
      <text>
        <r>
          <rPr>
            <sz val="9"/>
            <color indexed="81"/>
            <rFont val="Tahoma"/>
            <family val="2"/>
          </rPr>
          <t>Enter "Yes" if the considered site is a franchise of the entity  carrying out its Bilan GES.</t>
        </r>
      </text>
    </comment>
    <comment ref="E5" authorId="0" shapeId="0" xr:uid="{00000000-0006-0000-0E00-000002000000}">
      <text>
        <r>
          <rPr>
            <sz val="9"/>
            <color indexed="81"/>
            <rFont val="Tahoma"/>
            <family val="2"/>
          </rPr>
          <t>Enter "Yes" if the considered site is a franchisor of the entity  carrying out its Bilan GES.</t>
        </r>
      </text>
    </comment>
    <comment ref="D35" authorId="0" shapeId="0" xr:uid="{00000000-0006-0000-0E00-000003000000}">
      <text>
        <r>
          <rPr>
            <sz val="9"/>
            <color indexed="81"/>
            <rFont val="Tahoma"/>
            <family val="2"/>
          </rPr>
          <t>Data for item 3-15 must be entered directly here. No sheet of the spreadsheet is dedicated to this topic.</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Simon Dely</author>
    <author>PCFK</author>
  </authors>
  <commentList>
    <comment ref="E4" authorId="0" shapeId="0" xr:uid="{00000000-0006-0000-0F00-000001000000}">
      <text>
        <r>
          <rPr>
            <sz val="9"/>
            <color indexed="81"/>
            <rFont val="Tahoma"/>
            <family val="2"/>
          </rPr>
          <t>Enter "Yes" if the considered site is a franchise of the entity  carrying out its Bilan GES.</t>
        </r>
      </text>
    </comment>
    <comment ref="E5" authorId="0" shapeId="0" xr:uid="{00000000-0006-0000-0F00-000002000000}">
      <text>
        <r>
          <rPr>
            <sz val="9"/>
            <color indexed="81"/>
            <rFont val="Tahoma"/>
            <family val="2"/>
          </rPr>
          <t>Enter "Yes" if the considered site is a franchisor of the entity  carrying out its Bilan GES.</t>
        </r>
      </text>
    </comment>
    <comment ref="D26" authorId="1" shapeId="0" xr:uid="{00000000-0006-0000-0F00-000003000000}">
      <text>
        <r>
          <rPr>
            <b/>
            <sz val="9"/>
            <color indexed="81"/>
            <rFont val="Tahoma"/>
            <family val="2"/>
          </rPr>
          <t>Data for this item mus be entered directly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 Dely</author>
    <author>JMJ</author>
    <author>Ademe/Thomas Gourdon</author>
  </authors>
  <commentList>
    <comment ref="F11" authorId="0" shapeId="0" xr:uid="{00000000-0006-0000-0100-000001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
- Non-operated material</t>
        </r>
      </text>
    </comment>
    <comment ref="J11" authorId="0" shapeId="0" xr:uid="{00000000-0006-0000-0100-000002000000}">
      <text>
        <r>
          <rPr>
            <b/>
            <sz val="9"/>
            <color indexed="81"/>
            <rFont val="Tahoma"/>
            <family val="2"/>
          </rPr>
          <t xml:space="preserve">Attention : </t>
        </r>
        <r>
          <rPr>
            <sz val="9"/>
            <color indexed="81"/>
            <rFont val="Tahoma"/>
            <family val="2"/>
          </rPr>
          <t xml:space="preserve">Les données sont à renseigner ici en PCI. 
L'onglet Utilitaires peut permettre de convertir les PCS en PCI. </t>
        </r>
      </text>
    </comment>
    <comment ref="M11" authorId="0" shapeId="0" xr:uid="{00000000-0006-0000-0100-000003000000}">
      <text>
        <r>
          <rPr>
            <b/>
            <sz val="9"/>
            <color indexed="81"/>
            <rFont val="Tahoma"/>
            <family val="2"/>
          </rPr>
          <t xml:space="preserve">Attention : </t>
        </r>
        <r>
          <rPr>
            <sz val="9"/>
            <color indexed="81"/>
            <rFont val="Tahoma"/>
            <family val="2"/>
          </rPr>
          <t xml:space="preserve">Les données sont à renseigner ici en PCI. 
L'onglet Utilitaires peut permettre de convertir les PCS en PCI. </t>
        </r>
      </text>
    </comment>
    <comment ref="F24" authorId="0" shapeId="0" xr:uid="{00000000-0006-0000-0100-000004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
- Non-operated material</t>
        </r>
      </text>
    </comment>
    <comment ref="J24" authorId="0" shapeId="0" xr:uid="{00000000-0006-0000-0100-000005000000}">
      <text>
        <r>
          <rPr>
            <b/>
            <sz val="9"/>
            <color indexed="81"/>
            <rFont val="Tahoma"/>
            <family val="2"/>
          </rPr>
          <t xml:space="preserve">Attention : </t>
        </r>
        <r>
          <rPr>
            <sz val="9"/>
            <color indexed="81"/>
            <rFont val="Tahoma"/>
            <family val="2"/>
          </rPr>
          <t xml:space="preserve">Les données sont à renseigner ici en PCI. 
L'onglet Utilitaires peut permettre de convertir les PCS en PCI. </t>
        </r>
      </text>
    </comment>
    <comment ref="M24" authorId="0" shapeId="0" xr:uid="{00000000-0006-0000-0100-000006000000}">
      <text>
        <r>
          <rPr>
            <b/>
            <sz val="9"/>
            <color indexed="81"/>
            <rFont val="Tahoma"/>
            <family val="2"/>
          </rPr>
          <t xml:space="preserve">Attention : </t>
        </r>
        <r>
          <rPr>
            <sz val="9"/>
            <color indexed="81"/>
            <rFont val="Tahoma"/>
            <family val="2"/>
          </rPr>
          <t xml:space="preserve">Les données sont à renseigner ici en PCI. 
L'onglet Utilitaires peut permettre de convertir les PCS en PCI. </t>
        </r>
      </text>
    </comment>
    <comment ref="B32" authorId="1" shapeId="0" xr:uid="{00000000-0006-0000-0100-000007000000}">
      <text>
        <r>
          <rPr>
            <sz val="9"/>
            <color indexed="81"/>
            <rFont val="Geneva"/>
            <family val="2"/>
          </rPr>
          <t xml:space="preserve"> This table should be used </t>
        </r>
        <r>
          <rPr>
            <b/>
            <sz val="9"/>
            <color indexed="81"/>
            <rFont val="Geneva"/>
            <family val="2"/>
          </rPr>
          <t>only for not owned boilers,</t>
        </r>
        <r>
          <rPr>
            <sz val="9"/>
            <color indexed="81"/>
            <rFont val="Geneva"/>
            <family val="2"/>
          </rPr>
          <t xml:space="preserve"> otherwise you should use the table N°1.</t>
        </r>
      </text>
    </comment>
    <comment ref="F34" authorId="0" shapeId="0" xr:uid="{00000000-0006-0000-0100-000008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
- Non-operated material</t>
        </r>
      </text>
    </comment>
    <comment ref="G34" authorId="1" shapeId="0" xr:uid="{00000000-0006-0000-0100-000009000000}">
      <text>
        <r>
          <rPr>
            <sz val="9"/>
            <color indexed="81"/>
            <rFont val="Geneva"/>
            <family val="2"/>
          </rPr>
          <t xml:space="preserve">Here insert the default values related to your activity (see "Utilities" tab). If you can calculate the consumption per sqm of the building where you are, you shall enter this value here and not an average value. </t>
        </r>
      </text>
    </comment>
    <comment ref="F48" authorId="0" shapeId="0" xr:uid="{00000000-0006-0000-0100-00000A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
- Non-operated material
- Matériel non opéré</t>
        </r>
      </text>
    </comment>
    <comment ref="F58" authorId="0" shapeId="0" xr:uid="{00000000-0006-0000-0100-00000B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
- Non-operated material</t>
        </r>
      </text>
    </comment>
    <comment ref="B69" authorId="0" shapeId="0" xr:uid="{00000000-0006-0000-0100-00000C000000}">
      <text>
        <r>
          <rPr>
            <sz val="9"/>
            <color indexed="81"/>
            <rFont val="Tahoma"/>
            <family val="2"/>
          </rPr>
          <t xml:space="preserve">The breakdown of the emissions factor of electricity between upstream and production is only known for France. </t>
        </r>
      </text>
    </comment>
    <comment ref="F71" authorId="0" shapeId="0" xr:uid="{00000000-0006-0000-0100-00000D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t>
        </r>
      </text>
    </comment>
    <comment ref="F82" authorId="0" shapeId="0" xr:uid="{00000000-0006-0000-0100-00000E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t>
        </r>
      </text>
    </comment>
    <comment ref="F93" authorId="0" shapeId="0" xr:uid="{00000000-0006-0000-0100-00000F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
- Matériel non opéré</t>
        </r>
      </text>
    </comment>
    <comment ref="B103" authorId="0" shapeId="0" xr:uid="{00000000-0006-0000-0100-000010000000}">
      <text>
        <r>
          <rPr>
            <sz val="9"/>
            <color indexed="81"/>
            <rFont val="Geneva"/>
            <family val="2"/>
          </rPr>
          <t xml:space="preserve">The table should be used only for </t>
        </r>
        <r>
          <rPr>
            <b/>
            <sz val="9"/>
            <color indexed="81"/>
            <rFont val="Geneva"/>
            <family val="2"/>
          </rPr>
          <t xml:space="preserve">electricity consumption for non-thermal use. </t>
        </r>
      </text>
    </comment>
    <comment ref="F105" authorId="0" shapeId="0" xr:uid="{00000000-0006-0000-0100-000011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t>
        </r>
      </text>
    </comment>
    <comment ref="J105" authorId="2" shapeId="0" xr:uid="{00000000-0006-0000-0100-000012000000}">
      <text>
        <r>
          <rPr>
            <sz val="8"/>
            <color indexed="81"/>
            <rFont val="Tahoma"/>
            <family val="2"/>
          </rPr>
          <t>Apart from FOD-FOT and Corsica, these data are</t>
        </r>
        <r>
          <rPr>
            <b/>
            <sz val="8"/>
            <color indexed="81"/>
            <rFont val="Tahoma"/>
            <family val="2"/>
          </rPr>
          <t xml:space="preserve"> French averages.</t>
        </r>
        <r>
          <rPr>
            <sz val="8"/>
            <color indexed="81"/>
            <rFont val="Tahoma"/>
            <family val="2"/>
          </rPr>
          <t xml:space="preserve">
Please here enter a more precise value if you have one.</t>
        </r>
      </text>
    </comment>
    <comment ref="F116" authorId="0" shapeId="0" xr:uid="{00000000-0006-0000-0100-000013000000}">
      <text>
        <r>
          <rPr>
            <sz val="9"/>
            <color indexed="81"/>
            <rFont val="Tahoma"/>
            <family val="2"/>
          </rPr>
          <t>The notion of "material" refers to the material that consums the considered fuel. 
Please select between : 
o If you have selected the financial control approach:
- Owned material
- Non-owned material, operating leasing, (if you are tenant) 
- Non-owned material, other
o If you have selected the operational control approach:
- Operated material</t>
        </r>
      </text>
    </comment>
    <comment ref="J116" authorId="2" shapeId="0" xr:uid="{00000000-0006-0000-0100-000014000000}">
      <text>
        <r>
          <rPr>
            <sz val="8"/>
            <color indexed="81"/>
            <rFont val="Tahoma"/>
            <family val="2"/>
          </rPr>
          <t>Apart from FOD-FOT and Corsica, these data are</t>
        </r>
        <r>
          <rPr>
            <b/>
            <sz val="8"/>
            <color indexed="81"/>
            <rFont val="Tahoma"/>
            <family val="2"/>
          </rPr>
          <t xml:space="preserve"> French averages.</t>
        </r>
        <r>
          <rPr>
            <sz val="8"/>
            <color indexed="81"/>
            <rFont val="Tahoma"/>
            <family val="2"/>
          </rPr>
          <t xml:space="preserve">
Please here enter a more precise value if you have one.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Simon Dely</author>
  </authors>
  <commentList>
    <comment ref="F11" authorId="0" shapeId="0" xr:uid="{00000000-0006-0000-0200-000001000000}">
      <text>
        <r>
          <rPr>
            <sz val="9"/>
            <color indexed="81"/>
            <rFont val="Tahoma"/>
            <family val="2"/>
          </rPr>
          <t xml:space="preserve">Please select between:
</t>
        </r>
        <r>
          <rPr>
            <b/>
            <sz val="9"/>
            <color indexed="81"/>
            <rFont val="Tahoma"/>
            <family val="2"/>
          </rPr>
          <t xml:space="preserve">o If you have selected the financial control approach :
</t>
        </r>
        <r>
          <rPr>
            <sz val="9"/>
            <color indexed="81"/>
            <rFont val="Tahoma"/>
            <family val="2"/>
          </rPr>
          <t>- Owned source, non-energy processes emissions 
- Owned source, fugitive emissions
- Non-owned source, operational leasing (if you are tenant)
- Non-owned source, other</t>
        </r>
        <r>
          <rPr>
            <b/>
            <sz val="9"/>
            <color indexed="81"/>
            <rFont val="Tahoma"/>
            <family val="2"/>
          </rPr>
          <t xml:space="preserve">
o If you have selected the operational control approach 
</t>
        </r>
        <r>
          <rPr>
            <sz val="9"/>
            <color indexed="81"/>
            <rFont val="Tahoma"/>
            <family val="2"/>
          </rPr>
          <t>- Operated source, non-energy processes emissions
- Operated source, fugitive emissions
- Non-operated source</t>
        </r>
      </text>
    </comment>
    <comment ref="F22" authorId="0" shapeId="0" xr:uid="{00000000-0006-0000-0200-000002000000}">
      <text>
        <r>
          <rPr>
            <sz val="9"/>
            <color indexed="81"/>
            <rFont val="Tahoma"/>
            <family val="2"/>
          </rPr>
          <t xml:space="preserve">Please select between:
</t>
        </r>
        <r>
          <rPr>
            <b/>
            <sz val="9"/>
            <color indexed="81"/>
            <rFont val="Tahoma"/>
            <family val="2"/>
          </rPr>
          <t xml:space="preserve">o If you have selected the financial control approach :
</t>
        </r>
        <r>
          <rPr>
            <sz val="9"/>
            <color indexed="81"/>
            <rFont val="Tahoma"/>
            <family val="2"/>
          </rPr>
          <t>- Owned source, non-energy processes emissions 
- Owned source, fugitive emissions
- Non-owned source, operational leasing (if you are tenant)
- Non-owned source, other</t>
        </r>
        <r>
          <rPr>
            <b/>
            <sz val="9"/>
            <color indexed="81"/>
            <rFont val="Tahoma"/>
            <family val="2"/>
          </rPr>
          <t xml:space="preserve">
o If you have selected the operational control approach 
</t>
        </r>
        <r>
          <rPr>
            <sz val="9"/>
            <color indexed="81"/>
            <rFont val="Tahoma"/>
            <family val="2"/>
          </rPr>
          <t>- Operated source, non-energy processes emissions
- Operated source, fugitive emissions
- Non-operated source</t>
        </r>
      </text>
    </comment>
    <comment ref="F30" authorId="0" shapeId="0" xr:uid="{00000000-0006-0000-0200-000003000000}">
      <text>
        <r>
          <rPr>
            <sz val="9"/>
            <color indexed="81"/>
            <rFont val="Tahoma"/>
            <family val="2"/>
          </rPr>
          <t xml:space="preserve">Please select between:
</t>
        </r>
        <r>
          <rPr>
            <b/>
            <sz val="9"/>
            <color indexed="81"/>
            <rFont val="Tahoma"/>
            <family val="2"/>
          </rPr>
          <t xml:space="preserve">o If you have selected the financial control approach :
</t>
        </r>
        <r>
          <rPr>
            <sz val="9"/>
            <color indexed="81"/>
            <rFont val="Tahoma"/>
            <family val="2"/>
          </rPr>
          <t>- Owned source, non-energy processes emissions 
- Owned source, fugitive emissions
- Non-owned source, operational leasing (if you are tenant)
- Non-owned source, other</t>
        </r>
        <r>
          <rPr>
            <b/>
            <sz val="9"/>
            <color indexed="81"/>
            <rFont val="Tahoma"/>
            <family val="2"/>
          </rPr>
          <t xml:space="preserve">
o If you have selected the operational control approach 
</t>
        </r>
        <r>
          <rPr>
            <sz val="9"/>
            <color indexed="81"/>
            <rFont val="Tahoma"/>
            <family val="2"/>
          </rPr>
          <t>- Operated source, non-energy processes emissions
- Operated source, fugitive emissions
- Non-operated source</t>
        </r>
      </text>
    </comment>
    <comment ref="F43" authorId="0" shapeId="0" xr:uid="{00000000-0006-0000-0200-000004000000}">
      <text>
        <r>
          <rPr>
            <sz val="9"/>
            <color indexed="81"/>
            <rFont val="Tahoma"/>
            <family val="2"/>
          </rPr>
          <t xml:space="preserve">Please select between:
</t>
        </r>
        <r>
          <rPr>
            <b/>
            <sz val="9"/>
            <color indexed="81"/>
            <rFont val="Tahoma"/>
            <family val="2"/>
          </rPr>
          <t xml:space="preserve">o If you have selected the financial control approach :
</t>
        </r>
        <r>
          <rPr>
            <sz val="9"/>
            <color indexed="81"/>
            <rFont val="Tahoma"/>
            <family val="2"/>
          </rPr>
          <t>- Owned source, non-energy processes emissions 
- Owned source, fugitive emissions
- Non-owned source, operational leasing (if you are tenant)
- Non-owned source, other</t>
        </r>
        <r>
          <rPr>
            <b/>
            <sz val="9"/>
            <color indexed="81"/>
            <rFont val="Tahoma"/>
            <family val="2"/>
          </rPr>
          <t xml:space="preserve">
o If you have selected the operational control approach 
</t>
        </r>
        <r>
          <rPr>
            <sz val="9"/>
            <color indexed="81"/>
            <rFont val="Tahoma"/>
            <family val="2"/>
          </rPr>
          <t>- Operated source, non-energy processes emissions
- Operated source, fugitive emissions
- Non-operated source</t>
        </r>
      </text>
    </comment>
    <comment ref="F54" authorId="0" shapeId="0" xr:uid="{00000000-0006-0000-0200-000005000000}">
      <text>
        <r>
          <rPr>
            <sz val="9"/>
            <color indexed="81"/>
            <rFont val="Tahoma"/>
            <family val="2"/>
          </rPr>
          <t xml:space="preserve">Please select between:
</t>
        </r>
        <r>
          <rPr>
            <b/>
            <sz val="9"/>
            <color indexed="81"/>
            <rFont val="Tahoma"/>
            <family val="2"/>
          </rPr>
          <t xml:space="preserve">o If you have selected the financial control approach :
</t>
        </r>
        <r>
          <rPr>
            <sz val="9"/>
            <color indexed="81"/>
            <rFont val="Tahoma"/>
            <family val="2"/>
          </rPr>
          <t>- Owned source, non-energy processes emissions 
- Owned source, fugitive emissions
- Non-owned source, operational leasing (if you are tenant)
- Non-owned source, other</t>
        </r>
        <r>
          <rPr>
            <b/>
            <sz val="9"/>
            <color indexed="81"/>
            <rFont val="Tahoma"/>
            <family val="2"/>
          </rPr>
          <t xml:space="preserve">
o If you have selected the operational control approach 
</t>
        </r>
        <r>
          <rPr>
            <sz val="9"/>
            <color indexed="81"/>
            <rFont val="Tahoma"/>
            <family val="2"/>
          </rPr>
          <t>- Operated source, non-energy processes emissions
- Operated source, fugitive emissions
- Non-operated source</t>
        </r>
      </text>
    </comment>
    <comment ref="F67" authorId="0" shapeId="0" xr:uid="{00000000-0006-0000-0200-000006000000}">
      <text>
        <r>
          <rPr>
            <sz val="9"/>
            <color indexed="81"/>
            <rFont val="Tahoma"/>
            <family val="2"/>
          </rPr>
          <t xml:space="preserve">Please select between:
</t>
        </r>
        <r>
          <rPr>
            <b/>
            <sz val="9"/>
            <color indexed="81"/>
            <rFont val="Tahoma"/>
            <family val="2"/>
          </rPr>
          <t xml:space="preserve">o If you have selected the financial control approach :
</t>
        </r>
        <r>
          <rPr>
            <sz val="9"/>
            <color indexed="81"/>
            <rFont val="Tahoma"/>
            <family val="2"/>
          </rPr>
          <t>- Owned source, non-energy processes emissions 
- Owned source, fugitive emissions
- Non-owned source, operational leasing (if you are tenant)
- Non-owned source, other</t>
        </r>
        <r>
          <rPr>
            <b/>
            <sz val="9"/>
            <color indexed="81"/>
            <rFont val="Tahoma"/>
            <family val="2"/>
          </rPr>
          <t xml:space="preserve">
o If you have selected the operational control approach 
</t>
        </r>
        <r>
          <rPr>
            <sz val="9"/>
            <color indexed="81"/>
            <rFont val="Tahoma"/>
            <family val="2"/>
          </rPr>
          <t>- Operated source, non-energy processes emissions
- Operated source, fugitive emissions
- Non-operated source</t>
        </r>
      </text>
    </comment>
    <comment ref="F79" authorId="0" shapeId="0" xr:uid="{00000000-0006-0000-0200-000007000000}">
      <text>
        <r>
          <rPr>
            <sz val="9"/>
            <color indexed="81"/>
            <rFont val="Tahoma"/>
            <family val="2"/>
          </rPr>
          <t xml:space="preserve">Please select between:
</t>
        </r>
        <r>
          <rPr>
            <b/>
            <sz val="9"/>
            <color indexed="81"/>
            <rFont val="Tahoma"/>
            <family val="2"/>
          </rPr>
          <t xml:space="preserve">o If you have selected the financial control approach :
</t>
        </r>
        <r>
          <rPr>
            <sz val="9"/>
            <color indexed="81"/>
            <rFont val="Tahoma"/>
            <family val="2"/>
          </rPr>
          <t>- Owned source, non-energy processes emissions 
- Owned source, fugitive emissions
- Non-owned source, operational leasing (if you are tenant)
- Non-owned source, other</t>
        </r>
        <r>
          <rPr>
            <b/>
            <sz val="9"/>
            <color indexed="81"/>
            <rFont val="Tahoma"/>
            <family val="2"/>
          </rPr>
          <t xml:space="preserve">
o If you have selected the operational control approach 
</t>
        </r>
        <r>
          <rPr>
            <sz val="9"/>
            <color indexed="81"/>
            <rFont val="Tahoma"/>
            <family val="2"/>
          </rPr>
          <t>- Operated source, non-energy processes emissions
- Operated source, fugitive emissions
- Non-operated source</t>
        </r>
      </text>
    </comment>
    <comment ref="F92" authorId="0" shapeId="0" xr:uid="{00000000-0006-0000-0200-000008000000}">
      <text>
        <r>
          <rPr>
            <sz val="9"/>
            <color indexed="81"/>
            <rFont val="Tahoma"/>
            <family val="2"/>
          </rPr>
          <t xml:space="preserve">Please select between:
</t>
        </r>
        <r>
          <rPr>
            <b/>
            <sz val="9"/>
            <color indexed="81"/>
            <rFont val="Tahoma"/>
            <family val="2"/>
          </rPr>
          <t xml:space="preserve">o If you have selected the financial control approach :
</t>
        </r>
        <r>
          <rPr>
            <sz val="9"/>
            <color indexed="81"/>
            <rFont val="Tahoma"/>
            <family val="2"/>
          </rPr>
          <t>- Owned source, non-energy processes emissions 
- Owned source, fugitive emissions
- Non-owned source, operational leasing (if you are tenant)
- Non-owned source, other</t>
        </r>
        <r>
          <rPr>
            <b/>
            <sz val="9"/>
            <color indexed="81"/>
            <rFont val="Tahoma"/>
            <family val="2"/>
          </rPr>
          <t xml:space="preserve">
o If you have selected the operational control approach 
</t>
        </r>
        <r>
          <rPr>
            <sz val="9"/>
            <color indexed="81"/>
            <rFont val="Tahoma"/>
            <family val="2"/>
          </rPr>
          <t>- Operated source, non-energy processes emissions
- Operated source, fugitive emissions
- Non-operated source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Ademe/Thomas Gourdon</author>
    <author>JMJ</author>
  </authors>
  <commentList>
    <comment ref="B65" authorId="0" shapeId="0" xr:uid="{00000000-0006-0000-0300-000001000000}">
      <text>
        <r>
          <rPr>
            <sz val="9"/>
            <color indexed="81"/>
            <rFont val="Tahoma"/>
            <family val="2"/>
          </rPr>
          <t xml:space="preserve">The % for implementation can be inserted by consulting the FDES. Pay attention to double counting (energy, transporation and other incoming materials for example). 
</t>
        </r>
      </text>
    </comment>
    <comment ref="E188" authorId="1" shapeId="0" xr:uid="{00000000-0006-0000-0300-000002000000}">
      <text>
        <r>
          <rPr>
            <sz val="9"/>
            <color indexed="81"/>
            <rFont val="Geneva"/>
            <family val="2"/>
          </rPr>
          <t>This value applies to the tonne of dry matter (the wood contains 15% to 50% of humidity).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Simon Dely</author>
    <author>JMJ</author>
  </authors>
  <commentList>
    <comment ref="B11" authorId="0" shapeId="0" xr:uid="{00000000-0006-0000-0500-000001000000}">
      <text>
        <r>
          <rPr>
            <sz val="9"/>
            <color indexed="81"/>
            <rFont val="Tahoma"/>
            <family val="2"/>
          </rPr>
          <t xml:space="preserve"> </t>
        </r>
        <r>
          <rPr>
            <b/>
            <sz val="9"/>
            <color indexed="81"/>
            <rFont val="Tahoma"/>
            <family val="2"/>
          </rPr>
          <t>Vehicles' depreciation is not taken into account here.</t>
        </r>
        <r>
          <rPr>
            <sz val="9"/>
            <color indexed="81"/>
            <rFont val="Tahoma"/>
            <family val="2"/>
          </rPr>
          <t xml:space="preserve"> Do not forget to take it into account in the "Capital goods" tab.</t>
        </r>
      </text>
    </comment>
    <comment ref="F13" authorId="0" shapeId="0" xr:uid="{00000000-0006-0000-0500-000002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13" authorId="0" shapeId="0" xr:uid="{00000000-0006-0000-0500-000003000000}">
      <text>
        <r>
          <rPr>
            <b/>
            <sz val="9"/>
            <color indexed="81"/>
            <rFont val="Tahoma"/>
            <family val="2"/>
          </rPr>
          <t>Caution : Data have to be LHV</t>
        </r>
        <r>
          <rPr>
            <sz val="9"/>
            <color indexed="81"/>
            <rFont val="Tahoma"/>
            <family val="2"/>
          </rPr>
          <t xml:space="preserve">
To convert HHV into LHV, go to "utilities"</t>
        </r>
      </text>
    </comment>
    <comment ref="M13" authorId="0" shapeId="0" xr:uid="{00000000-0006-0000-0500-000004000000}">
      <text>
        <r>
          <rPr>
            <b/>
            <sz val="9"/>
            <color indexed="81"/>
            <rFont val="Tahoma"/>
            <family val="2"/>
          </rPr>
          <t>Caution : Data have to be LHV</t>
        </r>
        <r>
          <rPr>
            <sz val="9"/>
            <color indexed="81"/>
            <rFont val="Tahoma"/>
            <family val="2"/>
          </rPr>
          <t xml:space="preserve">
To convert HHV into LHV, go to "utilities"</t>
        </r>
      </text>
    </comment>
    <comment ref="F26" authorId="0" shapeId="0" xr:uid="{00000000-0006-0000-0500-000005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45" authorId="0" shapeId="0" xr:uid="{00000000-0006-0000-0500-000006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73" authorId="0" shapeId="0" xr:uid="{00000000-0006-0000-0500-000007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84" authorId="0" shapeId="0" xr:uid="{00000000-0006-0000-0500-000008000000}">
      <text>
        <r>
          <rPr>
            <b/>
            <sz val="9"/>
            <color indexed="81"/>
            <rFont val="Tahoma"/>
            <family val="2"/>
          </rPr>
          <t xml:space="preserve"> Vehicles' depreciation is not taken into account here.</t>
        </r>
        <r>
          <rPr>
            <sz val="9"/>
            <color indexed="81"/>
            <rFont val="Tahoma"/>
            <family val="2"/>
          </rPr>
          <t xml:space="preserve"> Do not forget to take it into account in the "Capital goods" tab.</t>
        </r>
      </text>
    </comment>
    <comment ref="F86" authorId="0" shapeId="0" xr:uid="{00000000-0006-0000-0500-000009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86" authorId="0" shapeId="0" xr:uid="{00000000-0006-0000-0500-00000A000000}">
      <text>
        <r>
          <rPr>
            <b/>
            <sz val="9"/>
            <color indexed="81"/>
            <rFont val="Tahoma"/>
            <family val="2"/>
          </rPr>
          <t>Caution : Data have to be LHV</t>
        </r>
        <r>
          <rPr>
            <sz val="9"/>
            <color indexed="81"/>
            <rFont val="Tahoma"/>
            <family val="2"/>
          </rPr>
          <t xml:space="preserve">
To convert HHV into LHV, go to "utilities"</t>
        </r>
      </text>
    </comment>
    <comment ref="M86" authorId="0" shapeId="0" xr:uid="{00000000-0006-0000-0500-00000B000000}">
      <text>
        <r>
          <rPr>
            <b/>
            <sz val="9"/>
            <color indexed="81"/>
            <rFont val="Tahoma"/>
            <family val="2"/>
          </rPr>
          <t>Caution : Data have to be LHV</t>
        </r>
        <r>
          <rPr>
            <sz val="9"/>
            <color indexed="81"/>
            <rFont val="Tahoma"/>
            <family val="2"/>
          </rPr>
          <t xml:space="preserve">
To convert HHV into LHV, go to "utilities"</t>
        </r>
      </text>
    </comment>
    <comment ref="F96" authorId="0" shapeId="0" xr:uid="{00000000-0006-0000-0500-00000C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107" authorId="0" shapeId="0" xr:uid="{00000000-0006-0000-0500-00000D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109" authorId="0" shapeId="0" xr:uid="{00000000-0006-0000-0500-00000E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H109" authorId="1" shapeId="0" xr:uid="{00000000-0006-0000-0500-00000F000000}">
      <text>
        <r>
          <rPr>
            <sz val="9"/>
            <color indexed="81"/>
            <rFont val="Geneva"/>
            <family val="2"/>
          </rPr>
          <t>The emissions factor should be adapted to the scenario met; the default scenario refers to electricity from French network</t>
        </r>
      </text>
    </comment>
    <comment ref="B123" authorId="0" shapeId="0" xr:uid="{00000000-0006-0000-0500-000010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125" authorId="0" shapeId="0" xr:uid="{00000000-0006-0000-0500-000011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125" authorId="0" shapeId="0" xr:uid="{00000000-0006-0000-0500-000012000000}">
      <text>
        <r>
          <rPr>
            <b/>
            <sz val="9"/>
            <color indexed="81"/>
            <rFont val="Tahoma"/>
            <family val="2"/>
          </rPr>
          <t xml:space="preserve">Caution : The data have to be entered in LHV. The "Utilities tab" enables to convert kWh in HHV into LHV. </t>
        </r>
      </text>
    </comment>
    <comment ref="M125" authorId="0" shapeId="0" xr:uid="{00000000-0006-0000-0500-000013000000}">
      <text>
        <r>
          <rPr>
            <b/>
            <sz val="9"/>
            <color indexed="81"/>
            <rFont val="Tahoma"/>
            <family val="2"/>
          </rPr>
          <t xml:space="preserve">Caution : The data have to be entered in LHV. The "Utilities tab" enables to convert kWh in HHV into LHV.  </t>
        </r>
      </text>
    </comment>
    <comment ref="F135" authorId="0" shapeId="0" xr:uid="{00000000-0006-0000-0500-000014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146" authorId="0" shapeId="0" xr:uid="{00000000-0006-0000-0500-000015000000}">
      <text>
        <r>
          <rPr>
            <b/>
            <sz val="9"/>
            <color indexed="81"/>
            <rFont val="Tahoma"/>
            <family val="2"/>
          </rPr>
          <t xml:space="preserve"> Vehicles' depreciation is not taken into account here.</t>
        </r>
        <r>
          <rPr>
            <sz val="9"/>
            <color indexed="81"/>
            <rFont val="Tahoma"/>
            <family val="2"/>
          </rPr>
          <t xml:space="preserve"> Do not forget to take it into account in the "Capital goods" tab.</t>
        </r>
      </text>
    </comment>
    <comment ref="F148" authorId="0" shapeId="0" xr:uid="{00000000-0006-0000-0500-000016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148" authorId="0" shapeId="0" xr:uid="{00000000-0006-0000-0500-000017000000}">
      <text>
        <r>
          <rPr>
            <b/>
            <sz val="9"/>
            <color indexed="81"/>
            <rFont val="Tahoma"/>
            <family val="2"/>
          </rPr>
          <t xml:space="preserve">Caution : The data have to be entered in LHV. The "Utilities tab" enables to convert kWh in HHV into LHV. </t>
        </r>
      </text>
    </comment>
    <comment ref="M148" authorId="0" shapeId="0" xr:uid="{00000000-0006-0000-0500-000018000000}">
      <text>
        <r>
          <rPr>
            <b/>
            <sz val="9"/>
            <color indexed="81"/>
            <rFont val="Tahoma"/>
            <family val="2"/>
          </rPr>
          <t xml:space="preserve">Caution : The data have to be entered in LHV. The "Utilities tab" enables to convert kWh in HHV into LHV. </t>
        </r>
      </text>
    </comment>
    <comment ref="B161" authorId="1" shapeId="0" xr:uid="{00000000-0006-0000-0500-000019000000}">
      <text>
        <r>
          <rPr>
            <sz val="9"/>
            <color indexed="81"/>
            <rFont val="Geneva"/>
            <family val="2"/>
          </rPr>
          <t>TEU is the standard unit of measurement of container ship capacity in the merchant marine. It stands for "twenty-foot equivalent", and represents the volume of a standard 20-foot container, which is 36.6 m3 (6mx2.44mx2.5m). 500 TEU means the ship can transport 500 standard containers of 36.6m3, or a total volume of 29,280m3 of freight</t>
        </r>
      </text>
    </comment>
    <comment ref="F161" authorId="0" shapeId="0" xr:uid="{00000000-0006-0000-0500-00001A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169" authorId="1" shapeId="0" xr:uid="{00000000-0006-0000-0500-00001B000000}">
      <text>
        <r>
          <rPr>
            <sz val="9"/>
            <color indexed="81"/>
            <rFont val="Geneva"/>
            <family val="2"/>
          </rPr>
          <t xml:space="preserve">The roll on/roll off are ships whose goods are transported "on wheels".
A typical case is a ferry boat that  loads and unloads trucks, cars, etc. 
A roll on/roll of can not only transport trucks but also cars with their passengers. </t>
        </r>
      </text>
    </comment>
    <comment ref="F171" authorId="0" shapeId="0" xr:uid="{00000000-0006-0000-0500-00001C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181" authorId="0" shapeId="0" xr:uid="{00000000-0006-0000-0500-00001D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191" authorId="0" shapeId="0" xr:uid="{00000000-0006-0000-0500-00001E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201" authorId="0" shapeId="0" xr:uid="{00000000-0006-0000-0500-00001F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213" authorId="0" shapeId="0" xr:uid="{00000000-0006-0000-0500-000020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215" authorId="0" shapeId="0" xr:uid="{00000000-0006-0000-0500-000021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215" authorId="0" shapeId="0" xr:uid="{00000000-0006-0000-0500-000022000000}">
      <text>
        <r>
          <rPr>
            <b/>
            <sz val="9"/>
            <color indexed="81"/>
            <rFont val="Tahoma"/>
            <family val="2"/>
          </rPr>
          <t xml:space="preserve">Caution : The data have to be entered in LHV. The "Utilities tab" enables to convert kWh in HHV into LHV. </t>
        </r>
      </text>
    </comment>
    <comment ref="M215" authorId="0" shapeId="0" xr:uid="{00000000-0006-0000-0500-000023000000}">
      <text>
        <r>
          <rPr>
            <b/>
            <sz val="9"/>
            <color indexed="81"/>
            <rFont val="Tahoma"/>
            <family val="2"/>
          </rPr>
          <t xml:space="preserve">Caution : The data have to be entered in LHV. The "Utilities tab" enables to convert kWh in HHV into LHV. </t>
        </r>
      </text>
    </comment>
    <comment ref="F228" authorId="0" shapeId="0" xr:uid="{00000000-0006-0000-0500-000024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247" authorId="0" shapeId="0" xr:uid="{00000000-0006-0000-0500-000025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275" authorId="0" shapeId="0" xr:uid="{00000000-0006-0000-0500-000026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286" authorId="0" shapeId="0" xr:uid="{00000000-0006-0000-0500-000027000000}">
      <text>
        <r>
          <rPr>
            <b/>
            <sz val="9"/>
            <color indexed="81"/>
            <rFont val="Tahoma"/>
            <family val="2"/>
          </rPr>
          <t xml:space="preserve"> Vehicles' depreciation is not taken into account here.</t>
        </r>
        <r>
          <rPr>
            <sz val="9"/>
            <color indexed="81"/>
            <rFont val="Tahoma"/>
            <family val="2"/>
          </rPr>
          <t xml:space="preserve"> Do not forget to take it into account in the "Capital goods" tab.</t>
        </r>
      </text>
    </comment>
    <comment ref="F288" authorId="0" shapeId="0" xr:uid="{00000000-0006-0000-0500-000028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288" authorId="0" shapeId="0" xr:uid="{00000000-0006-0000-0500-000029000000}">
      <text>
        <r>
          <rPr>
            <b/>
            <sz val="9"/>
            <color indexed="81"/>
            <rFont val="Tahoma"/>
            <family val="2"/>
          </rPr>
          <t xml:space="preserve">Caution : The data have to be entered in LHV. The "Utilities tab" enables to convert kWh in HHV into LHV. </t>
        </r>
      </text>
    </comment>
    <comment ref="M288" authorId="0" shapeId="0" xr:uid="{00000000-0006-0000-0500-00002A000000}">
      <text>
        <r>
          <rPr>
            <b/>
            <sz val="9"/>
            <color indexed="81"/>
            <rFont val="Tahoma"/>
            <family val="2"/>
          </rPr>
          <t xml:space="preserve">Caution : The data have to be entered in LHV. The "Utilities tab" enables to convert kWh in HHV into LHV. </t>
        </r>
      </text>
    </comment>
    <comment ref="F298" authorId="0" shapeId="0" xr:uid="{00000000-0006-0000-0500-00002B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309" authorId="0" shapeId="0" xr:uid="{00000000-0006-0000-0500-00002C000000}">
      <text>
        <r>
          <rPr>
            <b/>
            <sz val="9"/>
            <color indexed="81"/>
            <rFont val="Tahoma"/>
            <family val="2"/>
          </rPr>
          <t xml:space="preserve"> Vehicles' depreciation is not taken into account here.</t>
        </r>
        <r>
          <rPr>
            <sz val="9"/>
            <color indexed="81"/>
            <rFont val="Tahoma"/>
            <family val="2"/>
          </rPr>
          <t xml:space="preserve"> Do not forget to take it into account in the "Capital goods" tab.</t>
        </r>
      </text>
    </comment>
    <comment ref="F311" authorId="0" shapeId="0" xr:uid="{00000000-0006-0000-0500-00002D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H311" authorId="1" shapeId="0" xr:uid="{00000000-0006-0000-0500-00002E000000}">
      <text>
        <r>
          <rPr>
            <sz val="9"/>
            <color indexed="81"/>
            <rFont val="Geneva"/>
            <family val="2"/>
          </rPr>
          <t xml:space="preserve">The emissions factor should be adapted to the scenario met; the default scenario refers to electricity from French network. </t>
        </r>
      </text>
    </comment>
    <comment ref="B325" authorId="0" shapeId="0" xr:uid="{00000000-0006-0000-0500-00002F000000}">
      <text>
        <r>
          <rPr>
            <b/>
            <sz val="9"/>
            <color indexed="81"/>
            <rFont val="Tahoma"/>
            <family val="2"/>
          </rPr>
          <t xml:space="preserve"> Vehicles' depreciation is not taken into account here.</t>
        </r>
        <r>
          <rPr>
            <sz val="9"/>
            <color indexed="81"/>
            <rFont val="Tahoma"/>
            <family val="2"/>
          </rPr>
          <t xml:space="preserve"> Do not forget to take it into account in the "Capital goods" tab.</t>
        </r>
      </text>
    </comment>
    <comment ref="F327" authorId="0" shapeId="0" xr:uid="{00000000-0006-0000-0500-000030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327" authorId="0" shapeId="0" xr:uid="{00000000-0006-0000-0500-000031000000}">
      <text>
        <r>
          <rPr>
            <b/>
            <sz val="9"/>
            <color indexed="81"/>
            <rFont val="Tahoma"/>
            <family val="2"/>
          </rPr>
          <t xml:space="preserve">Caution : The data have to be entered in LHV. The "Utilities tab" enables to convert kWh in HHV into LHV. </t>
        </r>
      </text>
    </comment>
    <comment ref="M327" authorId="0" shapeId="0" xr:uid="{00000000-0006-0000-0500-000032000000}">
      <text>
        <r>
          <rPr>
            <b/>
            <sz val="9"/>
            <color indexed="81"/>
            <rFont val="Tahoma"/>
            <family val="2"/>
          </rPr>
          <t xml:space="preserve">Caution : The data have to be entered in LHV. The "Utilities tab" enables to convert kWh in HHV into LHV. </t>
        </r>
      </text>
    </comment>
    <comment ref="B335" authorId="0" shapeId="0" xr:uid="{00000000-0006-0000-0500-000033000000}">
      <text>
        <r>
          <rPr>
            <sz val="9"/>
            <color indexed="81"/>
            <rFont val="Tahoma"/>
            <family val="2"/>
          </rPr>
          <t xml:space="preserve"> This table CAN'T be used for owned trains. </t>
        </r>
      </text>
    </comment>
    <comment ref="F337" authorId="0" shapeId="0" xr:uid="{00000000-0006-0000-0500-000034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348" authorId="0" shapeId="0" xr:uid="{00000000-0006-0000-0500-000035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350" authorId="0" shapeId="0" xr:uid="{00000000-0006-0000-0500-000036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350" authorId="0" shapeId="0" xr:uid="{00000000-0006-0000-0500-000037000000}">
      <text>
        <r>
          <rPr>
            <b/>
            <sz val="9"/>
            <color indexed="81"/>
            <rFont val="Tahoma"/>
            <family val="2"/>
          </rPr>
          <t xml:space="preserve">Caution : The data have to be entered in LHV. The "Utilities tab" enables to convert kWh in HHV into LHV. </t>
        </r>
      </text>
    </comment>
    <comment ref="M350" authorId="0" shapeId="0" xr:uid="{00000000-0006-0000-0500-000038000000}">
      <text>
        <r>
          <rPr>
            <b/>
            <sz val="9"/>
            <color indexed="81"/>
            <rFont val="Tahoma"/>
            <family val="2"/>
          </rPr>
          <t xml:space="preserve">Caution : The data have to be entered in LHV. The "Utilities tab" enables to convert kWh in HHV into LHV. </t>
        </r>
      </text>
    </comment>
    <comment ref="B363" authorId="1" shapeId="0" xr:uid="{00000000-0006-0000-0500-000039000000}">
      <text>
        <r>
          <rPr>
            <sz val="9"/>
            <color indexed="81"/>
            <rFont val="Geneva"/>
            <family val="2"/>
          </rPr>
          <t>TEU is the standard unit of measurement of container ship capacity in the merchant marine. It stands for "twenty-foot equivalent", and represents the volume of a standard 20-foot container, which is 36.6 m3 (6mx2.44mx2.5m). 500 TEU means the ship can transport 500 standard containers of 36.6m3, or a total volume of 29,280m3 of freight.</t>
        </r>
      </text>
    </comment>
    <comment ref="F363" authorId="0" shapeId="0" xr:uid="{00000000-0006-0000-0500-00003A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371" authorId="1" shapeId="0" xr:uid="{00000000-0006-0000-0500-00003B000000}">
      <text>
        <r>
          <rPr>
            <sz val="9"/>
            <color indexed="81"/>
            <rFont val="Geneva"/>
            <family val="2"/>
          </rPr>
          <t xml:space="preserve">The roll on/roll off are ships whose goods are transported "on wheels".
A typical case is a ferry boat that  loads and unloads trucks, cars, etc. 
A roll on/roll of can not only transport trucks but also cars with their passengers. </t>
        </r>
      </text>
    </comment>
    <comment ref="F373" authorId="0" shapeId="0" xr:uid="{00000000-0006-0000-0500-00003C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383" authorId="0" shapeId="0" xr:uid="{00000000-0006-0000-0500-00003D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393" authorId="0" shapeId="0" xr:uid="{00000000-0006-0000-0500-00003E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403" authorId="0" shapeId="0" xr:uid="{00000000-0006-0000-0500-00003F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415" authorId="0" shapeId="0" xr:uid="{00000000-0006-0000-0500-000040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417" authorId="0" shapeId="0" xr:uid="{00000000-0006-0000-0500-000041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417" authorId="0" shapeId="0" xr:uid="{00000000-0006-0000-0500-000042000000}">
      <text>
        <r>
          <rPr>
            <b/>
            <sz val="9"/>
            <color indexed="81"/>
            <rFont val="Tahoma"/>
            <family val="2"/>
          </rPr>
          <t xml:space="preserve">Caution : The data have to be entered in LHV. The "Utilities tab" enables to convert kWh in HHV into LHV. </t>
        </r>
      </text>
    </comment>
    <comment ref="M417" authorId="0" shapeId="0" xr:uid="{00000000-0006-0000-0500-000043000000}">
      <text>
        <r>
          <rPr>
            <b/>
            <sz val="9"/>
            <color indexed="81"/>
            <rFont val="Tahoma"/>
            <family val="2"/>
          </rPr>
          <t xml:space="preserve">Caution : The data have to be entered in LHV. The "Utilities tab" enables to convert kWh in HHV into LHV. </t>
        </r>
      </text>
    </comment>
    <comment ref="F430" authorId="0" shapeId="0" xr:uid="{00000000-0006-0000-0500-000044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449" authorId="0" shapeId="0" xr:uid="{00000000-0006-0000-0500-000045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477" authorId="0" shapeId="0" xr:uid="{00000000-0006-0000-0500-000046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488" authorId="0" shapeId="0" xr:uid="{00000000-0006-0000-0500-000047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490" authorId="0" shapeId="0" xr:uid="{00000000-0006-0000-0500-000048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490" authorId="0" shapeId="0" xr:uid="{00000000-0006-0000-0500-000049000000}">
      <text>
        <r>
          <rPr>
            <b/>
            <sz val="9"/>
            <color indexed="81"/>
            <rFont val="Tahoma"/>
            <family val="2"/>
          </rPr>
          <t xml:space="preserve">Caution : The data have to be entered in LHV. The "Utilities tab" enables to convert kWh in HHV into LHV. </t>
        </r>
      </text>
    </comment>
    <comment ref="M490" authorId="0" shapeId="0" xr:uid="{00000000-0006-0000-0500-00004A000000}">
      <text>
        <r>
          <rPr>
            <b/>
            <sz val="9"/>
            <color indexed="81"/>
            <rFont val="Tahoma"/>
            <family val="2"/>
          </rPr>
          <t xml:space="preserve">Caution : The data have to be entered in LHV. The "Utilities tab" enables to convert kWh in HHV into LHV. </t>
        </r>
      </text>
    </comment>
    <comment ref="F500" authorId="0" shapeId="0" xr:uid="{00000000-0006-0000-0500-00004B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511" authorId="0" shapeId="0" xr:uid="{00000000-0006-0000-0500-00004C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513" authorId="0" shapeId="0" xr:uid="{00000000-0006-0000-0500-00004D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H513" authorId="1" shapeId="0" xr:uid="{00000000-0006-0000-0500-00004E000000}">
      <text>
        <r>
          <rPr>
            <sz val="9"/>
            <color indexed="81"/>
            <rFont val="Geneva"/>
            <family val="2"/>
          </rPr>
          <t>Le facteur d'émission doit être adapté au cas de figure rencontré, celui par défaut étant celui de l'électricité de réseau français.</t>
        </r>
      </text>
    </comment>
    <comment ref="B527" authorId="0" shapeId="0" xr:uid="{00000000-0006-0000-0500-00004F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529" authorId="0" shapeId="0" xr:uid="{00000000-0006-0000-0500-000050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529" authorId="0" shapeId="0" xr:uid="{00000000-0006-0000-0500-000051000000}">
      <text>
        <r>
          <rPr>
            <b/>
            <sz val="9"/>
            <color indexed="81"/>
            <rFont val="Tahoma"/>
            <family val="2"/>
          </rPr>
          <t xml:space="preserve">Caution : The data have to be entered in LHV. The "Utilities tab" enables to convert kWh in HHV into LHV. </t>
        </r>
      </text>
    </comment>
    <comment ref="M529" authorId="0" shapeId="0" xr:uid="{00000000-0006-0000-0500-000052000000}">
      <text>
        <r>
          <rPr>
            <b/>
            <sz val="9"/>
            <color indexed="81"/>
            <rFont val="Tahoma"/>
            <family val="2"/>
          </rPr>
          <t xml:space="preserve">Caution : The data have to be entered in LHV. The "Utilities tab" enables to convert kWh in HHV into LHV. </t>
        </r>
      </text>
    </comment>
    <comment ref="B537" authorId="0" shapeId="0" xr:uid="{00000000-0006-0000-0500-000053000000}">
      <text>
        <r>
          <rPr>
            <sz val="9"/>
            <color indexed="81"/>
            <rFont val="Tahoma"/>
            <family val="2"/>
          </rPr>
          <t xml:space="preserve">
This table CAN'T be used for owned trains. </t>
        </r>
      </text>
    </comment>
    <comment ref="F539" authorId="0" shapeId="0" xr:uid="{00000000-0006-0000-0500-000054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550" authorId="0" shapeId="0" xr:uid="{00000000-0006-0000-0500-000055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552" authorId="0" shapeId="0" xr:uid="{00000000-0006-0000-0500-000056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J552" authorId="0" shapeId="0" xr:uid="{00000000-0006-0000-0500-000057000000}">
      <text>
        <r>
          <rPr>
            <b/>
            <sz val="9"/>
            <color indexed="81"/>
            <rFont val="Tahoma"/>
            <family val="2"/>
          </rPr>
          <t xml:space="preserve">Caution : The data have to be entered in LHV. The "Utilities tab" enables to convert kWh in HHV into LHV. </t>
        </r>
      </text>
    </comment>
    <comment ref="M552" authorId="0" shapeId="0" xr:uid="{00000000-0006-0000-0500-000058000000}">
      <text>
        <r>
          <rPr>
            <b/>
            <sz val="9"/>
            <color indexed="81"/>
            <rFont val="Tahoma"/>
            <family val="2"/>
          </rPr>
          <t xml:space="preserve">Caution : The data have to be entered in LHV. The "Utilities tab" enables to convert kWh in HHV into LHV. </t>
        </r>
      </text>
    </comment>
    <comment ref="B565" authorId="1" shapeId="0" xr:uid="{00000000-0006-0000-0500-000059000000}">
      <text>
        <r>
          <rPr>
            <b/>
            <sz val="9"/>
            <color indexed="81"/>
            <rFont val="Geneva"/>
            <family val="2"/>
          </rPr>
          <t xml:space="preserve">
TEU is the standard unit of measurement of container ship capacity in the merchant marine. It stands for "twenty-foot equivalent", and represents the volume of a standard 20-foot container, which is 36.6 m3 (6mx2.44mx2.5m). 
500 TEU means the ship can transport 500 standard containers of 36.6m3, or a total volume of 29,280m3 of freight.</t>
        </r>
        <r>
          <rPr>
            <sz val="9"/>
            <color indexed="81"/>
            <rFont val="Geneva"/>
            <family val="2"/>
          </rPr>
          <t>.</t>
        </r>
      </text>
    </comment>
    <comment ref="F565" authorId="0" shapeId="0" xr:uid="{00000000-0006-0000-0500-00005A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573" authorId="1" shapeId="0" xr:uid="{00000000-0006-0000-0500-00005B000000}">
      <text>
        <r>
          <rPr>
            <sz val="9"/>
            <color indexed="81"/>
            <rFont val="Geneva"/>
            <family val="2"/>
          </rPr>
          <t xml:space="preserve">The roll on/roll off are ships whose goods are transported "on wheels".
A typical case is a ferry boat that  loads and unloads trucks, cars, etc. 
A roll on/roll of can not only transport trucks but also cars with their passengers. 
</t>
        </r>
      </text>
    </comment>
    <comment ref="F575" authorId="0" shapeId="0" xr:uid="{00000000-0006-0000-0500-00005C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585" authorId="0" shapeId="0" xr:uid="{00000000-0006-0000-0500-00005D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595" authorId="0" shapeId="0" xr:uid="{00000000-0006-0000-0500-00005E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F605" authorId="0" shapeId="0" xr:uid="{00000000-0006-0000-0500-00005F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Owned vehicle
- Not owned vehicle, transportation cost financially supported
- Not owned vehicle, transportation cost not supported financially</t>
        </r>
        <r>
          <rPr>
            <b/>
            <sz val="9"/>
            <color indexed="81"/>
            <rFont val="Tahoma"/>
            <family val="2"/>
          </rPr>
          <t xml:space="preserve">
o If you have selected the operational control approach:
</t>
        </r>
        <r>
          <rPr>
            <sz val="9"/>
            <color indexed="81"/>
            <rFont val="Tahoma"/>
            <family val="2"/>
          </rPr>
          <t>- Operated vehicle
- Not operated vehicle, transportation cost financially supported
- Not operated vehicle, transportation cost not supported financially</t>
        </r>
      </text>
    </comment>
    <comment ref="B657" authorId="0" shapeId="0" xr:uid="{00000000-0006-0000-0500-000060000000}">
      <text>
        <r>
          <rPr>
            <b/>
            <sz val="9"/>
            <color indexed="81"/>
            <rFont val="Tahoma"/>
            <family val="2"/>
          </rPr>
          <t>Caution :</t>
        </r>
        <r>
          <rPr>
            <sz val="9"/>
            <color indexed="81"/>
            <rFont val="Tahoma"/>
            <family val="2"/>
          </rPr>
          <t xml:space="preserve"> Not as in Bilan GES, road vehicles manufacturing is
 not taken into account here. 
Therefore you have to fulfill it in  "Capital goods"  only if the vehicle has been manufactered during the year taken into account.</t>
        </r>
      </text>
    </comment>
    <comment ref="B660" authorId="0" shapeId="0" xr:uid="{00000000-0006-0000-0500-000061000000}">
      <text>
        <r>
          <rPr>
            <sz val="9"/>
            <color indexed="81"/>
            <rFont val="Tahoma"/>
            <family val="2"/>
          </rPr>
          <t>To be able to work with this file in the .xls format (rather than .xlsx), it necessary to halve the formula by calculating the emissions from the source 12. This is why there are two sub-totals.</t>
        </r>
      </text>
    </comment>
    <comment ref="B669" authorId="0" shapeId="0" xr:uid="{00000000-0006-0000-0500-000062000000}">
      <text>
        <r>
          <rPr>
            <sz val="9"/>
            <color indexed="81"/>
            <rFont val="Tahoma"/>
            <family val="2"/>
          </rPr>
          <t>To be able to work with this file in the .xls format (rather than .xlsx), it necessary to halve the formula by calculating the emissions from the source 12. This is why there are two sub-totals.</t>
        </r>
      </text>
    </comment>
    <comment ref="B699" authorId="0" shapeId="0" xr:uid="{00000000-0006-0000-0500-000063000000}">
      <text>
        <r>
          <rPr>
            <sz val="9"/>
            <color indexed="81"/>
            <rFont val="Tahoma"/>
            <family val="2"/>
          </rPr>
          <t>To be able to work with this file in the .xls format (rather than .xlsx), it necessary to halve the formula by calculating the emissions from the soruce 12. This is why there are two sub-totals.</t>
        </r>
      </text>
    </comment>
    <comment ref="B706" authorId="0" shapeId="0" xr:uid="{00000000-0006-0000-0500-000064000000}">
      <text>
        <r>
          <rPr>
            <sz val="9"/>
            <color indexed="81"/>
            <rFont val="Tahoma"/>
            <family val="2"/>
          </rPr>
          <t>To be able to work with this file in the .xls format (rather than .xlsx), it necessary to halve the formula by calculating the emissions from the soruce 12. This is why there are two sub-totals.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Simon Dely</author>
    <author>JMJ</author>
  </authors>
  <commentList>
    <comment ref="D8" authorId="0" shapeId="0" xr:uid="{00000000-0006-0000-0600-000001000000}">
      <text>
        <r>
          <rPr>
            <sz val="9"/>
            <color indexed="81"/>
            <rFont val="Tahoma"/>
            <family val="2"/>
          </rPr>
          <t>Extract data from "Capital Goods"</t>
        </r>
      </text>
    </comment>
    <comment ref="B12" authorId="0" shapeId="0" xr:uid="{00000000-0006-0000-0600-000002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14" authorId="0" shapeId="0" xr:uid="{00000000-0006-0000-0600-000003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J14" authorId="0" shapeId="0" xr:uid="{00000000-0006-0000-0600-000004000000}">
      <text>
        <r>
          <rPr>
            <b/>
            <sz val="9"/>
            <color indexed="81"/>
            <rFont val="Tahoma"/>
            <family val="2"/>
          </rPr>
          <t>Caution : Data have to be LHV</t>
        </r>
        <r>
          <rPr>
            <sz val="9"/>
            <color indexed="81"/>
            <rFont val="Tahoma"/>
            <family val="2"/>
          </rPr>
          <t xml:space="preserve">
To convert HHV into LHV, go to "utilities"</t>
        </r>
      </text>
    </comment>
    <comment ref="M14" authorId="0" shapeId="0" xr:uid="{00000000-0006-0000-0600-000005000000}">
      <text>
        <r>
          <rPr>
            <b/>
            <sz val="9"/>
            <color indexed="81"/>
            <rFont val="Tahoma"/>
            <family val="2"/>
          </rPr>
          <t>Caution : Data have to be LHV</t>
        </r>
        <r>
          <rPr>
            <sz val="9"/>
            <color indexed="81"/>
            <rFont val="Tahoma"/>
            <family val="2"/>
          </rPr>
          <t xml:space="preserve">
To convert HHV into LHV, go to "utilities"</t>
        </r>
      </text>
    </comment>
    <comment ref="F28" authorId="0" shapeId="0" xr:uid="{00000000-0006-0000-0600-000006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39" authorId="0" shapeId="0" xr:uid="{00000000-0006-0000-0600-000007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50" authorId="0" shapeId="0" xr:uid="{00000000-0006-0000-0600-000008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60" authorId="0" shapeId="0" xr:uid="{00000000-0006-0000-0600-000009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70" authorId="0" shapeId="0" xr:uid="{00000000-0006-0000-0600-00000A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80" authorId="0" shapeId="0" xr:uid="{00000000-0006-0000-0600-00000B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90" authorId="0" shapeId="0" xr:uid="{00000000-0006-0000-0600-00000C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100" authorId="0" shapeId="0" xr:uid="{00000000-0006-0000-0600-00000D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B108" authorId="0" shapeId="0" xr:uid="{00000000-0006-0000-0600-00000E000000}">
      <text>
        <r>
          <rPr>
            <sz val="9"/>
            <color indexed="81"/>
            <rFont val="Tahoma"/>
            <family val="2"/>
          </rPr>
          <t xml:space="preserve">This table assumes that the trains are not owned. </t>
        </r>
      </text>
    </comment>
    <comment ref="F110" authorId="0" shapeId="0" xr:uid="{00000000-0006-0000-0600-00000F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B122" authorId="0" shapeId="0" xr:uid="{00000000-0006-0000-0600-000010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124" authorId="0" shapeId="0" xr:uid="{00000000-0006-0000-0600-000011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J124" authorId="0" shapeId="0" xr:uid="{00000000-0006-0000-0600-000012000000}">
      <text>
        <r>
          <rPr>
            <b/>
            <sz val="9"/>
            <color indexed="81"/>
            <rFont val="Tahoma"/>
            <family val="2"/>
          </rPr>
          <t xml:space="preserve">Caution : The data have to be entered in LHV. The "Utilities tab" enables to convert kWh in HHV into LHV. </t>
        </r>
      </text>
    </comment>
    <comment ref="M124" authorId="0" shapeId="0" xr:uid="{00000000-0006-0000-0600-000013000000}">
      <text>
        <r>
          <rPr>
            <b/>
            <sz val="9"/>
            <color indexed="81"/>
            <rFont val="Tahoma"/>
            <family val="2"/>
          </rPr>
          <t xml:space="preserve">Caution : The data have to be entered in LHV. The "Utilities tab" enables to convert kWh in HHV into LHV. </t>
        </r>
      </text>
    </comment>
    <comment ref="F137" authorId="0" shapeId="0" xr:uid="{00000000-0006-0000-0600-000014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147" authorId="0" shapeId="0" xr:uid="{00000000-0006-0000-0600-000015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157" authorId="0" shapeId="0" xr:uid="{00000000-0006-0000-0600-000016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170" authorId="0" shapeId="0" xr:uid="{00000000-0006-0000-0600-000017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180" authorId="0" shapeId="0" xr:uid="{00000000-0006-0000-0600-000018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190" authorId="0" shapeId="0" xr:uid="{00000000-0006-0000-0600-000019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B201" authorId="0" shapeId="0" xr:uid="{00000000-0006-0000-0600-00001A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203" authorId="0" shapeId="0" xr:uid="{00000000-0006-0000-0600-00001B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H203" authorId="1" shapeId="0" xr:uid="{00000000-0006-0000-0600-00001C000000}">
      <text>
        <r>
          <rPr>
            <sz val="9"/>
            <color indexed="81"/>
            <rFont val="Geneva"/>
            <family val="2"/>
          </rPr>
          <t>Le facteur d'émission doit être adapté au cas de figure rencontré, celui par défaut étant celui de l'électricité de réseau française pour les usages transport.</t>
        </r>
      </text>
    </comment>
    <comment ref="B217" authorId="0" shapeId="0" xr:uid="{00000000-0006-0000-0600-00001D000000}">
      <text>
        <r>
          <rPr>
            <b/>
            <sz val="9"/>
            <color indexed="81"/>
            <rFont val="Tahoma"/>
            <family val="2"/>
          </rPr>
          <t>This table CAN'T be used for owned train. In this case, you shall use the table 1 above.</t>
        </r>
      </text>
    </comment>
    <comment ref="F219" authorId="0" shapeId="0" xr:uid="{00000000-0006-0000-0600-00001E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B230" authorId="0" shapeId="0" xr:uid="{00000000-0006-0000-0600-00001F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232" authorId="0" shapeId="0" xr:uid="{00000000-0006-0000-0600-000020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J232" authorId="0" shapeId="0" xr:uid="{00000000-0006-0000-0600-000021000000}">
      <text>
        <r>
          <rPr>
            <b/>
            <sz val="9"/>
            <color indexed="81"/>
            <rFont val="Tahoma"/>
            <family val="2"/>
          </rPr>
          <t xml:space="preserve">Caution : The data have to be entered in LHV. The "Utilities tab" enables to convert kWh in HHV into LHV. </t>
        </r>
      </text>
    </comment>
    <comment ref="M232" authorId="0" shapeId="0" xr:uid="{00000000-0006-0000-0600-000022000000}">
      <text>
        <r>
          <rPr>
            <b/>
            <sz val="9"/>
            <color indexed="81"/>
            <rFont val="Tahoma"/>
            <family val="2"/>
          </rPr>
          <t xml:space="preserve">Caution : The data have to be entered in LHV. The "Utilities tab" enables to convert kWh in HHV into LHV. </t>
        </r>
      </text>
    </comment>
    <comment ref="F242" authorId="0" shapeId="0" xr:uid="{00000000-0006-0000-0600-000023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253" authorId="0" shapeId="0" xr:uid="{00000000-0006-0000-0600-000024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B265" authorId="0" shapeId="0" xr:uid="{00000000-0006-0000-0600-000025000000}">
      <text>
        <r>
          <rPr>
            <b/>
            <sz val="9"/>
            <color indexed="81"/>
            <rFont val="Tahoma"/>
            <family val="2"/>
          </rPr>
          <t xml:space="preserve"> Vehicles' depreciation is not taken into account here. </t>
        </r>
        <r>
          <rPr>
            <sz val="9"/>
            <color indexed="81"/>
            <rFont val="Tahoma"/>
            <family val="2"/>
          </rPr>
          <t>Do not forget to take it into account in the "Capital goods" tab.</t>
        </r>
      </text>
    </comment>
    <comment ref="F267" authorId="0" shapeId="0" xr:uid="{00000000-0006-0000-0600-000026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J267" authorId="0" shapeId="0" xr:uid="{00000000-0006-0000-0600-000027000000}">
      <text>
        <r>
          <rPr>
            <b/>
            <sz val="9"/>
            <color indexed="81"/>
            <rFont val="Tahoma"/>
            <family val="2"/>
          </rPr>
          <t xml:space="preserve">Caution : The data have to be entered in LHV. The "Utilities tab" enables to convert kWh in HHV into LHV. </t>
        </r>
      </text>
    </comment>
    <comment ref="M267" authorId="0" shapeId="0" xr:uid="{00000000-0006-0000-0600-000028000000}">
      <text>
        <r>
          <rPr>
            <b/>
            <sz val="9"/>
            <color indexed="81"/>
            <rFont val="Tahoma"/>
            <family val="2"/>
          </rPr>
          <t xml:space="preserve">Caution : The data have to be entered in LHV. The "Utilities tab" enables to convert kWh in HHV into LHV. </t>
        </r>
      </text>
    </comment>
    <comment ref="F280" authorId="0" shapeId="0" xr:uid="{00000000-0006-0000-0600-000029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B292" authorId="0" shapeId="0" xr:uid="{00000000-0006-0000-0600-00002A000000}">
      <text>
        <r>
          <rPr>
            <b/>
            <sz val="9"/>
            <color indexed="81"/>
            <rFont val="Tahoma"/>
            <family val="2"/>
          </rPr>
          <t xml:space="preserve"> Vehicles' depreciation is not taken into account here.</t>
        </r>
        <r>
          <rPr>
            <sz val="9"/>
            <color indexed="81"/>
            <rFont val="Tahoma"/>
            <family val="2"/>
          </rPr>
          <t xml:space="preserve"> Do not forget to take it into account in the "Capital goods" tab.</t>
        </r>
      </text>
    </comment>
    <comment ref="F294" authorId="0" shapeId="0" xr:uid="{00000000-0006-0000-0600-00002B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J294" authorId="0" shapeId="0" xr:uid="{00000000-0006-0000-0600-00002C000000}">
      <text>
        <r>
          <rPr>
            <b/>
            <sz val="9"/>
            <color indexed="81"/>
            <rFont val="Tahoma"/>
            <family val="2"/>
          </rPr>
          <t xml:space="preserve">Caution : The data have to be entered in LHV. The "Utilities tab" enables to convert kWh in HHV into LHV. </t>
        </r>
      </text>
    </comment>
    <comment ref="M294" authorId="0" shapeId="0" xr:uid="{00000000-0006-0000-0600-00002D000000}">
      <text>
        <r>
          <rPr>
            <b/>
            <sz val="9"/>
            <color indexed="81"/>
            <rFont val="Tahoma"/>
            <family val="2"/>
          </rPr>
          <t xml:space="preserve">Caution : The data have to be entered in LHV. The "Utilities tab" enables to convert kWh in HHV into LHV. </t>
        </r>
      </text>
    </comment>
    <comment ref="F308" authorId="0" shapeId="0" xr:uid="{00000000-0006-0000-0600-00002E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318" authorId="0" shapeId="0" xr:uid="{00000000-0006-0000-0600-00002F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328" authorId="0" shapeId="0" xr:uid="{00000000-0006-0000-0600-000030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338" authorId="0" shapeId="0" xr:uid="{00000000-0006-0000-0600-000031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348" authorId="0" shapeId="0" xr:uid="{00000000-0006-0000-0600-000032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358" authorId="0" shapeId="0" xr:uid="{00000000-0006-0000-0600-000033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F368" authorId="0" shapeId="0" xr:uid="{00000000-0006-0000-0600-000034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B376" authorId="0" shapeId="0" xr:uid="{00000000-0006-0000-0600-000035000000}">
      <text>
        <r>
          <rPr>
            <b/>
            <sz val="9"/>
            <color indexed="81"/>
            <rFont val="Tahoma"/>
            <family val="2"/>
          </rPr>
          <t>This table CAN'T be used for owned train</t>
        </r>
        <r>
          <rPr>
            <sz val="9"/>
            <color indexed="81"/>
            <rFont val="Tahoma"/>
            <family val="2"/>
          </rPr>
          <t>. If you own the means of transport, you shall use the direct accounting for electricity or fuels, which will be normally possible for you.</t>
        </r>
      </text>
    </comment>
    <comment ref="F378" authorId="0" shapeId="0" xr:uid="{00000000-0006-0000-0600-000036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vehicle
- Not owned vehicle, operational leasing (if you are tenant)
- Not owned vehicle, other
</t>
        </r>
        <r>
          <rPr>
            <b/>
            <sz val="9"/>
            <color indexed="81"/>
            <rFont val="Tahoma"/>
            <family val="2"/>
          </rPr>
          <t xml:space="preserve">o If you have selected the operational control approach: </t>
        </r>
        <r>
          <rPr>
            <sz val="9"/>
            <color indexed="81"/>
            <rFont val="Tahoma"/>
            <family val="2"/>
          </rPr>
          <t xml:space="preserve">
- Operated vehicle
- Not operated vehicle</t>
        </r>
      </text>
    </comment>
    <comment ref="B425" authorId="0" shapeId="0" xr:uid="{00000000-0006-0000-0600-000037000000}">
      <text>
        <r>
          <rPr>
            <b/>
            <sz val="9"/>
            <color indexed="81"/>
            <rFont val="Tahoma"/>
            <family val="2"/>
          </rPr>
          <t>Caution :</t>
        </r>
        <r>
          <rPr>
            <sz val="9"/>
            <color indexed="81"/>
            <rFont val="Tahoma"/>
            <family val="2"/>
          </rPr>
          <t xml:space="preserve"> Not as in Bilan GES, road vehicles manufacturing is not taken into account here. 
Therefore you have to fulfill it in  "Capital goods"  only if the vehicle has been manufactered during the year taken into account.</t>
        </r>
      </text>
    </comment>
    <comment ref="B460" authorId="0" shapeId="0" xr:uid="{00000000-0006-0000-0600-000038000000}">
      <text>
        <r>
          <rPr>
            <b/>
            <sz val="9"/>
            <color indexed="81"/>
            <rFont val="Tahoma"/>
            <family val="2"/>
          </rPr>
          <t xml:space="preserve">Caution : 
</t>
        </r>
        <r>
          <rPr>
            <sz val="9"/>
            <color indexed="81"/>
            <rFont val="Tahoma"/>
            <family val="2"/>
          </rPr>
          <t xml:space="preserve">- If "YES" in D8, so emissions from road vehicles manufacturing are taken into account here.
- If "Yes" has not be selected in D8, so emissions from road vehicles manufacturing are </t>
        </r>
        <r>
          <rPr>
            <b/>
            <sz val="9"/>
            <color indexed="81"/>
            <rFont val="Tahoma"/>
            <family val="2"/>
          </rPr>
          <t>not</t>
        </r>
        <r>
          <rPr>
            <sz val="9"/>
            <color indexed="81"/>
            <rFont val="Tahoma"/>
            <family val="2"/>
          </rPr>
          <t xml:space="preserve"> taken into account here.
You shall fulfill "Capital Goods" only if the vehicle has been manufactered during the considered year.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Ademe/Thomas Gourdon</author>
    <author>Simon Dely</author>
  </authors>
  <commentList>
    <comment ref="G14" authorId="0" shapeId="0" xr:uid="{00000000-0006-0000-0700-000001000000}">
      <text>
        <r>
          <rPr>
            <b/>
            <sz val="8"/>
            <color indexed="81"/>
            <rFont val="Tahoma"/>
            <family val="2"/>
          </rPr>
          <t>Please select "Y" or "N".</t>
        </r>
        <r>
          <rPr>
            <sz val="8"/>
            <color indexed="81"/>
            <rFont val="Tahoma"/>
            <family val="2"/>
          </rPr>
          <t xml:space="preserve"> For French cases, select "Y" by default. </t>
        </r>
      </text>
    </comment>
    <comment ref="B148" authorId="1" shapeId="0" xr:uid="{00000000-0006-0000-0700-000002000000}">
      <text>
        <r>
          <rPr>
            <sz val="9"/>
            <color indexed="81"/>
            <rFont val="Tahoma"/>
            <family val="2"/>
          </rPr>
          <t>The BOD is</t>
        </r>
        <r>
          <rPr>
            <b/>
            <sz val="9"/>
            <color indexed="81"/>
            <rFont val="Tahoma"/>
            <family val="2"/>
          </rPr>
          <t xml:space="preserve"> only</t>
        </r>
        <r>
          <rPr>
            <sz val="9"/>
            <color indexed="81"/>
            <rFont val="Tahoma"/>
            <family val="2"/>
          </rPr>
          <t xml:space="preserve"> accounted for if it is rejected </t>
        </r>
        <r>
          <rPr>
            <b/>
            <sz val="9"/>
            <color indexed="81"/>
            <rFont val="Tahoma"/>
            <family val="2"/>
          </rPr>
          <t>in a stagnant environment,</t>
        </r>
        <r>
          <rPr>
            <sz val="9"/>
            <color indexed="81"/>
            <rFont val="Tahoma"/>
            <family val="2"/>
          </rPr>
          <t xml:space="preserve"> or if it comes out of a treatment system.
Here are some examples of stagnant environments: swamps, retention bassins, lagoons, oxbow lakes,...
</t>
        </r>
      </text>
    </comment>
    <comment ref="G150" authorId="1" shapeId="0" xr:uid="{00000000-0006-0000-0700-000003000000}">
      <text>
        <r>
          <rPr>
            <b/>
            <sz val="9"/>
            <color indexed="81"/>
            <rFont val="Tahoma"/>
            <family val="2"/>
          </rPr>
          <t>Please select "Yes" if the water is processed in a treatment plant.</t>
        </r>
        <r>
          <rPr>
            <sz val="9"/>
            <color indexed="81"/>
            <rFont val="Tahoma"/>
            <family val="2"/>
          </rPr>
          <t xml:space="preserve"> It is necessarily the case if you reject your water in the network for wastewater treatment</t>
        </r>
      </text>
    </comment>
    <comment ref="H150" authorId="1" shapeId="0" xr:uid="{00000000-0006-0000-0700-000004000000}">
      <text>
        <r>
          <rPr>
            <sz val="9"/>
            <color indexed="81"/>
            <rFont val="Tahoma"/>
            <family val="2"/>
          </rPr>
          <t xml:space="preserve">This default value can be precised if there are precise information on the treatment plant.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Simon Dely</author>
    <author>JMJ</author>
  </authors>
  <commentList>
    <comment ref="B7" authorId="0" shapeId="0" xr:uid="{00000000-0006-0000-0800-000001000000}">
      <text>
        <r>
          <rPr>
            <sz val="9"/>
            <color indexed="81"/>
            <rFont val="Tahoma"/>
            <family val="2"/>
          </rPr>
          <t>Unlike GHG Protocol, ISO 14069 gives you the choice to amortise or not emissions related to capital goods on a period</t>
        </r>
      </text>
    </comment>
    <comment ref="F13" authorId="0" shapeId="0" xr:uid="{00000000-0006-0000-0800-000002000000}">
      <text>
        <r>
          <rPr>
            <sz val="9"/>
            <color indexed="81"/>
            <rFont val="Tahoma"/>
            <family val="2"/>
          </rPr>
          <t xml:space="preserve">In the GHG Protocol, 100% of manufacturing emissions are allocated to the source "Capital goods" only to the year of construction.
Please indicate </t>
        </r>
        <r>
          <rPr>
            <b/>
            <sz val="9"/>
            <color indexed="81"/>
            <rFont val="Tahoma"/>
            <family val="2"/>
          </rPr>
          <t xml:space="preserve">"Yes" if the good has been built within the considered year. </t>
        </r>
      </text>
    </comment>
    <comment ref="F24" authorId="0" shapeId="0" xr:uid="{00000000-0006-0000-0800-000003000000}">
      <text>
        <r>
          <rPr>
            <sz val="9"/>
            <color indexed="81"/>
            <rFont val="Tahoma"/>
            <family val="2"/>
          </rPr>
          <t xml:space="preserve">In the GHG Protocol, 100% of manufacturing emissions are allocated to the source "Capital goods" only to the year of construction.
</t>
        </r>
        <r>
          <rPr>
            <b/>
            <sz val="9"/>
            <color indexed="81"/>
            <rFont val="Tahoma"/>
            <family val="2"/>
          </rPr>
          <t xml:space="preserve">Please indicate "Yes" if the good has been built within the considered year. </t>
        </r>
      </text>
    </comment>
    <comment ref="G24" authorId="0" shapeId="0" xr:uid="{00000000-0006-0000-0800-000004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 xml:space="preserve">Owned material
- Non-owned material
</t>
        </r>
        <r>
          <rPr>
            <b/>
            <sz val="9"/>
            <color indexed="81"/>
            <rFont val="Tahoma"/>
            <family val="2"/>
          </rPr>
          <t xml:space="preserve">
o If you have selected the operational control approach:
</t>
        </r>
        <r>
          <rPr>
            <sz val="9"/>
            <color indexed="81"/>
            <rFont val="Tahoma"/>
            <family val="2"/>
          </rPr>
          <t>- Operated material
- Non-operated material</t>
        </r>
      </text>
    </comment>
    <comment ref="K24" authorId="0" shapeId="0" xr:uid="{00000000-0006-0000-0800-000005000000}">
      <text>
        <r>
          <rPr>
            <b/>
            <sz val="9"/>
            <color indexed="81"/>
            <rFont val="Tahoma"/>
            <family val="2"/>
          </rPr>
          <t xml:space="preserve">Caution : The data have to be entered in LHV. The "Utilities tab" enables to convert kWh in HHV into LHV. </t>
        </r>
      </text>
    </comment>
    <comment ref="N24" authorId="0" shapeId="0" xr:uid="{00000000-0006-0000-0800-000006000000}">
      <text>
        <r>
          <rPr>
            <b/>
            <sz val="9"/>
            <color indexed="81"/>
            <rFont val="Tahoma"/>
            <family val="2"/>
          </rPr>
          <t xml:space="preserve">Caution : The data have to be entered in LHV. The "Utilities tab" enables to convert kWh in HHV into LHV. </t>
        </r>
      </text>
    </comment>
    <comment ref="F34" authorId="0" shapeId="0" xr:uid="{00000000-0006-0000-0800-000007000000}">
      <text>
        <r>
          <rPr>
            <sz val="9"/>
            <color indexed="81"/>
            <rFont val="Tahoma"/>
            <family val="2"/>
          </rPr>
          <t xml:space="preserve">In the GHG Protocol, 100% of manufacturing emissions are allocated to the source "Capital goods" only to the year of construction.
</t>
        </r>
        <r>
          <rPr>
            <b/>
            <sz val="9"/>
            <color indexed="81"/>
            <rFont val="Tahoma"/>
            <family val="2"/>
          </rPr>
          <t xml:space="preserve">Please indicate "Yes" if the good has been built within the considered year. </t>
        </r>
      </text>
    </comment>
    <comment ref="G34" authorId="0" shapeId="0" xr:uid="{00000000-0006-0000-0800-000008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 xml:space="preserve">Owned material
- Non-owned material
</t>
        </r>
        <r>
          <rPr>
            <b/>
            <sz val="9"/>
            <color indexed="81"/>
            <rFont val="Tahoma"/>
            <family val="2"/>
          </rPr>
          <t xml:space="preserve">
o If you have selected the operational control approach:
</t>
        </r>
        <r>
          <rPr>
            <sz val="9"/>
            <color indexed="81"/>
            <rFont val="Tahoma"/>
            <family val="2"/>
          </rPr>
          <t>- Operated material
- Non-operated material</t>
        </r>
      </text>
    </comment>
    <comment ref="F44" authorId="0" shapeId="0" xr:uid="{00000000-0006-0000-0800-000009000000}">
      <text>
        <r>
          <rPr>
            <sz val="9"/>
            <color indexed="81"/>
            <rFont val="Tahoma"/>
            <family val="2"/>
          </rPr>
          <t xml:space="preserve">In the GHG Protocol, 100% of manufacturing emissions are allocated to the source "Capital goods" only to the year of construction.
</t>
        </r>
        <r>
          <rPr>
            <b/>
            <sz val="9"/>
            <color indexed="81"/>
            <rFont val="Tahoma"/>
            <family val="2"/>
          </rPr>
          <t xml:space="preserve">Please indicate "Yes" if the good has been built within the considered year. </t>
        </r>
      </text>
    </comment>
    <comment ref="G44" authorId="0" shapeId="0" xr:uid="{00000000-0006-0000-0800-00000A000000}">
      <text>
        <r>
          <rPr>
            <sz val="9"/>
            <color indexed="81"/>
            <rFont val="Tahoma"/>
            <family val="2"/>
          </rPr>
          <t xml:space="preserve">Please select between:
</t>
        </r>
        <r>
          <rPr>
            <b/>
            <sz val="9"/>
            <color indexed="81"/>
            <rFont val="Tahoma"/>
            <family val="2"/>
          </rPr>
          <t xml:space="preserve">o If you have selected the financial control approach:
</t>
        </r>
        <r>
          <rPr>
            <sz val="9"/>
            <color indexed="81"/>
            <rFont val="Tahoma"/>
            <family val="2"/>
          </rPr>
          <t>-</t>
        </r>
        <r>
          <rPr>
            <b/>
            <sz val="9"/>
            <color indexed="81"/>
            <rFont val="Tahoma"/>
            <family val="2"/>
          </rPr>
          <t xml:space="preserve"> </t>
        </r>
        <r>
          <rPr>
            <sz val="9"/>
            <color indexed="81"/>
            <rFont val="Tahoma"/>
            <family val="2"/>
          </rPr>
          <t xml:space="preserve">Owned material
- Non-owned material
</t>
        </r>
        <r>
          <rPr>
            <b/>
            <sz val="9"/>
            <color indexed="81"/>
            <rFont val="Tahoma"/>
            <family val="2"/>
          </rPr>
          <t xml:space="preserve">
o If you have selected the operational control approach:
</t>
        </r>
        <r>
          <rPr>
            <sz val="9"/>
            <color indexed="81"/>
            <rFont val="Tahoma"/>
            <family val="2"/>
          </rPr>
          <t>- Operated material
- Non-operated material</t>
        </r>
      </text>
    </comment>
    <comment ref="F54" authorId="0" shapeId="0" xr:uid="{00000000-0006-0000-0800-00000B000000}">
      <text>
        <r>
          <rPr>
            <sz val="9"/>
            <color indexed="81"/>
            <rFont val="Tahoma"/>
            <family val="2"/>
          </rPr>
          <t xml:space="preserve">In the GHG Protocol, 100% of manufacturing emissions are allocated to the source "Capital goods" only to the year of construction.
</t>
        </r>
        <r>
          <rPr>
            <b/>
            <sz val="9"/>
            <color indexed="81"/>
            <rFont val="Tahoma"/>
            <family val="2"/>
          </rPr>
          <t xml:space="preserve">Please indicate "Yes" if the good has been built within the considered year. </t>
        </r>
      </text>
    </comment>
    <comment ref="F64" authorId="0" shapeId="0" xr:uid="{00000000-0006-0000-0800-00000C000000}">
      <text>
        <r>
          <rPr>
            <sz val="9"/>
            <color indexed="81"/>
            <rFont val="Tahoma"/>
            <family val="2"/>
          </rPr>
          <t xml:space="preserve">In the GHG Protocol, 100% of manufacturing emissions are allocated to the source "Capital goods" only to the year of construction.
</t>
        </r>
        <r>
          <rPr>
            <b/>
            <sz val="9"/>
            <color indexed="81"/>
            <rFont val="Tahoma"/>
            <family val="2"/>
          </rPr>
          <t xml:space="preserve">Please indicate "Yes" if the good has been built within the considered year. </t>
        </r>
      </text>
    </comment>
    <comment ref="F74" authorId="0" shapeId="0" xr:uid="{00000000-0006-0000-0800-00000D000000}">
      <text>
        <r>
          <rPr>
            <sz val="9"/>
            <color indexed="81"/>
            <rFont val="Tahoma"/>
            <family val="2"/>
          </rPr>
          <t xml:space="preserve">In the GHG Protocol, 100% of manufacturing emissions are allocated to the source "Capital goods" only to the year of construction.
</t>
        </r>
        <r>
          <rPr>
            <b/>
            <sz val="9"/>
            <color indexed="81"/>
            <rFont val="Tahoma"/>
            <family val="2"/>
          </rPr>
          <t xml:space="preserve">Please indicate "Yes" if the good has been built within the considered year. </t>
        </r>
      </text>
    </comment>
    <comment ref="E85" authorId="1" shapeId="0" xr:uid="{00000000-0006-0000-0800-00000E000000}">
      <text>
        <r>
          <rPr>
            <sz val="9"/>
            <color indexed="81"/>
            <rFont val="Geneva"/>
            <family val="2"/>
          </rPr>
          <t>This value applies to the tonne of dry matter (the wood contains from 15% to 50% of humidity).</t>
        </r>
      </text>
    </comment>
    <comment ref="F94" authorId="0" shapeId="0" xr:uid="{00000000-0006-0000-0800-00000F000000}">
      <text>
        <r>
          <rPr>
            <sz val="9"/>
            <color indexed="81"/>
            <rFont val="Tahoma"/>
            <family val="2"/>
          </rPr>
          <t xml:space="preserve">In the GHG Protocol, 100% of manufacturing emissions are allocated to the source "Capital goods" only to the year of construction.
Please indicate </t>
        </r>
        <r>
          <rPr>
            <b/>
            <sz val="9"/>
            <color indexed="81"/>
            <rFont val="Tahoma"/>
            <family val="2"/>
          </rPr>
          <t xml:space="preserve">"Yes" if the good has been built within the considered year.  </t>
        </r>
      </text>
    </comment>
    <comment ref="G94" authorId="0" shapeId="0" xr:uid="{00000000-0006-0000-0800-000010000000}">
      <text>
        <r>
          <rPr>
            <sz val="9"/>
            <color indexed="81"/>
            <rFont val="Tahoma"/>
            <family val="2"/>
          </rPr>
          <t xml:space="preserve">Please select between:
</t>
        </r>
        <r>
          <rPr>
            <b/>
            <sz val="9"/>
            <color indexed="81"/>
            <rFont val="Tahoma"/>
            <family val="2"/>
          </rPr>
          <t>o If you have selected the financial control approach:</t>
        </r>
        <r>
          <rPr>
            <sz val="9"/>
            <color indexed="81"/>
            <rFont val="Tahoma"/>
            <family val="2"/>
          </rPr>
          <t xml:space="preserve">
- Owned material
- Non-owned material
</t>
        </r>
        <r>
          <rPr>
            <b/>
            <sz val="9"/>
            <color indexed="81"/>
            <rFont val="Tahoma"/>
            <family val="2"/>
          </rPr>
          <t>o If you have selected the operational control approach:</t>
        </r>
        <r>
          <rPr>
            <sz val="9"/>
            <color indexed="81"/>
            <rFont val="Tahoma"/>
            <family val="2"/>
          </rPr>
          <t xml:space="preserve">
- Operated material
- Non-operated material</t>
        </r>
      </text>
    </comment>
    <comment ref="K94" authorId="0" shapeId="0" xr:uid="{00000000-0006-0000-0800-000011000000}">
      <text>
        <r>
          <rPr>
            <b/>
            <sz val="9"/>
            <color indexed="81"/>
            <rFont val="Tahoma"/>
            <family val="2"/>
          </rPr>
          <t xml:space="preserve">Caution : The data have to be entered in LHV. The "Utilities tab" enables to convert kWh in HHV into LHV. </t>
        </r>
      </text>
    </comment>
    <comment ref="N94" authorId="0" shapeId="0" xr:uid="{00000000-0006-0000-0800-000012000000}">
      <text>
        <r>
          <rPr>
            <b/>
            <sz val="9"/>
            <color indexed="81"/>
            <rFont val="Tahoma"/>
            <family val="2"/>
          </rPr>
          <t xml:space="preserve">Caution : The data have to be entered in LHV. The "Utilities tab" enables to convert kWh in HHV into LHV. </t>
        </r>
      </text>
    </comment>
    <comment ref="F104" authorId="0" shapeId="0" xr:uid="{00000000-0006-0000-0800-000013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H104" authorId="0" shapeId="0" xr:uid="{00000000-0006-0000-0800-000014000000}">
      <text>
        <r>
          <rPr>
            <sz val="9"/>
            <color indexed="81"/>
            <rFont val="Tahoma"/>
            <family val="2"/>
          </rPr>
          <t xml:space="preserve">Please select between:
o </t>
        </r>
        <r>
          <rPr>
            <b/>
            <sz val="9"/>
            <color indexed="81"/>
            <rFont val="Tahoma"/>
            <family val="2"/>
          </rPr>
          <t>C</t>
        </r>
        <r>
          <rPr>
            <sz val="9"/>
            <color indexed="81"/>
            <rFont val="Tahoma"/>
            <family val="2"/>
          </rPr>
          <t xml:space="preserve"> for </t>
        </r>
        <r>
          <rPr>
            <b/>
            <sz val="9"/>
            <color indexed="81"/>
            <rFont val="Tahoma"/>
            <family val="2"/>
          </rPr>
          <t>cement or reinforced concrete</t>
        </r>
        <r>
          <rPr>
            <sz val="9"/>
            <color indexed="81"/>
            <rFont val="Tahoma"/>
            <family val="2"/>
          </rPr>
          <t xml:space="preserve">
o </t>
        </r>
        <r>
          <rPr>
            <b/>
            <sz val="9"/>
            <color indexed="81"/>
            <rFont val="Tahoma"/>
            <family val="2"/>
          </rPr>
          <t>S</t>
        </r>
        <r>
          <rPr>
            <sz val="9"/>
            <color indexed="81"/>
            <rFont val="Tahoma"/>
            <family val="2"/>
          </rPr>
          <t xml:space="preserve"> pour du </t>
        </r>
        <r>
          <rPr>
            <b/>
            <sz val="9"/>
            <color indexed="81"/>
            <rFont val="Tahoma"/>
            <family val="2"/>
          </rPr>
          <t>semi-rigid</t>
        </r>
        <r>
          <rPr>
            <sz val="9"/>
            <color indexed="81"/>
            <rFont val="Tahoma"/>
            <family val="2"/>
          </rPr>
          <t xml:space="preserve">
o </t>
        </r>
        <r>
          <rPr>
            <b/>
            <sz val="9"/>
            <color indexed="81"/>
            <rFont val="Tahoma"/>
            <family val="2"/>
          </rPr>
          <t>B</t>
        </r>
        <r>
          <rPr>
            <sz val="9"/>
            <color indexed="81"/>
            <rFont val="Tahoma"/>
            <family val="2"/>
          </rPr>
          <t xml:space="preserve"> pour une </t>
        </r>
        <r>
          <rPr>
            <b/>
            <sz val="9"/>
            <color indexed="81"/>
            <rFont val="Tahoma"/>
            <family val="2"/>
          </rPr>
          <t>bitumen road</t>
        </r>
      </text>
    </comment>
    <comment ref="F114" authorId="0" shapeId="0" xr:uid="{00000000-0006-0000-0800-000015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F124" authorId="0" shapeId="0" xr:uid="{00000000-0006-0000-0800-000016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F134" authorId="0" shapeId="0" xr:uid="{00000000-0006-0000-0800-000017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F144" authorId="0" shapeId="0" xr:uid="{00000000-0006-0000-0800-000018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F154" authorId="0" shapeId="0" xr:uid="{00000000-0006-0000-0800-000019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E165" authorId="1" shapeId="0" xr:uid="{00000000-0006-0000-0800-00001A000000}">
      <text>
        <r>
          <rPr>
            <sz val="9"/>
            <color indexed="81"/>
            <rFont val="Geneva"/>
            <family val="2"/>
          </rPr>
          <t>This value applies to the tonne of dry matter (the wood contains from 15% to 50% of humidity).</t>
        </r>
      </text>
    </comment>
    <comment ref="F174" authorId="0" shapeId="0" xr:uid="{00000000-0006-0000-0800-00001B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F184" authorId="0" shapeId="0" xr:uid="{00000000-0006-0000-0800-00001C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F194" authorId="0" shapeId="0" xr:uid="{00000000-0006-0000-0800-00001D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F204" authorId="0" shapeId="0" xr:uid="{00000000-0006-0000-0800-00001E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F214" authorId="0" shapeId="0" xr:uid="{00000000-0006-0000-0800-00001F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 </t>
        </r>
      </text>
    </comment>
    <comment ref="E225" authorId="1" shapeId="0" xr:uid="{00000000-0006-0000-0800-000020000000}">
      <text>
        <r>
          <rPr>
            <sz val="9"/>
            <color indexed="81"/>
            <rFont val="Geneva"/>
            <family val="2"/>
          </rPr>
          <t>Cette valeur s'applique à la tonne de matière sèche (le bois contient de 15% à 50% d'humidité).</t>
        </r>
      </text>
    </comment>
    <comment ref="F234" authorId="0" shapeId="0" xr:uid="{00000000-0006-0000-0800-000021000000}">
      <text>
        <r>
          <rPr>
            <sz val="9"/>
            <color indexed="81"/>
            <rFont val="Tahoma"/>
            <family val="2"/>
          </rPr>
          <t>In the GHG Protocol, 100% of manufacturing emissions are allocated to the source "Capital goods" only to the year of construction.
Please indicate</t>
        </r>
        <r>
          <rPr>
            <b/>
            <sz val="9"/>
            <color indexed="81"/>
            <rFont val="Tahoma"/>
            <family val="2"/>
          </rPr>
          <t xml:space="preserve"> "Yes" if the good has been built within the considered year.  </t>
        </r>
      </text>
    </comment>
    <comment ref="F246" authorId="0" shapeId="0" xr:uid="{00000000-0006-0000-0800-000022000000}">
      <text>
        <r>
          <rPr>
            <sz val="9"/>
            <color indexed="81"/>
            <rFont val="Tahoma"/>
            <family val="2"/>
          </rPr>
          <t xml:space="preserve">In the GHG Protocol, 100% of manufacturing emissions are allocated to the source "Capital goods" only to the year of construction.
Please indicate </t>
        </r>
        <r>
          <rPr>
            <b/>
            <sz val="9"/>
            <color indexed="81"/>
            <rFont val="Tahoma"/>
            <family val="2"/>
          </rPr>
          <t xml:space="preserve">"Yes" if the good has been built within the considered year.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Simon Dely</author>
  </authors>
  <commentList>
    <comment ref="F11" authorId="0" shapeId="0" xr:uid="{00000000-0006-0000-0900-000001000000}">
      <text>
        <r>
          <rPr>
            <sz val="9"/>
            <color indexed="81"/>
            <rFont val="Tahoma"/>
            <family val="2"/>
          </rPr>
          <t xml:space="preserve">Plese select between:
- For rent (if you are the lessor)
- For the final customer (not for rent)
- By an intermediary
(the used product is processed by an intermediary before it is plased on the market)
</t>
        </r>
        <r>
          <rPr>
            <b/>
            <sz val="9"/>
            <color indexed="81"/>
            <rFont val="Tahoma"/>
            <family val="2"/>
          </rPr>
          <t xml:space="preserve">Caution : NOT use this tab if you have selected the financial control approach, and that the material is under operational leasing. </t>
        </r>
      </text>
    </comment>
    <comment ref="J11" authorId="0" shapeId="0" xr:uid="{00000000-0006-0000-0900-000002000000}">
      <text>
        <r>
          <rPr>
            <b/>
            <sz val="9"/>
            <color indexed="81"/>
            <rFont val="Tahoma"/>
            <family val="2"/>
          </rPr>
          <t xml:space="preserve">Caution : The data have to be entered in LHV. The "Utilities tab" enables to convert kWh in HHV into LHV. </t>
        </r>
      </text>
    </comment>
    <comment ref="M11" authorId="0" shapeId="0" xr:uid="{00000000-0006-0000-0900-000003000000}">
      <text>
        <r>
          <rPr>
            <b/>
            <sz val="9"/>
            <color indexed="81"/>
            <rFont val="Tahoma"/>
            <family val="2"/>
          </rPr>
          <t xml:space="preserve">Caution : The data have to be entered in LHV. The "Utilities tab" enables to convert kWh in HHV into LHV. </t>
        </r>
      </text>
    </comment>
    <comment ref="F24" authorId="0" shapeId="0" xr:uid="{00000000-0006-0000-0900-000004000000}">
      <text>
        <r>
          <rPr>
            <sz val="9"/>
            <color indexed="81"/>
            <rFont val="Tahoma"/>
            <family val="2"/>
          </rPr>
          <t xml:space="preserve">Plese select between:
- For rent (if you are the lessor)
- For the final customer (not for rent)
- By an intermediary
(the used product is processed by an intermediary before it is plased on the market)
</t>
        </r>
        <r>
          <rPr>
            <b/>
            <sz val="9"/>
            <color indexed="81"/>
            <rFont val="Tahoma"/>
            <family val="2"/>
          </rPr>
          <t xml:space="preserve">Caution : NOT use this tab if you have selected the financial control approach, and that the material is under operational leasing. </t>
        </r>
      </text>
    </comment>
    <comment ref="J24" authorId="0" shapeId="0" xr:uid="{00000000-0006-0000-0900-000005000000}">
      <text>
        <r>
          <rPr>
            <b/>
            <sz val="9"/>
            <color indexed="81"/>
            <rFont val="Tahoma"/>
            <family val="2"/>
          </rPr>
          <t xml:space="preserve">Caution : The data have to be entered in LHV. The "Utilities tab" enables to convert kWh in HHV into LHV. </t>
        </r>
      </text>
    </comment>
    <comment ref="M24" authorId="0" shapeId="0" xr:uid="{00000000-0006-0000-0900-000006000000}">
      <text>
        <r>
          <rPr>
            <b/>
            <sz val="9"/>
            <color indexed="81"/>
            <rFont val="Tahoma"/>
            <family val="2"/>
          </rPr>
          <t xml:space="preserve">Caution : The data have to be entered in LHV. The "Utilities tab" enables to convert kWh in HHV into LHV. </t>
        </r>
      </text>
    </comment>
    <comment ref="F37" authorId="0" shapeId="0" xr:uid="{00000000-0006-0000-0900-000007000000}">
      <text>
        <r>
          <rPr>
            <sz val="9"/>
            <color indexed="81"/>
            <rFont val="Tahoma"/>
            <family val="2"/>
          </rPr>
          <t xml:space="preserve">Plese select between:
- For rent (if you are the lessor)
- For the final customer (not for rent)
- By an intermediary
(the used product is processed by an intermediary before it is plased on the market)
</t>
        </r>
        <r>
          <rPr>
            <b/>
            <sz val="9"/>
            <color indexed="81"/>
            <rFont val="Tahoma"/>
            <family val="2"/>
          </rPr>
          <t xml:space="preserve">Caution : NOT use this tab if you have selected the financial control approach, and that the material is under operational leasing. </t>
        </r>
      </text>
    </comment>
    <comment ref="F47" authorId="0" shapeId="0" xr:uid="{00000000-0006-0000-0900-000008000000}">
      <text>
        <r>
          <rPr>
            <sz val="9"/>
            <color indexed="81"/>
            <rFont val="Tahoma"/>
            <family val="2"/>
          </rPr>
          <t xml:space="preserve">Plese select between:
- For rent (if you are the lessor)
- For the final customer (not for rent)
- By an intermediary
(the used product is processed by an intermediary before it is plased on the market)
</t>
        </r>
        <r>
          <rPr>
            <b/>
            <sz val="9"/>
            <color indexed="81"/>
            <rFont val="Tahoma"/>
            <family val="2"/>
          </rPr>
          <t xml:space="preserve">Caution : NOT use this tab if you have selected the financial control approach, and that the material is under operational leasing. </t>
        </r>
      </text>
    </comment>
    <comment ref="F60" authorId="0" shapeId="0" xr:uid="{00000000-0006-0000-0900-000009000000}">
      <text>
        <r>
          <rPr>
            <sz val="9"/>
            <color indexed="81"/>
            <rFont val="Tahoma"/>
            <family val="2"/>
          </rPr>
          <t xml:space="preserve">Plese select between:
- For rent (if you are the lessor)
- For the final customer (not for rent)
- By an intermediary
(the used product is processed by an intermediary before it is plased on the market)
</t>
        </r>
        <r>
          <rPr>
            <b/>
            <sz val="9"/>
            <color indexed="81"/>
            <rFont val="Tahoma"/>
            <family val="2"/>
          </rPr>
          <t xml:space="preserve">Caution : NOT use this tab if you have selected the financial control approach, and that the material is under operational leasing. </t>
        </r>
      </text>
    </comment>
    <comment ref="F82" authorId="0" shapeId="0" xr:uid="{00000000-0006-0000-0900-00000A000000}">
      <text>
        <r>
          <rPr>
            <sz val="9"/>
            <color indexed="81"/>
            <rFont val="Tahoma"/>
            <family val="2"/>
          </rPr>
          <t xml:space="preserve">Plese select between:
- For rent (if you are the lessor)
- For the final customer (not for rent)
- By an intermediary
(the used product is processed by an intermediary before it is plased on the market)
</t>
        </r>
        <r>
          <rPr>
            <b/>
            <sz val="9"/>
            <color indexed="81"/>
            <rFont val="Tahoma"/>
            <family val="2"/>
          </rPr>
          <t xml:space="preserve">Caution : NOT use this tab if you have selected the financial control approach, and that the material is under operational leasing. </t>
        </r>
      </text>
    </comment>
    <comment ref="F97" authorId="0" shapeId="0" xr:uid="{00000000-0006-0000-0900-00000B000000}">
      <text>
        <r>
          <rPr>
            <sz val="9"/>
            <color indexed="81"/>
            <rFont val="Tahoma"/>
            <family val="2"/>
          </rPr>
          <t xml:space="preserve">Plese select between:
- For rent (if you are the lessor)
- For the final customer (not for rent)
- By an intermediary
(the used product is processed by an intermediary before it is plased on the market)
</t>
        </r>
        <r>
          <rPr>
            <b/>
            <sz val="9"/>
            <color indexed="81"/>
            <rFont val="Tahoma"/>
            <family val="2"/>
          </rPr>
          <t xml:space="preserve">Caution : NOT use this tab if you have selected the financial control approach, and that the material is under operational leasing. </t>
        </r>
      </text>
    </comment>
  </commentList>
</comments>
</file>

<file path=xl/sharedStrings.xml><?xml version="1.0" encoding="utf-8"?>
<sst xmlns="http://schemas.openxmlformats.org/spreadsheetml/2006/main" count="16548" uniqueCount="3329">
  <si>
    <t>Poitou-Charentes</t>
  </si>
  <si>
    <t xml:space="preserve">Taux de </t>
  </si>
  <si>
    <t>k€</t>
  </si>
  <si>
    <t>kWh de gaz</t>
  </si>
  <si>
    <t>Provence-Alpes-Côte-d'Azur</t>
  </si>
  <si>
    <t>Rhône-Alpes</t>
  </si>
  <si>
    <t>R410a</t>
  </si>
  <si>
    <t>M€</t>
  </si>
  <si>
    <t>Midi-Pyrénées</t>
  </si>
  <si>
    <t>déperdition</t>
  </si>
  <si>
    <t>Agriculture</t>
  </si>
  <si>
    <t>Tonnes</t>
  </si>
  <si>
    <t>R507</t>
  </si>
  <si>
    <t>Auvergne</t>
  </si>
  <si>
    <t>CO2</t>
  </si>
  <si>
    <t>(litres)</t>
  </si>
  <si>
    <t>Ile-de-France</t>
  </si>
  <si>
    <t>Source</t>
  </si>
  <si>
    <t>Languedoc-Roussillon</t>
  </si>
  <si>
    <t>France</t>
  </si>
  <si>
    <t>tonnes</t>
  </si>
  <si>
    <t>BTU</t>
  </si>
  <si>
    <t>Champagne-Ardenne</t>
  </si>
  <si>
    <t>Franche-Comté</t>
  </si>
  <si>
    <t>combustion</t>
  </si>
  <si>
    <t>Joule</t>
  </si>
  <si>
    <t>Haute-Normandie</t>
  </si>
  <si>
    <t>N2O</t>
  </si>
  <si>
    <t>Limousin</t>
  </si>
  <si>
    <t>Paris intramuros</t>
  </si>
  <si>
    <t>Scope 1</t>
  </si>
  <si>
    <t>Alsace</t>
  </si>
  <si>
    <t>Aquitaine</t>
  </si>
  <si>
    <t>Lorraine</t>
  </si>
  <si>
    <t>(tonnes)</t>
  </si>
  <si>
    <t>amort</t>
  </si>
  <si>
    <t>R404a</t>
  </si>
  <si>
    <t>kWh</t>
  </si>
  <si>
    <t>max (tonnes)</t>
  </si>
  <si>
    <t>structure</t>
  </si>
  <si>
    <t>Kg équivalent</t>
  </si>
  <si>
    <t>total</t>
  </si>
  <si>
    <t>R407c</t>
  </si>
  <si>
    <t>carbone</t>
  </si>
  <si>
    <t>Total</t>
  </si>
  <si>
    <t>pertes en ligne</t>
  </si>
  <si>
    <t>&lt; 25</t>
  </si>
  <si>
    <t>%</t>
  </si>
  <si>
    <t>Nord-Pas-de-Calais</t>
  </si>
  <si>
    <t>Pays de la Loire</t>
  </si>
  <si>
    <t>Picardie</t>
  </si>
  <si>
    <t>Bretagne</t>
  </si>
  <si>
    <t>Centre</t>
  </si>
  <si>
    <t>Air</t>
  </si>
  <si>
    <t>Basse-Normandie</t>
  </si>
  <si>
    <t>Bourgogne</t>
  </si>
  <si>
    <t>Emissions</t>
  </si>
  <si>
    <t>tonnes.km</t>
  </si>
  <si>
    <t>tonne</t>
  </si>
  <si>
    <t>hors Kyoto</t>
  </si>
  <si>
    <t>CH4</t>
  </si>
  <si>
    <t>kg CO2e</t>
  </si>
  <si>
    <t>Recap CO2e</t>
  </si>
  <si>
    <t>kg Ce</t>
  </si>
  <si>
    <t xml:space="preserve">kg CO2e </t>
  </si>
  <si>
    <t>t Ce</t>
  </si>
  <si>
    <t>t CO2e</t>
  </si>
  <si>
    <t>kg CO2e/tonne</t>
  </si>
  <si>
    <t>Total, t CO2e</t>
  </si>
  <si>
    <t>Total 
(kg CO2e)</t>
  </si>
  <si>
    <t>Total 
(t CO2e)</t>
  </si>
  <si>
    <t>Total :</t>
  </si>
  <si>
    <t>Median</t>
  </si>
  <si>
    <t>Relatives</t>
  </si>
  <si>
    <t>(kWh)</t>
  </si>
  <si>
    <t>Construction</t>
  </si>
  <si>
    <t>Ratios €</t>
  </si>
  <si>
    <t>Train</t>
  </si>
  <si>
    <t>kg de CO2</t>
  </si>
  <si>
    <t>k-euros</t>
  </si>
  <si>
    <t>valorisation</t>
  </si>
  <si>
    <t>Coefficient de</t>
  </si>
  <si>
    <t>kilomètres</t>
  </si>
  <si>
    <t>Résiduel
t CO2e</t>
  </si>
  <si>
    <t>% export</t>
  </si>
  <si>
    <t>kg CO2 b</t>
  </si>
  <si>
    <t>Numéro de colonne</t>
  </si>
  <si>
    <t>m3</t>
  </si>
  <si>
    <t>vehicules.km</t>
  </si>
  <si>
    <t>courses.km</t>
  </si>
  <si>
    <t>Animal</t>
  </si>
  <si>
    <t>PTAC</t>
  </si>
  <si>
    <t>neuf</t>
  </si>
  <si>
    <t>% incinéré</t>
  </si>
  <si>
    <t>Coefficient</t>
  </si>
  <si>
    <t>Codes</t>
  </si>
  <si>
    <t>Total Scope 3</t>
  </si>
  <si>
    <t>Total Scope 2</t>
  </si>
  <si>
    <t>Total Scope 1</t>
  </si>
  <si>
    <t>1-1</t>
  </si>
  <si>
    <t>1-2</t>
  </si>
  <si>
    <t>1-3</t>
  </si>
  <si>
    <t>1-4</t>
  </si>
  <si>
    <t>2-1</t>
  </si>
  <si>
    <t>2-2</t>
  </si>
  <si>
    <t>Franchises</t>
  </si>
  <si>
    <t>3-1</t>
  </si>
  <si>
    <t>3-2</t>
  </si>
  <si>
    <t>3-3</t>
  </si>
  <si>
    <t>3-4</t>
  </si>
  <si>
    <t>3-5</t>
  </si>
  <si>
    <t>3-6</t>
  </si>
  <si>
    <t>3-7</t>
  </si>
  <si>
    <t>3-8</t>
  </si>
  <si>
    <t>3-9</t>
  </si>
  <si>
    <t>3-10</t>
  </si>
  <si>
    <t>3-11</t>
  </si>
  <si>
    <t>3-12</t>
  </si>
  <si>
    <t>3-13</t>
  </si>
  <si>
    <t>3-14</t>
  </si>
  <si>
    <t>3-15</t>
  </si>
  <si>
    <t>GHG Protocol</t>
  </si>
  <si>
    <t>Scope 2</t>
  </si>
  <si>
    <t>Scope 3</t>
  </si>
  <si>
    <t>production</t>
  </si>
  <si>
    <t>Mayotte</t>
  </si>
  <si>
    <t>Guadeloupe</t>
  </si>
  <si>
    <t>Martinique</t>
  </si>
  <si>
    <t>Alimentation</t>
  </si>
  <si>
    <t>(ha)</t>
  </si>
  <si>
    <t>Surface</t>
  </si>
  <si>
    <t>ISO/TR 14069:2013</t>
  </si>
  <si>
    <t>ISO 14069</t>
  </si>
  <si>
    <t>Sources :</t>
  </si>
  <si>
    <t>Sources</t>
  </si>
  <si>
    <t>[1]</t>
  </si>
  <si>
    <t>[2]</t>
  </si>
  <si>
    <t>[3]</t>
  </si>
  <si>
    <t>ADEME</t>
  </si>
  <si>
    <t>Documentation Base Carbone®</t>
  </si>
  <si>
    <t>http://www.basecarbone.fr/documentation/generale/n:54</t>
  </si>
  <si>
    <t>France [1]</t>
  </si>
  <si>
    <t>France, Guadeloupe [1]</t>
  </si>
  <si>
    <t>France, Martinique [1]</t>
  </si>
  <si>
    <t>France, Mayotte [1]</t>
  </si>
  <si>
    <t>Aquaculture, Mayotte [1]</t>
  </si>
  <si>
    <t>&gt; 21 tonnes, V6.1 [1]</t>
  </si>
  <si>
    <t>&lt; 1,5 t diesel, Mayotte, V6.1 [1]</t>
  </si>
  <si>
    <t>3,5 tonnes, Mayotte, V6.1 [1]</t>
  </si>
  <si>
    <t>&gt; 21 tonnes, Mayotte, V6.1 [1]</t>
  </si>
  <si>
    <t>France, CNR [1]</t>
  </si>
  <si>
    <t>France, SNET [1]</t>
  </si>
  <si>
    <t>Luxembourg [1]</t>
  </si>
  <si>
    <t>Portugal [1]</t>
  </si>
  <si>
    <t>Seine, V6.1 [1]</t>
  </si>
  <si>
    <t>Rhône, V6.1 [1]</t>
  </si>
  <si>
    <t>Nord Pas de Calais, V6.1 [1]</t>
  </si>
  <si>
    <t>Moselle, V6.1 [1]</t>
  </si>
  <si>
    <t>Tahiti, V6.1 [1]</t>
  </si>
  <si>
    <t>Aluminium [1]</t>
  </si>
  <si>
    <t>PET [1]</t>
  </si>
  <si>
    <t>PVC [1]</t>
  </si>
  <si>
    <t>Bardage acier simple peau [1]</t>
  </si>
  <si>
    <t>TC1 [1]</t>
  </si>
  <si>
    <t>TC4 [1]</t>
  </si>
  <si>
    <t>TC5 [1]</t>
  </si>
  <si>
    <t>TC6 [1]</t>
  </si>
  <si>
    <t>TC7 [1]</t>
  </si>
  <si>
    <t>Machines [1]</t>
  </si>
  <si>
    <t>Methanisation [1]</t>
  </si>
  <si>
    <t>Hôpitaux publics [1]</t>
  </si>
  <si>
    <t>Restaurants [1]</t>
  </si>
  <si>
    <t>Aquarium [1]</t>
  </si>
  <si>
    <t>Home Cinema [1]</t>
  </si>
  <si>
    <t>Scanner [1]</t>
  </si>
  <si>
    <t>Alsace [1]</t>
  </si>
  <si>
    <t>Aquitaine [1]</t>
  </si>
  <si>
    <t>Auvergne [1]</t>
  </si>
  <si>
    <t>Bourgogne [1]</t>
  </si>
  <si>
    <t>Bretagne [1]</t>
  </si>
  <si>
    <t>Centre [1]</t>
  </si>
  <si>
    <t>Champagne-Ardenne [1]</t>
  </si>
  <si>
    <t>Franche-Comté [1]</t>
  </si>
  <si>
    <t>Ile-de-France [1]</t>
  </si>
  <si>
    <t>Languedoc-Roussillon [1]</t>
  </si>
  <si>
    <t>Limousin [1]</t>
  </si>
  <si>
    <t>Lorraine [1]</t>
  </si>
  <si>
    <t>Midi-Pyrénées [1]</t>
  </si>
  <si>
    <t>Nord - Pas-de-Calais [1]</t>
  </si>
  <si>
    <t>Basse-Normandie [1]</t>
  </si>
  <si>
    <t>Haute-Normandie [1]</t>
  </si>
  <si>
    <t>Pays de la Loire [1]</t>
  </si>
  <si>
    <t>Picardie [1]</t>
  </si>
  <si>
    <t>Poitou-Charentes [1]</t>
  </si>
  <si>
    <t>Provence-Alpes-Côte d'Azur [1]</t>
  </si>
  <si>
    <t>Rhône-Alpes [1]</t>
  </si>
  <si>
    <t>Val de loire [1]</t>
  </si>
  <si>
    <t>Nord est [1]</t>
  </si>
  <si>
    <t>Sud ouest [1]</t>
  </si>
  <si>
    <t>BRM [1]</t>
  </si>
  <si>
    <t>National [1]</t>
  </si>
  <si>
    <t>EDF</t>
  </si>
  <si>
    <t>http://fr.edf.com/edf-en-france-51250.html</t>
  </si>
  <si>
    <t>Angola [1]</t>
  </si>
  <si>
    <t>Bangladesh [1]</t>
  </si>
  <si>
    <t>Botswana [1]</t>
  </si>
  <si>
    <t>Canada [1]</t>
  </si>
  <si>
    <t>Congo [1]</t>
  </si>
  <si>
    <t>Cuba [1]</t>
  </si>
  <si>
    <t>Gabon [1]</t>
  </si>
  <si>
    <t>Ghana [1]</t>
  </si>
  <si>
    <t>Gibraltar [1]</t>
  </si>
  <si>
    <t>Guatemala [1]</t>
  </si>
  <si>
    <t>Honduras [1]</t>
  </si>
  <si>
    <t>Kenya [1]</t>
  </si>
  <si>
    <t>Mongolie [1]</t>
  </si>
  <si>
    <t>Mozambique [1]</t>
  </si>
  <si>
    <t>Nicaragua [1]</t>
  </si>
  <si>
    <t>Oman [1]</t>
  </si>
  <si>
    <t>Pakistan [1]</t>
  </si>
  <si>
    <t>Panama [1]</t>
  </si>
  <si>
    <t>Paraguay [1]</t>
  </si>
  <si>
    <t>Philippines [1]</t>
  </si>
  <si>
    <t>Soudan [1]</t>
  </si>
  <si>
    <t>Sri Lanka [1]</t>
  </si>
  <si>
    <t>Tadjikistan [1]</t>
  </si>
  <si>
    <t>Taïwan [1]</t>
  </si>
  <si>
    <t>Togo [1]</t>
  </si>
  <si>
    <t>Ukraine [1]</t>
  </si>
  <si>
    <t>Uruguay [1]</t>
  </si>
  <si>
    <t>Venezuela [1]</t>
  </si>
  <si>
    <t>Zimbabwe [1]</t>
  </si>
  <si>
    <t>PWC</t>
  </si>
  <si>
    <t>Etudes Facteur Carbone européen</t>
  </si>
  <si>
    <t>http://www.pwc.fr/etudes_facteur_carbone_europeen.html</t>
  </si>
  <si>
    <t>France, E.ON France</t>
  </si>
  <si>
    <t>Portugal, ex Endesa</t>
  </si>
  <si>
    <t>R407a</t>
  </si>
  <si>
    <t>R407f</t>
  </si>
  <si>
    <t>R417a</t>
  </si>
  <si>
    <t>R422a</t>
  </si>
  <si>
    <t>R422d</t>
  </si>
  <si>
    <t>R427a</t>
  </si>
  <si>
    <t>R507a</t>
  </si>
  <si>
    <t>Halon-1211</t>
  </si>
  <si>
    <t>Halon-1301</t>
  </si>
  <si>
    <t>Halon-2402</t>
  </si>
  <si>
    <t>R401a</t>
  </si>
  <si>
    <t>R408a</t>
  </si>
  <si>
    <t>R502</t>
  </si>
  <si>
    <t>01, Bourg-en-Bresse, La Reyssouze [1]</t>
  </si>
  <si>
    <t>01, Oyonnax, La Forge [1]</t>
  </si>
  <si>
    <t>01, Oyonnax, La Plaine (HLM) [1]</t>
  </si>
  <si>
    <t>02, Laon, Réseau de Laon [1]</t>
  </si>
  <si>
    <t>02, Saint-Quentin, ZUP du quartier Europe [1]</t>
  </si>
  <si>
    <t>02, Soissons, ZUP de Presles [1]</t>
  </si>
  <si>
    <t>03, Meaulne, Meaulne [1]</t>
  </si>
  <si>
    <t>03, Montluçon, Fontbouillant [1]</t>
  </si>
  <si>
    <t>03, Moulins, Réseau de Moulins [1]</t>
  </si>
  <si>
    <t>05, Embrun, Réseau bois Delaroche [1]</t>
  </si>
  <si>
    <t>05, Embrun, Réseau quartier Gare [1]</t>
  </si>
  <si>
    <t>06, Nice, Saint-Augustin (HLM) [1]</t>
  </si>
  <si>
    <t>06, Nice, Sonitherm-réseau de l’Ariane [1]</t>
  </si>
  <si>
    <t>07, Aubenas, Réseau d’Aubenas [1]</t>
  </si>
  <si>
    <t>08, Charleville-Mézières, La Citadelle [1]</t>
  </si>
  <si>
    <t>08, Charleville-Mézières, La Houllière [1]</t>
  </si>
  <si>
    <t>08, Charleville-Mézières, Ronde couture [1]</t>
  </si>
  <si>
    <t>08, Revin, Revin [1]</t>
  </si>
  <si>
    <t>08, Rocroi, Réseau de Rocroi [1]</t>
  </si>
  <si>
    <t>08, Sedan, ZUP de Sedan [1]</t>
  </si>
  <si>
    <t>10, Les Noës, ZUP de La Chapelle-Saint-Luc [1]</t>
  </si>
  <si>
    <t>10, Piney, Biomasse de Piney [1]</t>
  </si>
  <si>
    <t>10, Troyes, Les Chartreux [1]</t>
  </si>
  <si>
    <t>11, Narbonne, ZAC Saint-Jean et Saint-Pierre [1]</t>
  </si>
  <si>
    <t>12, Cransac-les-Thermes, Cransac-les-Thermes [1]</t>
  </si>
  <si>
    <t>13, Aix-en-Provence, Les Fenouillères [1]</t>
  </si>
  <si>
    <t>13, Aix-en-Provence, ZUP d’Encagnane [1]</t>
  </si>
  <si>
    <t>13, Martigues, ZAC Canto Perdrix [1]</t>
  </si>
  <si>
    <t>13, Martigues, ZAC Paradis-Saint-Roch [1]</t>
  </si>
  <si>
    <t>13, Salon-de-Provence, ZAC des Canourgues [1]</t>
  </si>
  <si>
    <t>13, Vitrolles, Centre urbain-ZAC des Pins [1]</t>
  </si>
  <si>
    <t>14, Bayeux, Réseau Bois I [1]</t>
  </si>
  <si>
    <t>14, Bayeux, Réseau Bois vallée des près [1]</t>
  </si>
  <si>
    <t>14, Caen, Grâce de Dieu [1]</t>
  </si>
  <si>
    <t>14, Caen, La Guérinière [1]</t>
  </si>
  <si>
    <t>14, Falaise, ZAC de Falaise [1]</t>
  </si>
  <si>
    <t>14, Hérouville-Saint-Clair, Hérouville-Saint-Clair [1]</t>
  </si>
  <si>
    <t>14, Lisieux, ZUP de Hauteville [1]</t>
  </si>
  <si>
    <t>17, Jonzac, Réseau de Jonzac [1]</t>
  </si>
  <si>
    <t>17, La Rochelle, Villeneuve-les-Salines [1]</t>
  </si>
  <si>
    <t>17, La Rochelle, ZUP de Mireuil [1]</t>
  </si>
  <si>
    <t>17, Pons, Réseau de Pons [1]</t>
  </si>
  <si>
    <t>17, Rochefort, Réseau des Fouriers [1]</t>
  </si>
  <si>
    <t>18, Asnières-les-Bourges, Chancellerie Gibjoncs-ZUP de Bourges [1]</t>
  </si>
  <si>
    <t>18, Vierzon, ZUP du Clos du Roy [1]</t>
  </si>
  <si>
    <t>19, Egletons, Egletons bois énergie [1]</t>
  </si>
  <si>
    <t>19, Saint-Pantaléon-de-Larche, Centre valorisation énergétique Brive [1]</t>
  </si>
  <si>
    <t>20, Corte, Réseau de Corte [1]</t>
  </si>
  <si>
    <t>21, Chenôve, ZUP de Chenôve [1]</t>
  </si>
  <si>
    <t>21, Dijon, La Fontaine d’Ouche [1]</t>
  </si>
  <si>
    <t>21, Dijon, Les Grésilles [1]</t>
  </si>
  <si>
    <t>21, Quétigny, Réseau de Quétigny [1]</t>
  </si>
  <si>
    <t>23, Bourganeuf, Réseau de Bourganeuf [1]</t>
  </si>
  <si>
    <t>23, Felletin, Réseau de Felletin [1]</t>
  </si>
  <si>
    <t>25, Audincourt, Champs Montants [1]</t>
  </si>
  <si>
    <t>25, Besançon, Besançon-Planoise [1]</t>
  </si>
  <si>
    <t>25, Besançon, Domaine universitaire de la Bouloie [1]</t>
  </si>
  <si>
    <t>25, Béthoncourt, Champvalon [1]</t>
  </si>
  <si>
    <t>25, Le Russey, Chaufferie bois du Russey [1]</t>
  </si>
  <si>
    <t>25, Montbéliard, ZUP de la Petite Hollande [1]</t>
  </si>
  <si>
    <t>25, Mouthe, Réseau de Mouthe [1]</t>
  </si>
  <si>
    <t>26, Montélimar, Réseau Pracomptal [1]</t>
  </si>
  <si>
    <t>26, Pierrelatte, Réseau de Pierrelatte-Des [1]</t>
  </si>
  <si>
    <t>26, Valence, Réseau de la ZUP de Valence [1]</t>
  </si>
  <si>
    <t>27, Evreux, ZUP de Saint-André [1]</t>
  </si>
  <si>
    <t>27, Les Andelys, Tours du Levant clos Galots [1]</t>
  </si>
  <si>
    <t>27, Louvriers, ZAC des Maisons Rouges [1]</t>
  </si>
  <si>
    <t>27, Pont-Audemer, Quartier de l’Europe [1]</t>
  </si>
  <si>
    <t>27, Vernon, ZUP Les Valmeux [1]</t>
  </si>
  <si>
    <t>28, Chartres, ZUP de la Madeleine [1]</t>
  </si>
  <si>
    <t>28, Nogent-le-Rotrou, Les Gauchetières [1]</t>
  </si>
  <si>
    <t>29, Brest, Réseau de Brest [1]</t>
  </si>
  <si>
    <t>29, Plougastel-Daoulas, Réseau de Plougastel-Daoulas [1]</t>
  </si>
  <si>
    <t>30, Alès, Centre-ville Alès [1]</t>
  </si>
  <si>
    <t>30, Nîmes, Quartier Ouest [1]</t>
  </si>
  <si>
    <t>31, Blagnac, ZAC du Ritouret [1]</t>
  </si>
  <si>
    <t>31, Toulouse, CSU Rangueil [1]</t>
  </si>
  <si>
    <t>31, Toulouse, Réseau de Toulouse (UIOM) [1]</t>
  </si>
  <si>
    <t>33, Bordeaux, La Benauge-cité Pinçon [1]</t>
  </si>
  <si>
    <t>33, Cenon-Lormont-Floirac, Hauts de Garonne [1]</t>
  </si>
  <si>
    <t>33, Gironde-sur-Dropt, Réseau de chaleur de Gironde-sur-Dropt [1]</t>
  </si>
  <si>
    <t>33, Libourne, Puis de Gueyrosse [1]</t>
  </si>
  <si>
    <t>33, Mérignac, Parc de Mérignac ville Stemer [1]</t>
  </si>
  <si>
    <t>33, Pellegrue, Réseau de Pellegrue [1]</t>
  </si>
  <si>
    <t>33, Saint-Pierre-d’Aurillac, Réseau de chaleur de Saint-Pierre-d’Aurillac [1]</t>
  </si>
  <si>
    <t>34, Montpellier, Ernest Granier [1]</t>
  </si>
  <si>
    <t>34, Montpellier, Parc Marianne [1]</t>
  </si>
  <si>
    <t>34, Montpellier, Polygone Antigone [1]</t>
  </si>
  <si>
    <t>34, Montpellier, Port Marianne [1]</t>
  </si>
  <si>
    <t>34, Montpellier, Réseau Arches Jacques Cœur [1]</t>
  </si>
  <si>
    <t>34, Montpellier, Réseau des universités [1]</t>
  </si>
  <si>
    <t>35, Rennes, Campus scientifique de Beaulieu [1]</t>
  </si>
  <si>
    <t>35, Rennes, Quartier Sud [1]</t>
  </si>
  <si>
    <t>35, Rennes, Sarah Bernhardt [1]</t>
  </si>
  <si>
    <t>35, Rennes, Villejean-Beauregard [1]</t>
  </si>
  <si>
    <t>36, Châteauroux, Cité Saint-Jean [1]</t>
  </si>
  <si>
    <t>37, Joué-lès-Tours, Morier et Rabière [1]</t>
  </si>
  <si>
    <t>37, La Riche, Réseau de La Riche-quartier [1]</t>
  </si>
  <si>
    <t>37, Saint-Benoît-la-Forêt, Réseau UIOM Chinon [1]</t>
  </si>
  <si>
    <t>37, Saint-Pierre-des-Corps, La Rabaterie [1]</t>
  </si>
  <si>
    <t>37, Tours, Quartier Châteaubriand [1]</t>
  </si>
  <si>
    <t>37, Tours, Sanitas [1]</t>
  </si>
  <si>
    <t>37, Tours, ZUP des bords de Cher [1]</t>
  </si>
  <si>
    <t>38, Allevard, Allevard [1]</t>
  </si>
  <si>
    <t>38, Bourgoin-Jallieu, Réseau UIOM SITOM Nord Isère [1]</t>
  </si>
  <si>
    <t>38, Grenoble, Compagnie de chauffage de Grenoble [1]</t>
  </si>
  <si>
    <t>38, Saint-Marcellin, Réseau de Saint-Marcellin [1]</t>
  </si>
  <si>
    <t>39, Dole, Réseau de Dole [1]</t>
  </si>
  <si>
    <t>39, Lons-le-Saunier, La Marjorie [1]</t>
  </si>
  <si>
    <t>39, Moirans-en-Montagne, Réseau de Moirans-en-Montagne [1]</t>
  </si>
  <si>
    <t>40, Dax, ZAC des bords de l’Adour [1]</t>
  </si>
  <si>
    <t>41, Blois, Quartier Bégon et Chevalier [1]</t>
  </si>
  <si>
    <t>41, Mondoubleau, Réseau de Mondoubleau [1]</t>
  </si>
  <si>
    <t>41, Vineuil, ZAC des Paradis [1]</t>
  </si>
  <si>
    <t>42, Andrézieux-Bouthéon, Réseau d’Andrézieux-Bouthéon [1]</t>
  </si>
  <si>
    <t>42, Firminy, Réseau de Firminy [1]</t>
  </si>
  <si>
    <t>42, Montrond-les-Bains, Réseau de Montrond-les-Bains [1]</t>
  </si>
  <si>
    <t>42, Roanne, ZUP du Parc des Sports [1]</t>
  </si>
  <si>
    <t>42, Roanne, ZUP RN 7 [1]</t>
  </si>
  <si>
    <t>42, Saint-Etienne, La Métare [1]</t>
  </si>
  <si>
    <t>42, Saint-Etienne, Montchovet-Beaulieu 4 (HLM) [1]</t>
  </si>
  <si>
    <t>42, Saint-Etienne, Réseau de chaleur VIACONFORT [1]</t>
  </si>
  <si>
    <t>42, Saint-Etienne, ZUP de la Cotonne [1]</t>
  </si>
  <si>
    <t>42, Saint-Etienne, ZUP de Montreynaud [1]</t>
  </si>
  <si>
    <t>43, Dunières, Chaufferie de la mairie [1]</t>
  </si>
  <si>
    <t>43, Dunières, Chaufferie de la piscine [1]</t>
  </si>
  <si>
    <t>43, Langeac, Langeac [1]</t>
  </si>
  <si>
    <t>43, Yssingeaux, Réseau de chaleur YES [1]</t>
  </si>
  <si>
    <t>44, Nantes, Beaulieu Malakoff-Valorena [1]</t>
  </si>
  <si>
    <t>44, Nantes-Saint-Herblain, ZUP de Bellevue Saint-Herblain [1]</t>
  </si>
  <si>
    <t>45, Fleury-les-Aubrais, Réseau de Fleury-les-Aubrais [1]</t>
  </si>
  <si>
    <t>45, Montargis, ZUP du Grand clos [1]</t>
  </si>
  <si>
    <t>45, Orléans, Quartier centre-ville et Nord [1]</t>
  </si>
  <si>
    <t>45, Orléans, Socos [1]</t>
  </si>
  <si>
    <t>45, Pithiviers, CVE Pithiviers [1]</t>
  </si>
  <si>
    <t>46, Biars-sur-Cère, Réseau de Biars-sur-Cère [1]</t>
  </si>
  <si>
    <t>46, Caillac, Réseau de Caillac [1]</t>
  </si>
  <si>
    <t>46, Cajarc, Réseau de Cajarc [1]</t>
  </si>
  <si>
    <t>46, Catus, Réseau de Catus [1]</t>
  </si>
  <si>
    <t>46, Cazals, Cazals terrain des Prades [1]</t>
  </si>
  <si>
    <t>46, Figeac, Réseau de Figeac [1]</t>
  </si>
  <si>
    <t>46, Les Quatre-Routes-du-Lot, Réseau des Quatre-Routes-du-Lot [1]</t>
  </si>
  <si>
    <t>46, Nuzéjouls, Réseau de Nuzéjouls [1]</t>
  </si>
  <si>
    <t>46, Saint-Germain-du-Bel-Air, Réseau de Saint-Germain-du-Bel-Air [1]</t>
  </si>
  <si>
    <t>46, Sousceyrac, Réseau de Sousceyrac [1]</t>
  </si>
  <si>
    <t>47, Le Passage, Novergie Sud-Ouest Sogad (UIOM) [1]</t>
  </si>
  <si>
    <t>48, Mende, Mende [1]</t>
  </si>
  <si>
    <t>49, Andrezé, Réseau de chaleur d’Andrezé [1]</t>
  </si>
  <si>
    <t>49, Angers, CHU Angers [1]</t>
  </si>
  <si>
    <t>49, Angers, Réseau d’Angers [1]</t>
  </si>
  <si>
    <t>49, Angers, ZUP de Jeanne-d’Arc [1]</t>
  </si>
  <si>
    <t>49, Saumur, Chemin Vert [1]</t>
  </si>
  <si>
    <t>50, Cherbourg, Ilot Divette [1]</t>
  </si>
  <si>
    <t>50, Cherbourg, ZUP d’Octeville [1]</t>
  </si>
  <si>
    <t>51, Epernay, Quartier Bernon [1]</t>
  </si>
  <si>
    <t>51, Reims, Croix-Rouge [1]</t>
  </si>
  <si>
    <t>51, Reims, Réseau UIOM [1]</t>
  </si>
  <si>
    <t>51, Reims, ZUP Laon-Neufchâtel [1]</t>
  </si>
  <si>
    <t>52, Chaumont, La Rochotte [1]</t>
  </si>
  <si>
    <t>52, Saint-Dizier, Ensemble du Vert bois [1]</t>
  </si>
  <si>
    <t>52, Saint-Dizier, ZUP de Gigny [1]</t>
  </si>
  <si>
    <t>53, Laval, ZUP de Nicolas [1]</t>
  </si>
  <si>
    <t>54, Ecrouves, Réseau d’Ecrouves [1]</t>
  </si>
  <si>
    <t>54, Nancy, Haut du Lièvre [1]</t>
  </si>
  <si>
    <t>54, Nancy, Nancy Energie [1]</t>
  </si>
  <si>
    <t>54, Vandœuvre-lès-Nancy, Réseau de Vandœuvre [1]</t>
  </si>
  <si>
    <t>55, Bar-le-Duc, Côte Sainte-Catherine [1]</t>
  </si>
  <si>
    <t>55, Ligny-en-Barrois, Ligny-en-Barrois [1]</t>
  </si>
  <si>
    <t>55, Verdun, ZUP Anthouard [1]</t>
  </si>
  <si>
    <t>56, Hennebont, Réseau de chaleur ZAC Centre [1]</t>
  </si>
  <si>
    <t>56, Lanester, Réseau de Lanester [1]</t>
  </si>
  <si>
    <t>57, Farébersviller, Réseau du Farébersviller [1]</t>
  </si>
  <si>
    <t>57, Forbach-Stiring-Wendel-Behren-lès-Forbach, Réseau de Holweg-Forbach-Behren [1]</t>
  </si>
  <si>
    <t>57, Freyming-Merlebach, Réseau de Freyming-Merlebach [1]</t>
  </si>
  <si>
    <t>57, Metz, Metz Cité [1]</t>
  </si>
  <si>
    <t>57, Metz, Metz Est [1]</t>
  </si>
  <si>
    <t>57, Saint-Avold, Carrière [1]</t>
  </si>
  <si>
    <t>57, Saint-Avold, Côte de la Justice [1]</t>
  </si>
  <si>
    <t>57, Saint-Avold, Huchet [1]</t>
  </si>
  <si>
    <t>57, Saint-Avold, Wenheck [1]</t>
  </si>
  <si>
    <t>57, Sarreguemines, Réseau de Sarreguemines [1]</t>
  </si>
  <si>
    <t>58, Nevers, Réseau de Nevers [1]</t>
  </si>
  <si>
    <t>59, Dunkerque, Energie Grand Littoral [1]</t>
  </si>
  <si>
    <t>59, Hazebrouck, Réseau de chauffage d’Hazebrouck [1]</t>
  </si>
  <si>
    <t>59, Lille, Métropole Nord [1]</t>
  </si>
  <si>
    <t>59, Maubeuge, ZUP de la Caserne joyeuse [1]</t>
  </si>
  <si>
    <t>59, Mons-en-Barœul, Monsenergie [1]</t>
  </si>
  <si>
    <t>59, Roubaix, Alma-Beaurepaire [1]</t>
  </si>
  <si>
    <t>59, Sin-le-Noble, ZAC des Epis [1]</t>
  </si>
  <si>
    <t>59, Villeneuve-d’Ascq, Domaine universitaire et scientifique [1]</t>
  </si>
  <si>
    <t>59, Villeneuve-d’Ascq, Quartier Pont de bois [1]</t>
  </si>
  <si>
    <t>59, Wattignies, ZUP de Wattignies-Blanc Riez [1]</t>
  </si>
  <si>
    <t>59, Wattrelos, Réseau de Wattrelos [1]</t>
  </si>
  <si>
    <t>60, Compiègne, Réseau de Compiègne [1]</t>
  </si>
  <si>
    <t>60, Creil, La Cavée [1]</t>
  </si>
  <si>
    <t>60, Creil, Les Hironvalles [1]</t>
  </si>
  <si>
    <t>60, Montataire, Les Martinets [1]</t>
  </si>
  <si>
    <t>60, Nogent-sur-Oise, Quartier des Obiers [1]</t>
  </si>
  <si>
    <t>61, Alençon, Perseigne [1]</t>
  </si>
  <si>
    <t>61, Flers, ZUP de Flers [1]</t>
  </si>
  <si>
    <t>61, La Ferté-Macé, Réseau de La Ferté-Macé [1]</t>
  </si>
  <si>
    <t>62, Arras, Réseau d’Arras [1]</t>
  </si>
  <si>
    <t>62, Béthune, Réseau centre-ville [1]</t>
  </si>
  <si>
    <t>62, Béthune, ZUP de Béthune [1]</t>
  </si>
  <si>
    <t>62, Calais, Calais Energie [1]</t>
  </si>
  <si>
    <t>62, Lens, ZUP de Lens [1]</t>
  </si>
  <si>
    <t>62, Liévin, Réseau de Liévin [1]</t>
  </si>
  <si>
    <t>63, Aubière, Campus des Cézeaux [1]</t>
  </si>
  <si>
    <t>63, Beaumont, ZAC du Masage [1]</t>
  </si>
  <si>
    <t>63, Clermont-Ferrand, Saint-Jacques (HLM) [1]</t>
  </si>
  <si>
    <t>63, Clermont-Ferrand, ZUP de la Gauthière [1]</t>
  </si>
  <si>
    <t>63, Royat, Réseau de Royat [1]</t>
  </si>
  <si>
    <t>67, Haguenau, Réseau de Haguenau [1]</t>
  </si>
  <si>
    <t>67, Ostwald, Cité du Wihrel [1]</t>
  </si>
  <si>
    <t>67, Strasbourg, Cité de l’Ill [1]</t>
  </si>
  <si>
    <t>67, Strasbourg, Elsau [1]</t>
  </si>
  <si>
    <t>67, Strasbourg, L’esplanade [1]</t>
  </si>
  <si>
    <t>68, Cernay, Réseau de Cernay [1]</t>
  </si>
  <si>
    <t>68, Colmar, Montagne Verte [1]</t>
  </si>
  <si>
    <t>68, Colmar, Réseau de Colmar [1]</t>
  </si>
  <si>
    <t>68, Didenheim, L’Illberg [1]</t>
  </si>
  <si>
    <t>68, Rixheim, Réseau de Rixheim [1]</t>
  </si>
  <si>
    <t>68, Saint-Louis, Cité technique [1]</t>
  </si>
  <si>
    <t>68, Saint-Louis, Ilôt de la Gare [1]</t>
  </si>
  <si>
    <t>68, Volgelsheim, Réseau de Volgelsheim [1]</t>
  </si>
  <si>
    <t>69, Bron, ZUP de Bron-Parilly [1]</t>
  </si>
  <si>
    <t>69, Champagne-au-Mont-d’Or, La Duchère et Lyon (9e) [1]</t>
  </si>
  <si>
    <t>69, Ecully, Les Sources (HLM) [1]</t>
  </si>
  <si>
    <t>69, Givors, Les Vernes [1]</t>
  </si>
  <si>
    <t>69, Gleize, Belleroche Ouest [1]</t>
  </si>
  <si>
    <t>69, Lyon, Mermoz Sud [1]</t>
  </si>
  <si>
    <t>69, Lyon, Résidence des Deux Amants [1]</t>
  </si>
  <si>
    <t>69, Lyon-Villeurbanne, Réseau Lyon-Villeurbanne [1]</t>
  </si>
  <si>
    <t>69, Oullins, Plateau de Montmein [1]</t>
  </si>
  <si>
    <t>69, Rillieux-la-Pape, Domaine de la Roue [1]</t>
  </si>
  <si>
    <t>69, Rillieux-la-Pape, Les Semailles [1]</t>
  </si>
  <si>
    <t>69, Rillieux-la-Pape, Réseau de Rillieux-la-Pape (UIOM) [1]</t>
  </si>
  <si>
    <t>69, Vaulx-en-Velin, Réseau de Vaulx-en-Velin [1]</t>
  </si>
  <si>
    <t>69, Vénissieux, Les Minguettes [1]</t>
  </si>
  <si>
    <t>69, Villefranche-sur-Saône, Réseau UIOM Villefranche [1]</t>
  </si>
  <si>
    <t>69, Villeurbanne, Campus de la Doua [1]</t>
  </si>
  <si>
    <t>69, Villeurbanne, La Perralière [1]</t>
  </si>
  <si>
    <t>70, Gray, ZUP des Capucins [1]</t>
  </si>
  <si>
    <t>70, Saulnot, Réseau de Saulnot [1]</t>
  </si>
  <si>
    <t>71, Autun, Réseau d’Autun [1]</t>
  </si>
  <si>
    <t>71, Chalon-sur-Saône, Réseau de Chalon [1]</t>
  </si>
  <si>
    <t>71, Mâcon, Réseau de Mâcon [1]</t>
  </si>
  <si>
    <t>71, Montceau-les-Mines, Réseau de Montceau-les-Mines [1]</t>
  </si>
  <si>
    <t>71, Tramayes, Réseau de Tramayes [1]</t>
  </si>
  <si>
    <t>72, Coulaine, Bellevue [1]</t>
  </si>
  <si>
    <t>72, Le Mans Allonnes, ZUP d’Allonnes [1]</t>
  </si>
  <si>
    <t>72, Le Mans, Percée Centrale [1]</t>
  </si>
  <si>
    <t>72, Le Mans, Réseau du Mans [1]</t>
  </si>
  <si>
    <t>73, Chambéry, Bissy et Croix Rouge [1]</t>
  </si>
  <si>
    <t>73, Macôt-la-Plagne, La Plagne [1]</t>
  </si>
  <si>
    <t>73, Notre-Dame-des-Millières, Réseau de Notre-Dame-des-Millières [1]</t>
  </si>
  <si>
    <t>73, Saint-Etienne-de-Cuines, Réseau de Saint-Etienne-de-Cuines [1]</t>
  </si>
  <si>
    <t>74, Annecy, Novel [1]</t>
  </si>
  <si>
    <t>74, Cluses, Réseau de la ZUP des Ewues [1]</t>
  </si>
  <si>
    <t>74, Faverges, ZA La Cudra [1]</t>
  </si>
  <si>
    <t>74, Les Carroz-d’Arraches, Flaine [1]</t>
  </si>
  <si>
    <t>74, Scionzier, ZUP de Cozets [1]</t>
  </si>
  <si>
    <t>74, Seynod, ZUP de Champ Fleury [1]</t>
  </si>
  <si>
    <t>74, Thonon-les-Bains, Réseau de la Rénovation [1]</t>
  </si>
  <si>
    <t>75, Paris, CPCU-Paris et communes limitrophes [1]</t>
  </si>
  <si>
    <t>75, Paris, Réseau Climespace [1]</t>
  </si>
  <si>
    <t>75, Paris, Rue Legendre [1]</t>
  </si>
  <si>
    <t>76, Canteleu, ZUP de la Cité Verte [1]</t>
  </si>
  <si>
    <t>76, Le Havre, La Côte Brulée [1]</t>
  </si>
  <si>
    <t>76, Le Havre, ZAC du Mont Gaillard [1]</t>
  </si>
  <si>
    <t>76, Le Havre, ZUP de Caucriauville [1]</t>
  </si>
  <si>
    <t>76, Mont-Saint-Aignan, Réseau de Mont-Saint-Aignan [1]</t>
  </si>
  <si>
    <t>76, Neuville-lès-Dieppe, Extension Nord-Thermical [1]</t>
  </si>
  <si>
    <t>76, Petit-Quevilly, ZAC Nobel Bozel [1]</t>
  </si>
  <si>
    <t>76, Rouen, CHU Charles Nicolle [1]</t>
  </si>
  <si>
    <t>76, Rouen, Curb-Bihorel [1]</t>
  </si>
  <si>
    <t>76, Rouen, Grammont [1]</t>
  </si>
  <si>
    <t>76, Saint-Etienne-du-Rouvray, Château Blanc [1]</t>
  </si>
  <si>
    <t>77, Avon, Centrale de la butte Monceau [1]</t>
  </si>
  <si>
    <t>77, Chelles, Réseau de Chelles [1]</t>
  </si>
  <si>
    <t>77, Coulommiers, Réseau de Coulommiers [1]</t>
  </si>
  <si>
    <t>77, Dammarie-les-Lys, Réseau de Dammarie-les-Lys [1]</t>
  </si>
  <si>
    <t>77, Le Mée-sur-Seine, Réseau du Mée-sur-Seine [1]</t>
  </si>
  <si>
    <t>77, Meaux, Beauval-Collinet [1]</t>
  </si>
  <si>
    <t>77, Meaux, Hôpital [1]</t>
  </si>
  <si>
    <t>77, Melun, Almont-Montaigu [1]</t>
  </si>
  <si>
    <t>77, Montereau-Fault-Yonne, ZUP de Surville [1]</t>
  </si>
  <si>
    <t>77, Nemours, ZUP du Mont Saint-Martin (GTNM) [1]</t>
  </si>
  <si>
    <t>77, Torcy, Réseau de Marne-la-Vallée [1]</t>
  </si>
  <si>
    <t>77, Vaux-le-Pénil, Réseau de Vaux-le-Pénil [1]</t>
  </si>
  <si>
    <t>78, Carrières-sur-Seine, Réseau de Carrières-Chatou [1]</t>
  </si>
  <si>
    <t>78, Chanteloup, ZAC de la Noe [1]</t>
  </si>
  <si>
    <t>78, Elancourt, Les Nouveaux Horizons [1]</t>
  </si>
  <si>
    <t>78, La Celle-Saint-Cloud, Domaine de Beauregard-Cogecel [1]</t>
  </si>
  <si>
    <t>78, Le Chesnay, Parly II-Le Chesnay [1]</t>
  </si>
  <si>
    <t>78, Les Mureaux, Quartier Grand Ouest et des Musiciens [1]</t>
  </si>
  <si>
    <t>78, Mantes-la-Jolie, Le Val Fourré [1]</t>
  </si>
  <si>
    <t>78, Plaisir, Réseau de Plaisir-Resop [1]</t>
  </si>
  <si>
    <t>78, Saint-Germain-en-Laye, Réseau de Saint-Germain-en-Laye [1]</t>
  </si>
  <si>
    <t>78, Vélizy-Villacoublay, Réseau de Vélizy [1]</t>
  </si>
  <si>
    <t>78, Versailles, Réseau SVCU de Versailles [1]</t>
  </si>
  <si>
    <t>79, Bressuire, Réseau de Bressuire [1]</t>
  </si>
  <si>
    <t>79, Niort, ZUP Le Clou Bouchet [1]</t>
  </si>
  <si>
    <t>80, Amiens, Etouvie [1]</t>
  </si>
  <si>
    <t>80, Amiens, Le Pigeonnier [1]</t>
  </si>
  <si>
    <t>80, Montdidier, Réseau de Montdidier [1]</t>
  </si>
  <si>
    <t>81, Carmaux, Réseau de Carmaux [1]</t>
  </si>
  <si>
    <t>81, Castres, Réseau de Castres-Lameilhé [1]</t>
  </si>
  <si>
    <t>81, Mazamet, Chauffage urbain de Mazamet [1]</t>
  </si>
  <si>
    <t>82, Caylus, Réseau de Caylus [1]</t>
  </si>
  <si>
    <t>82, Montauban, Réseau de Montauban-Setmo [1]</t>
  </si>
  <si>
    <t>83, Toulon, Réseau La Beaucaire (UIOM) [1]</t>
  </si>
  <si>
    <t>84, Avignon, Le Triennal [1]</t>
  </si>
  <si>
    <t>85, La Roche-sur-Yon, OPHLM Vendée [1]</t>
  </si>
  <si>
    <t>85, Les Herbiers, Réseau Les Herbiers [1]</t>
  </si>
  <si>
    <t>86, Poitiers, ZUP des Couronneries [1]</t>
  </si>
  <si>
    <t>87, Limoges, Quartier de l’hôtel de ville [1]</t>
  </si>
  <si>
    <t>87, Limoges, ZAC de Beaubreuil [1]</t>
  </si>
  <si>
    <t>87, Limoges, ZUP Val de l’Aurence [1]</t>
  </si>
  <si>
    <t>88, Epinal, Plateau de la Justice [1]</t>
  </si>
  <si>
    <t>88, Fresse-sur-Moselle, Réseau de Fresse-sur-Moselle [1]</t>
  </si>
  <si>
    <t>88, Saint-Dié, Quartier Kellerman [1]</t>
  </si>
  <si>
    <t>88, Vittel, ZAD du Haut de Fol [1]</t>
  </si>
  <si>
    <t>89, Auxerre, ZUP de Sainte-Geneviève [1]</t>
  </si>
  <si>
    <t>89, Sens, Les Chaillots [1]</t>
  </si>
  <si>
    <t>89, Sens, ZUP des Grahuches [1]</t>
  </si>
  <si>
    <t>90, Belfort, ZUP des Glacis [1]</t>
  </si>
  <si>
    <t>91, Bruyères-le-Châtel, CEA DIF [1]</t>
  </si>
  <si>
    <t>91, Corbeil-Essonnes, Les Tarterêts [1]</t>
  </si>
  <si>
    <t>91, Dourdan, Réseau de Dourdan [1]</t>
  </si>
  <si>
    <t>91, Epinay-sous-Sénart, Réseau d’Epinay-sous-Sénart [1]</t>
  </si>
  <si>
    <t>91, Evry, Réseau d’Evry [1]</t>
  </si>
  <si>
    <t>91, Grigny, Réseau de Grigny COFELY [1]</t>
  </si>
  <si>
    <t>91, Grigny, Réseau de Grigny SOCCRAM [1]</t>
  </si>
  <si>
    <t>91, Les Ulis, Réseau des Ulis-Thermulis [1]</t>
  </si>
  <si>
    <t>91, Massy, Réseau de Massy-Antony [1]</t>
  </si>
  <si>
    <t>91, Ris-Orangis, Réseau de Ris-Orangis [1]</t>
  </si>
  <si>
    <t>91, Sainte-Geneviève-des-Bois, Réseaux ZUP de Saint-Hubert et Louis Pergaud [1]</t>
  </si>
  <si>
    <t>91, Saint-Michel-sur-Orge, Domaine du Bois des Roches [1]</t>
  </si>
  <si>
    <t>91, Vigneux-sur-Seine, ZUP de la Croix Blanche [1]</t>
  </si>
  <si>
    <t>91, Villejust, Réseau Parc d’activités [1]</t>
  </si>
  <si>
    <t>92, Boulogne-Billancourt, ZAC île Séguin-Rives de Seine [1]</t>
  </si>
  <si>
    <t>92, Châtillon-sous-Bagneux, Réseau de Châtillon-sous-Bagneux [1]</t>
  </si>
  <si>
    <t>92, Chaville, Réseau de Chaville [1]</t>
  </si>
  <si>
    <t>92, Clichy-la-Garenne, Réseau de Clichy [1]</t>
  </si>
  <si>
    <t>92, Colombes, Les Fossés Jean Nord [1]</t>
  </si>
  <si>
    <t>92, Courbevoie, Réseau de La Défense-Enertherm [1]</t>
  </si>
  <si>
    <t>92, Courbevoie, Réseau Soclic [1]</t>
  </si>
  <si>
    <t>92, Gennevilliers, Réseau Gennedith [1]</t>
  </si>
  <si>
    <t>92, Le Plessis-Robinson, Réseau du Plessis-Robinson (HLM) [1]</t>
  </si>
  <si>
    <t>92, Le Plessis-Robinson, Réseau du Plessis-Robinson-ZIPEC [1]</t>
  </si>
  <si>
    <t>92, Levallois-Perret, ZAC de Levallois-Perret [1]</t>
  </si>
  <si>
    <t>92, Levallois-Perret, ZAC du Front de Seine [1]</t>
  </si>
  <si>
    <t>92, Meudon-la-Forêt, Réseau de Meudon [1]</t>
  </si>
  <si>
    <t>92, Puteaux, Réseau Ciceo [1]</t>
  </si>
  <si>
    <t>92, Suresnes, Chauffage urbain de Suresnes [1]</t>
  </si>
  <si>
    <t>92, Villeneuve-la-Garenne, Résidence Villeneuve [1]</t>
  </si>
  <si>
    <t>93, Aubervilliers, Pariféric [1]</t>
  </si>
  <si>
    <t>93, Aulnay-sous-Bois, Aulnay 3000-Rose des Vents [1]</t>
  </si>
  <si>
    <t>93, Aulnay-sous-Bois, Garonor [1]</t>
  </si>
  <si>
    <t>93, Aulnay-sous-Bois, Le Gros Saule [1]</t>
  </si>
  <si>
    <t>93, Bobigny, ZUP de Bobigny [1]</t>
  </si>
  <si>
    <t>93, Bondy, Réseau de Bondy [1]</t>
  </si>
  <si>
    <t>93, Clichy-sous-Bois, Le Chêne Pointu [1]</t>
  </si>
  <si>
    <t>93, La Courneuve, La Courneuve quartier Nord [1]</t>
  </si>
  <si>
    <t>93, La Courneuve, La Courneuve quartier Sud [1]</t>
  </si>
  <si>
    <t>93, Le Blanc-Mesnil, Réseau du Blanc-Mesnil [1]</t>
  </si>
  <si>
    <t>93, Le Bourget, Réseau ADP-Le Bourget [1]</t>
  </si>
  <si>
    <t>93, Les Lilas, Résidence Les Lilas [1]</t>
  </si>
  <si>
    <t>93, Neuilly-sur-Marne, ZUP des Fauvettes [1]</t>
  </si>
  <si>
    <t>93, Saint-Denis, Réseau de Saint-Denis [1]</t>
  </si>
  <si>
    <t>93, Saint-Denis, Stade Energies Sésas [1]</t>
  </si>
  <si>
    <t>93, Sevran, Rougemont Perrin Chanteloup [1]</t>
  </si>
  <si>
    <t>93, Sevran, ZAC de Sevran [1]</t>
  </si>
  <si>
    <t>93, Tremblay-en-France, Tremblay-en-France [1]</t>
  </si>
  <si>
    <t>93, Villepinte, Réseau de Villepinte [1]</t>
  </si>
  <si>
    <t>94, Alfortville, Réseau d’Alfortville-Smag [1]</t>
  </si>
  <si>
    <t>94, Bonneuil-sur-Marne, Réseau de Bonneuil-sur-Marne (UIOM) [1]</t>
  </si>
  <si>
    <t>94, Cachan, Réseau de Cachan [1]</t>
  </si>
  <si>
    <t>94, Champigny-sur-Marne, Réseau de Champigny-sur-Marne [1]</t>
  </si>
  <si>
    <t>94, Créteil, Réseau de Créteil-Scuc [1]</t>
  </si>
  <si>
    <t>94, Fontenay-sous-Bois, Fontenay-sous-Bois [1]</t>
  </si>
  <si>
    <t>94, Fresnes, Fresnes Sud [1]</t>
  </si>
  <si>
    <t>94, Fresnes, Quartier Nord [1]</t>
  </si>
  <si>
    <t>94, Ivry, Réseau d’Ivry [1]</t>
  </si>
  <si>
    <t>94, L’Hay ¨-les-Roses, Réseau de Chevilly-Larue et l’Hay ¨-les-Roses [1]</t>
  </si>
  <si>
    <t>94, Maison-Alfort, Réseau de Maison-Alfort [1]</t>
  </si>
  <si>
    <t>94, Orly, Réseau ADP Orly [1]</t>
  </si>
  <si>
    <t>94, Orly, Réseau d’Orly [1]</t>
  </si>
  <si>
    <t>94, Sucy-en-Brie, Réseau de Sucy-en-Brie [1]</t>
  </si>
  <si>
    <t>94, Thiais, Réseau de Thiais [1]</t>
  </si>
  <si>
    <t>94, Villeneuve-Saint-Georges, Réseau de Villeneuve-Saint-Georges [1]</t>
  </si>
  <si>
    <t>94, Vitry-sur-Seine, Réseau de Vitry-sur-Seine [1]</t>
  </si>
  <si>
    <t>95, Argenteuil, Réseau d’Argenteuil [1]</t>
  </si>
  <si>
    <t>95, Cergy-Pontoise, Réseau de Cergy-Pontoise [1]</t>
  </si>
  <si>
    <t>95, Franconville, ZAC Montedour [1]</t>
  </si>
  <si>
    <t>95, Franconville, ZUP de l’Epine Guyon [1]</t>
  </si>
  <si>
    <t>95, Franconville, ZUP de Sannois-Ermont-Franconville [1]</t>
  </si>
  <si>
    <t>95, Garges-lès-Gonesse, Van Gogh [1]</t>
  </si>
  <si>
    <t>95, Pontoise, Réseau de Pontoise [1]</t>
  </si>
  <si>
    <t>95, Roissy, Réseaux ADP Roissy [1]</t>
  </si>
  <si>
    <t>95, Sarcelles, Grand ensemble Sarcelles-Lochères [1]</t>
  </si>
  <si>
    <t>95, Taverny, Réseau de la ZAC Croix Rouge [1]</t>
  </si>
  <si>
    <t>95, Villiers-le-Bel, Réseau de Villiers-le-Bel-Gonesse [1]</t>
  </si>
  <si>
    <t>42, Saint-Etienne, Réseau de froid VIACONFORT [1]</t>
  </si>
  <si>
    <t>92, Issy-les-Moulineaux, Réseau Suc [1]</t>
  </si>
  <si>
    <t>93, Saint-Denis, Stade Energies [1]</t>
  </si>
  <si>
    <t>95, Roissy, Réseau ADP Roissy [1]</t>
  </si>
  <si>
    <t>?</t>
  </si>
  <si>
    <t>Costa rica [1]</t>
  </si>
  <si>
    <t>El Salvador [1]</t>
  </si>
  <si>
    <t>Kosovo [1]</t>
  </si>
  <si>
    <t>Montenegro [1]</t>
  </si>
  <si>
    <t>Qatar [1]</t>
  </si>
  <si>
    <t>Suivi indicateur - 2012, 2013 et 2014</t>
  </si>
  <si>
    <t>Bilans annuel 2012, 2013 et 2014</t>
  </si>
  <si>
    <t>CO2
(kg CO2e)</t>
  </si>
  <si>
    <t>CH4
(kg CO2e)</t>
  </si>
  <si>
    <t>N2O
(kg CO2e)</t>
  </si>
  <si>
    <t>CO2 b
(kg CO2e)</t>
  </si>
  <si>
    <t>HFCs
(kg CO2e)</t>
  </si>
  <si>
    <t>PFCs
(kg CO2e)</t>
  </si>
  <si>
    <t>SF6
(kg CO2e)</t>
  </si>
  <si>
    <t>CO2 b de combustion
(kg CO2e)</t>
  </si>
  <si>
    <t>CH4
(t CO2e)</t>
  </si>
  <si>
    <t>N2O
(t CO2e)</t>
  </si>
  <si>
    <t>CO2
(t CO2e)</t>
  </si>
  <si>
    <t>HFCs
(t CO2e)</t>
  </si>
  <si>
    <t>PFCs
(t CO2e)</t>
  </si>
  <si>
    <t>SF6
(t CO2e)</t>
  </si>
  <si>
    <t>CO2 b
(t CO2e)</t>
  </si>
  <si>
    <t>CO2 b de combustion
(t CO2e)</t>
  </si>
  <si>
    <t>Trisuperphosphate (TSP), Europe [1]</t>
  </si>
  <si>
    <t>Banol, DOM COM [1]</t>
  </si>
  <si>
    <t>Herbicide, Europe [1]</t>
  </si>
  <si>
    <t>tonne de N</t>
  </si>
  <si>
    <t>kg de matière active</t>
  </si>
  <si>
    <t>tonne de K2O</t>
  </si>
  <si>
    <t>tonne de P2O5</t>
  </si>
  <si>
    <t>tonne de P</t>
  </si>
  <si>
    <t>Semi</t>
  </si>
  <si>
    <t>Europe, GDF Suez [3]</t>
  </si>
  <si>
    <t>France, EDF France [3]</t>
  </si>
  <si>
    <t>Portugal, EDP [3]</t>
  </si>
  <si>
    <t>CO2 b</t>
  </si>
  <si>
    <t>CH4 f + CH4 b</t>
  </si>
  <si>
    <t>CH4 f + Ch4 b</t>
  </si>
  <si>
    <t>kg</t>
  </si>
  <si>
    <t>m</t>
  </si>
  <si>
    <t>Tramway Paris [1]</t>
  </si>
  <si>
    <t>Base Carbone® V11.2</t>
  </si>
  <si>
    <t>France - 2008 [1]</t>
  </si>
  <si>
    <t>France - 2009 [1]</t>
  </si>
  <si>
    <t>France - 2010 [1]</t>
  </si>
  <si>
    <t>France - 2011 [1]</t>
  </si>
  <si>
    <t>France - 2012 [1]</t>
  </si>
  <si>
    <t>France - 2013 [1]</t>
  </si>
  <si>
    <t>France - 2014 [1]</t>
  </si>
  <si>
    <t>France, St Martin [1]</t>
  </si>
  <si>
    <t>France, St Barthélémy [1]</t>
  </si>
  <si>
    <t>France, Guadeloupe hors COM [1]</t>
  </si>
  <si>
    <t>Emissions factors</t>
  </si>
  <si>
    <t>Categories :</t>
  </si>
  <si>
    <t>GWP</t>
  </si>
  <si>
    <t>Transporting People</t>
  </si>
  <si>
    <t>Inputs</t>
  </si>
  <si>
    <t>Energy</t>
  </si>
  <si>
    <t>Waste</t>
  </si>
  <si>
    <t>Global Warming Potential (GWP - 100 years from the 5th IPCC report)</t>
  </si>
  <si>
    <t>Freight</t>
  </si>
  <si>
    <t>Capital goods</t>
  </si>
  <si>
    <t>Gas</t>
  </si>
  <si>
    <t>kg CO2e per kg</t>
  </si>
  <si>
    <t>Uncertainty</t>
  </si>
  <si>
    <t>Halocarbons included in Kyoto protocol</t>
  </si>
  <si>
    <t>R116 or PFC-116</t>
  </si>
  <si>
    <t>R125 or HFC-125</t>
  </si>
  <si>
    <t>R134a or HFC-134a</t>
  </si>
  <si>
    <t>R14 or PFC-14</t>
  </si>
  <si>
    <t>R143a or HFC-143a</t>
  </si>
  <si>
    <t>R152a or HFC-152a</t>
  </si>
  <si>
    <t>R218 or PFC-218</t>
  </si>
  <si>
    <t>R227ea or HFC-227ea</t>
  </si>
  <si>
    <t>R23 or HFC-23</t>
  </si>
  <si>
    <t>R318 or PFC-318</t>
  </si>
  <si>
    <t>R32 or HFC-32</t>
  </si>
  <si>
    <t>R4310mee or HFC-43-10mee</t>
  </si>
  <si>
    <t>R5114 or PFC-5-1-14</t>
  </si>
  <si>
    <t xml:space="preserve">NF3 or Nitrogen Trifluorure </t>
  </si>
  <si>
    <t>SF6 or Sulfur Hexafluoride</t>
  </si>
  <si>
    <t>CH4 biogenic</t>
  </si>
  <si>
    <t>CH4 fossil</t>
  </si>
  <si>
    <t>Gas non-included in Kyoto protocol</t>
  </si>
  <si>
    <t>Methyl bromide</t>
  </si>
  <si>
    <t>Methyl chloroforme</t>
  </si>
  <si>
    <t>R11 or CFC-11</t>
  </si>
  <si>
    <t>R113 or CFC-113</t>
  </si>
  <si>
    <t>R114 or CFC-114</t>
  </si>
  <si>
    <t>R115 or CFC-115</t>
  </si>
  <si>
    <t>R12 or CFC-12</t>
  </si>
  <si>
    <t>R122 or HCFC-122</t>
  </si>
  <si>
    <t>R122a or HCFC-122a</t>
  </si>
  <si>
    <t>R123 or HCFC-123</t>
  </si>
  <si>
    <t>R123a or HCFC-123a</t>
  </si>
  <si>
    <t>R124 or HCFC-124</t>
  </si>
  <si>
    <t>R13 or CFC-13</t>
  </si>
  <si>
    <t>R132c or HCFC-132c</t>
  </si>
  <si>
    <t>R141b or HCFC-141b</t>
  </si>
  <si>
    <t>R142b or HCFC-142b</t>
  </si>
  <si>
    <t>R21 or HCFC-21</t>
  </si>
  <si>
    <t>R22 or HCFC-22</t>
  </si>
  <si>
    <t>R225ca or HCFC-225ca</t>
  </si>
  <si>
    <t>R225cb or HCFC-225cb</t>
  </si>
  <si>
    <t>Tetrachloromethane</t>
  </si>
  <si>
    <t>Emission factors of fossil fuels</t>
  </si>
  <si>
    <t>Total emissions</t>
  </si>
  <si>
    <t>Fuel</t>
  </si>
  <si>
    <t>kg CO2e per tonne</t>
  </si>
  <si>
    <t>upstream</t>
  </si>
  <si>
    <t>kg CO2e per kWh LHV</t>
  </si>
  <si>
    <t>kg CO2e per litre</t>
  </si>
  <si>
    <t>kg CO2e per toe LHV</t>
  </si>
  <si>
    <t>Breakdown of GHG emissions by type  - CO2</t>
  </si>
  <si>
    <t>Biomass-related CO2 emissions</t>
  </si>
  <si>
    <t>Breakdown of GHG emissions by type - N2O</t>
  </si>
  <si>
    <t>Breakdown of GHG emissions by type - CH4 f + CH4 b</t>
  </si>
  <si>
    <r>
      <t xml:space="preserve">kg </t>
    </r>
    <r>
      <rPr>
        <sz val="10"/>
        <color rgb="FFFF0000"/>
        <rFont val="Arial"/>
        <family val="2"/>
      </rPr>
      <t xml:space="preserve">CO2e </t>
    </r>
    <r>
      <rPr>
        <sz val="10"/>
        <rFont val="Arial"/>
        <family val="2"/>
      </rPr>
      <t>per tonne</t>
    </r>
  </si>
  <si>
    <r>
      <t xml:space="preserve">kg </t>
    </r>
    <r>
      <rPr>
        <sz val="10"/>
        <color rgb="FFFF0000"/>
        <rFont val="Arial"/>
        <family val="2"/>
      </rPr>
      <t>CO2e</t>
    </r>
    <r>
      <rPr>
        <sz val="10"/>
        <rFont val="Arial"/>
        <family val="2"/>
      </rPr>
      <t xml:space="preserve"> per kWh LHV</t>
    </r>
  </si>
  <si>
    <r>
      <t xml:space="preserve">kg </t>
    </r>
    <r>
      <rPr>
        <sz val="10"/>
        <color rgb="FFFF0000"/>
        <rFont val="Arial"/>
        <family val="2"/>
      </rPr>
      <t xml:space="preserve">CO2e </t>
    </r>
    <r>
      <rPr>
        <sz val="10"/>
        <rFont val="Arial"/>
        <family val="2"/>
      </rPr>
      <t>per toe LHV</t>
    </r>
  </si>
  <si>
    <r>
      <t xml:space="preserve">kg </t>
    </r>
    <r>
      <rPr>
        <sz val="10"/>
        <color rgb="FFFF0000"/>
        <rFont val="Arial"/>
        <family val="2"/>
      </rPr>
      <t>CO2e</t>
    </r>
    <r>
      <rPr>
        <sz val="10"/>
        <rFont val="Arial"/>
        <family val="2"/>
      </rPr>
      <t xml:space="preserve"> per litre</t>
    </r>
  </si>
  <si>
    <r>
      <t>kg</t>
    </r>
    <r>
      <rPr>
        <sz val="10"/>
        <color rgb="FFFF0000"/>
        <rFont val="Arial"/>
        <family val="2"/>
      </rPr>
      <t xml:space="preserve"> CO2e</t>
    </r>
    <r>
      <rPr>
        <sz val="10"/>
        <rFont val="Arial"/>
        <family val="2"/>
      </rPr>
      <t xml:space="preserve"> per tonne</t>
    </r>
  </si>
  <si>
    <r>
      <t xml:space="preserve">kg </t>
    </r>
    <r>
      <rPr>
        <sz val="10"/>
        <color rgb="FFFF0000"/>
        <rFont val="Arial"/>
        <family val="2"/>
      </rPr>
      <t>CO2e</t>
    </r>
    <r>
      <rPr>
        <sz val="10"/>
        <rFont val="Arial"/>
        <family val="2"/>
      </rPr>
      <t xml:space="preserve"> per toe LHV</t>
    </r>
  </si>
  <si>
    <t>Butane (maritime included), Europe [1]</t>
  </si>
  <si>
    <t>Butane (maritime included), France (Mainland) [1]</t>
  </si>
  <si>
    <t>Natural gas (LHV), Europe [1]</t>
  </si>
  <si>
    <t>Natural gas (LHV), France (Mainland) [1]</t>
  </si>
  <si>
    <t>Propane (maritime included), Europe [1]</t>
  </si>
  <si>
    <t>Propane (maritime included), France (Mainland) [1]</t>
  </si>
  <si>
    <t>Other petroleum products, France (Mainland) [1]</t>
  </si>
  <si>
    <t>Bitumen, Europe [1]</t>
  </si>
  <si>
    <t>Bitumen, France (Mainland) [1]</t>
  </si>
  <si>
    <t>Jet fuel (jet B), Europe [1]</t>
  </si>
  <si>
    <t>Jet fuel (jet B), France (Mainland) [1]</t>
  </si>
  <si>
    <t>High Viscosity Fuel (HVF), France (Mainland) [1]</t>
  </si>
  <si>
    <t>Fuel (E10), France (Mainland) [1]</t>
  </si>
  <si>
    <t>Fuel (E85), France (Mainland) [1]</t>
  </si>
  <si>
    <t>Fuel at the Gas Pump (Unleaded 95 - 98), France (Mainland) [1]</t>
  </si>
  <si>
    <t>Aviation gasoline (AvGas), Europe [1]</t>
  </si>
  <si>
    <t>Aviation gasoline (AvGas), France (Mainland) [1]</t>
  </si>
  <si>
    <t>Domestic fuel oil, Europe [1]</t>
  </si>
  <si>
    <t>Domestic fuel oil, France (Mainland) [1]</t>
  </si>
  <si>
    <t>Heavy fuel oil (commercial), Europe [1]</t>
  </si>
  <si>
    <t>Heavy fuel oil (commercial), France (Mainland) [1]</t>
  </si>
  <si>
    <t>Diesel (B30), France (Mainland) [1]</t>
  </si>
  <si>
    <t>Diesel Off-road, France (Mainland) [1]</t>
  </si>
  <si>
    <t>Diesel fuel at the Gas Pump, France (Mainland) [1]</t>
  </si>
  <si>
    <t>CNG, Compressed Natural Gas for road vehicle, France (Mainland) [1]</t>
  </si>
  <si>
    <t>LNG, Liquefied Natural Gas (maritime), France (Mainland) [1]</t>
  </si>
  <si>
    <t>LPG, Liquefied Petroleum Gas for road vehicle, France (Mainland) [1]</t>
  </si>
  <si>
    <t>HFO (Heavy Fuel Oil) (ISO 8217 classes RME to RMK), France (Mainland) [1]</t>
  </si>
  <si>
    <t>Shale oil, Europe [1]</t>
  </si>
  <si>
    <t>Anthracite, France (Mainland) [1]</t>
  </si>
  <si>
    <t>Kerosene (jet A1 or A), Europe [1]</t>
  </si>
  <si>
    <t>Kerosene (jet A1 or A), France (Mainland) [1]</t>
  </si>
  <si>
    <t>LFO (Light Fuel Oil) (ISO 8217 classes RMA to RMD (maritime)), France (Mainland) [1]</t>
  </si>
  <si>
    <t>MDO (Marine Diesel Oil) (ISO 8217 classes DMX to DMC), France (Mainland) [1]</t>
  </si>
  <si>
    <t>Naphtha, Europe [1]</t>
  </si>
  <si>
    <t>Naphtha, France (Mainland) [1]</t>
  </si>
  <si>
    <t>Crude oil, France (Mainland) [1]</t>
  </si>
  <si>
    <t>Hard coal briquette , France (Mainland) [1]</t>
  </si>
  <si>
    <t>Lignite briquette, France (Mainland) [1]</t>
  </si>
  <si>
    <t>Coking coal (GCV higher than 23865 kJ/kg), France (Mainland) [1]</t>
  </si>
  <si>
    <t>Steam coal (GCV higher than 23865 kJ/kg), France (Mainland) [1]</t>
  </si>
  <si>
    <t>Sub-bituminous coal (GCV between 17 435 &amp; 23 865 kJ/kg), France (Mainland) [1]</t>
  </si>
  <si>
    <t>Coke of coal, France (Mainland) [1]</t>
  </si>
  <si>
    <t>Coke from lignite, France (Mainland) [1]</t>
  </si>
  <si>
    <t>Petroleum coke, France (Mainland) [1]</t>
  </si>
  <si>
    <t>Lignite (GCV lower than 17435 kJ/kg), France (Mainland) [1]</t>
  </si>
  <si>
    <t>Coal (GCV higher than 23865 kJ/kg), France (Mainland) [1]</t>
  </si>
  <si>
    <t>Peat, France (Mainland) [1]</t>
  </si>
  <si>
    <t>Emission factors of fuels from organic origin</t>
  </si>
  <si>
    <t>Breakdown of GHG emissions by type - CO2</t>
  </si>
  <si>
    <t>Breakdown of GHG emissions by type  - CH4 f + CH4 b</t>
  </si>
  <si>
    <t>Biodiesel (with land-use change, maximum scenario), France  (Mainland)  [1]</t>
  </si>
  <si>
    <t>Biodiesel (without land-use change), France  (Mainland)  [1]</t>
  </si>
  <si>
    <t>Biodiesel (with land-use change, optimistic scenario), France  (Mainland)  [1]</t>
  </si>
  <si>
    <t>Bioethanol (with land-use change, maximum scenario), France  (Mainland)  [1]</t>
  </si>
  <si>
    <t>Bioethanol (with land-use change, optimistic scenario), France  (Mainland)  [1]</t>
  </si>
  <si>
    <t>Bioethanol (without land-use change), France  (Mainland)  [1]</t>
  </si>
  <si>
    <t>Wood log (20% humidity), France  (Mainland)  [1]</t>
  </si>
  <si>
    <t>Shredded crates and pallets (20% humidity), France  (Mainland)  [1]</t>
  </si>
  <si>
    <t>Straw (10% humidity), France  (Mainland)  [1]</t>
  </si>
  <si>
    <t>Wood pellet (8% humidity), France  (Mainland)  [1]</t>
  </si>
  <si>
    <t>Forest-wood chips (25% humidity), France  (Mainland)  [1]</t>
  </si>
  <si>
    <t>Sawdust &amp; sawmill waste (50% humidity), France  (Mainland)  [1]</t>
  </si>
  <si>
    <t>Energy - District heating and cooling networks</t>
  </si>
  <si>
    <t>Network name</t>
  </si>
  <si>
    <t>kg CO2e per kWh</t>
  </si>
  <si>
    <t>inline losses</t>
  </si>
  <si>
    <t>Inline losses</t>
  </si>
  <si>
    <t>kg CO2e per toe</t>
  </si>
  <si>
    <t xml:space="preserve">Emission factors for cooling coming from urban network </t>
  </si>
  <si>
    <t xml:space="preserve">Emission factors for steam (External urban heating ) </t>
  </si>
  <si>
    <t>Energy - Electricity</t>
  </si>
  <si>
    <t>Heating - 2008 [1]</t>
  </si>
  <si>
    <t>Network electricity per use in France (mainland)</t>
  </si>
  <si>
    <t>Air conditioning (commercial) - 2008 [1]</t>
  </si>
  <si>
    <t>Cooking (residential) - 2008 [1]</t>
  </si>
  <si>
    <t>Domestic hot water - 2008 [1]</t>
  </si>
  <si>
    <t>Public lighting &amp; Industry - 2008 [1]</t>
  </si>
  <si>
    <t>Other (Construction, research, army...) - 2008 [1]</t>
  </si>
  <si>
    <t>Basic industry - 2008 [1]</t>
  </si>
  <si>
    <t>Heating - 2009 [1]</t>
  </si>
  <si>
    <t>Air conditioning (commercial)  - 2009 [1]</t>
  </si>
  <si>
    <t>Cooking (residential)  - 2009 [1]</t>
  </si>
  <si>
    <t>Domestic hot water - 2009 [1]</t>
  </si>
  <si>
    <t>Public lighting &amp; Industry - 2009 [1]</t>
  </si>
  <si>
    <t>Residential lighting - 2009 [1]</t>
  </si>
  <si>
    <t>Residential lighting - 2008 [1]</t>
  </si>
  <si>
    <t>Basic industry - 2009 [1]</t>
  </si>
  <si>
    <t>Transport - 2008 [1]</t>
  </si>
  <si>
    <t>Transport - 2009 [1]</t>
  </si>
  <si>
    <t>Other (Construction, research, army...) - 2009 [1]</t>
  </si>
  <si>
    <t>Heating - 2010 [1]</t>
  </si>
  <si>
    <t>Air conditioning (commercial) - 2010 [1]</t>
  </si>
  <si>
    <t>Cooking (residential) - 2010 [1]</t>
  </si>
  <si>
    <t>Domestic hot water - 2010 [1]</t>
  </si>
  <si>
    <t>Public lighting &amp; Industry - 2010 [1]</t>
  </si>
  <si>
    <t>Residential lighting - 2010 [1]</t>
  </si>
  <si>
    <t>Basic industry - 2010 [1]</t>
  </si>
  <si>
    <t>Transport - 2010 [1]</t>
  </si>
  <si>
    <t>Other (Construction, research, army...) - 2010 [1]</t>
  </si>
  <si>
    <t>Air conditioning (commercial) - 2011 [1]</t>
  </si>
  <si>
    <t>Cooking (residential) - 2011 [1]</t>
  </si>
  <si>
    <t>Heating - 2011 [1]</t>
  </si>
  <si>
    <t>Domestic hot water - 2011 [1]</t>
  </si>
  <si>
    <t>Public lighting &amp; Industry - 2011 [1]</t>
  </si>
  <si>
    <t>Residential lighting - 2011 [1]</t>
  </si>
  <si>
    <t>Basic industry - 2011 [1]</t>
  </si>
  <si>
    <t>Transport - 2011 [1]</t>
  </si>
  <si>
    <t>Other (Construction, research, army...) - 2011 [1]</t>
  </si>
  <si>
    <t>Heating - 2012 [1]</t>
  </si>
  <si>
    <t>Air conditioning (commercial) - 2012 [1]</t>
  </si>
  <si>
    <t>Cooking (residential) - 2012 [1]</t>
  </si>
  <si>
    <t>Domestic hot water - 2012 [1]</t>
  </si>
  <si>
    <t>Public lighting &amp; Industry - 2012 [1]</t>
  </si>
  <si>
    <t>Residential lighting - 2012 [1]</t>
  </si>
  <si>
    <t>Basic industry - 2012 [1]</t>
  </si>
  <si>
    <t>Transport - 2012 [1]</t>
  </si>
  <si>
    <t>Other (Construction, research, army...) - 2012 [1]</t>
  </si>
  <si>
    <t>Heating - 2013 [1]</t>
  </si>
  <si>
    <t>Air conditioning (commercial) - 2013 [1]</t>
  </si>
  <si>
    <t>Cooking (residential) - 2013 [1]</t>
  </si>
  <si>
    <t>Domestic hot water - 2013 [1]</t>
  </si>
  <si>
    <t>Public lighting &amp; Industry - 2013 [1]</t>
  </si>
  <si>
    <t>Residential lighting - 2013 [1]</t>
  </si>
  <si>
    <t>Basic industry - 2013 [1]</t>
  </si>
  <si>
    <t>Transport - 2013 [1]</t>
  </si>
  <si>
    <t>Other (Construction, research, army...) - 2013 [1]</t>
  </si>
  <si>
    <t>Heating - 2014 [1]</t>
  </si>
  <si>
    <t>Air conditioning (commercial) - 2014 [1]</t>
  </si>
  <si>
    <t>Cooking (residential) - 2014 [1]</t>
  </si>
  <si>
    <t>Domestic hot water - 2014 [1]</t>
  </si>
  <si>
    <t>Public lighting &amp; Industry - 2014 [1]</t>
  </si>
  <si>
    <t>Residential lighting - 2014 [1]</t>
  </si>
  <si>
    <t>Basic industry - 2014 [1]</t>
  </si>
  <si>
    <t>Transport - 2014 [1]</t>
  </si>
  <si>
    <t>Other (Construction, research, army...) - 2014 [1]</t>
  </si>
  <si>
    <t xml:space="preserve">Uncertainty </t>
  </si>
  <si>
    <t>Network electricity by country</t>
  </si>
  <si>
    <t>Country where electricity is consumed</t>
  </si>
  <si>
    <t>Other</t>
  </si>
  <si>
    <t>kg CO2 b per kWh</t>
  </si>
  <si>
    <t>Breakdown of GHG emissions by type
(kg CO2e per kWh)</t>
  </si>
  <si>
    <t>South Africe</t>
  </si>
  <si>
    <t>Albania [1]</t>
  </si>
  <si>
    <t>Algeria [1]</t>
  </si>
  <si>
    <t>Germany [1]</t>
  </si>
  <si>
    <t>Saoudi Arabia [1]</t>
  </si>
  <si>
    <t>Dutch West Indies [1]</t>
  </si>
  <si>
    <t>Argentina [1]</t>
  </si>
  <si>
    <t>Armenia [1]</t>
  </si>
  <si>
    <t>Australia [1]</t>
  </si>
  <si>
    <t>Austria [1]</t>
  </si>
  <si>
    <t>Belarus [1]</t>
  </si>
  <si>
    <t>Belgium [1]</t>
  </si>
  <si>
    <t>Benin [1]</t>
  </si>
  <si>
    <t>Burma [1]</t>
  </si>
  <si>
    <t>Bolivia [1]</t>
  </si>
  <si>
    <t>Bosnia-Herzegovina [1]</t>
  </si>
  <si>
    <t>Brazil [1]</t>
  </si>
  <si>
    <t>Brunei Darussalam [1]</t>
  </si>
  <si>
    <t>Bulgaria [1]</t>
  </si>
  <si>
    <t>Cambodia [1]</t>
  </si>
  <si>
    <t>Cameroon [1]</t>
  </si>
  <si>
    <t>Chile [1]</t>
  </si>
  <si>
    <t>China [1]</t>
  </si>
  <si>
    <t>Cyprus [1]</t>
  </si>
  <si>
    <t>Colombia [1]</t>
  </si>
  <si>
    <t>Croatia [1]</t>
  </si>
  <si>
    <t>Ivory Coast [1]</t>
  </si>
  <si>
    <t>Denmark [1]</t>
  </si>
  <si>
    <t>Egypt [1]</t>
  </si>
  <si>
    <t>United Arab Emirates [1]</t>
  </si>
  <si>
    <t>Ecuador [1]</t>
  </si>
  <si>
    <t>Eritrea [1]</t>
  </si>
  <si>
    <t>Spain [1]</t>
  </si>
  <si>
    <t>Estonia [1]</t>
  </si>
  <si>
    <t>United States [1]</t>
  </si>
  <si>
    <t>Ethiopia [1]</t>
  </si>
  <si>
    <t>Finland [1]</t>
  </si>
  <si>
    <t>France, Corsica [1]</t>
  </si>
  <si>
    <t>France, Guyana [1]</t>
  </si>
  <si>
    <t>France, Guadeloupe archipelago [1]</t>
  </si>
  <si>
    <t>France, New Caledonia [1]</t>
  </si>
  <si>
    <t>France, French Polynesia [1]</t>
  </si>
  <si>
    <t>France, Reunion [1]</t>
  </si>
  <si>
    <t>France, St Barthelemy [1]</t>
  </si>
  <si>
    <t>France, St Pierre and Miquelon [1]</t>
  </si>
  <si>
    <t>Georgia [1]</t>
  </si>
  <si>
    <t>Greece [1]</t>
  </si>
  <si>
    <t>Haiti [1]</t>
  </si>
  <si>
    <t>Hungary[1]</t>
  </si>
  <si>
    <t>India [1]</t>
  </si>
  <si>
    <t>Indonesia [1]</t>
  </si>
  <si>
    <t>Irak [1]</t>
  </si>
  <si>
    <t>Ireland [1]</t>
  </si>
  <si>
    <t>Iceland [1]</t>
  </si>
  <si>
    <t>Israel [1]</t>
  </si>
  <si>
    <t>Italia [1]</t>
  </si>
  <si>
    <t>Jamaica [1]</t>
  </si>
  <si>
    <t>Japan [1]</t>
  </si>
  <si>
    <t>Jordan [1]</t>
  </si>
  <si>
    <t>Kazakhstan [1]</t>
  </si>
  <si>
    <t>Kyrgyzstan [1]</t>
  </si>
  <si>
    <t>Kuwait [1]</t>
  </si>
  <si>
    <t>Latvia [1]</t>
  </si>
  <si>
    <t>Lebanon [1]</t>
  </si>
  <si>
    <t>Libya [1]</t>
  </si>
  <si>
    <t>Lithuania [1]</t>
  </si>
  <si>
    <t>Macedonia [1]</t>
  </si>
  <si>
    <t>Malaysia [1]</t>
  </si>
  <si>
    <t>Malta [1]</t>
  </si>
  <si>
    <t>Morocco [1]</t>
  </si>
  <si>
    <t>Mexico [1]</t>
  </si>
  <si>
    <t>Moldavia [1]</t>
  </si>
  <si>
    <t>Namibia [1]</t>
  </si>
  <si>
    <t>Nepal [1]</t>
  </si>
  <si>
    <t>Nigeria [1]</t>
  </si>
  <si>
    <t>Korea [1]</t>
  </si>
  <si>
    <t>Norway [1]</t>
  </si>
  <si>
    <t>New Zealand [1]</t>
  </si>
  <si>
    <t>Uzbekistan [1]</t>
  </si>
  <si>
    <t>Peru [1]</t>
  </si>
  <si>
    <t>Poland [1]</t>
  </si>
  <si>
    <t>Democratic Republic of the Congo [1]</t>
  </si>
  <si>
    <t>Dominican Republic [1]</t>
  </si>
  <si>
    <t>Czech Republic [1]</t>
  </si>
  <si>
    <t>Romania [1]</t>
  </si>
  <si>
    <t>Russia [1]</t>
  </si>
  <si>
    <t>Senegal [1]</t>
  </si>
  <si>
    <t>Serbia [1]</t>
  </si>
  <si>
    <t>Singapor [1]</t>
  </si>
  <si>
    <t>Slovakia [1]</t>
  </si>
  <si>
    <t>Slovenia [1]</t>
  </si>
  <si>
    <t>Sweden [1]</t>
  </si>
  <si>
    <t>Switzerland [1]</t>
  </si>
  <si>
    <t>Syria [1]</t>
  </si>
  <si>
    <t>Tanzania [1]</t>
  </si>
  <si>
    <t>Thaïland [1]</t>
  </si>
  <si>
    <t>Trinidad and Tobago [1]</t>
  </si>
  <si>
    <t>Tunisia [1]</t>
  </si>
  <si>
    <t>Turkmenistan [1]</t>
  </si>
  <si>
    <t>Turkey [1]</t>
  </si>
  <si>
    <t>VietNam [1]</t>
  </si>
  <si>
    <t>Yemen [1]</t>
  </si>
  <si>
    <t>Zambia [1]</t>
  </si>
  <si>
    <t>Average, 27 countries of the EU [1]</t>
  </si>
  <si>
    <t>Azerbaidjan [1]</t>
  </si>
  <si>
    <t>Bahrain [1]</t>
  </si>
  <si>
    <t>Netherlands [1]</t>
  </si>
  <si>
    <t>Emission factors per electricity producer</t>
  </si>
  <si>
    <t>Producer</t>
  </si>
  <si>
    <t>Germany, EnBW [3]</t>
  </si>
  <si>
    <t>Germany, E.ON Germany [1]</t>
  </si>
  <si>
    <t>Germany, RWE [3]</t>
  </si>
  <si>
    <t>Austria, Verbund [1]</t>
  </si>
  <si>
    <t>Belgium, Electrabel [1]</t>
  </si>
  <si>
    <t>Bulgaria, CEZ [3]</t>
  </si>
  <si>
    <t>Denmark, Elsam + Energy E2 [3]</t>
  </si>
  <si>
    <t>Spain, ex Endesa (Viesgo generacion) [1]</t>
  </si>
  <si>
    <t>Spain, Hidrocantabrio [1]</t>
  </si>
  <si>
    <t>Spain, Union Fenosa [3]</t>
  </si>
  <si>
    <t>Spain, Iberdrola [1]</t>
  </si>
  <si>
    <t>Finland, Fortum [3]</t>
  </si>
  <si>
    <t>Finland, PVO [3]</t>
  </si>
  <si>
    <t>UK, British Energy [1]</t>
  </si>
  <si>
    <t>UK, Drax [3]</t>
  </si>
  <si>
    <t>UK, EDF Energy [3]</t>
  </si>
  <si>
    <t>UK, Eon UK [3]</t>
  </si>
  <si>
    <t>UK, RWE UK [3]</t>
  </si>
  <si>
    <t>UK, Scottish &amp; Southern [3]</t>
  </si>
  <si>
    <t>Greece, DEI [3]</t>
  </si>
  <si>
    <t>Italy, ex Endesa Italia [3]</t>
  </si>
  <si>
    <t>Italy, Edipower [3]</t>
  </si>
  <si>
    <t>Italy, Groupe Edison [3]</t>
  </si>
  <si>
    <t>Italy, ENEL [3]</t>
  </si>
  <si>
    <t>Norway, Statkraft [3]</t>
  </si>
  <si>
    <t>Netherlands, Essent [1]</t>
  </si>
  <si>
    <t>Poland, CEZ [3]</t>
  </si>
  <si>
    <t>Sweden/All, Vattenfall [3]</t>
  </si>
  <si>
    <t>Czech Republic, CEZ [3]</t>
  </si>
  <si>
    <t>EDF producer: emission factors per month</t>
  </si>
  <si>
    <t>Month</t>
  </si>
  <si>
    <t>January 2011 [1]</t>
  </si>
  <si>
    <t>January 2012 [2]</t>
  </si>
  <si>
    <t>January 2013 [2]</t>
  </si>
  <si>
    <t>January 2014 [2]</t>
  </si>
  <si>
    <t>February 2011 [1]</t>
  </si>
  <si>
    <t>February 2012 [2]</t>
  </si>
  <si>
    <t>February 2013 [2]</t>
  </si>
  <si>
    <t>February 2014 [2]</t>
  </si>
  <si>
    <t>March 2014 [2]</t>
  </si>
  <si>
    <t>March 2013 [2]</t>
  </si>
  <si>
    <t>March 2012 [2]</t>
  </si>
  <si>
    <t>March 2011 [1]</t>
  </si>
  <si>
    <t>April 2011 [1]</t>
  </si>
  <si>
    <t>April 2012 [2]</t>
  </si>
  <si>
    <t>April 2013 [2]</t>
  </si>
  <si>
    <t>April 2014 [2]</t>
  </si>
  <si>
    <t>May 2014 [2]</t>
  </si>
  <si>
    <t>May 2013 [2]</t>
  </si>
  <si>
    <t>May 2012 [2]</t>
  </si>
  <si>
    <t>May 2011 [1]</t>
  </si>
  <si>
    <t>June 2011 [1]</t>
  </si>
  <si>
    <t>June 2012 [2]</t>
  </si>
  <si>
    <t>June 2013 [2]</t>
  </si>
  <si>
    <t>June 2014 [2]</t>
  </si>
  <si>
    <t>July 2014 [2]</t>
  </si>
  <si>
    <t>July 2013 [2]</t>
  </si>
  <si>
    <t>July 2012 [2]</t>
  </si>
  <si>
    <t>July 2011 [1]</t>
  </si>
  <si>
    <t>August 2011 [1]</t>
  </si>
  <si>
    <t>August 2012 [2]</t>
  </si>
  <si>
    <t>August 2013 [2]</t>
  </si>
  <si>
    <t>August 2014 [2]</t>
  </si>
  <si>
    <t>September 2014 [2]</t>
  </si>
  <si>
    <t>September 2013 [2]</t>
  </si>
  <si>
    <t>September 2012 [2]</t>
  </si>
  <si>
    <t>September 2011 [1]</t>
  </si>
  <si>
    <t>October 2011 [1]</t>
  </si>
  <si>
    <t>October 2012 [2]</t>
  </si>
  <si>
    <t>October 2013 [2]</t>
  </si>
  <si>
    <t>October 2014 [2]</t>
  </si>
  <si>
    <t>November 2014 [2]</t>
  </si>
  <si>
    <t>December 2014 [2]</t>
  </si>
  <si>
    <t>November 2013 [2]</t>
  </si>
  <si>
    <t>December 2013 [2]</t>
  </si>
  <si>
    <t>November 2012 [2]</t>
  </si>
  <si>
    <t>December 2012 [2]</t>
  </si>
  <si>
    <t>November 2011 [1]</t>
  </si>
  <si>
    <t>December 2011 [1]</t>
  </si>
  <si>
    <t>Production of electricity from renewable sources</t>
  </si>
  <si>
    <t>Thermal solar [1]</t>
  </si>
  <si>
    <t>Photovoltaics, French Polynesia [1]</t>
  </si>
  <si>
    <t>Wind Energy [1]</t>
  </si>
  <si>
    <t>Hydraulics [1]</t>
  </si>
  <si>
    <t>Biogas [1]</t>
  </si>
  <si>
    <t>Production of electricity from conventional sources</t>
  </si>
  <si>
    <t>Coal-fired plant [1]</t>
  </si>
  <si>
    <t>Oil power plant [1]</t>
  </si>
  <si>
    <t>Gas power plant [1]</t>
  </si>
  <si>
    <t xml:space="preserve">Average inline losses rate </t>
  </si>
  <si>
    <t>Low voltage [1]</t>
  </si>
  <si>
    <t>Medium voltage [1]</t>
  </si>
  <si>
    <t>Low voltage, Mayotte [1]</t>
  </si>
  <si>
    <t>Medium voltage, Mayotte [1]</t>
  </si>
  <si>
    <t>Low voltage, French Polynesia [1]</t>
  </si>
  <si>
    <t>Medium voltage, French Polynesia [1]</t>
  </si>
  <si>
    <t>Default volatilization rate of nitrogen [1]</t>
  </si>
  <si>
    <t>unit</t>
  </si>
  <si>
    <t>kg CO2e per unit</t>
  </si>
  <si>
    <t xml:space="preserve">Emissions related to fertilizer manufacturing </t>
  </si>
  <si>
    <t>Manufacturing</t>
  </si>
  <si>
    <t>Breakdown of GHG emissions by type (kg CO2e per unit)</t>
  </si>
  <si>
    <t>Anhydrous ammonia, Europe [1]</t>
  </si>
  <si>
    <t>Potassium chloride, Europe [1]</t>
  </si>
  <si>
    <t>Ammonium nitrate 33,5%, Europe [1]</t>
  </si>
  <si>
    <t>Calcium ammonium nitrate 30% (CAN), Europe [1]</t>
  </si>
  <si>
    <t>Average nitrogen fertilizer  , Europe [1]</t>
  </si>
  <si>
    <t>NK binary fertilizer, Europe [1]</t>
  </si>
  <si>
    <t>NP binary fertilizer, Europe [1]</t>
  </si>
  <si>
    <t>PK  binary fertilizer, Europe [1]</t>
  </si>
  <si>
    <t>Average phosphate fertilizer, Europe [1]</t>
  </si>
  <si>
    <t>Average potassium fertilizer, Europe [1]</t>
  </si>
  <si>
    <t>Ternary fertilizer, Europe [1]</t>
  </si>
  <si>
    <t>Stockpile manure, Europe [1]</t>
  </si>
  <si>
    <t>Phosphate ammonium nitrate, Europe [1]</t>
  </si>
  <si>
    <t>Phosphate ammonium nitrate (ASP), Europe [1]</t>
  </si>
  <si>
    <t>Urea Europe [1]</t>
  </si>
  <si>
    <t>Basic slag, Europe [1]</t>
  </si>
  <si>
    <t>Nitrogen solution, Europe [1]</t>
  </si>
  <si>
    <t>Average fungicide, Europe [1]</t>
  </si>
  <si>
    <t>Average insecticide,  Europe [1]</t>
  </si>
  <si>
    <t>Molluscicides (methiocarb), France mainland [1]</t>
  </si>
  <si>
    <t>Average phytosanitary, Europe [1]</t>
  </si>
  <si>
    <t>Growth regulator, France mainland [1]</t>
  </si>
  <si>
    <t>Emissions by nature of landed fish</t>
  </si>
  <si>
    <t>European fishery [1]</t>
  </si>
  <si>
    <t>Tropical fishery [1]</t>
  </si>
  <si>
    <t>Schrimps France mainland [1]</t>
  </si>
  <si>
    <t>Average fishery, Mayotte [1]</t>
  </si>
  <si>
    <t>Offshore fishery, French Polynesia [1]</t>
  </si>
  <si>
    <t>Inshore fishery consumed on-site, French Polynesia [1]</t>
  </si>
  <si>
    <t>Lagoon fishery consumed on-site, French Polynesia [1]</t>
  </si>
  <si>
    <t xml:space="preserve">Emission per animal and per year </t>
  </si>
  <si>
    <t>kg CO2e per animal.year</t>
  </si>
  <si>
    <t>Breakdown of GHG emissions by type (kg CO2e per animal.year)</t>
  </si>
  <si>
    <t>Digestion and manure</t>
  </si>
  <si>
    <t>Breakdown of GHG emissions by type   (kg CO2e per animal.year)</t>
  </si>
  <si>
    <t>Ox [1]</t>
  </si>
  <si>
    <t>Billy goat [1]</t>
  </si>
  <si>
    <t>Ewe [1]</t>
  </si>
  <si>
    <t>Lamb (grass-fed) [1]</t>
  </si>
  <si>
    <t>Lamb for slaughter [1]</t>
  </si>
  <si>
    <t>Ram [1]</t>
  </si>
  <si>
    <t>Grazer, calf [1]</t>
  </si>
  <si>
    <t>Duck [1]</t>
  </si>
  <si>
    <t>Draft horse [1]</t>
  </si>
  <si>
    <t>Goat [1]</t>
  </si>
  <si>
    <t>Heifer, bull-calf [1]</t>
  </si>
  <si>
    <t>Gelding, mare [1]</t>
  </si>
  <si>
    <t>Brood mare, stallion [1]</t>
  </si>
  <si>
    <t>Guinea fowl [1]</t>
  </si>
  <si>
    <t>Fattening pigs [1]</t>
  </si>
  <si>
    <t>Foal [1]</t>
  </si>
  <si>
    <t>Bull [1]</t>
  </si>
  <si>
    <t>Laying hen [1]</t>
  </si>
  <si>
    <t>Dairy cow [1]</t>
  </si>
  <si>
    <t>Suckler cow [1]</t>
  </si>
  <si>
    <t>Breeding sows [1]</t>
  </si>
  <si>
    <t>Goat (young) [1]</t>
  </si>
  <si>
    <t>Lamb (female) [1]</t>
  </si>
  <si>
    <t>Chicken ( Free-range)  [1]</t>
  </si>
  <si>
    <t>Chicken (Factory-farmed)  [1]</t>
  </si>
  <si>
    <t>Fuel consumption for crops</t>
  </si>
  <si>
    <t>kg CO2e per ha</t>
  </si>
  <si>
    <t>machines manufacturing</t>
  </si>
  <si>
    <t>Sorghum [1]</t>
  </si>
  <si>
    <t>Industrial sugar beet [1]</t>
  </si>
  <si>
    <t>Durum wheat [1]</t>
  </si>
  <si>
    <t>Bread wheat [1]</t>
  </si>
  <si>
    <t>Rape [1]</t>
  </si>
  <si>
    <t>Corn (forage) [1]</t>
  </si>
  <si>
    <t>Corn (grain) [1]</t>
  </si>
  <si>
    <t>Barley [1]</t>
  </si>
  <si>
    <t>Pea [1]</t>
  </si>
  <si>
    <t>Potato [1]</t>
  </si>
  <si>
    <t>Productive permanent crops [1]</t>
  </si>
  <si>
    <t>Sunflowerl [1]</t>
  </si>
  <si>
    <t>Vineyard [1]</t>
  </si>
  <si>
    <t>Temporary grassland [1]</t>
  </si>
  <si>
    <t xml:space="preserve">Machines manufacturing for the crops </t>
  </si>
  <si>
    <t>t CO2e per ha</t>
  </si>
  <si>
    <t>Direct Land Use changes</t>
  </si>
  <si>
    <t>Crop to forest [1]</t>
  </si>
  <si>
    <t>Forest to crop [1]</t>
  </si>
  <si>
    <t>Crop to meadow [1]</t>
  </si>
  <si>
    <t>Forest to meadow [1]</t>
  </si>
  <si>
    <t>Meadow to crop [1]</t>
  </si>
  <si>
    <t>Meadow to forest [1]</t>
  </si>
  <si>
    <t>Crop to sealed soil [1]</t>
  </si>
  <si>
    <t>Crop to "not built over soil" [1]</t>
  </si>
  <si>
    <t>Forest  to sealed soil [1]</t>
  </si>
  <si>
    <t>Forest to "not built over soil" [1]</t>
  </si>
  <si>
    <t>Meadow to sealed soil [1]</t>
  </si>
  <si>
    <t>Meadow to "not built over soil" [1]</t>
  </si>
  <si>
    <t>adjustment factor  (except electricity)</t>
  </si>
  <si>
    <t>adjustment factor for CO2 for transport services</t>
  </si>
  <si>
    <t>&lt; 1.5 t petrol V6.1 [1]</t>
  </si>
  <si>
    <t>&lt; 1.5 t diesel V6.1 [1]</t>
  </si>
  <si>
    <t>1.5 to 2.5 tonnes petrol V6.1 [1]</t>
  </si>
  <si>
    <t>1.5 to 2.5 tonnes diesel, V6.1 [1]</t>
  </si>
  <si>
    <t>2.6 to 3.5 tonnes petrol V6.1 [1]</t>
  </si>
  <si>
    <t>2.6 to 3.5 tonnes diesel V6.1 [1]</t>
  </si>
  <si>
    <t>3.5 tonnes, V6.1 [1]</t>
  </si>
  <si>
    <t>3,6 to 5 tonnes, V6.1 [1]</t>
  </si>
  <si>
    <t>5.1 to 6 tonnes, V6.1 [1]</t>
  </si>
  <si>
    <t>6.1 to 10.9 tonnes, V6.1 [1]</t>
  </si>
  <si>
    <t>11 to 19 tonnes, V6.1 [1]</t>
  </si>
  <si>
    <t>19.1 to 21 tonnes, V6.1 [1]</t>
  </si>
  <si>
    <t>Articulated (tractor-trailer), V6.1 [1]</t>
  </si>
  <si>
    <t>Average load</t>
  </si>
  <si>
    <t>% of distance</t>
  </si>
  <si>
    <t>unloaded</t>
  </si>
  <si>
    <t xml:space="preserve">% of payload (PL) </t>
  </si>
  <si>
    <t>max</t>
  </si>
  <si>
    <t>kg CO2e per km, full loaded vehicle</t>
  </si>
  <si>
    <t>kg CO2e per km, empty vehicle</t>
  </si>
  <si>
    <t>kg CO2e per km</t>
  </si>
  <si>
    <t>Road freight V6.1 emission factors</t>
  </si>
  <si>
    <t>Road freight</t>
  </si>
  <si>
    <t>&lt; 1,5 t petrol Mayotte, V6.1 [1]</t>
  </si>
  <si>
    <t>&lt; 1,5 t petrol, French Polynesia  V6.1 [1]</t>
  </si>
  <si>
    <t>&lt; 1,5 t diesel, French Polynesia V6.1 [1]</t>
  </si>
  <si>
    <t>3,5 tonnes, French Polynesia, V6.1 [1]</t>
  </si>
  <si>
    <t>&gt; 21 tonnes, French Polynesia, V6.1 [1]</t>
  </si>
  <si>
    <t>1,5 to 2,5 tonnes petrol Mayotte, V6.1 [1]</t>
  </si>
  <si>
    <t>1,5 to 2,5 tonnes diesel, Mayotte, V6.1 [1]</t>
  </si>
  <si>
    <t>2,6 to 3,5 tonnes petrol Mayotte, V6.1 [1]</t>
  </si>
  <si>
    <t>2,6 to 3,5 tonnes diesel, Mayotte, V6.1 [1]</t>
  </si>
  <si>
    <t>3,6 to 5 tonnes, Mayotte, V6.1 [1]</t>
  </si>
  <si>
    <t>5,1 to 6 tonnes, Mayotte, V6.1 [1]</t>
  </si>
  <si>
    <t>6,1 to 10,9 tonnes, Mayotte, V6.1 [1]</t>
  </si>
  <si>
    <t>11 to 19 tonnes, Mayotte, V6.1 [1]</t>
  </si>
  <si>
    <t>19,1 to 21 tonnes, Mayotte, V6.1 [1]</t>
  </si>
  <si>
    <t>1,5 to 2,5 tonnes petrol French Polynesia, V6.1 [1]</t>
  </si>
  <si>
    <t>1,5 to 2,5 tonnes diesel, French Polynesia, V6.1 [1]</t>
  </si>
  <si>
    <t>2,6 to 3,5 tonnes petrol French Polynesia, V6.1 [1]</t>
  </si>
  <si>
    <t>2,6 to 3,5 tonnes diesel, French Polynesia, V6.1 [1]</t>
  </si>
  <si>
    <t>3,6 to 5 tonnes, French Polynesia, V6.1 [1]</t>
  </si>
  <si>
    <t>5,1 to 6 tonnes, French Polynesia, V6.1 [1]</t>
  </si>
  <si>
    <t>6,1 to 10,9 tonnes, French Polynesia, V6.1 [1]</t>
  </si>
  <si>
    <t>11 to 19 tonnes, French Polynesia, V6.1 [1]</t>
  </si>
  <si>
    <t>19,1 to 21 tonnes, French Polynesia, V6.1 [1]</t>
  </si>
  <si>
    <t>Articulated (tractor-trailer), French Polynesia, V6.1 [1]</t>
  </si>
  <si>
    <t xml:space="preserve">Road freight in France (mainland), "Carbone® Base Guide" emission factors </t>
  </si>
  <si>
    <t>Type of vehicle</t>
  </si>
  <si>
    <t>kg CO2e per quantity.km</t>
  </si>
  <si>
    <t>manufacturing</t>
  </si>
  <si>
    <t>Breakdown of GHG emissions by type      (kg CO2e per quantity.km)</t>
  </si>
  <si>
    <t>kg CO2e per vehicle.km</t>
  </si>
  <si>
    <t>Breakdown of GHG emissions by type (kg CO2e per vehicle.km)</t>
  </si>
  <si>
    <t>kg CO2 per vehicle.km</t>
  </si>
  <si>
    <t>LUV, GVWR 3.5 t, express, collect distribution, package [1]</t>
  </si>
  <si>
    <t>LUV, GVWR 3.5 t, express, collect distribution, letters [1]</t>
  </si>
  <si>
    <t>Truck GVWR 19 t, express, traction [1]</t>
  </si>
  <si>
    <t>Articulated truck GCWR 40 t,freight transport, regional [1]</t>
  </si>
  <si>
    <t>Articulated truck GCWR 40 t, freight transport, long distance [1]</t>
  </si>
  <si>
    <t>LUV, Van 8 m³, removal [1]</t>
  </si>
  <si>
    <t>Truck 45 m³, removal [1]</t>
  </si>
  <si>
    <t>Articulated truck, 90 m³, removal [1]</t>
  </si>
  <si>
    <t>Trailer GCWR 26 t, large volume [1]</t>
  </si>
  <si>
    <t>Trailer GCWR 40 t, large volume [1]</t>
  </si>
  <si>
    <t>Truck GVWR 19 t, refrigerated, postal service, collect distribution [1]</t>
  </si>
  <si>
    <t>Truck GVWR 19 t, express, collect distribution [1]</t>
  </si>
  <si>
    <t>Articulated truck GCWR 40 t, agricultural trailer [1]</t>
  </si>
  <si>
    <t>Articulated truck GCWR 40 t, dump truck TP [1]</t>
  </si>
  <si>
    <t>Articulated truck GCWR 40 t, container trailer [1]</t>
  </si>
  <si>
    <t>Articulated truck GCWR 40 t, tank truck [1]</t>
  </si>
  <si>
    <t>Articulated truck GCWR 40 t, cooling unit [1]</t>
  </si>
  <si>
    <t>Articulated truck GCWR 40 t, express, refrigerated, traction [1]</t>
  </si>
  <si>
    <t>Articulated truck GCWR 40 t, express, traction [1]</t>
  </si>
  <si>
    <t>Articulated truck GCWR 40 t, car transporter [1]</t>
  </si>
  <si>
    <t>Truck GVWR 7.5 t, freight transport [1]</t>
  </si>
  <si>
    <t>Truck GVWR 12 t, freight transport [1]</t>
  </si>
  <si>
    <t>Rail freight</t>
  </si>
  <si>
    <t>Type of train</t>
  </si>
  <si>
    <t>kg CO2e per tonne.km</t>
  </si>
  <si>
    <t>Breakdown of GHG emissions by type
(kg CO2e per tonne.km)</t>
  </si>
  <si>
    <t>kg CO2 b per tonne.km</t>
  </si>
  <si>
    <t>Train in France, low-density goods, electricity [1]</t>
  </si>
  <si>
    <t>Train in France, low-density  goods, diesel oil [1]</t>
  </si>
  <si>
    <t>Train en France, low-density goods, combined [1]</t>
  </si>
  <si>
    <t>Train en France, medium-density goods, electricity [1]</t>
  </si>
  <si>
    <t>Train en France, medium-density goods, diesel oil [1]</t>
  </si>
  <si>
    <t>Train en France, medium-density goods, combined [1]</t>
  </si>
  <si>
    <t>Train en France, high-density goods, electricity[1]</t>
  </si>
  <si>
    <t>Train en France, high-density goods, diesel oil [1]</t>
  </si>
  <si>
    <t>Train en France, high-density goods, combined [1]</t>
  </si>
  <si>
    <t>Train in Corsica - average [1]</t>
  </si>
  <si>
    <t>Train in Europe - average [1]</t>
  </si>
  <si>
    <t>Italiy [1]</t>
  </si>
  <si>
    <t>United Kingdom [1]</t>
  </si>
  <si>
    <t>Air freight</t>
  </si>
  <si>
    <t>Emissions not covered by Kyoto (air): multiple of Kyoto emissions [1]</t>
  </si>
  <si>
    <t>Type of flight</t>
  </si>
  <si>
    <t>Breakdown of GHG emissions by type (kg CO2e per tonne.km)</t>
  </si>
  <si>
    <t>0-50 seats, 1000-2000 km [1]</t>
  </si>
  <si>
    <t>0-50 seats, 2000-3000 km [1]</t>
  </si>
  <si>
    <t>50-100 seats, 0-1000 km [1]</t>
  </si>
  <si>
    <t>50-100 seats, 1000-2000 km [1]</t>
  </si>
  <si>
    <t>50-100 seats, 2000-3000 km [1]</t>
  </si>
  <si>
    <t>100-180 seats, 0-1000 km [1]</t>
  </si>
  <si>
    <t>100-180 seats, 1000-2000 km [1]</t>
  </si>
  <si>
    <t>100-180 seats, 2000-3000 km [1]</t>
  </si>
  <si>
    <t>100-180 seats, 3000-4000 km [1]</t>
  </si>
  <si>
    <t>100-180 seats, 4000-5000 km [1]</t>
  </si>
  <si>
    <t>100-180 seats, 5000-6000 km [1]</t>
  </si>
  <si>
    <t>180-250 seats, 0-1000 km [1]</t>
  </si>
  <si>
    <t>180-250 seats, 1000-2000 km [1]</t>
  </si>
  <si>
    <t>180-250 seats, 2000-3000 km [1]</t>
  </si>
  <si>
    <t>180-250 seats, 3000-4000 km [1]</t>
  </si>
  <si>
    <t>180-250 seats, 4000-5000 km [1]</t>
  </si>
  <si>
    <t>180-250 seats, 5000-6000 km [1]</t>
  </si>
  <si>
    <t>180-250 seats, 6000-7000 km [1]</t>
  </si>
  <si>
    <t>180-250 seats, 7000-8000 km [1]</t>
  </si>
  <si>
    <t>180-250 seats, 8000-9000 km [1]</t>
  </si>
  <si>
    <t>180-250 seats, 9000-10000 km [1]</t>
  </si>
  <si>
    <t>&gt; 250 seats, 3000-4000 km [1]</t>
  </si>
  <si>
    <t>&gt; 250 seats, 4000-5000 km [1]</t>
  </si>
  <si>
    <t>&gt; 250 seats, 5000-6000 km [1]</t>
  </si>
  <si>
    <t>&gt; 250 seats, 6000-7000 km [1]</t>
  </si>
  <si>
    <t>&gt; 250 seats, 7000-8000 km [1]</t>
  </si>
  <si>
    <t>&gt; 250 seats, 8000-9000 km [1]</t>
  </si>
  <si>
    <t>&gt; 250 seats, 9000-10000 km [1]</t>
  </si>
  <si>
    <t>&gt; 250 seats, 10000-11000 km [1]</t>
  </si>
  <si>
    <t>&gt; 250 seats, &gt; 11000 km [1]</t>
  </si>
  <si>
    <t>0-50 seats 0-1000 km [1]</t>
  </si>
  <si>
    <t>Short-haul aircraft (&lt; 1000 km), V6.1 - /!\ Unknown GHG breakdown /!\ [1]</t>
  </si>
  <si>
    <t>Regional, Mayotte [1]</t>
  </si>
  <si>
    <t>Regional, French Polynesia (inter-islands) [1]</t>
  </si>
  <si>
    <t>Sea and waterway freight</t>
  </si>
  <si>
    <t>Sea freight, container ships</t>
  </si>
  <si>
    <t>kg CO2 b per vehicle.km</t>
  </si>
  <si>
    <t>Ship capacity in TEU</t>
  </si>
  <si>
    <t>Container ship &lt; 1200 TEU [1]</t>
  </si>
  <si>
    <t>Container ship 1200 - 1899 TEU [1]</t>
  </si>
  <si>
    <t>Container ship 1900 - 3849 TEU [1]</t>
  </si>
  <si>
    <t>Container ship 3850 - 7499 TEU [1]</t>
  </si>
  <si>
    <t>Container ship &gt; 7500 TEU [1]</t>
  </si>
  <si>
    <t>Sea freight, bulk Carriers, gas tankers et oil tankers</t>
  </si>
  <si>
    <t>Breakdown of GHG emissions by type (kg CO2e  per vehicle.km)</t>
  </si>
  <si>
    <t>kg CO2eper vehicle.km</t>
  </si>
  <si>
    <t>Bulk Carrier, Small fluvio-maritime [1]</t>
  </si>
  <si>
    <t>Gas carrier, small  [1]</t>
  </si>
  <si>
    <t>Gas carrier VLGC (Very Large Gas Carrier) [1]</t>
  </si>
  <si>
    <t>Bulk Carrier Handysize (&lt; 40 250 tonnes deadweight) [1]</t>
  </si>
  <si>
    <t>Bulk Carrier Handymax (40 250 - 63 499 tonnes deadweight) [1]</t>
  </si>
  <si>
    <t>Bulk Carrier Panamax (63 500 - 127 500 tonnes deadweight) [1]</t>
  </si>
  <si>
    <t>Bulk Carrier Capesize (&gt; 127 500 tonnes deadweight) [1]</t>
  </si>
  <si>
    <t>Oil tanker, small product tanker (&lt; 26 500 tonnes deadweight) [1]</t>
  </si>
  <si>
    <t>Oil tanker, Handy product (26 500 - 68 499 tonnes deadweight) [1]</t>
  </si>
  <si>
    <t>Oil tanker, Aframax (68 500 - 200 000 tonnes deadweight) [1]</t>
  </si>
  <si>
    <t>Oil tanker, VLCC (very large cruder) (&gt; 200 000 tonnes deadweight) [1]</t>
  </si>
  <si>
    <t>Sea freight, ferry boat et roll-on/roll-off vessels</t>
  </si>
  <si>
    <t>Type of ship</t>
  </si>
  <si>
    <t>Waterway freight</t>
  </si>
  <si>
    <t>Day ferry boat [1]</t>
  </si>
  <si>
    <t>Night ferry boat [1]</t>
  </si>
  <si>
    <t>Ferry boat ro-pax [1]</t>
  </si>
  <si>
    <t>Roll-on/roll-off vessels, Ro-Ro [1]</t>
  </si>
  <si>
    <t>Self-propelled vessels 400 - 650 t [1]</t>
  </si>
  <si>
    <t>Self-propelled vessels 650 -1000 t [1]</t>
  </si>
  <si>
    <t>Self-propelled vessels 1000 - 1500 t [1]</t>
  </si>
  <si>
    <t>Self-propelled vessels &gt; 1500 t [1]</t>
  </si>
  <si>
    <t>Self-propelled vessels &lt; 400 t [1]</t>
  </si>
  <si>
    <t>Pusher vessel 295 - 590 kW [1]</t>
  </si>
  <si>
    <t>Pusher vessel 590 - 880 kW [1]</t>
  </si>
  <si>
    <t>Pusher vessel &gt; 880 kW (shipping containers) [1]</t>
  </si>
  <si>
    <t>Pusher vessel &gt; 880 kW (out of shipping containers) [1]</t>
  </si>
  <si>
    <t>Waterway freight by type of river basin, V6.1 emission factors</t>
  </si>
  <si>
    <t>Type of river basin</t>
  </si>
  <si>
    <t>Rhine, V6.1 [1]</t>
  </si>
  <si>
    <t>Inter-bassin, V6.1 [1]</t>
  </si>
  <si>
    <t>Average all types of basins, V6.1 [1]</t>
  </si>
  <si>
    <t>Link Mayotte-Anjouan [1]</t>
  </si>
  <si>
    <t>Link Petite Terre-Grande Terre [1]</t>
  </si>
  <si>
    <t>Transporting people</t>
  </si>
  <si>
    <t>Road Travel</t>
  </si>
  <si>
    <t>]0-5CV] petrol [1]</t>
  </si>
  <si>
    <t>[6-10CV] petrol [1]</t>
  </si>
  <si>
    <t>&gt; 11CV petrol [1]</t>
  </si>
  <si>
    <t>]0-5CV] diesel oil [1]</t>
  </si>
  <si>
    <t>[6-10CV] diesel oil [1]</t>
  </si>
  <si>
    <t>&gt; 11CV diesel oil [1]</t>
  </si>
  <si>
    <t>]0-5CV] mix petrol/diesel oil [1]</t>
  </si>
  <si>
    <t>[6-10CV] mix petrol/diesel oil [1]</t>
  </si>
  <si>
    <t>&gt; 11CV mix petrol/diesel oil [1]</t>
  </si>
  <si>
    <t>private car, petrol, average [1]</t>
  </si>
  <si>
    <t>private car, diesel oil, average [1]</t>
  </si>
  <si>
    <t>private car, mix petrol/diesel oil, average [1]</t>
  </si>
  <si>
    <t>private car, diesel oi, average [1]</t>
  </si>
  <si>
    <t>Travels, private car, V6.1 emission factors</t>
  </si>
  <si>
    <t>Average distance</t>
  </si>
  <si>
    <t>home-work (km)</t>
  </si>
  <si>
    <t>Number of</t>
  </si>
  <si>
    <t>days worked</t>
  </si>
  <si>
    <t>Home Location of the driver</t>
  </si>
  <si>
    <t>Rural periphery, V6.1 [1]</t>
  </si>
  <si>
    <t>Ile de France outer suburbs, V6.1 [1]</t>
  </si>
  <si>
    <t>Urban suburbs, V6.1 [1]</t>
  </si>
  <si>
    <t>Town center, V6.1 [1]</t>
  </si>
  <si>
    <t>Whole of France, V6.1 [1]</t>
  </si>
  <si>
    <t>Rural areas, Mayotte, V6.1 [1]</t>
  </si>
  <si>
    <t>Urban periphery, Mayotte, V6.1 [1]</t>
  </si>
  <si>
    <t>Town center, Mayotte, V6.1 [1]</t>
  </si>
  <si>
    <t>Town center, Tahiti, V6.1 [1]</t>
  </si>
  <si>
    <t>Rural periphery, Tahiti, V6.1 [1]</t>
  </si>
  <si>
    <t>Urban suburbs, Tahiti, V6.1 [1]</t>
  </si>
  <si>
    <t>Type of journey</t>
  </si>
  <si>
    <t>Urban area, other cases, V6.1 [1]</t>
  </si>
  <si>
    <t>Urban area during rush hours, V6.1 [1]</t>
  </si>
  <si>
    <t>Extra-urban area, V6.1 [1]</t>
  </si>
  <si>
    <t>Urban area during rush hours, Mayotte, V6.1 [1]</t>
  </si>
  <si>
    <t>Average journey, Mayotte, V6.1 [1]</t>
  </si>
  <si>
    <t>Rural area, Mayotte, V6.1 [1]</t>
  </si>
  <si>
    <t>Urban area during rush hours, French Polynesia, V6.1 [1]</t>
  </si>
  <si>
    <t>Urban area, other cases, French Polynesia, V6.1 [1]</t>
  </si>
  <si>
    <t>Mix journey, French Polynesia, V6.1 [1]</t>
  </si>
  <si>
    <t>Mix journey V6.1 [1]</t>
  </si>
  <si>
    <t>Extra-urban area, French Polynesia, V6.1 [1]</t>
  </si>
  <si>
    <t>Travels, bus &amp; coach, vehicle.km</t>
  </si>
  <si>
    <t>Type of network</t>
  </si>
  <si>
    <t>Home-work average distance (km)</t>
  </si>
  <si>
    <t>kg CO2e per fare.km</t>
  </si>
  <si>
    <t>Breakdown of GHG emissions by type (kg CO2e per fare.km)</t>
  </si>
  <si>
    <t>kg CO2e per passenger.km</t>
  </si>
  <si>
    <t>Travels, bus &amp; coach, passenger.km</t>
  </si>
  <si>
    <t>Travels, motorbike</t>
  </si>
  <si>
    <t>Bus &amp; coach, urban areas &lt; 150 000 inhabitants [1]</t>
  </si>
  <si>
    <t>Bus &amp; coach, urban areas from 150 000 to 250 000 inhabitants [1]</t>
  </si>
  <si>
    <t>Bus &amp; coach, urban areas &gt; 250 000 inhabitants [1]</t>
  </si>
  <si>
    <t>Engine size motorbike &lt; 750 cm³, petrol, urban area [1]</t>
  </si>
  <si>
    <t>Engine size motorbike &gt; 750 cm³, petrol, urban area [1]</t>
  </si>
  <si>
    <t>Travel by train</t>
  </si>
  <si>
    <t>Travels by train</t>
  </si>
  <si>
    <t>kg CO2e per person.km</t>
  </si>
  <si>
    <t>Breakdown of GHG emissions by type
(kg CO2e per person.km)</t>
  </si>
  <si>
    <t>kg CO2 b per person.km</t>
  </si>
  <si>
    <t>Breakdown of GHG emissions by type
(kg CO2e per vehicle.km)</t>
  </si>
  <si>
    <t>Train in France, TGV [1]</t>
  </si>
  <si>
    <t>Train in France, TER (Regional Express Train), electricity[1]</t>
  </si>
  <si>
    <t>Train in France, TER, (Regional Express Train), diesel oil [1]</t>
  </si>
  <si>
    <t>Train in France, long-distance train [1]</t>
  </si>
  <si>
    <t>Subway, Paris [1]</t>
  </si>
  <si>
    <t>RER (Regional Express Network), Paris [1]</t>
  </si>
  <si>
    <t>Subway, tram, trolley urban areas from 150 000 to 250 000 inhabitants [1]</t>
  </si>
  <si>
    <t>Subway, tram, trolley urban areas  &gt; 250 000 inhabitants [1]</t>
  </si>
  <si>
    <t>Train in Corisca - Average [1]</t>
  </si>
  <si>
    <t>Italy [1]</t>
  </si>
  <si>
    <t>Emissions not covered by Kyoto (air): multiple of Kyoto emissions</t>
  </si>
  <si>
    <t>Travels by plane</t>
  </si>
  <si>
    <t>Average number of km per journey</t>
  </si>
  <si>
    <t>kg CO2 b per passenger.km</t>
  </si>
  <si>
    <t>Breakdown of GHG emissions by typeS (kg CO2e per passenger.km)</t>
  </si>
  <si>
    <t>0-50 seats, 0-1000 km [1]</t>
  </si>
  <si>
    <t>Short-haul in 2nd class, /!\ Unknown GHG breakdown  /!\[1]</t>
  </si>
  <si>
    <t>Short-haul in business class, /!\ Unknown GHG breakdown  /!\ [1]</t>
  </si>
  <si>
    <t>Short-haul, unknown class, /!\ Unknown GHG breakdown  /!\ [1]</t>
  </si>
  <si>
    <t>Long-haul in 2nd class, /!\ Unknown GHG breakdown  /!\ [1]</t>
  </si>
  <si>
    <t>Long-haul in business class, /!\ Unknown GHG breakdown  /!\ [1]</t>
  </si>
  <si>
    <t>Long-haul in first class, /!\ Unknown GHG breakdown  /!\ [1]</t>
  </si>
  <si>
    <t>Long-haul, unknown class, /!\ Unknown GHG breakdown /!\ [1]</t>
  </si>
  <si>
    <t>Travel by plane</t>
  </si>
  <si>
    <t>Travel by ship</t>
  </si>
  <si>
    <t>Breakdown of GHG emissions by type (kg CO2e per passenger.km)</t>
  </si>
  <si>
    <t>Tourism river shuttle  [1]</t>
  </si>
  <si>
    <t>Night ferry boat, France mainland [1]</t>
  </si>
  <si>
    <t>Ferry boat ro-pax, France mainland [1]</t>
  </si>
  <si>
    <t>Shale oil, France mainland [1]</t>
  </si>
  <si>
    <t>Day ferry boat, France mainland [1]</t>
  </si>
  <si>
    <t>Maritime shuttle, link inter-islands, French Polynesia [1]</t>
  </si>
  <si>
    <t>Maritime shuttle, link inter-islands, Mayotte-Anjouan [1]</t>
  </si>
  <si>
    <t>Maritime shuttle, link inter-islands, Petite Terre-Grande Terre [1]</t>
  </si>
  <si>
    <t>Inputs - Materials</t>
  </si>
  <si>
    <t>Materials, metals</t>
  </si>
  <si>
    <t>Type of material</t>
  </si>
  <si>
    <t>ex-recycled</t>
  </si>
  <si>
    <t>Hexane, per tonne, France mainland [1]</t>
  </si>
  <si>
    <t>kg CO2 per tonne</t>
  </si>
  <si>
    <t>kg CH4 per tonne</t>
  </si>
  <si>
    <t>kg N2O per tonne</t>
  </si>
  <si>
    <t>kg CO2 b per tonne</t>
  </si>
  <si>
    <t xml:space="preserve"> kg CO2e per tonne</t>
  </si>
  <si>
    <t>Breakdown of GHG emissions by type (kg CO2e per tonne)</t>
  </si>
  <si>
    <t>Breakdown of GHG emissions by type</t>
  </si>
  <si>
    <t>End-of-life</t>
  </si>
  <si>
    <t>Average recycling rate</t>
  </si>
  <si>
    <t>Avoided emissions</t>
  </si>
  <si>
    <t>Average rate in landfills</t>
  </si>
  <si>
    <t>Average rate for incineration</t>
  </si>
  <si>
    <t>Average rate in composting</t>
  </si>
  <si>
    <t>Average rate in methanisation</t>
  </si>
  <si>
    <t>Steel or tinplate [1]</t>
  </si>
  <si>
    <t>Other common metals - average [1]</t>
  </si>
  <si>
    <t>Cooper - average [1]</t>
  </si>
  <si>
    <t>Nickel - average [1]</t>
  </si>
  <si>
    <t>Zinc - average [1]</t>
  </si>
  <si>
    <t>Materials, glass</t>
  </si>
  <si>
    <t>Materials, plastics</t>
  </si>
  <si>
    <t>Fiberglass - average [1]</t>
  </si>
  <si>
    <t>Flat glass [1]</t>
  </si>
  <si>
    <t>Bottle glass [1]</t>
  </si>
  <si>
    <t>Technical glass (optical &amp; electronical) [1]</t>
  </si>
  <si>
    <t>Flask glass - average [1]</t>
  </si>
  <si>
    <t>Patterned flat glass [1]</t>
  </si>
  <si>
    <t>Leaded/ crystal flat glass[1]</t>
  </si>
  <si>
    <t>Curved flat glass [1]</t>
  </si>
  <si>
    <t>Safety laminated flat glass [1]</t>
  </si>
  <si>
    <t>Flat float glass [1]</t>
  </si>
  <si>
    <t>High density polyethylene [1]</t>
  </si>
  <si>
    <t>Low density polyethylene  [1]</t>
  </si>
  <si>
    <t>Polystyrene - average [1]</t>
  </si>
  <si>
    <t>Composites &amp; polyurethane - average [1]</t>
  </si>
  <si>
    <t>PET plastic films - not recyclable [1]</t>
  </si>
  <si>
    <t>Plastic - average [1]</t>
  </si>
  <si>
    <t>Materials, paper and cardboard</t>
  </si>
  <si>
    <t>Cardboard [1]</t>
  </si>
  <si>
    <t>Paper [1]</t>
  </si>
  <si>
    <t>Pulp from eucalyptus [1]</t>
  </si>
  <si>
    <t>Pulp from hardwood [1]</t>
  </si>
  <si>
    <t>Pulp from softwood [1]</t>
  </si>
  <si>
    <t>Pulp, recycled [1]</t>
  </si>
  <si>
    <t>Supplement for building</t>
  </si>
  <si>
    <t>Unit used</t>
  </si>
  <si>
    <t>kg CO2e per quantity</t>
  </si>
  <si>
    <t>Building materials (INIES)</t>
  </si>
  <si>
    <t>1 sqm of wall</t>
  </si>
  <si>
    <t>1 LM</t>
  </si>
  <si>
    <t>1sqm</t>
  </si>
  <si>
    <t>sqm</t>
  </si>
  <si>
    <t>1 sqm of soil</t>
  </si>
  <si>
    <t>1 sqm of roof</t>
  </si>
  <si>
    <t>Corrugated sheet  [1]</t>
  </si>
  <si>
    <t>Concrete tile [1]</t>
  </si>
  <si>
    <t>Homogeneous PVC floor covering [1]</t>
  </si>
  <si>
    <t>Beam in prestressend concretet [1]</t>
  </si>
  <si>
    <t>1 ML</t>
  </si>
  <si>
    <t>Quarry stones [1]</t>
  </si>
  <si>
    <t>Suspended ceiling panel  [1]</t>
  </si>
  <si>
    <t>Masonry wall in concrete blocks [1]</t>
  </si>
  <si>
    <t>Terracotta monomur [1]</t>
  </si>
  <si>
    <t>Wall lining for thermal insulation. [1]</t>
  </si>
  <si>
    <t>Portland cement [1]</t>
  </si>
  <si>
    <t>Gypsum blocks [1]</t>
  </si>
  <si>
    <t>PVC pipes [1]</t>
  </si>
  <si>
    <t>Reinforced concrete [1]</t>
  </si>
  <si>
    <t>Concrete (C25/30CEM II) [1]</t>
  </si>
  <si>
    <t>Building materials and highways</t>
  </si>
  <si>
    <t>Continuously reinforced concrete (road) [1]</t>
  </si>
  <si>
    <t>Asphalt concrete [1]</t>
  </si>
  <si>
    <t>Cold process asphalt concrete [1]</t>
  </si>
  <si>
    <t>Asphalt concrete with 10% HIR [1]</t>
  </si>
  <si>
    <t>Asphalt concrete with 20% HIR [1]</t>
  </si>
  <si>
    <t>Asphalt concrete with 30% HIR [1]</t>
  </si>
  <si>
    <t>Asphalt concrete with 50% HIR [1]</t>
  </si>
  <si>
    <t>Cement concrete (road) [1]</t>
  </si>
  <si>
    <t>Short shelf-life timber [1]</t>
  </si>
  <si>
    <t>Lumber [1]</t>
  </si>
  <si>
    <t>Quicklime [1]</t>
  </si>
  <si>
    <t>High modulus asphalt [1]</t>
  </si>
  <si>
    <t>Warm asphalt [1]</t>
  </si>
  <si>
    <t>Soil treated with asphalt binder [1]</t>
  </si>
  <si>
    <t>In-place recycling with emulsion [1]</t>
  </si>
  <si>
    <t>Hot in-lace recycling (HIR) [1]</t>
  </si>
  <si>
    <t>Untreated gravel [1]</t>
  </si>
  <si>
    <t>Recycled aggregates [1]</t>
  </si>
  <si>
    <t>Aggregates from massive rock [1]</t>
  </si>
  <si>
    <t>Aggregates from loose rock [1]</t>
  </si>
  <si>
    <t>Crushed stone 3 [1]</t>
  </si>
  <si>
    <t>Cement-treated base [1]</t>
  </si>
  <si>
    <t>Grave emulsion [1]</t>
  </si>
  <si>
    <t>Gravel with hydraulic binder [1]</t>
  </si>
  <si>
    <t>Cement-treated base, precracked [1]</t>
  </si>
  <si>
    <t>Aggregates with hydraulic road binders [1]</t>
  </si>
  <si>
    <t>Materials, chemical products</t>
  </si>
  <si>
    <t xml:space="preserve"> Source Code</t>
  </si>
  <si>
    <t>Name of source</t>
  </si>
  <si>
    <t>Page(s) to find detailed information</t>
  </si>
  <si>
    <t>Emissions factors author</t>
  </si>
  <si>
    <t>Emissions factors sources</t>
  </si>
  <si>
    <t>Name of document relied on</t>
  </si>
  <si>
    <t>Hydrochloric acid, per tonne, France mainland [1]</t>
  </si>
  <si>
    <t>Phosphoric acid, per tonne, France mainland [1]</t>
  </si>
  <si>
    <t>Sulphuric acid, per tonne, France mainland [1]</t>
  </si>
  <si>
    <t>Alcohol, per tonne, France mainland [1]</t>
  </si>
  <si>
    <t>Black PU  leather lacquer, per tonne, Worldwide [1]</t>
  </si>
  <si>
    <t>Methanol, per tonne, France mainland [1]</t>
  </si>
  <si>
    <t>Soda 50%, per tonne, France mainland [1]</t>
  </si>
  <si>
    <t>Ammonium Nitrate 30% (CAN), per tonne of N, Europe [1]</t>
  </si>
  <si>
    <t>Potassium chloride, per kg of active ingredients, Europe [1]</t>
  </si>
  <si>
    <t>Nitrogen fertilizer, average, per tonne of K2O, Europe [1]</t>
  </si>
  <si>
    <t>Binary fertilizer  NK, per tonne de K2O, Europe [1]</t>
  </si>
  <si>
    <t>Binary fertilizer  PK, per tonne of K2O, Europe [1]</t>
  </si>
  <si>
    <t>Anhydrous ammonia, per tonne of N, Europe [1]</t>
  </si>
  <si>
    <t>Ammonitrate 33,5%, per tonne of N, Europe [1]</t>
  </si>
  <si>
    <t>Binary fertilizer  NK, per tonne of N, Europe [1]</t>
  </si>
  <si>
    <t>Binary fertilizer  NP, per tonne of N, Europe [1]</t>
  </si>
  <si>
    <t>Binary fertilizer  PK, per tonne of N,, Europe [1]</t>
  </si>
  <si>
    <t>Trisuperphosphate (TSP), per kg of active ingredients, Europe [1]</t>
  </si>
  <si>
    <t>Herbicide, per kg of active ingredients, Europe [1]</t>
  </si>
  <si>
    <t>Insecticide average, per tonne of P, Europe [1]</t>
  </si>
  <si>
    <t>Phosphate fertilizer, average, per tonne of P2O5, Europe [1]</t>
  </si>
  <si>
    <t>Potassium fertilizer, average, per tonne of P2O5, Europe [1]</t>
  </si>
  <si>
    <t>Ternary fertilizer per tonne of K2O, Europe [1]</t>
  </si>
  <si>
    <t>Ternary fertilizer, per tonne of K2O, Europe [1]</t>
  </si>
  <si>
    <t>Ternary fertilizer, per tonne of N Europe [1]</t>
  </si>
  <si>
    <t>Stockpile, per tonne of P2O5, Europe [1]</t>
  </si>
  <si>
    <t>Basic slag, per kg of active ingredients, Europe [1]</t>
  </si>
  <si>
    <t>Nitrogen solution, per kg of active ingredients, Europe [1]</t>
  </si>
  <si>
    <t>Urea, per tonne of N, Europe [1]</t>
  </si>
  <si>
    <t>Phytosanitaire averag, per tonne of P2O5, Europe [1]</t>
  </si>
  <si>
    <t>Fungicide average, per kg of active ingredients, Europe [1]</t>
  </si>
  <si>
    <t>Growth regulator, per tonne of N, France mainland [1]</t>
  </si>
  <si>
    <t>Molluscicides (methiocarb), per tonne of N, France mainland [1]</t>
  </si>
  <si>
    <t>Phosphate ammonium nitrate, per kg of active ingredients, Europe [1]</t>
  </si>
  <si>
    <t>Phosphate ammonium nitrate (PAN), per tonne, Europe [1]</t>
  </si>
  <si>
    <t>Other purchase</t>
  </si>
  <si>
    <t>Purchase, monetary ratios</t>
  </si>
  <si>
    <t>kg CO2e per keuro</t>
  </si>
  <si>
    <t>Services with low level of equipment, France mainland [1]</t>
  </si>
  <si>
    <t>Services with low level of equipments, Mayotte [1]</t>
  </si>
  <si>
    <t>Services with high level of equipment, Mayotte [1]</t>
  </si>
  <si>
    <t>Computer and office equipment, France mainland [1]</t>
  </si>
  <si>
    <t>Computer and office equipment, Mayotte [1]</t>
  </si>
  <si>
    <t>Consumables, France mainland [1]</t>
  </si>
  <si>
    <t>Consumables, Mayotte [1]</t>
  </si>
  <si>
    <t>Services with low level of equipments, French Polynesia [1]</t>
  </si>
  <si>
    <t>Acrylic  varnish, per tonne, Worldwide [1]</t>
  </si>
  <si>
    <t>Epoxy  adhesive, mix,  per tonne, Worldwide [1]</t>
  </si>
  <si>
    <t>Epoxy  adhesive, simple with 2 components, per tonne, Worldwide [1]</t>
  </si>
  <si>
    <t>Magnet AlNiCo, Worldwide [1]</t>
  </si>
  <si>
    <t>Magnet NdFeB, Worldwide [1]</t>
  </si>
  <si>
    <t>Outer electric cable, main supply, copper wire, isolation PE &amp; gaine PVC, Worldwide [1]</t>
  </si>
  <si>
    <t>Inner electric cable, supply, copper wire, isolation PE, Worldwide [1]</t>
  </si>
  <si>
    <t>Inner electric cable, signal,  copper wire, isolation PE, Worldwide [1]</t>
  </si>
  <si>
    <t>Alkaline battery  AAA 12g, Worldwide [1]</t>
  </si>
  <si>
    <t>Alkaline battery AA 23g, Worldwide [1]</t>
  </si>
  <si>
    <t>kg of treated leather</t>
  </si>
  <si>
    <t>Leather buffing, Worldwide (Asia) [1]</t>
  </si>
  <si>
    <t>Leather buffing, Europe [1]</t>
  </si>
  <si>
    <t>Leather lacquering PU, Europe [1]</t>
  </si>
  <si>
    <t>Leather lacquering PU , Worldwide [1]</t>
  </si>
  <si>
    <t>Leather Post-tanning Finition , Worldwide [1]</t>
  </si>
  <si>
    <t>Leather tanning ''wet white'', Worldwide [1]</t>
  </si>
  <si>
    <t>Services with high level of equipment, France mainland [1]</t>
  </si>
  <si>
    <t>Services with high level of equipment, French Polynesia [1]</t>
  </si>
  <si>
    <t>Inputs - Food</t>
  </si>
  <si>
    <t>Food, agricultural products</t>
  </si>
  <si>
    <t>Type of food</t>
  </si>
  <si>
    <t>Lamb France mainland, Roquefort system [1]</t>
  </si>
  <si>
    <t>Beef cattle, national average, France mainland [1]</t>
  </si>
  <si>
    <t>Cull ewe, Roquefort system, France mainland [1]</t>
  </si>
  <si>
    <t>Cattle weaner, charolais system &lt; 1,2 UGB/ha, France mainland [1]</t>
  </si>
  <si>
    <t>Cattle weaner,  charolais system &gt;= 1,2 UGB/ha, France mainland [1]</t>
  </si>
  <si>
    <t>Cull goat, intensive forage area system, France mainland (Poitou Charentes) [1]</t>
  </si>
  <si>
    <t>Kid goat, intensive forage area system, France mainland (Poitou Charentes) [1]</t>
  </si>
  <si>
    <t>Suckler heifer, France mainland (Pays de la Loire) [1]</t>
  </si>
  <si>
    <t>Pig, mostly rape feed, France mainland  [1]</t>
  </si>
  <si>
    <t>Pig, mostly soy feed, France mainland  [1]</t>
  </si>
  <si>
    <t>Pig, grain farm/Pigs local supply, France mainland, Pays de la Loire [1]</t>
  </si>
  <si>
    <t>Pig, National average, France mainland [1]</t>
  </si>
  <si>
    <t>Pig, specialized breeding with effluent treatment - 100% purchase, France mainland (Bretagne) [1]</t>
  </si>
  <si>
    <t>Pig, Label Rouge, building &amp; open air  France mainland (Sarthe) [1]</t>
  </si>
  <si>
    <t>Pig, Label Rouge, outdoor keeping, France mainland (Vendée) [1]</t>
  </si>
  <si>
    <t>Young dairy bull, France mainland (Pays de la Loire) [1]</t>
  </si>
  <si>
    <t>Young suckler bull, charolais breeding system &gt;= 1,2 UGB/ha, France mainland (Pays de la Loire) [1]</t>
  </si>
  <si>
    <t>Young suckler bull, charolais breeding system &lt; 1,2 UGB/ha, France mainland, Région Ouest [1]</t>
  </si>
  <si>
    <t>Cull sow, colza feeding, France mainland [1]</t>
  </si>
  <si>
    <t>Cull sow, soy feeding, France mainland [1]</t>
  </si>
  <si>
    <t>Cull sow, grain farm/ cull sow local supply, France mainland, Pays de la Loire [1]</t>
  </si>
  <si>
    <t>Cull sow, National average, France mainland [1]</t>
  </si>
  <si>
    <t>Cull sow, standard specialized breeding with effluent treatment - 100% purchase, France mainland, Bretagne [1]</t>
  </si>
  <si>
    <t>Cull sow, Label Rouge, building &amp; open air, France mainland, Sarthe [1]</t>
  </si>
  <si>
    <t>Cull sow, Label Rouge, outdoor keeping, France mainland, Vendée [1]</t>
  </si>
  <si>
    <t>Suckler cull cow, breeding specialized, charolais system &lt; 1,2 UGB/ha, France mainland, Bourgogne [1]</t>
  </si>
  <si>
    <t>Suckler cull cow, breeding specialized, charolais system &gt;= 1,2 UGB/ha, France mainland, Pays de la Loire [1]</t>
  </si>
  <si>
    <t>Beef calf, France mainland (Bretagne) [1]</t>
  </si>
  <si>
    <t>Fattening duck, France mainland (Landes) [1]</t>
  </si>
  <si>
    <t>Duck for roasting, France mainland (Vendée) [1]</t>
  </si>
  <si>
    <t>Turkey France mainland (Bretagne) [1]</t>
  </si>
  <si>
    <t>Turkey Label rouge, France mainland (Bretagne) [1]</t>
  </si>
  <si>
    <t>Turkey, National average, France mainland [1]</t>
  </si>
  <si>
    <t>Broiler, France mainland (Bretagne) [1]</t>
  </si>
  <si>
    <t>Broiler, Label rouge, France mainland (Bretagne) [1]</t>
  </si>
  <si>
    <t>Cull hen, buildings, free-run, France mainland (Bretagne) [1]</t>
  </si>
  <si>
    <t>Cull hen, buildings, in cage, France mainland, (Bretagne) [1]</t>
  </si>
  <si>
    <t>Cull hen, outdoor, France mainland (Pays de la Loire) [1]</t>
  </si>
  <si>
    <t>Cull hen, National average,  France mainland [1]</t>
  </si>
  <si>
    <t>Broiler, National average, France mainland  [1]</t>
  </si>
  <si>
    <t>Wool, Roquefort system, France mainland [1]</t>
  </si>
  <si>
    <t>Sheep milk, Roquefort system, France mainland [1]</t>
  </si>
  <si>
    <t>Goat milk, intensive forage area system, France mainland (Poitou Charentes) [1]</t>
  </si>
  <si>
    <t>Cow milk, mountain grass, France mainland (Massif Central) [1]</t>
  </si>
  <si>
    <t>Cow milk, National average, France mainland  [1]</t>
  </si>
  <si>
    <t>Egg, National average, France mainland [1]</t>
  </si>
  <si>
    <t>Egg, buildings, free-run, France mainland (Bretagne) [1]</t>
  </si>
  <si>
    <t>Egg, buildings, in cage, France mainland (Bretagne) [1]</t>
  </si>
  <si>
    <t>Rabbit in cage, France mainland (Vendée) [1]</t>
  </si>
  <si>
    <t>Cull rabbit, in cage, France mainland (Pays de la Loire) [1]</t>
  </si>
  <si>
    <t>Egg, outdoor, France mainland (Pays de la Loire) [1]</t>
  </si>
  <si>
    <t>Shrimps, France mainland [1]</t>
  </si>
  <si>
    <t>Trout, portion, 250-350g, France mainland  [1]</t>
  </si>
  <si>
    <t>Sea bass or sea bream (200 to 500g, in cage) Mediterranean, France mainland [1]</t>
  </si>
  <si>
    <t>European fishing, France mainland - /!\ Unknown Breakdown of GHG emissions by type/!\ [1]</t>
  </si>
  <si>
    <t>Tropical fishing, Overseas - /!\ Unknown Breakdown of GHG emissions by type /!\ [1]</t>
  </si>
  <si>
    <t>Animal products at "farm gate"</t>
  </si>
  <si>
    <t>Seafood products at "farm gate"</t>
  </si>
  <si>
    <t>Crop products at "farm gate"</t>
  </si>
  <si>
    <t>Pig, organic, France mainland  [1]</t>
  </si>
  <si>
    <t>Cull sow, organic, France mainland [1]</t>
  </si>
  <si>
    <t>Cull hen, organic, France mainland (Bretagne) [1]</t>
  </si>
  <si>
    <t>Broiler, organic, France mainland (Pays de la Loire) [1]</t>
  </si>
  <si>
    <t>Carott, organic, France mainland (Basse Normandie) [1]</t>
  </si>
  <si>
    <t>Carott, Moyenne régionale, France mainland (Basse Normandie) [1]</t>
  </si>
  <si>
    <t>Cucumbers, seasonal, France mainland [1]</t>
  </si>
  <si>
    <t>Cucumbers, in greenhouses, France mainland [1]</t>
  </si>
  <si>
    <t>Potato, mixed varieties, National average, France mainland  [1]</t>
  </si>
  <si>
    <t>Carott, first &amp; second category, Regional average, France mainland (Aquitaine) [1]</t>
  </si>
  <si>
    <t>Carott, first &amp; second category, Regional average, France mainland (Basse Normandie) [1]</t>
  </si>
  <si>
    <t>Ware Potato, industry, France mainland [1]</t>
  </si>
  <si>
    <t>Ware Potato, fresh products market, firm texture, France mainland  [1]</t>
  </si>
  <si>
    <t>Ware Potato, fresh products market, other varieties, France mainland  [1]</t>
  </si>
  <si>
    <t>Starch Potato National average, France mainland  [1]</t>
  </si>
  <si>
    <t>Spring pea, conventional, 15% humidity, France mainland  [1]</t>
  </si>
  <si>
    <t>Winter pea, conventional, 15% humidity, France mainland  [1]</t>
  </si>
  <si>
    <t>Cull cow, highland milk system, grass fed, France mainland (Massif Central) [1]</t>
  </si>
  <si>
    <t>Lamb France mainland, indoor production system [1]</t>
  </si>
  <si>
    <t>Cull ewe, indoor production system, France mainland [1]</t>
  </si>
  <si>
    <t>Wool, indoor production system, France mainland [1]</t>
  </si>
  <si>
    <t>Cull cow, lowland milk system, corn dominant (&gt;30% corn / SFP), France mainland (Bretagne, Pays de la Loire) [1]</t>
  </si>
  <si>
    <t>Calf, highland milk system, silage fed France mainland (Massif Central) [1]</t>
  </si>
  <si>
    <t>Calf, lowland milk system, corn dominant (&gt;30% corn / SFP) atel, France mainland (Bretagne, Pays de la Loire) [1]</t>
  </si>
  <si>
    <t>Cow milk, lowland milk system, silage maize 5 to 10%</t>
  </si>
  <si>
    <t>Cow milk, lowland milk system, mostly corn  (&gt;30% corn / SFP), France mainland (Bretagne, Pays de la Loire) [1]</t>
  </si>
  <si>
    <t>Egg, organic, France mainland (Bretagne) [1]</t>
  </si>
  <si>
    <t>Cow milk, organic, lowland milk system, silage maize (5 to 10% corn / SFP), France mainland (Pays de la Loire) [1]</t>
  </si>
  <si>
    <t>Calf, lowland milk system, silage maize (5 to 10% corn / SFP), France mainland, Région Nord [1]</t>
  </si>
  <si>
    <t>Calf, lowland milk system, silage maize (10-30% of corn / SFP), France mainland (Pays de la Loire) [1]</t>
  </si>
  <si>
    <t>Calf, organic,lowland milk system, silage maize (5 to 10% corn / SFP), France mainland (Pays de la Loire) [1]</t>
  </si>
  <si>
    <t>Cull cow, Lowland, silage (5 to 10% corn / SFP), France mainland (North Region) [1]</t>
  </si>
  <si>
    <t>Cull cow, organic, lowland milk system, silage maize (5 to 10% corn / SFP), France mainland, Pays de la Loire [1]</t>
  </si>
  <si>
    <t>Cull cow, lowland milk system, silage maize (10-30% for corn / SFP), France mainland (Pays de la Loire) [1]</t>
  </si>
  <si>
    <t>Cow milk, lowland, silage (5 to 10% corn / SFP), France mainland (North Region) [1]</t>
  </si>
  <si>
    <t>Large trout (2 to 4 kg), France mainland  [1]</t>
  </si>
  <si>
    <t>Pineapple, French Polynesia [1]</t>
  </si>
  <si>
    <t>Long-haul aircraft (&gt; 4000 km), V6.1 - /!\ Unknown Breakdown of GHG emissions by type /!\  [1]</t>
  </si>
  <si>
    <t>Soft wheat grain, conventional, France mainland [1]</t>
  </si>
  <si>
    <t>Durum wheat grain, conventional, France mainland [1]</t>
  </si>
  <si>
    <t>Fava beans, conventional, France mainland (Ile de France, Picardie, Normandie, Champagne Ardennes, Nord pas de Calais) [1]</t>
  </si>
  <si>
    <t>Soft wheat grain, organic, after fava beans, France mainland (Centre) [1]</t>
  </si>
  <si>
    <t>Soft wheat grain, organic, after Alfalfa, France mainland (Centre) [1]</t>
  </si>
  <si>
    <t>Soft wheat grain, conventional protein improved quality (15% humidity), France mainland [1]</t>
  </si>
  <si>
    <t>Soft wheat grain, conventional breadmaking quality (15% humidity), France mainland [1]</t>
  </si>
  <si>
    <t>Fava beans, organic (model type), France mainland (Centre) [1]</t>
  </si>
  <si>
    <t>Fava beans, spring, conventional, reduced protection, France mainland, Région nord: Ile de France, Picardie, Normandie, Champagne Ardennes, Nord pas de Calais. [1]</t>
  </si>
  <si>
    <t>Grain maize, conventional, 28% humidity, National average, France mainland  [1]</t>
  </si>
  <si>
    <t>Silage maize, conventional, National average, France mainland  [1]</t>
  </si>
  <si>
    <t>Sugar beet roots, conventional, France mainland [1]</t>
  </si>
  <si>
    <t>Clementine (Nour) quality export, Morocco (Souss) [1]</t>
  </si>
  <si>
    <t>Mango, conventional, Brazil (San Francisco) [1]</t>
  </si>
  <si>
    <t>Grapefruit, French Polynesia - /!\ Unknown Breakdown of GHG emissions by type /!\  [1]</t>
  </si>
  <si>
    <t>Peach, organic, National average, France mainland  [1]</t>
  </si>
  <si>
    <t>Peach,  conventional, National average, France mainland  [1]</t>
  </si>
  <si>
    <t>Peach, mix (conventional &amp; organic), National average, France mainland  [1]</t>
  </si>
  <si>
    <t>Cider apple, conventional, France mainland (Bretagne du Sud et Nord-Ouest) [1]</t>
  </si>
  <si>
    <t>Apple, organic, France mainland  [1]</t>
  </si>
  <si>
    <t>Apple, conventional, France mainland  [1]</t>
  </si>
  <si>
    <t>Apple, mix (conventional &amp; organic), France mainland  [1]</t>
  </si>
  <si>
    <t>Apple non scab-resistent, conventional, France mainland  [1]</t>
  </si>
  <si>
    <t>Apple scab-tolerant, conventional, France mainland  [1]</t>
  </si>
  <si>
    <t>Grape, organic, Languedoc Roussillon, mix variety, France mainland, Languedoc-Roussillon [1]</t>
  </si>
  <si>
    <t>Grape, organic, Maconnais, AOC, France mainland, Macon [1]</t>
  </si>
  <si>
    <t>Grape, integrated, Beaujolais Sud, AOC Beaujolais, France mainland, Beaujolais [1]</t>
  </si>
  <si>
    <t>Grape, integrated, Languedoc Roussillon, mix variety, France mainland, Languedoc-Roussillon [1]</t>
  </si>
  <si>
    <t>Seasonal salad, France mainland [1]</t>
  </si>
  <si>
    <t>Lettuce, in greenhouses, France mainland [1]</t>
  </si>
  <si>
    <t>Tomato, for fresh market, organic, in greenhouses, France mainland [1]</t>
  </si>
  <si>
    <t>Tomate, for fresh market, under cold frame, France mainland [1]</t>
  </si>
  <si>
    <t>Tomate, for fresh market, in greenhouses, France mainland [1]</t>
  </si>
  <si>
    <t>Hay, France mainland - /!\ Unknown Breakdown of GHG emissions by type /!\  [1]</t>
  </si>
  <si>
    <t>Alfalfa, National average, France mainland (Champagne-Ardenne) [1]</t>
  </si>
  <si>
    <t>Alfalfa, for animal feeding, France mainland (Champagne-Ardenne) [1]</t>
  </si>
  <si>
    <t>Alfalfa, for deshydratation, France mainland (Champagne-Ardenne) [1]</t>
  </si>
  <si>
    <t>Barley, France mainland [1]</t>
  </si>
  <si>
    <t>Forage barley, France mainland [1]</t>
  </si>
  <si>
    <t>Jasmine rice, Thailand, Nord-Est et Nord [1]</t>
  </si>
  <si>
    <t>Triticale grain, organic, France mainland (Centre) [1]</t>
  </si>
  <si>
    <t>Triticale grain, conventional, France mainland [1]</t>
  </si>
  <si>
    <t>Coffee bean (Robusta) without pulp, Brazil (Minas Gerais) [1]</t>
  </si>
  <si>
    <t>Cocoa conventional, Brazil (Bahia) [1]</t>
  </si>
  <si>
    <t>Rapeseed conventional, 9% humidity, France mainland [1]</t>
  </si>
  <si>
    <t>Sunflower oil, conventional, 9% humidity, France mainland [1]</t>
  </si>
  <si>
    <t>Products at "food industry gate"</t>
  </si>
  <si>
    <t>Lamb, France mainland [1]</t>
  </si>
  <si>
    <t>Beef, France mainland [1]</t>
  </si>
  <si>
    <t>Ewe, France mainland [1]</t>
  </si>
  <si>
    <t>Duck, France mainland [1]</t>
  </si>
  <si>
    <t>Goat, France mainland [1]</t>
  </si>
  <si>
    <t>Young goat, France mainland [1]</t>
  </si>
  <si>
    <t>Turkey, France mainland [1]</t>
  </si>
  <si>
    <t>Rabbit, France mainland [1]</t>
  </si>
  <si>
    <t>Pork, France mainland [1]</t>
  </si>
  <si>
    <t>Chicken, France mainland [1]</t>
  </si>
  <si>
    <t>Butter France mainland [1]</t>
  </si>
  <si>
    <t>Hard cheese, France mainland [1]</t>
  </si>
  <si>
    <t>Soft cheese, France mainland [1]</t>
  </si>
  <si>
    <t>Yoghurt, France mainland [1]</t>
  </si>
  <si>
    <t>Flour France mainland [1]</t>
  </si>
  <si>
    <t>Liquid yeast, Europe [1]</t>
  </si>
  <si>
    <t>Pressed yeast, Europe [1]</t>
  </si>
  <si>
    <t>Dried yeast, Europe [1]</t>
  </si>
  <si>
    <t>Bread, France mainland [1]</t>
  </si>
  <si>
    <t>Sugar, France mainland - /!\ Unknown Breakdown of GHG emissions by type /!\  [1]</t>
  </si>
  <si>
    <t>Rapeseed oil, France mainland [1]</t>
  </si>
  <si>
    <t>Sunflower oil, France mainland [1]</t>
  </si>
  <si>
    <t>Pur alcohol, France mainland [1]</t>
  </si>
  <si>
    <t>Fine wine / champagne, France mainland - /!\ Unknown Breakdown of GHG emissions by type /!\  [1]</t>
  </si>
  <si>
    <t>Wine, France mainland - /!\ Unknown Breakdown of GHG emissions by type /!\  [1]</t>
  </si>
  <si>
    <t xml:space="preserve">Food, meals </t>
  </si>
  <si>
    <t>Type of meals</t>
  </si>
  <si>
    <t>kg CO2e per meal</t>
  </si>
  <si>
    <t>Typical meal, France mainland [1]</t>
  </si>
  <si>
    <t>Vegetarian meal</t>
  </si>
  <si>
    <t>Mainly vegetable meal (with chicken), France mainland [1]</t>
  </si>
  <si>
    <t>Mainly vegetable meal (with beef), France mainland [1]</t>
  </si>
  <si>
    <t>Typical meal (with chicken), France mainland [1]</t>
  </si>
  <si>
    <t>Typical meal (with beef), France mainland [1]</t>
  </si>
  <si>
    <t>Mainly animal meal (with chicken), France mainland [1]</t>
  </si>
  <si>
    <t>Mainly animal meal (with beef), France mainland [1]</t>
  </si>
  <si>
    <t>Water</t>
  </si>
  <si>
    <t>Water network - Without infrastructure [1]</t>
  </si>
  <si>
    <t>Waste disposal</t>
  </si>
  <si>
    <t>Waste - Cross-section data</t>
  </si>
  <si>
    <t>Waste collection et treatment facilities</t>
  </si>
  <si>
    <t>Waste collection [1]</t>
  </si>
  <si>
    <t>Operating of treatment facilities - storage [1]</t>
  </si>
  <si>
    <t>Operating of treatment facilities - incineration [1]</t>
  </si>
  <si>
    <t>Operating of sorting centers [1]</t>
  </si>
  <si>
    <t>Emission factors for the calculation of avoided emissions related to recovery types (to be customised according to the hypothetical cases)</t>
  </si>
  <si>
    <t>kg CO2e per KWh</t>
  </si>
  <si>
    <t>Emission factor for average electrical kWh in Metropolitan France [1]</t>
  </si>
  <si>
    <t>Emission factor for thermical kWh, European average  [1]</t>
  </si>
  <si>
    <t>Waste - Sent to landfill</t>
  </si>
  <si>
    <t>TPS recovery modes</t>
  </si>
  <si>
    <t>Column number</t>
  </si>
  <si>
    <t>None [1]</t>
  </si>
  <si>
    <t>Electrical [1]</t>
  </si>
  <si>
    <t>Thermical [1]</t>
  </si>
  <si>
    <t>Co-generation [1]</t>
  </si>
  <si>
    <t>Not specified [1]</t>
  </si>
  <si>
    <t>Emission factors for use of TPS</t>
  </si>
  <si>
    <t>Type of waste</t>
  </si>
  <si>
    <t>Upstream transportation and operating</t>
  </si>
  <si>
    <t>Waste treatment - Without uptake</t>
  </si>
  <si>
    <t>Waste treatment - with uptake</t>
  </si>
  <si>
    <t>Thermical recovery</t>
  </si>
  <si>
    <t>Electrical recovery</t>
  </si>
  <si>
    <t>Cogeneration</t>
  </si>
  <si>
    <t>Electrical kWh per tonne</t>
  </si>
  <si>
    <t>Thermical kWh per tonne</t>
  </si>
  <si>
    <t>Average value</t>
  </si>
  <si>
    <t>Without recovery</t>
  </si>
  <si>
    <t>Metals [1]</t>
  </si>
  <si>
    <t>Glass [1]</t>
  </si>
  <si>
    <t>Plastics [1]</t>
  </si>
  <si>
    <t>Average household waste [1]</t>
  </si>
  <si>
    <t>Miscellaneous non-combustible and non-fermentable [1]</t>
  </si>
  <si>
    <t>Average emission factors for use of TPS</t>
  </si>
  <si>
    <t>Average value without avoidancee</t>
  </si>
  <si>
    <t>avoided emissions</t>
  </si>
  <si>
    <t>% landfilled</t>
  </si>
  <si>
    <t>Average value without avoidance</t>
  </si>
  <si>
    <t>Waste - Incineration</t>
  </si>
  <si>
    <t>Incineration, type of recovery</t>
  </si>
  <si>
    <t>Waste - Recycling</t>
  </si>
  <si>
    <t>Recycled or reused materials</t>
  </si>
  <si>
    <t>All materials [1]</t>
  </si>
  <si>
    <t>Organic waste streams</t>
  </si>
  <si>
    <t>Composting [1]</t>
  </si>
  <si>
    <t>Type of stream</t>
  </si>
  <si>
    <t>% TPS</t>
  </si>
  <si>
    <t>without uptake</t>
  </si>
  <si>
    <t>with uptake and without recovery</t>
  </si>
  <si>
    <t>with electrical recovery</t>
  </si>
  <si>
    <t>with thermical recovery</t>
  </si>
  <si>
    <t>with co-generation</t>
  </si>
  <si>
    <t>% incinerator</t>
  </si>
  <si>
    <t>without recovery</t>
  </si>
  <si>
    <t>with thermal recovery</t>
  </si>
  <si>
    <t>with cogeneration</t>
  </si>
  <si>
    <t>% recycled</t>
  </si>
  <si>
    <t>% composted</t>
  </si>
  <si>
    <t>% methanisation</t>
  </si>
  <si>
    <t>Breakdown by waste stream in Metropolitan France</t>
  </si>
  <si>
    <t>Avoided emissions
recycling</t>
  </si>
  <si>
    <t>Waste - Hazardous Waste and Sewage</t>
  </si>
  <si>
    <t>Waste water, method by m3 and default factors for BOD</t>
  </si>
  <si>
    <t>Origin of rejection</t>
  </si>
  <si>
    <t>kg DBO per m3</t>
  </si>
  <si>
    <t>kg CO2e per m3</t>
  </si>
  <si>
    <t>kg of CH4 per kg of DBO</t>
  </si>
  <si>
    <t>Starch [1]</t>
  </si>
  <si>
    <t>Brewery [1]</t>
  </si>
  <si>
    <t>Organic chemistry [1]</t>
  </si>
  <si>
    <t>Food Oil Manufacturing [1]</t>
  </si>
  <si>
    <t>Food industry, average value [1]</t>
  </si>
  <si>
    <t>Food industry, vegetables [1]</t>
  </si>
  <si>
    <t>Paper mill [1]</t>
  </si>
  <si>
    <t>Production of alcoholic beverages</t>
  </si>
  <si>
    <t>Production of sugar [1]</t>
  </si>
  <si>
    <t>Dairy products [1]</t>
  </si>
  <si>
    <t>Tannery [1]</t>
  </si>
  <si>
    <t>Other [1]</t>
  </si>
  <si>
    <t>Waste water discharged in the network (without infrastructure)</t>
  </si>
  <si>
    <t xml:space="preserve">Hazardous waste </t>
  </si>
  <si>
    <t>Type of treatment</t>
  </si>
  <si>
    <t>SIW (Special Industrial Waste) - Stabilisation and storage [1]</t>
  </si>
  <si>
    <t>SIW (Special Industrial Waste) - Incineration [1]</t>
  </si>
  <si>
    <t>DMW (Dangerous Medical Waste) - Incineration  [1]</t>
  </si>
  <si>
    <t>Metals [1], Guadeloupe</t>
  </si>
  <si>
    <t>Metals [1], Martinique</t>
  </si>
  <si>
    <t>Metals [1], Mayotte</t>
  </si>
  <si>
    <t>Glass [1], Guadeloupe</t>
  </si>
  <si>
    <t>Glass [1], Martinique</t>
  </si>
  <si>
    <t>Glass [1], Mayotte</t>
  </si>
  <si>
    <t>Plastics [1], Guadeloupe</t>
  </si>
  <si>
    <t>Plastics [1], Martinique</t>
  </si>
  <si>
    <t>Plastics [1], Mayotte</t>
  </si>
  <si>
    <t>Cardboard [1], Guadeloupe</t>
  </si>
  <si>
    <t>Cardboard [1], Martinique</t>
  </si>
  <si>
    <t>Cardboard [1], Mayotte</t>
  </si>
  <si>
    <t>Paper [1], Guadeloupe</t>
  </si>
  <si>
    <t>Paper [1], Martinique</t>
  </si>
  <si>
    <t>Paper [1], Mayotte</t>
  </si>
  <si>
    <t>Organic / food waste [1], Guadeloupe</t>
  </si>
  <si>
    <t>Organic / food waste [1], Martinique</t>
  </si>
  <si>
    <t>Organic / food waste [1], Mayotte</t>
  </si>
  <si>
    <t>Average household waste [1], Guadeloupe</t>
  </si>
  <si>
    <t>Average household waste [1], Martinique</t>
  </si>
  <si>
    <t>Average household waste [1], Mayotte</t>
  </si>
  <si>
    <t>Miscellaneous non-combustible and non-fermentable [1], Guadeloupe</t>
  </si>
  <si>
    <t>Miscellaneous non-combustible and non-fermentable [1], Martinique</t>
  </si>
  <si>
    <t>Miscellaneous non-combustible and non-fermentable [1], Mayotte</t>
  </si>
  <si>
    <t>Organic / food waste [1], Corsica</t>
  </si>
  <si>
    <t>Capital goods, building</t>
  </si>
  <si>
    <t>Type of construction</t>
  </si>
  <si>
    <t>kg CO2e per sqm</t>
  </si>
  <si>
    <t>Agricultural buildings (concrete) [1]</t>
  </si>
  <si>
    <t>Agricultural buildings (metal) [1]</t>
  </si>
  <si>
    <t>Idustrial buildings (concrete) [1]</t>
  </si>
  <si>
    <t>Industrial buildings (metal) [1]</t>
  </si>
  <si>
    <t>Offices (concrete) [1]</t>
  </si>
  <si>
    <t>Retail stores (concrete) [1]</t>
  </si>
  <si>
    <t>Retail stores (metal) [1]</t>
  </si>
  <si>
    <t>Education (concrete) [1]</t>
  </si>
  <si>
    <t>Garages (concrete) [1]</t>
  </si>
  <si>
    <t>Garages (metal) [1]</t>
  </si>
  <si>
    <t>Healthcare (concrete) [1]</t>
  </si>
  <si>
    <t>Leisure (concrete)) [1]</t>
  </si>
  <si>
    <t>Leisure (metal) [1]</t>
  </si>
  <si>
    <t>Housing (concrete) [1]</t>
  </si>
  <si>
    <t>Dwelling blocks (IC) (HQE Performance) [1]</t>
  </si>
  <si>
    <t>Individual housel (HQE Performance) [1]</t>
  </si>
  <si>
    <t xml:space="preserve">Capital goods, road </t>
  </si>
  <si>
    <t>Number of HGVs per day</t>
  </si>
  <si>
    <t>Cement</t>
  </si>
  <si>
    <t>Asphalt</t>
  </si>
  <si>
    <t>Medium-haul aircraftr (1000 to 4000 km), V6.1 - /!\ Unknown GHG breakdown /!\ [1]</t>
  </si>
  <si>
    <t>25 to 50</t>
  </si>
  <si>
    <t>50 to 150</t>
  </si>
  <si>
    <t>150 to 300</t>
  </si>
  <si>
    <t>300 to 750</t>
  </si>
  <si>
    <t>750 to 2 000</t>
  </si>
  <si>
    <t>2 000 to 5000</t>
  </si>
  <si>
    <t>kg CO2e per meter of</t>
  </si>
  <si>
    <t>metal barrier</t>
  </si>
  <si>
    <t>Type of road</t>
  </si>
  <si>
    <t>Capital goods, IT or office unit</t>
  </si>
  <si>
    <t>Type of device</t>
  </si>
  <si>
    <t>kg CO2e per device</t>
  </si>
  <si>
    <t>Computers with cath. Tubes [1]</t>
  </si>
  <si>
    <t>PC with flat screen [1]</t>
  </si>
  <si>
    <t>Laptop computer [1]</t>
  </si>
  <si>
    <t>Central processes, alone [1]</t>
  </si>
  <si>
    <t>Cathode-ray screens, alone [1]</t>
  </si>
  <si>
    <t>Flat screens, alone [1]</t>
  </si>
  <si>
    <t>Printers [1]</t>
  </si>
  <si>
    <t>Copy machines [1]</t>
  </si>
  <si>
    <t>Fax machines [1]</t>
  </si>
  <si>
    <t xml:space="preserve">Capital goods, monetary ratios for IT and office system </t>
  </si>
  <si>
    <t>Capital goods, tools and machines</t>
  </si>
  <si>
    <t>Vehicles [1]</t>
  </si>
  <si>
    <t>Furniture [1]</t>
  </si>
  <si>
    <t>Organic / food waste [1]</t>
  </si>
  <si>
    <t>Bilan Carbone® reporting period / year</t>
  </si>
  <si>
    <t>persons</t>
  </si>
  <si>
    <t>Employees</t>
  </si>
  <si>
    <t>Turnover / Actual Budget</t>
  </si>
  <si>
    <t>Operating income / Operating budget</t>
  </si>
  <si>
    <t>Net income / Other budget</t>
  </si>
  <si>
    <t xml:space="preserve">In millions of euros </t>
  </si>
  <si>
    <t>Financial control</t>
  </si>
  <si>
    <t>Operational control</t>
  </si>
  <si>
    <t>Share of capital</t>
  </si>
  <si>
    <t>Emission sources title (can be changed)</t>
  </si>
  <si>
    <t>To go to the tab</t>
  </si>
  <si>
    <r>
      <t xml:space="preserve">Tab names
</t>
    </r>
    <r>
      <rPr>
        <b/>
        <u/>
        <sz val="11"/>
        <color indexed="9"/>
        <rFont val="Arial"/>
        <family val="2"/>
      </rPr>
      <t>(CAN'T</t>
    </r>
    <r>
      <rPr>
        <b/>
        <sz val="11"/>
        <color indexed="9"/>
        <rFont val="Arial"/>
        <family val="2"/>
      </rPr>
      <t xml:space="preserve"> be changed)</t>
    </r>
  </si>
  <si>
    <t>Description of emission sources (can be customized)</t>
  </si>
  <si>
    <t>Energy 1</t>
  </si>
  <si>
    <t>Non-energy 1</t>
  </si>
  <si>
    <t>Future Packaging</t>
  </si>
  <si>
    <t>Direct waste</t>
  </si>
  <si>
    <t>Use stages</t>
  </si>
  <si>
    <t>End-of-Life</t>
  </si>
  <si>
    <t>Utilities</t>
  </si>
  <si>
    <t>Graphs</t>
  </si>
  <si>
    <t>CO2e overview</t>
  </si>
  <si>
    <t>Fuels</t>
  </si>
  <si>
    <t>Steam &amp; Cooling</t>
  </si>
  <si>
    <t>Electricity</t>
  </si>
  <si>
    <t>Reminder</t>
  </si>
  <si>
    <t>Consumption</t>
  </si>
  <si>
    <t>characterisation</t>
  </si>
  <si>
    <t>Material</t>
  </si>
  <si>
    <t>kWh per</t>
  </si>
  <si>
    <t>per kWh</t>
  </si>
  <si>
    <t>per tonne</t>
  </si>
  <si>
    <t>(toe LHV)</t>
  </si>
  <si>
    <t>heated</t>
  </si>
  <si>
    <t>(kWh LHV)</t>
  </si>
  <si>
    <t>Uncertainty
(kg CO2e)</t>
  </si>
  <si>
    <t>factors</t>
  </si>
  <si>
    <t>data</t>
  </si>
  <si>
    <t>short-term</t>
  </si>
  <si>
    <t>Reduction targets</t>
  </si>
  <si>
    <t>Long-term</t>
  </si>
  <si>
    <t>City</t>
  </si>
  <si>
    <t xml:space="preserve">Inline losses </t>
  </si>
  <si>
    <t>coefficient</t>
  </si>
  <si>
    <t>(TOE)</t>
  </si>
  <si>
    <t>per TOE</t>
  </si>
  <si>
    <t>Breakdown by GHG type</t>
  </si>
  <si>
    <t>Other gas</t>
  </si>
  <si>
    <t>Country where the electricity is consumed</t>
  </si>
  <si>
    <t>Estimate based on sqm</t>
  </si>
  <si>
    <t>country</t>
  </si>
  <si>
    <t>considered</t>
  </si>
  <si>
    <t>per sqm.year</t>
  </si>
  <si>
    <t>Offices [1]</t>
  </si>
  <si>
    <t>Retail stores [1]</t>
  </si>
  <si>
    <t>Education [1]</t>
  </si>
  <si>
    <t>Healthcare [1]</t>
  </si>
  <si>
    <t>Converters</t>
  </si>
  <si>
    <t>Statistical Data</t>
  </si>
  <si>
    <t>Supporting Documents</t>
  </si>
  <si>
    <t>Natural Gas</t>
  </si>
  <si>
    <t>LPG</t>
  </si>
  <si>
    <t>Petrol</t>
  </si>
  <si>
    <t>Diesel oil, domestic fuel</t>
  </si>
  <si>
    <t>Heavy fuel</t>
  </si>
  <si>
    <t>Coal</t>
  </si>
  <si>
    <t>kWh HHV</t>
  </si>
  <si>
    <t>kWh LHV</t>
  </si>
  <si>
    <t>HHV/LHV</t>
  </si>
  <si>
    <t>Toe</t>
  </si>
  <si>
    <t>Tce</t>
  </si>
  <si>
    <t>m3 of natural gas</t>
  </si>
  <si>
    <t>t of wood @ 20% moisture</t>
  </si>
  <si>
    <t>Conversion of HHV into LHV</t>
  </si>
  <si>
    <t xml:space="preserve">Conversion of various physical units into other units </t>
  </si>
  <si>
    <t>Unity</t>
  </si>
  <si>
    <t>Value</t>
  </si>
  <si>
    <t>KWh LHV</t>
  </si>
  <si>
    <t>tonne of wood @ 20% moist.</t>
  </si>
  <si>
    <r>
      <rPr>
        <b/>
        <sz val="10"/>
        <rFont val="Arial"/>
        <family val="2"/>
      </rPr>
      <t>Caution:</t>
    </r>
    <r>
      <rPr>
        <sz val="10"/>
        <rFont val="Arial"/>
        <family val="2"/>
      </rPr>
      <t xml:space="preserve"> If, when you enter a value in one of these cases with black underground, the value in the blue background cases is still null (0), it doesn't mean that the result is null, but that the round up is null.</t>
    </r>
  </si>
  <si>
    <t>Unit</t>
  </si>
  <si>
    <t>Emission</t>
  </si>
  <si>
    <t>factor</t>
  </si>
  <si>
    <t>Data</t>
  </si>
  <si>
    <t>per ha</t>
  </si>
  <si>
    <t>All areas [1]</t>
  </si>
  <si>
    <t>Area H1 [1]</t>
  </si>
  <si>
    <t>Area H2 [1]</t>
  </si>
  <si>
    <t>Area H3 [1]</t>
  </si>
  <si>
    <t>Area H1 &amp; altitude &gt;800 m [1]</t>
  </si>
  <si>
    <t>Area H2 &amp; altitude &gt;800 m [1]</t>
  </si>
  <si>
    <t>Area H3 &amp; altitude &gt;800 m [1]</t>
  </si>
  <si>
    <t>Service industries</t>
  </si>
  <si>
    <t>Service industries heated with gas, average</t>
  </si>
  <si>
    <t>kWh/sqm.year</t>
  </si>
  <si>
    <t>Heating</t>
  </si>
  <si>
    <t>HWS</t>
  </si>
  <si>
    <t>Heating + HWS</t>
  </si>
  <si>
    <t>Other healthcare activities [1]</t>
  </si>
  <si>
    <t>Offices &lt;1000 sqm [1]</t>
  </si>
  <si>
    <t>Offices (metal) [1]</t>
  </si>
  <si>
    <t>Offices &gt;1000 sqm [1]</t>
  </si>
  <si>
    <t>Average offices [1]</t>
  </si>
  <si>
    <t>Cafés Hotels Restaurants [1]</t>
  </si>
  <si>
    <t>Clinics [1]</t>
  </si>
  <si>
    <t>Retail stores, all size [1]</t>
  </si>
  <si>
    <t>Pubs [1]</t>
  </si>
  <si>
    <t>Primary education [1]</t>
  </si>
  <si>
    <t>Secondary education [1]</t>
  </si>
  <si>
    <t>Research and higher education [1]</t>
  </si>
  <si>
    <t>Education, all levels [1]</t>
  </si>
  <si>
    <t>Hotels [1]</t>
  </si>
  <si>
    <t>Small retail stores [1]</t>
  </si>
  <si>
    <t>Healthcare, all activities [1]</t>
  </si>
  <si>
    <t>Service industries heated with fuel oil, average</t>
  </si>
  <si>
    <t>Service industries, electricity consumption, average</t>
  </si>
  <si>
    <t>Specific</t>
  </si>
  <si>
    <t>All uses</t>
  </si>
  <si>
    <t>Corsica [1]</t>
  </si>
  <si>
    <t>Corsica</t>
  </si>
  <si>
    <t>Metals [1], Corsica</t>
  </si>
  <si>
    <t>Glass [1], Corsica</t>
  </si>
  <si>
    <t>Plastics [1], Corsica</t>
  </si>
  <si>
    <t>Cardboard [1], Corsica</t>
  </si>
  <si>
    <t>Paper [1], Corsica</t>
  </si>
  <si>
    <t>Average household waste [1], Corsica</t>
  </si>
  <si>
    <t>Miscellaneous non-combustible and non-fermentable [1], Corsica</t>
  </si>
  <si>
    <t>Metals [1], French Polynesia</t>
  </si>
  <si>
    <t>Glass [1], French Polynesia</t>
  </si>
  <si>
    <t>Plastics [1], French Polynesia</t>
  </si>
  <si>
    <t>Cardboard [1], French Polynesia</t>
  </si>
  <si>
    <t>Paper [1], French Polynesia</t>
  </si>
  <si>
    <t>Organic / food waste [1], French Polynesia</t>
  </si>
  <si>
    <t>Average household waste [1], French Polynesia</t>
  </si>
  <si>
    <t>Miscellaneous non-combustible and non-fermentable [1], French Polynesia</t>
  </si>
  <si>
    <t>French Polynesia</t>
  </si>
  <si>
    <t>Education [1], France, Corsica [1]</t>
  </si>
  <si>
    <t>Education [1], France [1]</t>
  </si>
  <si>
    <t>Education [1], France, Guadeloupe [1]</t>
  </si>
  <si>
    <t>Education [1], France, Martinique [1]</t>
  </si>
  <si>
    <t>Education [1], France, Mayotte [1]</t>
  </si>
  <si>
    <t>Education [1], France, French Polynesia [1]</t>
  </si>
  <si>
    <t>Healthcare [1], France, Corsica [1]</t>
  </si>
  <si>
    <t>Healthcare [1], France [1]</t>
  </si>
  <si>
    <t>Healthcare [1], France, Guadeloupe [1]</t>
  </si>
  <si>
    <t>Healthcare [1], France, Martinique [1]</t>
  </si>
  <si>
    <t>Healthcare [1], France, Mayotte [1]</t>
  </si>
  <si>
    <t>Healthcare [1], France, French Polynesia [1]</t>
  </si>
  <si>
    <t>Retail stores [1], France, Corsica [1]</t>
  </si>
  <si>
    <t>Retail stores [1], France [1]</t>
  </si>
  <si>
    <t>Retail stores [1], France, Guadeloupe [1]</t>
  </si>
  <si>
    <t>Retail stores [1], France, Martinique [1]</t>
  </si>
  <si>
    <t>Retail stores [1], France, Mayotte [1]</t>
  </si>
  <si>
    <t>Retail stores [1], France, French Polynesia [1]</t>
  </si>
  <si>
    <t>Offices [1], France, Corsica [1]</t>
  </si>
  <si>
    <t>Offices [1], France [1]</t>
  </si>
  <si>
    <t>Offices [1], France, Guadeloupe [1]</t>
  </si>
  <si>
    <t>Offices [1], France, Martinique [1]</t>
  </si>
  <si>
    <t>Offices [1], France, Mayotte [1]</t>
  </si>
  <si>
    <t>Offices [1], France, French Polynesia [1]</t>
  </si>
  <si>
    <t>Any sector or business, average [1]</t>
  </si>
  <si>
    <t>Any sector or business, average [1], France, Corsica [1]</t>
  </si>
  <si>
    <t>Any sector or business, average [1], France [1]</t>
  </si>
  <si>
    <t>Any sector or business, average [1], France, Guadeloupe [1]</t>
  </si>
  <si>
    <t>Any sector or business, average [1], France, Martinique [1]</t>
  </si>
  <si>
    <t>Any sector or business, average [1], France, Mayotte [1]</t>
  </si>
  <si>
    <t>Any sector or business, average [1], France, French Polynesia [1]</t>
  </si>
  <si>
    <t>Cafés Hotels Restaurants [1], France, Corsica [1]</t>
  </si>
  <si>
    <t>Cafés Hotels Restaurants [1], France [1]</t>
  </si>
  <si>
    <t>Cafés Hotels Restaurants [1], France, Guadeloupe [1]</t>
  </si>
  <si>
    <t>Cafés Hotels Restaurants [1], France, Martinique [1]</t>
  </si>
  <si>
    <t>Cafés Hotels Restaurants [1], France, Mayotte [1]</t>
  </si>
  <si>
    <t>Cafés Hotels Restaurants [1], France, French Polynesia [1]</t>
  </si>
  <si>
    <t>Residential</t>
  </si>
  <si>
    <t>Residential, energy mix</t>
  </si>
  <si>
    <t>% of</t>
  </si>
  <si>
    <t>in France</t>
  </si>
  <si>
    <t>houses</t>
  </si>
  <si>
    <t>flats</t>
  </si>
  <si>
    <t>Gas [1]</t>
  </si>
  <si>
    <t>Fuel Oil[1]</t>
  </si>
  <si>
    <t>LPG [1]</t>
  </si>
  <si>
    <t>Electricity [1]</t>
  </si>
  <si>
    <t>Timber [1]</t>
  </si>
  <si>
    <t>District heating [1]</t>
  </si>
  <si>
    <t>Residential, average consumption</t>
  </si>
  <si>
    <t>kWh/year</t>
  </si>
  <si>
    <t>Flats [1]</t>
  </si>
  <si>
    <t>Houses [1]</t>
  </si>
  <si>
    <t>Residential, heating</t>
  </si>
  <si>
    <t>Surface area</t>
  </si>
  <si>
    <t>Natural gas, houses built before 1975 [1]</t>
  </si>
  <si>
    <t>Natural gas, houses built after 1975 [1]</t>
  </si>
  <si>
    <t>Fuel oil, houses built before 1975 [1]</t>
  </si>
  <si>
    <t>Fuel oil, houses built after 1975 [1]</t>
  </si>
  <si>
    <t>Coal, houses [1]</t>
  </si>
  <si>
    <t>Natural gas, flats built after 1975, collective district heating [1]</t>
  </si>
  <si>
    <t>Natural gas, flats built after 1975, individual heating [1]</t>
  </si>
  <si>
    <t>Fuel oil, flats built after 1975, collective district heating [1]</t>
  </si>
  <si>
    <t>Fuel oil, flats built after 1975, individual heatingl [1]</t>
  </si>
  <si>
    <t>Coal, flats built after 1975, collective district heating [1]</t>
  </si>
  <si>
    <t>Electrical heating, flats built after 1975 [1]</t>
  </si>
  <si>
    <t>Electrical heating, houses [1]</t>
  </si>
  <si>
    <t>Electrical heating, flats [1]</t>
  </si>
  <si>
    <t>Electrical heating, houses built before 1975 [1]</t>
  </si>
  <si>
    <t>Coal, flats built before 1975, collective district heating [1]</t>
  </si>
  <si>
    <t>Coal, houses built before 1975 [1]</t>
  </si>
  <si>
    <t>Fuel oil, flats built before 1975, individual heating [1]</t>
  </si>
  <si>
    <t>Fuel oil, flats built before 1975, collective district heating [1]</t>
  </si>
  <si>
    <t>Natural gas, flats built before 1975, individual heating [1]</t>
  </si>
  <si>
    <t>Natural gas, flats built before 1975, collective district heating [1]</t>
  </si>
  <si>
    <t>Coal, houses built after 1975 [1]</t>
  </si>
  <si>
    <t>Electrical heating, flats built before 1975 [1]</t>
  </si>
  <si>
    <t>Residential, heating - average</t>
  </si>
  <si>
    <t>Natural gas flats [1]</t>
  </si>
  <si>
    <t>Natural gas houses [1]</t>
  </si>
  <si>
    <t>Natural gas, flats built after 1975 [1]</t>
  </si>
  <si>
    <t>Coal, stoves [1]</t>
  </si>
  <si>
    <t>Fuel oil, flats [1]</t>
  </si>
  <si>
    <t>Fuel oil, houses [1]</t>
  </si>
  <si>
    <t>Fuel oil, flats built after 1975 [1]</t>
  </si>
  <si>
    <t>LGP, houses [1]</t>
  </si>
  <si>
    <t>Residential, HWS</t>
  </si>
  <si>
    <t>Natural gas, flats built before1975 [1]</t>
  </si>
  <si>
    <t>Fuel oil, flats built before1975 [1]</t>
  </si>
  <si>
    <t>Natural gas, houses before 1975 [1]</t>
  </si>
  <si>
    <t>Fuel oil, houses before 1975 [1]</t>
  </si>
  <si>
    <t>Natural gas, houses after 1975 [1]</t>
  </si>
  <si>
    <t>Fuel oil, houses after 1975 [1]</t>
  </si>
  <si>
    <t>LPG, houses built before 1975 [1]</t>
  </si>
  <si>
    <t>LPG, houses built after 1975 [1]</t>
  </si>
  <si>
    <t>LPG, flats built before 1975 [1]</t>
  </si>
  <si>
    <t>LPG, flats built after 1975 [1]</t>
  </si>
  <si>
    <t>LPG, houses built before1975 [1]</t>
  </si>
  <si>
    <t>LPG, flats built before1975 [1]</t>
  </si>
  <si>
    <t>LPG, houses [1]</t>
  </si>
  <si>
    <t>Electrical, houses built before1975 [1]</t>
  </si>
  <si>
    <t>Electrical, houses built after 1975 [1]</t>
  </si>
  <si>
    <t>Electrical, flats built before1975 [1]</t>
  </si>
  <si>
    <t>Electrical, flats built after 1975 [1]</t>
  </si>
  <si>
    <t>Electrical, houses [1]</t>
  </si>
  <si>
    <t>Electrical, flats [1]</t>
  </si>
  <si>
    <t>District heating, flats built before 1975 [1]</t>
  </si>
  <si>
    <t>District heating, flats built after 1975 [1]</t>
  </si>
  <si>
    <t>District heating, flats built before1975 [1]</t>
  </si>
  <si>
    <t>Residential, HWS - average</t>
  </si>
  <si>
    <t xml:space="preserve">Residential, energy consumption of appliances </t>
  </si>
  <si>
    <t>kWh per houseold.year</t>
  </si>
  <si>
    <t>Ownership rate</t>
  </si>
  <si>
    <t>Water softener [1]</t>
  </si>
  <si>
    <t>Elevator average by housing [1]</t>
  </si>
  <si>
    <t>Vacuum cleaner [1]</t>
  </si>
  <si>
    <t>Modem &amp; internet box [1]</t>
  </si>
  <si>
    <t>Cofeepot &amp; espresso machine [1]</t>
  </si>
  <si>
    <t>Stereo system [1]</t>
  </si>
  <si>
    <t>Freezer [1]</t>
  </si>
  <si>
    <t>American fridge [1]</t>
  </si>
  <si>
    <t>TV box decoder (Canal+) [1]</t>
  </si>
  <si>
    <t>TV box decoder [1]</t>
  </si>
  <si>
    <t>Lighting [1]</t>
  </si>
  <si>
    <t>Cathode-ray screen average [1]</t>
  </si>
  <si>
    <t>LCD screen average [1]</t>
  </si>
  <si>
    <t>Screen only average [1]</t>
  </si>
  <si>
    <t>Iron [1]</t>
  </si>
  <si>
    <t>Hi Fi system [1]</t>
  </si>
  <si>
    <t>Printer [1]</t>
  </si>
  <si>
    <t>Video Game [1]</t>
  </si>
  <si>
    <t>Washing machine [1]</t>
  </si>
  <si>
    <t>Dishwasher [1]</t>
  </si>
  <si>
    <t>Dvd player [1]</t>
  </si>
  <si>
    <t>Video Recorder [1]</t>
  </si>
  <si>
    <t>Mobile mini system [1]</t>
  </si>
  <si>
    <t>Domestic computer + average screen [1]</t>
  </si>
  <si>
    <t>Home computer average [1]</t>
  </si>
  <si>
    <t>Main desktop computer [1]</t>
  </si>
  <si>
    <t>Secondary desktop computer [1]</t>
  </si>
  <si>
    <t>Laptop average [1]</t>
  </si>
  <si>
    <t>Main Laptop [1]</t>
  </si>
  <si>
    <t>Pool pomp [1]</t>
  </si>
  <si>
    <t>Fridge [1]</t>
  </si>
  <si>
    <t>Fridge-freezer [1]</t>
  </si>
  <si>
    <t>Telephone/answering machine [1]</t>
  </si>
  <si>
    <t>Answering machine [1]</t>
  </si>
  <si>
    <t>Dryer [1]</t>
  </si>
  <si>
    <t>Main TV [1]</t>
  </si>
  <si>
    <t>Whole of electric consumption in kitchen [1]</t>
  </si>
  <si>
    <t>Whole of audiovisual equipment average  [1]</t>
  </si>
  <si>
    <t>Whole of informatic equipment average [1]</t>
  </si>
  <si>
    <t>LCD TV [1]</t>
  </si>
  <si>
    <t>TV average [1]</t>
  </si>
  <si>
    <t>Plasma TV [1]</t>
  </si>
  <si>
    <t>Overhead projector TV [1]</t>
  </si>
  <si>
    <t>Secondary TV [1]</t>
  </si>
  <si>
    <t>Computer tower average [1]</t>
  </si>
  <si>
    <t>Overhead projector [1]</t>
  </si>
  <si>
    <t>Nitrogen fertilization: units of nitrogen per hectare</t>
  </si>
  <si>
    <t>Industrial sugar beet</t>
  </si>
  <si>
    <t>Durum wheat</t>
  </si>
  <si>
    <t>Bread wheat</t>
  </si>
  <si>
    <t>Rape</t>
  </si>
  <si>
    <t>Forage corn</t>
  </si>
  <si>
    <t>Grain corn</t>
  </si>
  <si>
    <t>Barley</t>
  </si>
  <si>
    <t>Pea</t>
  </si>
  <si>
    <t>Potato</t>
  </si>
  <si>
    <t>Productive permanent crops</t>
  </si>
  <si>
    <t>Temporary grass</t>
  </si>
  <si>
    <t>Sunflower</t>
  </si>
  <si>
    <t>Grapevines</t>
  </si>
  <si>
    <t>Sorghum</t>
  </si>
  <si>
    <t>Metropolitan France [1]</t>
  </si>
  <si>
    <t>Production area</t>
  </si>
  <si>
    <t>Heated greenhouses by production area</t>
  </si>
  <si>
    <t xml:space="preserve">kWh of heavy fuel oil </t>
  </si>
  <si>
    <t>kWh of butane</t>
  </si>
  <si>
    <t>kWh of domestic fuel oil</t>
  </si>
  <si>
    <t>kWh of steam</t>
  </si>
  <si>
    <t>kWh of coal</t>
  </si>
  <si>
    <t>kWh of timber</t>
  </si>
  <si>
    <t>kWh of propane</t>
  </si>
  <si>
    <t>National average [1]</t>
  </si>
  <si>
    <t>Horticulture by production area</t>
  </si>
  <si>
    <t>kWh of gas</t>
  </si>
  <si>
    <t>Mediterranean [1]</t>
  </si>
  <si>
    <t>West [1]</t>
  </si>
  <si>
    <t>East [1]</t>
  </si>
  <si>
    <t xml:space="preserve">Strawberries, national average </t>
  </si>
  <si>
    <t>from 5 t to 6 t [1]</t>
  </si>
  <si>
    <t>from 6,1 t to 10,9 t [1]</t>
  </si>
  <si>
    <t>from 11 t to 19 t [1]</t>
  </si>
  <si>
    <t>from 19,1 t to 21 t [1]</t>
  </si>
  <si>
    <t>from 21,1 to 32,6 t [1]</t>
  </si>
  <si>
    <t>Tractor-trailer (articulated) [1]</t>
  </si>
  <si>
    <t>Car, average annual mileage</t>
  </si>
  <si>
    <t>km/year</t>
  </si>
  <si>
    <t>Cars, petrol  [1]</t>
  </si>
  <si>
    <t>Cars, diesel oil [1]</t>
  </si>
  <si>
    <t>All together [1]</t>
  </si>
  <si>
    <t>Car, average occupancy rate</t>
  </si>
  <si>
    <t>passenger/car</t>
  </si>
  <si>
    <t>Daily mobility [1]</t>
  </si>
  <si>
    <t>Long-distance mobility [1]</t>
  </si>
  <si>
    <t>Short-haul travels in metropolitan France (km/person.year)</t>
  </si>
  <si>
    <t>Elevator by ininhab.itant.floor [1]</t>
  </si>
  <si>
    <t>t.km road "sent" per ininhab..year according to the region</t>
  </si>
  <si>
    <t>t.km road received per ininhab..year according to the region</t>
  </si>
  <si>
    <t>City &lt; 50.000 inhab.</t>
  </si>
  <si>
    <t>City 50-300.000 inhab. centre</t>
  </si>
  <si>
    <t>City &gt; 300.000 inhab. centre</t>
  </si>
  <si>
    <t>City 50-300.000 inhab. suburbs</t>
  </si>
  <si>
    <t>City &gt; 300.000 inhab. suburbs</t>
  </si>
  <si>
    <t>City &gt; 300.000 inhab. periphery</t>
  </si>
  <si>
    <t>national average</t>
  </si>
  <si>
    <t xml:space="preserve">Paris suburbs </t>
  </si>
  <si>
    <t>Walking [1]</t>
  </si>
  <si>
    <t>Subway-Regional Express Network (REN)-Tram [1]</t>
  </si>
  <si>
    <t>Bus &amp; coach [1]</t>
  </si>
  <si>
    <t>Car [1]</t>
  </si>
  <si>
    <t>2-wheelers [1]</t>
  </si>
  <si>
    <t>Long-haul travels in metropolitan France (km/person.year)</t>
  </si>
  <si>
    <t>km/person.year</t>
  </si>
  <si>
    <t>Train [1]</t>
  </si>
  <si>
    <t>Plane [1]</t>
  </si>
  <si>
    <t>% of public transport in bus &amp; coach [1]</t>
  </si>
  <si>
    <t xml:space="preserve">Waste </t>
  </si>
  <si>
    <t>Distribution by waste stream in France</t>
  </si>
  <si>
    <t>% composting</t>
  </si>
  <si>
    <t>Metropolitan France</t>
  </si>
  <si>
    <t>Metals [1], Metropolitan France</t>
  </si>
  <si>
    <t>Glass [1], Metropolitan France</t>
  </si>
  <si>
    <t>Plastics [1], Metropolitan France</t>
  </si>
  <si>
    <t>Cardboard [1], Metropolitan France</t>
  </si>
  <si>
    <t>Paper [1], Metropolitan France</t>
  </si>
  <si>
    <t>Organic / food waste [1], Metropolitan France</t>
  </si>
  <si>
    <t>Average household waste [1], Metropolitan France</t>
  </si>
  <si>
    <t>Miscellaneous non-combustible and non-fermentable [1], Metropolitan France</t>
  </si>
  <si>
    <t>Supporting documents</t>
  </si>
  <si>
    <t>Methodology guide Bilan Carbone® V6.1</t>
  </si>
  <si>
    <t>ADEME Carbon Base</t>
  </si>
  <si>
    <t>Emissons Factors Guide V6.1 (Archive)</t>
  </si>
  <si>
    <t>Carbon Base documentation (emissions factors guide)</t>
  </si>
  <si>
    <t xml:space="preserve">Definition of pick-lists for GHG Balance, GHG Protocol extraction &amp; ISO 14069 (CAN'T be changed) &amp; ISO 14069 </t>
  </si>
  <si>
    <t>Chosen approach</t>
  </si>
  <si>
    <t>Available options by approach</t>
  </si>
  <si>
    <t>Non-energy</t>
  </si>
  <si>
    <t>EF - Waste</t>
  </si>
  <si>
    <t>Error message</t>
  </si>
  <si>
    <t>Scrolling lists</t>
  </si>
  <si>
    <t xml:space="preserve">Please, fulfill the case Description!D7 </t>
  </si>
  <si>
    <t xml:space="preserve">Vocabulary explanations: </t>
  </si>
  <si>
    <r>
      <t xml:space="preserve">The word </t>
    </r>
    <r>
      <rPr>
        <b/>
        <sz val="10"/>
        <rFont val="Arial"/>
        <family val="2"/>
      </rPr>
      <t>"Owned"</t>
    </r>
    <r>
      <rPr>
        <sz val="10"/>
        <rFont val="Arial"/>
        <family val="2"/>
      </rPr>
      <t xml:space="preserve"> means that the item is considered from the perspective of the financial control approach of the entity that is conducting its Bilan GES. In other words, the entity that owns the item. </t>
    </r>
  </si>
  <si>
    <r>
      <t xml:space="preserve">The word </t>
    </r>
    <r>
      <rPr>
        <b/>
        <sz val="10"/>
        <rFont val="Arial"/>
        <family val="2"/>
      </rPr>
      <t xml:space="preserve">"Operated" </t>
    </r>
    <r>
      <rPr>
        <sz val="10"/>
        <rFont val="Arial"/>
        <family val="2"/>
      </rPr>
      <t>means that the item is considered from the perspective of the operational control approach of the entity that is conducting its Bilan GES.</t>
    </r>
  </si>
  <si>
    <t>Example: When an employee travels for business reason, he can rent a car for one day:</t>
  </si>
  <si>
    <t xml:space="preserve">* In the operational approach, the car must be considered as "Operated" </t>
  </si>
  <si>
    <t>Owned</t>
  </si>
  <si>
    <t>Owned, fugitives</t>
  </si>
  <si>
    <t>* In the financial approach, the car must be considered as "Not owned,, operational leasing"</t>
  </si>
  <si>
    <t>Not owned, other</t>
  </si>
  <si>
    <t>Operated, fugitives</t>
  </si>
  <si>
    <t>Operated</t>
  </si>
  <si>
    <t>Non Operated</t>
  </si>
  <si>
    <t>Not operated</t>
  </si>
  <si>
    <t>Owned, processes</t>
  </si>
  <si>
    <t>Operated, processes</t>
  </si>
  <si>
    <t>Not owned, operational leasing</t>
  </si>
  <si>
    <t>Not owned, financially supported</t>
  </si>
  <si>
    <t>Not operated, financially supported</t>
  </si>
  <si>
    <t>Not owned, not financially supported</t>
  </si>
  <si>
    <t>Not operated, not financially supported</t>
  </si>
  <si>
    <t>Not owned</t>
  </si>
  <si>
    <t>Yes</t>
  </si>
  <si>
    <t>No</t>
  </si>
  <si>
    <t>For rent</t>
  </si>
  <si>
    <t>For final customer</t>
  </si>
  <si>
    <t>For an intermediary</t>
  </si>
  <si>
    <t>Retail stores [1], France, Guyana [1]</t>
  </si>
  <si>
    <t>Offices [1], France, Guyana [1]</t>
  </si>
  <si>
    <t>Education [1], France, Guyana [1]</t>
  </si>
  <si>
    <t>Healthcare [1], France, Guyana [1]</t>
  </si>
  <si>
    <t>Cafés Hotels Restaurants [1], France, Guyana [1]</t>
  </si>
  <si>
    <t>Any sector or business, average [1], France, Guyana [1]</t>
  </si>
  <si>
    <t>Metals [1], Guyana</t>
  </si>
  <si>
    <t>Glass [1], Guyana</t>
  </si>
  <si>
    <t>Plastics [1], Guyana</t>
  </si>
  <si>
    <t>Cardboard [1], Guyana</t>
  </si>
  <si>
    <t>Paper [1], Guyana</t>
  </si>
  <si>
    <t>Organic / food waste [1], Guyana</t>
  </si>
  <si>
    <t>Average household waste [1], Guyana</t>
  </si>
  <si>
    <t>Miscellaneous non-combustible and non-fermentable [1], Guyana</t>
  </si>
  <si>
    <t>Guyana</t>
  </si>
  <si>
    <t>Retail stores [1], France, New Caledonia [1]</t>
  </si>
  <si>
    <t>Offices [1], France, New Caledonia [1]</t>
  </si>
  <si>
    <t>Education [1], France, New Caledonia [1]</t>
  </si>
  <si>
    <t>Healthcare [1], France, New Caledonia [1]</t>
  </si>
  <si>
    <t>Cafés Hotels Restaurants [1], France, New Caledonia [1]</t>
  </si>
  <si>
    <t>Any sector or business, average [1], France, New Caledonia [1]</t>
  </si>
  <si>
    <t>Metals [1], New Caledonia</t>
  </si>
  <si>
    <t>Glass [1], New Caledonia</t>
  </si>
  <si>
    <t>Plastics [1], New Caledonia</t>
  </si>
  <si>
    <t>Cardboard [1], New Caledonia</t>
  </si>
  <si>
    <t>Paper [1], New Caledonia</t>
  </si>
  <si>
    <t>Organic / food waste [1], New Caledonia</t>
  </si>
  <si>
    <t>Average household waste [1], New Caledonia</t>
  </si>
  <si>
    <t>Miscellaneous non-combustible and non-fermentable [1], New Caledonia</t>
  </si>
  <si>
    <t>New Caledonia</t>
  </si>
  <si>
    <t>Retail stores [1], France, Reunion [1]</t>
  </si>
  <si>
    <t>Offices [1], France, Reunion [1]</t>
  </si>
  <si>
    <t>Education [1], France, Reunion [1]</t>
  </si>
  <si>
    <t>Healthcare [1], France, Reunion [1]</t>
  </si>
  <si>
    <t>Cafés Hotels Restaurants [1], France, Reunion [1]</t>
  </si>
  <si>
    <t>Any sector or business, average [1], France, Reunion [1]</t>
  </si>
  <si>
    <t>Metals [1], Reunion</t>
  </si>
  <si>
    <t>Glass [1], Reunion</t>
  </si>
  <si>
    <t>Plastics [1], Reunion</t>
  </si>
  <si>
    <t>Cardboard [1], Reunion</t>
  </si>
  <si>
    <t>Paper [1], Reunion</t>
  </si>
  <si>
    <t>Organic / food waste [1], Reunion</t>
  </si>
  <si>
    <t>Average household waste [1], Reunion</t>
  </si>
  <si>
    <t>Miscellaneous non-combustible and non-fermentable [1], Reunion</t>
  </si>
  <si>
    <t>Reunion</t>
  </si>
  <si>
    <t>Consumption [1]</t>
  </si>
  <si>
    <t>rate</t>
  </si>
  <si>
    <t>Target reduction, kg CO2e</t>
  </si>
  <si>
    <t>Short-term</t>
  </si>
  <si>
    <t>Long-term obj.</t>
  </si>
  <si>
    <t>Residual</t>
  </si>
  <si>
    <t>Graph data</t>
  </si>
  <si>
    <t>Low</t>
  </si>
  <si>
    <t>High</t>
  </si>
  <si>
    <t>% of source</t>
  </si>
  <si>
    <t>Amount of purchases [1]</t>
  </si>
  <si>
    <t>GHG emissions</t>
  </si>
  <si>
    <t>Other gas
(kg CO2e)</t>
  </si>
  <si>
    <t>Number</t>
  </si>
  <si>
    <t>Direct emissions from stationary combustion sources</t>
  </si>
  <si>
    <t>Direct fugitive emissions</t>
  </si>
  <si>
    <t>Indirect emissions from electricity consumption</t>
  </si>
  <si>
    <t>Emissions due to energy not covered by sources from 1 to 7</t>
  </si>
  <si>
    <t>Purchased goods or services</t>
  </si>
  <si>
    <t>Waste generated</t>
  </si>
  <si>
    <t>Business travels</t>
  </si>
  <si>
    <t>Upstream leased assets</t>
  </si>
  <si>
    <t>Investments</t>
  </si>
  <si>
    <t>Transportation of clients and visitors</t>
  </si>
  <si>
    <t xml:space="preserve">Use of sold products </t>
  </si>
  <si>
    <t xml:space="preserve">End-of-life of sold products </t>
  </si>
  <si>
    <t xml:space="preserve">Downstream franchises </t>
  </si>
  <si>
    <t>Downstream leased assets</t>
  </si>
  <si>
    <t>Employee commuting</t>
  </si>
  <si>
    <t>Other indirect emissions</t>
  </si>
  <si>
    <t>Avoided GHG emissions</t>
  </si>
  <si>
    <t>Non appliable</t>
  </si>
  <si>
    <t>Other CO2 b
(kg CO2e)</t>
  </si>
  <si>
    <t>CO2 b from combustion
(kg CO2e)</t>
  </si>
  <si>
    <t>Removed GHG emissions</t>
  </si>
  <si>
    <t>Direct emissions from mobile combustion sources</t>
  </si>
  <si>
    <t>Direct emissions from processes</t>
  </si>
  <si>
    <t>Direct emissions from LULUCF</t>
  </si>
  <si>
    <t>Upstream transport and distribution</t>
  </si>
  <si>
    <t>Other indirect emissions upstream</t>
  </si>
  <si>
    <t>Emissions of Scope 3, upstream</t>
  </si>
  <si>
    <t>Downstream transportation of goods and distribution</t>
  </si>
  <si>
    <t xml:space="preserve">Processing of sold products </t>
  </si>
  <si>
    <t>Purchased goods</t>
  </si>
  <si>
    <t>Emissions sources :</t>
  </si>
  <si>
    <t>Steam &amp; cooling</t>
  </si>
  <si>
    <t>kg CO2e per</t>
  </si>
  <si>
    <t xml:space="preserve"> per kg</t>
  </si>
  <si>
    <t>per m3</t>
  </si>
  <si>
    <t>per k-euro</t>
  </si>
  <si>
    <t>per km</t>
  </si>
  <si>
    <t>kg CO2e per vehicule.km</t>
  </si>
  <si>
    <t>kg CO2e per course.km</t>
  </si>
  <si>
    <t>per tonne.km</t>
  </si>
  <si>
    <t>per pers.km</t>
  </si>
  <si>
    <t>km per</t>
  </si>
  <si>
    <t>per m2</t>
  </si>
  <si>
    <t xml:space="preserve"> per tonne</t>
  </si>
  <si>
    <t>Découpage des émissions per type de GES (kg CO2e per tonne.km)</t>
  </si>
  <si>
    <t>kg CO2e per per vehicle.km</t>
  </si>
  <si>
    <t>Depertment of Mayotte, average V6.1 [1]</t>
  </si>
  <si>
    <t>Facteur carbone européen : Comperaison des émissions de CO2 des principaux électriciens européens - Edition 2012</t>
  </si>
  <si>
    <t>Bus &amp; coach, pert of public transport</t>
  </si>
  <si>
    <t>kWh LHV generated per tonne</t>
  </si>
  <si>
    <t>Consumption (kWh)</t>
  </si>
  <si>
    <t xml:space="preserve">LULUCF Calculator </t>
  </si>
  <si>
    <t>(toe)</t>
  </si>
  <si>
    <t>per toe</t>
  </si>
  <si>
    <t>04, Manosque, RCU Manosque ZAC Chantoerunier [1]</t>
  </si>
  <si>
    <t>67, Strasbourg, Hautoeierre [1]</t>
  </si>
  <si>
    <t>emissions</t>
  </si>
  <si>
    <t>long-term</t>
  </si>
  <si>
    <t>Halocarbons</t>
  </si>
  <si>
    <t>Not covered by Kyoto</t>
  </si>
  <si>
    <t>CO2 excluding energy use</t>
  </si>
  <si>
    <t xml:space="preserve">Source </t>
  </si>
  <si>
    <t xml:space="preserve">Emitted </t>
  </si>
  <si>
    <t>Nitrogen Oxide</t>
  </si>
  <si>
    <t>Weight of N2O</t>
  </si>
  <si>
    <t xml:space="preserve"> in % of </t>
  </si>
  <si>
    <t>initial N</t>
  </si>
  <si>
    <t>kg of N2O</t>
  </si>
  <si>
    <t>animals</t>
  </si>
  <si>
    <t>Tonnes of</t>
  </si>
  <si>
    <t>N2O per year</t>
  </si>
  <si>
    <t>kg from N2O</t>
  </si>
  <si>
    <t>per animal.year</t>
  </si>
  <si>
    <t xml:space="preserve">Number of </t>
  </si>
  <si>
    <t xml:space="preserve">Tonnes of </t>
  </si>
  <si>
    <t>CH4 per year</t>
  </si>
  <si>
    <t>kg from CH4</t>
  </si>
  <si>
    <t>Methane from fossil origin</t>
  </si>
  <si>
    <t>Methane from biogenic origin</t>
  </si>
  <si>
    <t>Nitrogen oxide</t>
  </si>
  <si>
    <t xml:space="preserve">Indirect emissions from network energy consumption (excluding electricity) </t>
  </si>
  <si>
    <t>Fluorinated gas 
(kg CO2e)</t>
  </si>
  <si>
    <t>Fluorinated gas 
(t CO2e)</t>
  </si>
  <si>
    <t>Other gas 
(kg CO2e)</t>
  </si>
  <si>
    <t>Other gas 
(t CO2e)</t>
  </si>
  <si>
    <t>Uncertainty 
(kg CO2e)</t>
  </si>
  <si>
    <t>Uncertainty 
(t CO2e)</t>
  </si>
  <si>
    <t>Other  CO2 b
(kg CO2e)</t>
  </si>
  <si>
    <t xml:space="preserve">Other </t>
  </si>
  <si>
    <t>Other s</t>
  </si>
  <si>
    <t>Other  CO2 b
(t CO2e)</t>
  </si>
  <si>
    <t>Metals</t>
  </si>
  <si>
    <t>Plastics</t>
  </si>
  <si>
    <t>Glass</t>
  </si>
  <si>
    <t>Sinks</t>
  </si>
  <si>
    <t>Paper</t>
  </si>
  <si>
    <t>Chemicals &amp; textiles</t>
  </si>
  <si>
    <t>Agricultural</t>
  </si>
  <si>
    <t>Lead - average [1]</t>
  </si>
  <si>
    <t>% from recycled</t>
  </si>
  <si>
    <t>used</t>
  </si>
  <si>
    <t>material</t>
  </si>
  <si>
    <t>Supplement</t>
  </si>
  <si>
    <t>2nd processing</t>
  </si>
  <si>
    <t xml:space="preserve">emissions </t>
  </si>
  <si>
    <t>Quantity</t>
  </si>
  <si>
    <t>% supp. for</t>
  </si>
  <si>
    <t>per quantity</t>
  </si>
  <si>
    <t>implementation</t>
  </si>
  <si>
    <t>consumed</t>
  </si>
  <si>
    <t>per meal</t>
  </si>
  <si>
    <t>per qty</t>
  </si>
  <si>
    <t>spent</t>
  </si>
  <si>
    <t>Chemical products</t>
  </si>
  <si>
    <t>removed GHG emissions</t>
  </si>
  <si>
    <t>Agro-materials</t>
  </si>
  <si>
    <t>end-of-life</t>
  </si>
  <si>
    <t>avoided</t>
  </si>
  <si>
    <t>Reference eco</t>
  </si>
  <si>
    <t>emission</t>
  </si>
  <si>
    <t>Avoided emissions (recovery)</t>
  </si>
  <si>
    <t>Upstream road haulage</t>
  </si>
  <si>
    <t>Internal road haulage</t>
  </si>
  <si>
    <t>Downstream road haulage</t>
  </si>
  <si>
    <t>Upstream air freight</t>
  </si>
  <si>
    <t>Internal air freight</t>
  </si>
  <si>
    <t>Downstream air freight</t>
  </si>
  <si>
    <t>Downstream rail freight</t>
  </si>
  <si>
    <t>Upstream rail freight</t>
  </si>
  <si>
    <t>Internal rail freight</t>
  </si>
  <si>
    <t>Internal sea freight</t>
  </si>
  <si>
    <t>Upstream sea freight</t>
  </si>
  <si>
    <t>Downstream sea freight</t>
  </si>
  <si>
    <t xml:space="preserve">Transport </t>
  </si>
  <si>
    <t>vehicles.km</t>
  </si>
  <si>
    <t>vehicle.km</t>
  </si>
  <si>
    <t>Max payload</t>
  </si>
  <si>
    <t>V6.1 Data</t>
  </si>
  <si>
    <t>Proportion of</t>
  </si>
  <si>
    <t>empty vehicle</t>
  </si>
  <si>
    <t>loaded vehicle</t>
  </si>
  <si>
    <t>% empty</t>
  </si>
  <si>
    <t>% max PL</t>
  </si>
  <si>
    <t>journey</t>
  </si>
  <si>
    <t>loaded</t>
  </si>
  <si>
    <t>fuel</t>
  </si>
  <si>
    <t>Electricity, owned trains [1]</t>
  </si>
  <si>
    <t>Per way, t CO2e</t>
  </si>
  <si>
    <t>Upstream</t>
  </si>
  <si>
    <t>Internal</t>
  </si>
  <si>
    <t>Downstream</t>
  </si>
  <si>
    <t>Road</t>
  </si>
  <si>
    <t>Rail</t>
  </si>
  <si>
    <t>Sea and Waterway</t>
  </si>
  <si>
    <t>Sub-total 1</t>
  </si>
  <si>
    <t>Sub-total 2</t>
  </si>
  <si>
    <t>Visitors</t>
  </si>
  <si>
    <t>Commuting</t>
  </si>
  <si>
    <t>Car</t>
  </si>
  <si>
    <t>Plane</t>
  </si>
  <si>
    <t>62, Plane, ZUP du quartier République [1]</t>
  </si>
  <si>
    <t>Ship</t>
  </si>
  <si>
    <t>For  ISO 14069 extraction, do you need to amortise emissions on the depreciation period considered?</t>
  </si>
  <si>
    <t>kg CO2e per car.km</t>
  </si>
  <si>
    <t>cars.km</t>
  </si>
  <si>
    <t>Other  road ways</t>
  </si>
  <si>
    <t>61, Argentan, Quartier Nord-road ways de Falaise [1]</t>
  </si>
  <si>
    <t>Type de ship</t>
  </si>
  <si>
    <t>Transport</t>
  </si>
  <si>
    <t>Nb of cars</t>
  </si>
  <si>
    <t>Days worked</t>
  </si>
  <si>
    <t>Nb of travels</t>
  </si>
  <si>
    <t>per year</t>
  </si>
  <si>
    <t>per day</t>
  </si>
  <si>
    <t xml:space="preserve"> home &amp; work (km)</t>
  </si>
  <si>
    <t>passengers.km</t>
  </si>
  <si>
    <t>cumulative</t>
  </si>
  <si>
    <t>travels</t>
  </si>
  <si>
    <t>travel</t>
  </si>
  <si>
    <t>distances (km)</t>
  </si>
  <si>
    <t>distrances (km)</t>
  </si>
  <si>
    <t>Not customizable</t>
  </si>
  <si>
    <t>Non-hazardous waste</t>
  </si>
  <si>
    <t>Hazardous waste</t>
  </si>
  <si>
    <t>Wastewater</t>
  </si>
  <si>
    <t>Type of</t>
  </si>
  <si>
    <t>discarded</t>
  </si>
  <si>
    <t>Uptaking?</t>
  </si>
  <si>
    <t>Y</t>
  </si>
  <si>
    <t>All waste [1]</t>
  </si>
  <si>
    <t>% from</t>
  </si>
  <si>
    <t>recycled</t>
  </si>
  <si>
    <t xml:space="preserve">recycled mat. </t>
  </si>
  <si>
    <t>emitted</t>
  </si>
  <si>
    <t>Methane, fossil origin (excluding landfill)</t>
  </si>
  <si>
    <t>Methane, biogenic origin (excluding landfill)</t>
  </si>
  <si>
    <t>discharged</t>
  </si>
  <si>
    <t>kg of DBO</t>
  </si>
  <si>
    <t>Treatment</t>
  </si>
  <si>
    <t xml:space="preserve">Off from </t>
  </si>
  <si>
    <t>plant?</t>
  </si>
  <si>
    <t>treatment plant</t>
  </si>
  <si>
    <t>kg of BOD</t>
  </si>
  <si>
    <r>
      <t xml:space="preserve">kg of DBO </t>
    </r>
    <r>
      <rPr>
        <sz val="10"/>
        <color indexed="10"/>
        <rFont val="Arial"/>
        <family val="2"/>
      </rPr>
      <t>in</t>
    </r>
  </si>
  <si>
    <t>stagnant enviro.</t>
  </si>
  <si>
    <t>kg of CH4b</t>
  </si>
  <si>
    <t>kg of CH4b per</t>
  </si>
  <si>
    <t>Buildings</t>
  </si>
  <si>
    <t>Other infrastructures</t>
  </si>
  <si>
    <t>Machines &amp; vehicles</t>
  </si>
  <si>
    <t>IT</t>
  </si>
  <si>
    <t xml:space="preserve">Built during </t>
  </si>
  <si>
    <t>this year?</t>
  </si>
  <si>
    <t>(sqm)</t>
  </si>
  <si>
    <t>Depreciat. period</t>
  </si>
  <si>
    <t>(years)</t>
  </si>
  <si>
    <t>charaterisation</t>
  </si>
  <si>
    <t>per unit</t>
  </si>
  <si>
    <t xml:space="preserve">Breakdown by GHG type for GHG Protocol </t>
  </si>
  <si>
    <t>for building</t>
  </si>
  <si>
    <t xml:space="preserve">Material </t>
  </si>
  <si>
    <t>HGVs per day</t>
  </si>
  <si>
    <t>Length</t>
  </si>
  <si>
    <t>Width</t>
  </si>
  <si>
    <t>(metres)</t>
  </si>
  <si>
    <t>per cement sqm</t>
  </si>
  <si>
    <t>per semi sqm</t>
  </si>
  <si>
    <t>per sqm asphalt</t>
  </si>
  <si>
    <t>per m of track</t>
  </si>
  <si>
    <t>Off from</t>
  </si>
  <si>
    <t>building</t>
  </si>
  <si>
    <t>% suppl for</t>
  </si>
  <si>
    <t>Weight in</t>
  </si>
  <si>
    <t>appliances</t>
  </si>
  <si>
    <t>spent (excl.VAT)</t>
  </si>
  <si>
    <t>per appliance</t>
  </si>
  <si>
    <t>Avoided emissions (sinks)</t>
  </si>
  <si>
    <t>Non energy</t>
  </si>
  <si>
    <t>Use</t>
  </si>
  <si>
    <t>Leaks - Non-Energy</t>
  </si>
  <si>
    <t>for rent ?</t>
  </si>
  <si>
    <t>Emissions of Scope 3 downstream</t>
  </si>
  <si>
    <t xml:space="preserve">Avoided GHG emissions  </t>
  </si>
  <si>
    <t xml:space="preserve">Emissions of Scope 3 downstream  </t>
  </si>
  <si>
    <t>Energy - Fuels</t>
  </si>
  <si>
    <t>TC2 or "normal" parking areas [1]</t>
  </si>
  <si>
    <t>TC3 or "Intensive road-vehicle" parking areas [1]</t>
  </si>
  <si>
    <t>"Intensive road-vehicle" car parks [1]</t>
  </si>
  <si>
    <t>"Commercial" car parks [1]</t>
  </si>
  <si>
    <t>Type de change</t>
  </si>
  <si>
    <t>Climate correction factor</t>
  </si>
  <si>
    <t>CO2e Overview</t>
  </si>
  <si>
    <t xml:space="preserve">Reductions in the short-term </t>
  </si>
  <si>
    <t>Reductions in the long-term</t>
  </si>
  <si>
    <t>Calculated values</t>
  </si>
  <si>
    <t>Exported values</t>
  </si>
  <si>
    <t>Stationary combustion sources</t>
  </si>
  <si>
    <t>Electricity consumption</t>
  </si>
  <si>
    <t>Steam, heat and cooling consumption</t>
  </si>
  <si>
    <t xml:space="preserve">Is the concerned site a franchise ? </t>
  </si>
  <si>
    <t xml:space="preserve">Is the concerned site a franchisor ? </t>
  </si>
  <si>
    <t>Mobile combustion sources</t>
  </si>
  <si>
    <t>Related to energy (not covered by scope 1 or 2)</t>
  </si>
  <si>
    <t>Emission categories :</t>
  </si>
  <si>
    <t>Graphics</t>
  </si>
  <si>
    <t>Other indirect emissions downstream</t>
  </si>
  <si>
    <t xml:space="preserve">Crédits : </t>
  </si>
  <si>
    <t>Association Bilan Carbone</t>
  </si>
  <si>
    <t>41 rue Beauregard, 75002 Paris</t>
  </si>
  <si>
    <t>contact@associationbilancarbone.fr</t>
  </si>
  <si>
    <t>www.associationbilancarbone.fr</t>
  </si>
  <si>
    <r>
      <t>Bilan Carbone</t>
    </r>
    <r>
      <rPr>
        <b/>
        <sz val="12"/>
        <color theme="4"/>
        <rFont val="Calibri"/>
        <family val="2"/>
      </rPr>
      <t>® -</t>
    </r>
    <r>
      <rPr>
        <b/>
        <sz val="12"/>
        <color theme="4"/>
        <rFont val="Arial"/>
        <family val="2"/>
      </rPr>
      <t xml:space="preserve"> version 7.4</t>
    </r>
  </si>
  <si>
    <t>Not applicable</t>
  </si>
  <si>
    <t>Md€</t>
  </si>
  <si>
    <t>N per year</t>
  </si>
  <si>
    <t>run.km</t>
  </si>
  <si>
    <t>treated</t>
  </si>
  <si>
    <t>Buildings heated with fossil fuels</t>
  </si>
  <si>
    <t>Bulidings heated with electricity</t>
  </si>
  <si>
    <t>Base Carbone Data</t>
  </si>
  <si>
    <t>BC V6 data</t>
  </si>
  <si>
    <t>Base Carbone data</t>
  </si>
  <si>
    <t>4 - Infrastructures, road materials</t>
  </si>
  <si>
    <t>Version 7.4 of September 8th, 2015 adapted for the climfoot project</t>
  </si>
  <si>
    <t>Non applicable</t>
  </si>
  <si>
    <t>Scopes</t>
  </si>
  <si>
    <t>Energia</t>
  </si>
  <si>
    <t>Non-energetici</t>
  </si>
  <si>
    <t xml:space="preserve">Imballaggi </t>
  </si>
  <si>
    <t>Trasporto merci</t>
  </si>
  <si>
    <t>Combustibili fossili e eletricità</t>
  </si>
  <si>
    <t>Trasporto persone</t>
  </si>
  <si>
    <t>Attività che escludono l'uso di energia</t>
  </si>
  <si>
    <t>Materiali, prodotti e servizi acquistati</t>
  </si>
  <si>
    <t>Materiali, prodotti e servizi acquistati per gli imballaggi</t>
  </si>
  <si>
    <t>Trasporto di persone</t>
  </si>
  <si>
    <t>Trasporto di merci</t>
  </si>
  <si>
    <t>Rifiuti prodotti dall'organizzazione</t>
  </si>
  <si>
    <t>Beni di consumo</t>
  </si>
  <si>
    <t>la produzione dei beni di consumo utilizzati dall'organizzazione</t>
  </si>
  <si>
    <t>Fase d'uso</t>
  </si>
  <si>
    <t xml:space="preserve">La fase d'uso dei prodotti, servizi e distribuzione </t>
  </si>
  <si>
    <t>Fine vita</t>
  </si>
  <si>
    <t>Trattamento di fine vita dei prodotti e servizi venduti</t>
  </si>
  <si>
    <t>Fattori di Emissione</t>
  </si>
  <si>
    <t>Lista dei fattori di emissione utilizati</t>
  </si>
  <si>
    <t>Grafici</t>
  </si>
  <si>
    <t>Grafici con i risultati in CO2 eq</t>
  </si>
  <si>
    <t>Resultati in CO2 equivalente</t>
  </si>
  <si>
    <t>Risultati di sintesi per il report di GHG Protocol</t>
  </si>
  <si>
    <t>Risultati di sintesi per il report di ISO/TR 14069:2013</t>
  </si>
  <si>
    <t>1 - Combustibili fossili, sorgenti stazionarie</t>
  </si>
  <si>
    <t>2 - Combustibili di origine organica, sorgenti stazionarie</t>
  </si>
  <si>
    <t>Acquisto di riscaldamento e raffreddamento</t>
  </si>
  <si>
    <t>Paesi dove l'eletricità è consumata</t>
  </si>
  <si>
    <t>producttori di eletricità</t>
  </si>
  <si>
    <t>Perdite rete elettrica</t>
  </si>
  <si>
    <t>Raffreddamento acquistato</t>
  </si>
  <si>
    <t>Elettricità acquistata</t>
  </si>
  <si>
    <t xml:space="preserve">Emissioni di CO2 </t>
  </si>
  <si>
    <t xml:space="preserve">Emissioni di N2O </t>
  </si>
  <si>
    <t>Emissioni di CO2 escluse quelle dovute all'energia</t>
  </si>
  <si>
    <t xml:space="preserve">1 -Emissioni di N2O, quantità di azoto nei fertilizanti </t>
  </si>
  <si>
    <t>2 - N2O emissioni dagli animali</t>
  </si>
  <si>
    <t>3 -  Altre emissioni di N2O</t>
  </si>
  <si>
    <t xml:space="preserve"> Emissioni di CH4 </t>
  </si>
  <si>
    <t xml:space="preserve">2 - Altre Emissioni di metano </t>
  </si>
  <si>
    <t>Totale</t>
  </si>
  <si>
    <r>
      <t xml:space="preserve">Emissioni di halocarbon definite dal protocollo di </t>
    </r>
    <r>
      <rPr>
        <b/>
        <sz val="10"/>
        <color rgb="FFFF0000"/>
        <rFont val="Arial"/>
        <family val="2"/>
      </rPr>
      <t>Kyoto</t>
    </r>
  </si>
  <si>
    <r>
      <t xml:space="preserve"> Emissioni di gas </t>
    </r>
    <r>
      <rPr>
        <b/>
        <sz val="10"/>
        <color rgb="FFFF0000"/>
        <rFont val="Arial"/>
        <family val="2"/>
      </rPr>
      <t>non coperti da Kyoto</t>
    </r>
  </si>
  <si>
    <t xml:space="preserve"> Emissioni di gas non coperti da Kyoto</t>
  </si>
  <si>
    <t>Panoramica delle sorgenti di emissione di CO2e</t>
  </si>
  <si>
    <t>Sorgenti di emissione</t>
  </si>
  <si>
    <t>Totale Scope 3</t>
  </si>
  <si>
    <t xml:space="preserve">Emissioni di Scope 3 downstream  </t>
  </si>
  <si>
    <t xml:space="preserve">Panoramica delle categorie definite nella  ISO/TR 14069:2013 </t>
  </si>
  <si>
    <t>Emissioni di  Scope 3, upstream</t>
  </si>
  <si>
    <t>Totale Scope 1</t>
  </si>
  <si>
    <t>Totale Scope 2</t>
  </si>
  <si>
    <t>Metalli</t>
  </si>
  <si>
    <t>Plastica</t>
  </si>
  <si>
    <t>Vetro</t>
  </si>
  <si>
    <t>Carta, Cartone</t>
  </si>
  <si>
    <t>Materiali da costruzione</t>
  </si>
  <si>
    <t>Materiali da costruzione- INIES</t>
  </si>
  <si>
    <t>Materiali da costruzione - miscelanee</t>
  </si>
  <si>
    <t>Prodotti chimici e tessuti sintetici</t>
  </si>
  <si>
    <t>Prodotti agricoli</t>
  </si>
  <si>
    <t>Uso del valore monetario</t>
  </si>
  <si>
    <t>Emissioni evitate (sinks)</t>
  </si>
  <si>
    <t>Legname</t>
  </si>
  <si>
    <t>Ossido di diazoto (N2O)</t>
  </si>
  <si>
    <t>Metano (CH4)</t>
  </si>
  <si>
    <t>Gas non coperti da Kyoto</t>
  </si>
  <si>
    <t>Protoddi agricoli</t>
  </si>
  <si>
    <t>Emissioni evitate (riciclo)</t>
  </si>
  <si>
    <t>Manifattura</t>
  </si>
  <si>
    <r>
      <t xml:space="preserve">3 - </t>
    </r>
    <r>
      <rPr>
        <b/>
        <sz val="10"/>
        <color rgb="FFFF0000"/>
        <rFont val="Arial"/>
        <family val="2"/>
      </rPr>
      <t>Upstream</t>
    </r>
    <r>
      <rPr>
        <b/>
        <sz val="10"/>
        <rFont val="Arial"/>
        <family val="2"/>
      </rPr>
      <t xml:space="preserve"> trasporti su strada</t>
    </r>
    <r>
      <rPr>
        <b/>
        <sz val="10"/>
        <color indexed="10"/>
        <rFont val="Arial"/>
        <family val="2"/>
      </rPr>
      <t xml:space="preserve">, </t>
    </r>
    <r>
      <rPr>
        <b/>
        <sz val="10"/>
        <rFont val="Arial"/>
        <family val="2"/>
      </rPr>
      <t>tonne.km</t>
    </r>
  </si>
  <si>
    <r>
      <t xml:space="preserve">2 - </t>
    </r>
    <r>
      <rPr>
        <b/>
        <sz val="10"/>
        <color indexed="10"/>
        <rFont val="Arial"/>
        <family val="2"/>
      </rPr>
      <t>Upstream</t>
    </r>
    <r>
      <rPr>
        <b/>
        <sz val="10"/>
        <rFont val="Arial"/>
        <family val="2"/>
      </rPr>
      <t xml:space="preserve"> trasporto su strada, veicolo.km</t>
    </r>
  </si>
  <si>
    <t>Upstream trasporto su strada</t>
  </si>
  <si>
    <r>
      <t xml:space="preserve">1 - </t>
    </r>
    <r>
      <rPr>
        <b/>
        <sz val="10"/>
        <color indexed="10"/>
        <rFont val="Arial"/>
        <family val="2"/>
      </rPr>
      <t xml:space="preserve">Upstream </t>
    </r>
    <r>
      <rPr>
        <b/>
        <sz val="10"/>
        <rFont val="Arial"/>
        <family val="2"/>
      </rPr>
      <t>trasporto su strada,</t>
    </r>
    <r>
      <rPr>
        <b/>
        <sz val="10"/>
        <color indexed="10"/>
        <rFont val="Arial"/>
        <family val="2"/>
      </rPr>
      <t xml:space="preserve"> veicolo di proprietà</t>
    </r>
  </si>
  <si>
    <r>
      <t xml:space="preserve">4 - </t>
    </r>
    <r>
      <rPr>
        <b/>
        <sz val="10"/>
        <color indexed="10"/>
        <rFont val="Arial"/>
        <family val="2"/>
      </rPr>
      <t>Upstream</t>
    </r>
    <r>
      <rPr>
        <b/>
        <sz val="10"/>
        <rFont val="Arial"/>
        <family val="2"/>
      </rPr>
      <t xml:space="preserve"> trasporto su strada in 2 ruote, veicolo.km</t>
    </r>
  </si>
  <si>
    <t>combustione</t>
  </si>
  <si>
    <t>manifattura</t>
  </si>
  <si>
    <r>
      <t xml:space="preserve">1 - </t>
    </r>
    <r>
      <rPr>
        <b/>
        <sz val="10"/>
        <color indexed="10"/>
        <rFont val="Arial"/>
        <family val="2"/>
      </rPr>
      <t>Upstream</t>
    </r>
    <r>
      <rPr>
        <b/>
        <sz val="10"/>
        <rFont val="Arial"/>
        <family val="2"/>
      </rPr>
      <t xml:space="preserve">  trasporto aereo, proprietari dell'aereo</t>
    </r>
  </si>
  <si>
    <t>2 - Upstream  trasporto aereo, tonnes.km</t>
  </si>
  <si>
    <t>1 - Upstream trasporto ferroviario, eletricità per i proprietari dei treni (Italia)</t>
  </si>
  <si>
    <t>2 -Eletricità perdite di rete</t>
  </si>
  <si>
    <t>3 - Upstream trasporto ferroviario, combustibili per i proprietari dei treni</t>
  </si>
  <si>
    <t>4 - Upstream trasporto ferroviario, trani non di prorpietà, tonnes.km</t>
  </si>
  <si>
    <r>
      <t xml:space="preserve">3 - </t>
    </r>
    <r>
      <rPr>
        <b/>
        <sz val="10"/>
        <color indexed="10"/>
        <rFont val="Arial"/>
        <family val="2"/>
      </rPr>
      <t>Upstream</t>
    </r>
    <r>
      <rPr>
        <b/>
        <sz val="10"/>
        <rFont val="Arial"/>
        <family val="2"/>
      </rPr>
      <t xml:space="preserve"> nave merci, cargo o navi roll on/roll off ships</t>
    </r>
  </si>
  <si>
    <t>tipi di navi</t>
  </si>
  <si>
    <t>Tipi di navi</t>
  </si>
  <si>
    <r>
      <t xml:space="preserve">4 - </t>
    </r>
    <r>
      <rPr>
        <b/>
        <sz val="10"/>
        <color indexed="10"/>
        <rFont val="Arial"/>
        <family val="2"/>
      </rPr>
      <t>Upstream</t>
    </r>
    <r>
      <rPr>
        <b/>
        <sz val="10"/>
        <rFont val="Arial"/>
        <family val="2"/>
      </rPr>
      <t xml:space="preserve"> trasporto merci via mare, bulk carriers</t>
    </r>
  </si>
  <si>
    <r>
      <t xml:space="preserve">5 -  </t>
    </r>
    <r>
      <rPr>
        <b/>
        <sz val="10"/>
        <color indexed="10"/>
        <rFont val="Arial"/>
        <family val="2"/>
      </rPr>
      <t>Upstream</t>
    </r>
    <r>
      <rPr>
        <b/>
        <sz val="10"/>
        <rFont val="Arial"/>
        <family val="2"/>
      </rPr>
      <t xml:space="preserve"> trasporto merci via fiume , tipi di navi </t>
    </r>
  </si>
  <si>
    <r>
      <t xml:space="preserve">6 - </t>
    </r>
    <r>
      <rPr>
        <b/>
        <sz val="10"/>
        <color indexed="10"/>
        <rFont val="Arial"/>
        <family val="2"/>
      </rPr>
      <t>Upstream</t>
    </r>
    <r>
      <rPr>
        <b/>
        <sz val="10"/>
        <rFont val="Arial"/>
        <family val="2"/>
      </rPr>
      <t xml:space="preserve"> trasporto merci via fiume, chiatte da fiume</t>
    </r>
  </si>
  <si>
    <t>Chiatte da fiume</t>
  </si>
  <si>
    <r>
      <t xml:space="preserve">1 - </t>
    </r>
    <r>
      <rPr>
        <b/>
        <sz val="10"/>
        <color indexed="10"/>
        <rFont val="Arial"/>
        <family val="2"/>
      </rPr>
      <t>Trasporto su strada uso interno</t>
    </r>
    <r>
      <rPr>
        <b/>
        <sz val="10"/>
        <rFont val="Arial"/>
        <family val="2"/>
      </rPr>
      <t>, proprietari del veicolo</t>
    </r>
  </si>
  <si>
    <r>
      <t xml:space="preserve">2 - </t>
    </r>
    <r>
      <rPr>
        <b/>
        <sz val="10"/>
        <color indexed="10"/>
        <rFont val="Arial"/>
        <family val="2"/>
      </rPr>
      <t>Trasporto su strada uso interno</t>
    </r>
    <r>
      <rPr>
        <b/>
        <sz val="10"/>
        <rFont val="Arial"/>
        <family val="2"/>
      </rPr>
      <t>, veicolo.km</t>
    </r>
  </si>
  <si>
    <t>3 -Trasporto su strada uso interno, tonnes.km</t>
  </si>
  <si>
    <t>4 - Trasporto su strada in 2 ruote uso interno, veicolo.km</t>
  </si>
  <si>
    <t>Upstream trasporto aereo merci</t>
  </si>
  <si>
    <t>Upstream  trasporto ferroviario merci</t>
  </si>
  <si>
    <t>Trasporto su strada uso interno merci</t>
  </si>
  <si>
    <r>
      <t xml:space="preserve">1 - </t>
    </r>
    <r>
      <rPr>
        <b/>
        <sz val="10"/>
        <color indexed="10"/>
        <rFont val="Arial"/>
        <family val="2"/>
      </rPr>
      <t>Trasporto aereo uso interno merci</t>
    </r>
    <r>
      <rPr>
        <b/>
        <sz val="10"/>
        <rFont val="Arial"/>
        <family val="2"/>
      </rPr>
      <t>, aeroplano di proprietà</t>
    </r>
  </si>
  <si>
    <r>
      <t>2 -</t>
    </r>
    <r>
      <rPr>
        <b/>
        <sz val="10"/>
        <color rgb="FFFF0000"/>
        <rFont val="Arial"/>
        <family val="2"/>
      </rPr>
      <t xml:space="preserve"> Trasporto aereo uso interno merci</t>
    </r>
    <r>
      <rPr>
        <b/>
        <sz val="10"/>
        <color theme="1"/>
        <rFont val="Arial"/>
        <family val="2"/>
      </rPr>
      <t xml:space="preserve">, </t>
    </r>
    <r>
      <rPr>
        <b/>
        <sz val="10"/>
        <rFont val="Arial"/>
        <family val="2"/>
      </rPr>
      <t>tonnes.km</t>
    </r>
  </si>
  <si>
    <t xml:space="preserve"> Trasporto treno uso interno merci</t>
  </si>
  <si>
    <r>
      <t xml:space="preserve">1 - </t>
    </r>
    <r>
      <rPr>
        <b/>
        <sz val="10"/>
        <color indexed="10"/>
        <rFont val="Arial"/>
        <family val="2"/>
      </rPr>
      <t xml:space="preserve"> Trasporto treno uso interno merci, eletricità per i proprietari del treno (Italia)</t>
    </r>
  </si>
  <si>
    <t>2 - Perdite di linea della rete elettrica</t>
  </si>
  <si>
    <t>3 - Trasporto treno uso interno merci, carburante per proprietari del treno</t>
  </si>
  <si>
    <t xml:space="preserve">4 - Trasporto treno uso interno merci, treni non di proprietà, tonnes.km  </t>
  </si>
  <si>
    <t xml:space="preserve">Downstream trasporto su strada </t>
  </si>
  <si>
    <r>
      <t xml:space="preserve">1 - </t>
    </r>
    <r>
      <rPr>
        <b/>
        <sz val="10"/>
        <color indexed="10"/>
        <rFont val="Arial"/>
        <family val="2"/>
      </rPr>
      <t>Downstream</t>
    </r>
    <r>
      <rPr>
        <b/>
        <sz val="10"/>
        <rFont val="Arial"/>
        <family val="2"/>
      </rPr>
      <t xml:space="preserve">  trasporto su strada , proprietario del veicolo</t>
    </r>
  </si>
  <si>
    <r>
      <t xml:space="preserve">2 - </t>
    </r>
    <r>
      <rPr>
        <b/>
        <sz val="10"/>
        <color indexed="10"/>
        <rFont val="Arial"/>
        <family val="2"/>
      </rPr>
      <t>Downstream</t>
    </r>
    <r>
      <rPr>
        <b/>
        <sz val="10"/>
        <rFont val="Arial"/>
        <family val="2"/>
      </rPr>
      <t xml:space="preserve">  trasporto su strada, veicolo.km</t>
    </r>
  </si>
  <si>
    <r>
      <t xml:space="preserve">3 - </t>
    </r>
    <r>
      <rPr>
        <b/>
        <sz val="10"/>
        <color rgb="FFFF0000"/>
        <rFont val="Arial"/>
        <family val="2"/>
      </rPr>
      <t>Downstream</t>
    </r>
    <r>
      <rPr>
        <b/>
        <sz val="10"/>
        <rFont val="Arial"/>
        <family val="2"/>
      </rPr>
      <t xml:space="preserve">  trasporto su strada</t>
    </r>
    <r>
      <rPr>
        <b/>
        <sz val="10"/>
        <color theme="1"/>
        <rFont val="Arial"/>
        <family val="2"/>
      </rPr>
      <t xml:space="preserve">, </t>
    </r>
    <r>
      <rPr>
        <b/>
        <sz val="10"/>
        <rFont val="Arial"/>
        <family val="2"/>
      </rPr>
      <t>tonne.km</t>
    </r>
  </si>
  <si>
    <r>
      <t xml:space="preserve">4 - </t>
    </r>
    <r>
      <rPr>
        <b/>
        <sz val="10"/>
        <color indexed="10"/>
        <rFont val="Arial"/>
        <family val="2"/>
      </rPr>
      <t>Downstream</t>
    </r>
    <r>
      <rPr>
        <b/>
        <sz val="10"/>
        <rFont val="Arial"/>
        <family val="2"/>
      </rPr>
      <t xml:space="preserve">  trasporto su strada su  2-ruote, veicolokm </t>
    </r>
  </si>
  <si>
    <t>Trasporto aereo uso interno merci</t>
  </si>
  <si>
    <r>
      <t xml:space="preserve">1 - </t>
    </r>
    <r>
      <rPr>
        <b/>
        <sz val="10"/>
        <color indexed="10"/>
        <rFont val="Arial"/>
        <family val="2"/>
      </rPr>
      <t>Downstream</t>
    </r>
    <r>
      <rPr>
        <b/>
        <sz val="10"/>
        <rFont val="Arial"/>
        <family val="2"/>
      </rPr>
      <t xml:space="preserve"> trasporto aereo, proprietari dell'aereo</t>
    </r>
  </si>
  <si>
    <t>Downstream trasporto aereo merci</t>
  </si>
  <si>
    <r>
      <t xml:space="preserve">2 - </t>
    </r>
    <r>
      <rPr>
        <b/>
        <sz val="10"/>
        <color indexed="10"/>
        <rFont val="Arial"/>
        <family val="2"/>
      </rPr>
      <t>Downstream</t>
    </r>
    <r>
      <rPr>
        <b/>
        <sz val="10"/>
        <rFont val="Arial"/>
        <family val="2"/>
      </rPr>
      <t xml:space="preserve"> trasporto aereo merci, tonnes.km</t>
    </r>
  </si>
  <si>
    <t>Downstream  trasporto treno merci</t>
  </si>
  <si>
    <r>
      <t xml:space="preserve">1 - </t>
    </r>
    <r>
      <rPr>
        <b/>
        <sz val="10"/>
        <color indexed="10"/>
        <rFont val="Arial"/>
        <family val="2"/>
      </rPr>
      <t>Downstream</t>
    </r>
    <r>
      <rPr>
        <b/>
        <sz val="10"/>
        <rFont val="Arial"/>
        <family val="2"/>
      </rPr>
      <t>rail freigh, eletricità per i proprietari dei treni (Italia)</t>
    </r>
  </si>
  <si>
    <r>
      <t xml:space="preserve">3 - </t>
    </r>
    <r>
      <rPr>
        <b/>
        <sz val="10"/>
        <color indexed="10"/>
        <rFont val="Arial"/>
        <family val="2"/>
      </rPr>
      <t>Downstream</t>
    </r>
    <r>
      <rPr>
        <b/>
        <sz val="10"/>
        <rFont val="Arial"/>
        <family val="2"/>
      </rPr>
      <t xml:space="preserve"> trasporto treno merci, carburante per proprietari del treno</t>
    </r>
  </si>
  <si>
    <r>
      <t xml:space="preserve">4 - </t>
    </r>
    <r>
      <rPr>
        <b/>
        <sz val="10"/>
        <color rgb="FFFF0000"/>
        <rFont val="Arial"/>
        <family val="2"/>
      </rPr>
      <t>Downstream</t>
    </r>
    <r>
      <rPr>
        <b/>
        <sz val="10"/>
        <rFont val="Arial"/>
        <family val="2"/>
      </rPr>
      <t xml:space="preserve"> trasporto treno merci, treni non di proprietà, tonnes.km</t>
    </r>
  </si>
  <si>
    <r>
      <t xml:space="preserve">2 - </t>
    </r>
    <r>
      <rPr>
        <b/>
        <sz val="10"/>
        <color indexed="10"/>
        <rFont val="Arial"/>
        <family val="2"/>
      </rPr>
      <t>Upstream</t>
    </r>
    <r>
      <rPr>
        <b/>
        <sz val="10"/>
        <rFont val="Arial"/>
        <family val="2"/>
      </rPr>
      <t xml:space="preserve"> trasporto merci via mare,</t>
    </r>
    <r>
      <rPr>
        <b/>
        <sz val="10"/>
        <color indexed="10"/>
        <rFont val="Arial"/>
        <family val="2"/>
      </rPr>
      <t xml:space="preserve"> </t>
    </r>
    <r>
      <rPr>
        <b/>
        <sz val="10"/>
        <rFont val="Arial"/>
        <family val="2"/>
      </rPr>
      <t xml:space="preserve">container </t>
    </r>
  </si>
  <si>
    <t>Combustibile</t>
  </si>
  <si>
    <r>
      <t xml:space="preserve">1 - </t>
    </r>
    <r>
      <rPr>
        <b/>
        <sz val="10"/>
        <color indexed="10"/>
        <rFont val="Arial"/>
        <family val="2"/>
      </rPr>
      <t>Upstream</t>
    </r>
    <r>
      <rPr>
        <b/>
        <sz val="10"/>
        <rFont val="Arial"/>
        <family val="2"/>
      </rPr>
      <t xml:space="preserve"> trasporto merci via mare, nave di proprietà</t>
    </r>
  </si>
  <si>
    <t>5 - Trasporto fluviale merci uso interno, dal tipo di nave</t>
  </si>
  <si>
    <t>Tipo di nave</t>
  </si>
  <si>
    <t>Chiatta</t>
  </si>
  <si>
    <t>6 -Trasporto fluviale merci uso interno, chiatta</t>
  </si>
  <si>
    <t>1 -Trasporto merci su mare  uso interno, nave di proprietà</t>
  </si>
  <si>
    <r>
      <t xml:space="preserve">2 - </t>
    </r>
    <r>
      <rPr>
        <b/>
        <sz val="10"/>
        <color indexed="10"/>
        <rFont val="Arial"/>
        <family val="2"/>
      </rPr>
      <t>Trasporto merci su mare uso interno</t>
    </r>
    <r>
      <rPr>
        <b/>
        <sz val="10"/>
        <rFont val="Arial"/>
        <family val="2"/>
      </rPr>
      <t>, container</t>
    </r>
  </si>
  <si>
    <r>
      <t xml:space="preserve">4 - </t>
    </r>
    <r>
      <rPr>
        <b/>
        <sz val="10"/>
        <color indexed="10"/>
        <rFont val="Arial"/>
        <family val="2"/>
      </rPr>
      <t>Trasporto merci su mare uso interno</t>
    </r>
    <r>
      <rPr>
        <b/>
        <sz val="10"/>
        <rFont val="Arial"/>
        <family val="2"/>
      </rPr>
      <t>, bulk carriers</t>
    </r>
  </si>
  <si>
    <t>Trasporto merci via mare e fiume  uso interno</t>
  </si>
  <si>
    <t>3 -Trasporto merci via mare e fiume uso interno, cargo or roll on/roll off ships</t>
  </si>
  <si>
    <t>Upstream trasporto merci via mare e fiume</t>
  </si>
  <si>
    <t>Downstream trasporto merci via mare e fiume</t>
  </si>
  <si>
    <r>
      <t xml:space="preserve">1 - </t>
    </r>
    <r>
      <rPr>
        <b/>
        <sz val="10"/>
        <color indexed="10"/>
        <rFont val="Arial"/>
        <family val="2"/>
      </rPr>
      <t>Downstream</t>
    </r>
    <r>
      <rPr>
        <b/>
        <sz val="10"/>
        <rFont val="Arial"/>
        <family val="2"/>
      </rPr>
      <t xml:space="preserve"> trasporto merci via mare, nave di proprietà</t>
    </r>
  </si>
  <si>
    <r>
      <t xml:space="preserve">2 - </t>
    </r>
    <r>
      <rPr>
        <b/>
        <sz val="10"/>
        <color indexed="10"/>
        <rFont val="Arial"/>
        <family val="2"/>
      </rPr>
      <t xml:space="preserve">Downstream trasporto merci via mare, </t>
    </r>
    <r>
      <rPr>
        <b/>
        <sz val="10"/>
        <rFont val="Arial"/>
        <family val="2"/>
      </rPr>
      <t xml:space="preserve">container </t>
    </r>
  </si>
  <si>
    <t>capacità nave in TEU</t>
  </si>
  <si>
    <r>
      <t xml:space="preserve">3 - </t>
    </r>
    <r>
      <rPr>
        <b/>
        <sz val="10"/>
        <color indexed="10"/>
        <rFont val="Arial"/>
        <family val="2"/>
      </rPr>
      <t>Downstream</t>
    </r>
    <r>
      <rPr>
        <b/>
        <sz val="10"/>
        <rFont val="Arial"/>
        <family val="2"/>
      </rPr>
      <t xml:space="preserve"> trasporto merci via mare, cargo or roll on/roll off </t>
    </r>
  </si>
  <si>
    <t>Tipi di nave</t>
  </si>
  <si>
    <r>
      <t xml:space="preserve">4 - </t>
    </r>
    <r>
      <rPr>
        <b/>
        <sz val="10"/>
        <color indexed="10"/>
        <rFont val="Arial"/>
        <family val="2"/>
      </rPr>
      <t>Downstream t</t>
    </r>
    <r>
      <rPr>
        <b/>
        <sz val="10"/>
        <rFont val="Arial"/>
        <family val="2"/>
      </rPr>
      <t>rasporto merci via mare e fiume, bulk carriers</t>
    </r>
  </si>
  <si>
    <r>
      <t xml:space="preserve">5 - </t>
    </r>
    <r>
      <rPr>
        <b/>
        <sz val="10"/>
        <color indexed="10"/>
        <rFont val="Arial"/>
        <family val="2"/>
      </rPr>
      <t>Downstream</t>
    </r>
    <r>
      <rPr>
        <b/>
        <sz val="10"/>
        <rFont val="Arial"/>
        <family val="2"/>
      </rPr>
      <t xml:space="preserve"> trasporto merci via fiume, tipi di nave</t>
    </r>
  </si>
  <si>
    <r>
      <t xml:space="preserve">6 - </t>
    </r>
    <r>
      <rPr>
        <b/>
        <sz val="10"/>
        <color indexed="10"/>
        <rFont val="Arial"/>
        <family val="2"/>
      </rPr>
      <t>Downstream</t>
    </r>
    <r>
      <rPr>
        <b/>
        <sz val="10"/>
        <rFont val="Arial"/>
        <family val="2"/>
      </rPr>
      <t xml:space="preserve"> trasporto merci via  fiume, su chiatta</t>
    </r>
  </si>
  <si>
    <t>Strada</t>
  </si>
  <si>
    <t>Aereo</t>
  </si>
  <si>
    <t>Treno</t>
  </si>
  <si>
    <t>Mare e fiume</t>
  </si>
  <si>
    <t xml:space="preserve">2 - Macchina, casa-lavoro: calcolo basato sul numero di macchine e dal luogo di provenienza del guidatore. </t>
  </si>
  <si>
    <t xml:space="preserve">3 -   Macchina, casa-lavoro: calcolo basato sul numero veicolo.km e sul luogo di provenienza del guidatore. </t>
  </si>
  <si>
    <t xml:space="preserve">6 - Autobus e pulman : casa-lavoro: calcolo basato su veicolo.km </t>
  </si>
  <si>
    <t xml:space="preserve">9 -  2 ruote : casa-lavoro: calcolo basato su veicolo.km </t>
  </si>
  <si>
    <t xml:space="preserve">7 -Autobus e pulman : casa-lavoro: calcolo basato su persone.km  </t>
  </si>
  <si>
    <t>8 -  Autobus e pulman : casa-lavoro: calcolo basato sul numero di utilizzatori</t>
  </si>
  <si>
    <t>10 -  treno (incluso metropolitana, tram, rete di treni regionale) casa lavoro: calcolato sui  kilometri viaggiati</t>
  </si>
  <si>
    <t>Impiegati pendolari</t>
  </si>
  <si>
    <t xml:space="preserve">1 - viaggi di lavoro - macchina, veicolo proprietario e gestito dall'organizzazione, pagamenti per rimborso di carburante </t>
  </si>
  <si>
    <t>2 -  viaggi di lavoro - bus e pulmana: calcolo basato su persona.km</t>
  </si>
  <si>
    <t xml:space="preserve">1 -viaggi di lavoro - bus e pulmana: calcolo basato su veicolo.km </t>
  </si>
  <si>
    <t xml:space="preserve">3 - viaggi di lavoro -2 ruote: calcolo basato su veicolo.km </t>
  </si>
  <si>
    <t>2 - Elettricità perdite di rete</t>
  </si>
  <si>
    <t>Carburante</t>
  </si>
  <si>
    <t>Rifiuti non pericolosi</t>
  </si>
  <si>
    <t>Rifiuti pericolosi</t>
  </si>
  <si>
    <t>Trattamento reflui</t>
  </si>
  <si>
    <t>Materiali per discarica</t>
  </si>
  <si>
    <t>Materiali inceneriti</t>
  </si>
  <si>
    <t>Metalli a riciclo o riuso</t>
  </si>
  <si>
    <t>Plastiche a riciclo o riuso</t>
  </si>
  <si>
    <t>Vetro a riciclo o riuso</t>
  </si>
  <si>
    <t>Carta o cartone a riciclo o riuso</t>
  </si>
  <si>
    <r>
      <t xml:space="preserve">Gas coperti da </t>
    </r>
    <r>
      <rPr>
        <b/>
        <sz val="10"/>
        <color indexed="10"/>
        <rFont val="Arial"/>
        <family val="2"/>
      </rPr>
      <t>Kyoto</t>
    </r>
  </si>
  <si>
    <t xml:space="preserve">Acque reflue in ambiente stagnante </t>
  </si>
  <si>
    <t>Acque reflue in fognatura</t>
  </si>
  <si>
    <t>Perdite o emissioni dovute al settore non energetico</t>
  </si>
  <si>
    <t>Discarica</t>
  </si>
  <si>
    <t>Inceneritore</t>
  </si>
  <si>
    <t>Rifiuti riusati o riciclati</t>
  </si>
  <si>
    <t>Emissioni evitate (recupero)</t>
  </si>
  <si>
    <t xml:space="preserve">Emissioni evitate, discarica </t>
  </si>
  <si>
    <t>Emissioni evitate, inceneritore</t>
  </si>
  <si>
    <t>Emissioni evitate, riciclo</t>
  </si>
  <si>
    <t xml:space="preserve">Emissioni evitates, french mix </t>
  </si>
  <si>
    <t>Emissioni evitate, trattamento biologico</t>
  </si>
  <si>
    <t xml:space="preserve">Strade, ferrovie, parcheggi, porti e altre infrastrutture </t>
  </si>
  <si>
    <t>5 - Costruzioni,metalli</t>
  </si>
  <si>
    <t>7 - Costruzioni, vetro</t>
  </si>
  <si>
    <t>6 - Costruzioni, plastiche</t>
  </si>
  <si>
    <t xml:space="preserve">Emissioni dirette da sorgenti di combustione stazionarie </t>
  </si>
  <si>
    <t>Emissioni dirette da sorgenti di combustione mobili</t>
  </si>
  <si>
    <t>Emissioni dirette da  processi</t>
  </si>
  <si>
    <t>Emissioni dirette da  fonti fugitive</t>
  </si>
  <si>
    <t xml:space="preserve">Beni o servizi acquistati </t>
  </si>
  <si>
    <t xml:space="preserve">Beni di consumo </t>
  </si>
  <si>
    <t xml:space="preserve">Emissioni dovute a combustibili e energia (non incluse nello scope 1 e 2) </t>
  </si>
  <si>
    <t>Rifiuti prodotti</t>
  </si>
  <si>
    <t>Viaggi di lavoro</t>
  </si>
  <si>
    <t>Altre emissioni indirette premanifattura</t>
  </si>
  <si>
    <t xml:space="preserve">Uso dei prodotto venduti  </t>
  </si>
  <si>
    <t>Fine vita dei prodotti venduti</t>
  </si>
  <si>
    <t>Investimenti</t>
  </si>
  <si>
    <t>Trasporto di merci e distribuzione in fase d’uso e fine vita</t>
  </si>
  <si>
    <t xml:space="preserve">Altre emissioni indirette in fase d'uso e fine vita </t>
  </si>
  <si>
    <t>Emissioni dirette da LULUCF</t>
  </si>
  <si>
    <t xml:space="preserve">Emissioni indirette da consumo di elettricità </t>
  </si>
  <si>
    <t xml:space="preserve">Emissioni indirette da consumo di vapore, calore o raffrescamento </t>
  </si>
  <si>
    <t xml:space="preserve">Emissioni indirette da consumi di energia di rete (senza l'eletricita) </t>
  </si>
  <si>
    <t>Emissioni dovute all'energia non coperte dalle sorgenti da 1 a 7</t>
  </si>
  <si>
    <t>Beni acquistati</t>
  </si>
  <si>
    <t xml:space="preserve">Rifiuti prodotti </t>
  </si>
  <si>
    <t>Trasporto e distribuzione premanifattura</t>
  </si>
  <si>
    <t xml:space="preserve">Trasporto di clienti e visitatori </t>
  </si>
  <si>
    <t xml:space="preserve">Altre emissioni indirette </t>
  </si>
  <si>
    <t>Lavorazioni dei prodotti venduti</t>
  </si>
  <si>
    <t xml:space="preserve">1 - Macchina, casa-lavoro: combustibile rimborsato o fornito (proprietario) </t>
  </si>
  <si>
    <t xml:space="preserve">heated sqm-m^2 riscaldato </t>
  </si>
  <si>
    <t>Beni di durevoli</t>
  </si>
  <si>
    <t>totale :</t>
  </si>
  <si>
    <t>totale</t>
  </si>
  <si>
    <t>Enegia usata</t>
  </si>
  <si>
    <t>Città</t>
  </si>
  <si>
    <t>Carburati</t>
  </si>
  <si>
    <t>Emissioni evitate</t>
  </si>
  <si>
    <t xml:space="preserve">Produzione animali, al cancello della fattoria </t>
  </si>
  <si>
    <t xml:space="preserve"> Prodotti organici al cancello dell’industria</t>
  </si>
  <si>
    <t xml:space="preserve">Prodotti  al cancello dell’industria alimentare  </t>
  </si>
  <si>
    <t>Numero di</t>
  </si>
  <si>
    <t>pasti</t>
  </si>
  <si>
    <t>Totale :</t>
  </si>
  <si>
    <t xml:space="preserve">Totale </t>
  </si>
  <si>
    <t>Carburanti</t>
  </si>
  <si>
    <t xml:space="preserve">Viaggi dei visitatori - ogni mezzo </t>
  </si>
  <si>
    <t xml:space="preserve">1 -Visitatori gestiti dall’organizzazione, acquisto di carburante </t>
  </si>
  <si>
    <t>2 - Visitatori via macchina</t>
  </si>
  <si>
    <t>3 -  Visitatori via autobus e pulman, passeggero.km</t>
  </si>
  <si>
    <t>4 - Visitatori via autobus e pulman, veicolo.km</t>
  </si>
  <si>
    <t>5 -Visitatori via 2 ruote</t>
  </si>
  <si>
    <t>6 - Visitatori via aereo,  persona.km</t>
  </si>
  <si>
    <t>7 - Visitatori via aereo,  numero di viaggi</t>
  </si>
  <si>
    <t xml:space="preserve">8 -Visitatori via nave,  persona.km </t>
  </si>
  <si>
    <t>9 - Visitatori via treno  - (incluso metropolitana, tram, rete di treni regionale) non di proprieta' dell'organizzazione</t>
  </si>
  <si>
    <t>Rifiuti di processo</t>
  </si>
  <si>
    <t>Combustibili</t>
  </si>
  <si>
    <t xml:space="preserve">Foglio descrittivo con indicazioni sul sito o l'attività produttiva  </t>
  </si>
  <si>
    <t>Nome dell'orgazzazione</t>
  </si>
  <si>
    <t>Nome del sito</t>
  </si>
  <si>
    <t>Approccio utilizzato (ISO 14069 &amp; GHG Protocol)</t>
  </si>
  <si>
    <t>Info utili</t>
  </si>
  <si>
    <t>CO2e panoramica</t>
  </si>
  <si>
    <t>Consumi da combustione diretta di carburante</t>
  </si>
  <si>
    <t xml:space="preserve">3 - Riscaldamento da combustibili fossile, da m^2 riscaldati </t>
  </si>
  <si>
    <t>2 - Elettricità acquistata, media dai diversi paesi</t>
  </si>
  <si>
    <t>3 - Elettricità acquistata, dai produttori</t>
  </si>
  <si>
    <r>
      <t xml:space="preserve">5 - </t>
    </r>
    <r>
      <rPr>
        <b/>
        <sz val="10"/>
        <color indexed="10"/>
        <rFont val="Arial"/>
        <family val="2"/>
      </rPr>
      <t>Consumi specifici di elettricità</t>
    </r>
  </si>
  <si>
    <t>6 -Totale consumi di elettricità</t>
  </si>
  <si>
    <t>Fattori di conversione</t>
  </si>
  <si>
    <t>Panoramica delle categorie definite nel  GHG Protocol</t>
  </si>
  <si>
    <t>Emissioni GHG</t>
  </si>
  <si>
    <t>Incertezza
(kg CO2e)</t>
  </si>
  <si>
    <t xml:space="preserve">Emissioni evitate GHG </t>
  </si>
  <si>
    <t xml:space="preserve">Emissioni rimosse GHG </t>
  </si>
  <si>
    <t>CO2 b da combustione
(kg CO2e)</t>
  </si>
  <si>
    <t>Oltre CO2 b
(kg CO2e)</t>
  </si>
  <si>
    <t>Calore acquistato</t>
  </si>
  <si>
    <t>Stima del riscaldamento da combustibili fossii</t>
  </si>
  <si>
    <t xml:space="preserve"> Emissioni diidrocarburi alogenati da Kyoto </t>
  </si>
  <si>
    <t>Idrocarburi alogenati</t>
  </si>
  <si>
    <t>Input</t>
  </si>
  <si>
    <t>Altri input</t>
  </si>
  <si>
    <t>Prodotti ittici al cancello dell’allevamento</t>
  </si>
  <si>
    <t>Stima dei pasti</t>
  </si>
  <si>
    <t xml:space="preserve">Inpus contabilizzati per il loro valore monetario </t>
  </si>
  <si>
    <t>Edifici</t>
  </si>
  <si>
    <t xml:space="preserve">1 - Edifici, metodo area superficiale </t>
  </si>
  <si>
    <t xml:space="preserve">1 - Dipendenti viaggi di lavoro - treno elettrico, per proprietatri pdel treno  </t>
  </si>
  <si>
    <t>3 - Dipendenti viaggi di lavoro - (incluso metropolitana, tram, rete di treni regionale) non di proprieta' dell'organizzazione</t>
  </si>
  <si>
    <t>1 - Dipendenti viaggi di lavoro proprietari dell'aereo o gestiti dall'organizzazione, acquisto carburante</t>
  </si>
  <si>
    <t>2 - Dipendenti viaggi di lavoro - aereo, passeggero.km</t>
  </si>
  <si>
    <t>3 - Dipendenti viaggi di lavoro - aereo, calcolo basato sul numero di viaggi</t>
  </si>
  <si>
    <t>1 - Dipendenti viaggi di lavoro - nave di proprieta o gestita dall'organizzazione, calcolo basato dul combustibile acquistato</t>
  </si>
  <si>
    <t xml:space="preserve">Dipendenti viaggi di lavoro - macchina </t>
  </si>
  <si>
    <t xml:space="preserve">Dipendenti viaggi di lavoro, altri veicoli su strada </t>
  </si>
  <si>
    <t>Dipendenti viaggi di lavoro - treno</t>
  </si>
  <si>
    <t>Dipendenti viaggi di lavoro - aereo</t>
  </si>
  <si>
    <t>Dipendenti viaggi di lavoro - nave</t>
  </si>
  <si>
    <t>2-  Dipendenti viaggi di lavoro - nave, passeggero.km e nave.km,</t>
  </si>
  <si>
    <t>Dipendenti viaggi casa-lavoro</t>
  </si>
  <si>
    <t>Regione Considerare:</t>
  </si>
  <si>
    <t>Sto di smaltimento:</t>
  </si>
  <si>
    <t>Acqua di scarico calcolo in m^3</t>
  </si>
  <si>
    <t>Acqua di scarico calcolo in  BOD</t>
  </si>
  <si>
    <t>4 - Edifici, materie prime</t>
  </si>
  <si>
    <t xml:space="preserve">2 - Edifici, combustibili consumati nel sito di costruzione </t>
  </si>
  <si>
    <t xml:space="preserve">3 - Edifici, database dei materiali di INIES </t>
  </si>
  <si>
    <t xml:space="preserve">Costruito </t>
  </si>
  <si>
    <t>questo anno?</t>
  </si>
  <si>
    <t>1 - Strade, conbustibili utilizzati sul sito di costruzione</t>
  </si>
  <si>
    <t xml:space="preserve">2 - Autostrade, stima per tipologia e lunghezza del camion  </t>
  </si>
  <si>
    <t>5 - Infrastrutture, metalli</t>
  </si>
  <si>
    <t>6 - Infrastrutture, plastica</t>
  </si>
  <si>
    <t>7 -Infrastrutture, vetro</t>
  </si>
  <si>
    <t xml:space="preserve">3 - Barriere di metallo,  stima per tipologia e lunghezza del camion  </t>
  </si>
  <si>
    <t>1 - IT, per unità</t>
  </si>
  <si>
    <t>2 - IT, per prezzo</t>
  </si>
  <si>
    <t>Consumi di combustibile durante la fase d'uso</t>
  </si>
  <si>
    <t xml:space="preserve">Uso di combustibili fossili </t>
  </si>
  <si>
    <t xml:space="preserve">Uso di combustibili di origine organica </t>
  </si>
  <si>
    <t>Consumo di calore e raffrescamento in fase d'uso</t>
  </si>
  <si>
    <t>Acquisto di calore/vapore</t>
  </si>
  <si>
    <t>Acquisto di raffrescamento</t>
  </si>
  <si>
    <t>Consumi elettrici in fase d'uso</t>
  </si>
  <si>
    <t>Rete eltrrica per paese</t>
  </si>
  <si>
    <t>perdite di rete (eletricità)</t>
  </si>
  <si>
    <t xml:space="preserve">Emissioni escluse le emissioni di energia dovute alla fase d'uso </t>
  </si>
  <si>
    <t>perdite o emissioni escusa l'energia</t>
  </si>
  <si>
    <t xml:space="preserve">gas del protocollo di Kyoto </t>
  </si>
  <si>
    <t>Gas non coperti dal protocollo di Kyoto</t>
  </si>
  <si>
    <t>Infrastrutture esclusi gli edifici</t>
  </si>
  <si>
    <t>Veicoli, macchinari e strumentazioni</t>
  </si>
  <si>
    <t>1 - Veicoli, macchinari e strumentazioni per peso</t>
  </si>
  <si>
    <t>2 - Veicoli, macchinari e strumentazioni, in metalli</t>
  </si>
  <si>
    <t>3 -  macchinari e strumentazioni, in plastica</t>
  </si>
  <si>
    <t>4 -  macchinari e strumentazioni, vetro</t>
  </si>
  <si>
    <t>5 -  macchinari e strumentazioni, uso del valore monetario</t>
  </si>
  <si>
    <t>Emissioni evitate (sink)</t>
  </si>
  <si>
    <t>Consumo di combustibile nella fase di fine vita</t>
  </si>
  <si>
    <t xml:space="preserve">Uso di combustibili organici </t>
  </si>
  <si>
    <t>Metalli (media francese)</t>
  </si>
  <si>
    <t xml:space="preserve">Plastica (French average) </t>
  </si>
  <si>
    <t xml:space="preserve">Vetro (French average) </t>
  </si>
  <si>
    <t xml:space="preserve">Carta e cartone (French average) </t>
  </si>
  <si>
    <t>Perdite o emissioni escluso energia, escluso rifiuti non pericolosi</t>
  </si>
  <si>
    <t>perdite o emissioni escluso energia</t>
  </si>
  <si>
    <t>gas del protocollo di Kyoto</t>
  </si>
  <si>
    <r>
      <t xml:space="preserve">Ngas non coperti dal protocollo di </t>
    </r>
    <r>
      <rPr>
        <b/>
        <sz val="10"/>
        <color rgb="FFFF0000"/>
        <rFont val="Arial"/>
        <family val="2"/>
      </rPr>
      <t>Kyoto</t>
    </r>
  </si>
  <si>
    <t xml:space="preserve">Rifiuti pericolosi, escluse le perdite </t>
  </si>
  <si>
    <t>Carta e cartone</t>
  </si>
  <si>
    <t xml:space="preserve">Organico/ food e mix </t>
  </si>
  <si>
    <t xml:space="preserve">Perdite e non energetici </t>
  </si>
  <si>
    <t>Emissioni evitate, metallo</t>
  </si>
  <si>
    <t>Emissioni evitate, plastica</t>
  </si>
  <si>
    <t xml:space="preserve">Emissioni evitate, vetro </t>
  </si>
  <si>
    <t>Emissioni evitate, carta e cartone</t>
  </si>
  <si>
    <t>Emissioni evitate, mix</t>
  </si>
  <si>
    <t>Calcolatore per il cambio d'uso dei terreni Calculator for changing Land Use</t>
  </si>
  <si>
    <t>Foresta convertita in</t>
  </si>
  <si>
    <t>Coltivazione convertita in</t>
  </si>
  <si>
    <t>Prateria convertita in</t>
  </si>
  <si>
    <t>Dati statistici</t>
  </si>
  <si>
    <t>Calore e raffrescamento</t>
  </si>
  <si>
    <t>Eletricità</t>
  </si>
  <si>
    <t>Emissioni non energetiche</t>
  </si>
  <si>
    <t>Caburanti</t>
  </si>
  <si>
    <t>Gas metano combustione - mix italiano (IT)</t>
  </si>
  <si>
    <t>Benzina (IT)</t>
  </si>
  <si>
    <t>Gasolio per autotrazione (IT)</t>
  </si>
  <si>
    <t>Gasolio per riscaldamento di edifici (IT)</t>
  </si>
  <si>
    <t>GPL (IT)</t>
  </si>
  <si>
    <t>Olio combustibile (IT)</t>
  </si>
  <si>
    <t>Carbone (IT)</t>
  </si>
  <si>
    <t>Gas di raffineria (IT)</t>
  </si>
  <si>
    <t>Gas di cokeria (IT)</t>
  </si>
  <si>
    <t>Combustibili residui (IT)</t>
  </si>
  <si>
    <t>Syngas (IT)</t>
  </si>
  <si>
    <t>Gas di altoforno (IT)</t>
  </si>
  <si>
    <t>Ammoniaca (IT)</t>
  </si>
  <si>
    <t>Acido nitrico (IT)</t>
  </si>
  <si>
    <t>Acido adipico (IT)</t>
  </si>
  <si>
    <t>Carburo di calcio (IT)</t>
  </si>
  <si>
    <t>Biossido di titanio (IT)</t>
  </si>
  <si>
    <t>Produzione e uso di carbonato di sodio (IT)</t>
  </si>
  <si>
    <t>Etilene (IT)</t>
  </si>
  <si>
    <t>Carbon black (IT)</t>
  </si>
  <si>
    <t>Propilene (IT)</t>
  </si>
  <si>
    <t>Automobili, mix di combustibile, qualsiasi percorso (IT)</t>
  </si>
  <si>
    <t>Autobus, mix di combustibile, qualsiasi percorso (IT)</t>
  </si>
  <si>
    <t>Autobus, mix di combustibile, percorso URBANO (IT)</t>
  </si>
  <si>
    <t>Automobili, mix di combustibile, percorso URBANO (IT)</t>
  </si>
  <si>
    <t xml:space="preserve">2 - viaggi di lavoro - macchina: autoveicolo generico e calcolo basato sui cavalli di potenza per autoveicolo benzina </t>
  </si>
  <si>
    <t>3 -viaggi di lavoro - macchina:autoveicolo generico calcolo basato sui cavalli di potenza per autoveicolo diesel</t>
  </si>
  <si>
    <t>4 - viaggi di lavoro - macchina: calcolo basato km diversi percorsi mix combustibili (urbano, autostradale, extraurbano)</t>
  </si>
  <si>
    <t>Autobus, mix di combustibile, percorso extra-urbano (IT)</t>
  </si>
  <si>
    <t>Autobus, mix di combustibile, percorso AUTOSTRADALE (IT)</t>
  </si>
  <si>
    <t>Autobus, diesel, qualsiasi percorso (IT)</t>
  </si>
  <si>
    <t>Autobus, metano, qualsiasi percorso (IT)</t>
  </si>
  <si>
    <t>Autoveicoli leggeri, benzina, percorso autostradale (IT)</t>
  </si>
  <si>
    <t>Fermentazione Enterica - Bovini da latte (Capo) (IT)</t>
  </si>
  <si>
    <t>Automobili, mix di combustibile, percorso AUTOSTRADALE (IT)</t>
  </si>
  <si>
    <t>Fermentazione Enterica - Bovini non da latte (Capo) (IT)</t>
  </si>
  <si>
    <t>Fermentazione Enterica - Bufalo (Capo) (IT)</t>
  </si>
  <si>
    <t>Fermentazione Enterica - Pecora (Capo) (IT)</t>
  </si>
  <si>
    <t>Fermentazione Enterica - Capra (Capo) (IT)</t>
  </si>
  <si>
    <t>Fermentazione Enterica - Cavalli (Capo) (IT)</t>
  </si>
  <si>
    <t>Fermentazione Enterica - Muli e Asini (Capo) (IT)</t>
  </si>
  <si>
    <t>Fermentazione Enterica - Scrofe (Capo) (IT)</t>
  </si>
  <si>
    <t>Fermentazione Enterica - Altri Suini (Capo) (IT)</t>
  </si>
  <si>
    <t>Fermentazione Enterica - Conigli (Capo) (IT)</t>
  </si>
  <si>
    <t>Gestione del letame - Bovini da latte (Capo) (IT)</t>
  </si>
  <si>
    <t>Gestione del letame - Bovini non da latte (Capo) (IT)</t>
  </si>
  <si>
    <t>Gestione del letame - Bufalo (Capo) (IT)</t>
  </si>
  <si>
    <t>Gestione del letame - Scrofe (Capo) (IT)</t>
  </si>
  <si>
    <t>Gestione del letame - Altri Suini (Capo) (IT)</t>
  </si>
  <si>
    <t>Orzo, Irrigazione, non lavorazione (IT)</t>
  </si>
  <si>
    <t>Orzo, Irrigazione, minima lavorazione (IT)</t>
  </si>
  <si>
    <t>Orzo, Irrigazione, lavorazione convenzionale (IT)</t>
  </si>
  <si>
    <t>Orzo, Senza irrigazione, Nessuna lavorazione (IT)</t>
  </si>
  <si>
    <t>Orzo, Senza irrigazione, Minima Lavorazione (IT)</t>
  </si>
  <si>
    <t>Orzo, Senza irrigazione, Convenzionale (IT)</t>
  </si>
  <si>
    <t>Mais, Con Irrigazione, Convenzionale (IT)</t>
  </si>
  <si>
    <t>Mais, Senza Irrigazione, Convenzionale (IT)</t>
  </si>
  <si>
    <t>Grano, Con Irrigazione, Nessuna Lavorazione (IT)</t>
  </si>
  <si>
    <t>Grano, Con Irrigazione, Minima Lavorazione (IT)</t>
  </si>
  <si>
    <t>Grano, Con Irrigazione, Convenzionale (IT)</t>
  </si>
  <si>
    <t>Grano, Senza Irrigaizone, Nessuna Lavorazione (IT)</t>
  </si>
  <si>
    <t>Grano, Senza Irrigaizone, Minima Lavorazione (IT)</t>
  </si>
  <si>
    <t>Grano, Senza Irrigaizone, Convenzionale (IT)</t>
  </si>
  <si>
    <r>
      <t xml:space="preserve">1 -  Emissioni di metano da animali - </t>
    </r>
    <r>
      <rPr>
        <b/>
        <sz val="10"/>
        <color rgb="FFFF0000"/>
        <rFont val="Arial"/>
        <family val="2"/>
      </rPr>
      <t>qui non inserire i dati sul bestiame, inserirli in N2O emissione degli animali</t>
    </r>
  </si>
  <si>
    <t>Sabbia 0/2 (EU)</t>
  </si>
  <si>
    <t>Ghiaia 2/32 (EU)</t>
  </si>
  <si>
    <t>Tronco di abete con corteccia (EU)</t>
  </si>
  <si>
    <t>Legno di abete (EU)</t>
  </si>
  <si>
    <t>Tronco di pino con corteccia (EU)</t>
  </si>
  <si>
    <t>Legno di pino (EU)</t>
  </si>
  <si>
    <t>Blocco in calcestruzzo leggero (EU)</t>
  </si>
  <si>
    <t>Ossigeno (EU)</t>
  </si>
  <si>
    <t>Azoto (EU)</t>
  </si>
  <si>
    <t>Polietilene granulato a bassa densità (PE-LD) (EU)</t>
  </si>
  <si>
    <t>Polietilene tereftalato (PET) granulato (EU)</t>
  </si>
  <si>
    <t>Fibre di polietilene tereftalato (PET) (EU)</t>
  </si>
  <si>
    <t>Pietra di gesso (CaSO4-diidrato) (EU)</t>
  </si>
  <si>
    <t>Carbonato di calcio&gt; 63 micron (EU)</t>
  </si>
  <si>
    <t>Calce (CaO; calce fina) (EU)</t>
  </si>
  <si>
    <t>Polvere di argilla (EU)</t>
  </si>
  <si>
    <t>Mattone; basato di argilla (EU)</t>
  </si>
  <si>
    <t>Colla per piastrelle (EU)</t>
  </si>
  <si>
    <t>piastrelle in gres, smaltate (EU)</t>
  </si>
  <si>
    <t>piastrelle in gres, non smaltate (EU)</t>
  </si>
  <si>
    <t>Intonaco di gesso (CaSO4 emiidrati beta) (EU)</t>
  </si>
  <si>
    <t>Calcestruzzo preconfezionato C20 / 25 (EU)</t>
  </si>
  <si>
    <t>Calcestruzzo preconfezionato C30 / 37 (EU)</t>
  </si>
  <si>
    <t>Blocchetto di cementoareatoe; tipo P4 05 rinforzato (EU)</t>
  </si>
  <si>
    <t>Blocco di cemento cellulare; mix di P2 e P4 04 05 (EU)</t>
  </si>
  <si>
    <t>Asfalto legante (EU)</t>
  </si>
  <si>
    <t>Bitume (EU)</t>
  </si>
  <si>
    <t>Travels, private car, petrol, hybrid car</t>
  </si>
  <si>
    <t>Automobili, metano, qualsiasi percorso (IT)</t>
  </si>
  <si>
    <t>Automobili, GPL, qualsiasi percorso (IT)</t>
  </si>
  <si>
    <t>Automobili, E85 (85% etanolo + 15% benzina), qualsiasi percorso (IT)</t>
  </si>
  <si>
    <t>Ciclomotori a benzina,  qualsiasi percorso (IT)</t>
  </si>
  <si>
    <t>Ciclomotori, benzina, percorso URBANO (IT)</t>
  </si>
  <si>
    <t>Automobili, benzina, qualsiasi percorso (IT)</t>
  </si>
  <si>
    <t>Automobili, diesel, qualsiasi percorso (IT)</t>
  </si>
  <si>
    <t>Automobili, benzina, percorso urbano (IT)</t>
  </si>
  <si>
    <t>Automobili, diesel,  percorso urbano (IT)</t>
  </si>
  <si>
    <t>Automobili, GPL, percorso urbano (IT)</t>
  </si>
  <si>
    <t>Automobili, E85 (85% etanolo + 15% benzina), percorso urbano (IT)</t>
  </si>
  <si>
    <t>Automobili, metano, percorso urbano (IT)</t>
  </si>
  <si>
    <t>Automobili, benzina, percorso extra-urbano (IT)</t>
  </si>
  <si>
    <t>Automobili, diesel,  percorso extra-urbano (IT)</t>
  </si>
  <si>
    <t>Automobili, GPL, percorso extra-urbano (IT)</t>
  </si>
  <si>
    <t>Automobili, E85 (85% etanolo + 15% benzina), percorso extra-urbano (IT)</t>
  </si>
  <si>
    <t>Automobili, metano, percorso extra-urbano (IT)</t>
  </si>
  <si>
    <t>Automobili, benzina, percorso autostradale (IT)</t>
  </si>
  <si>
    <t>Automobili, diesel,  percorso autostradale (IT)</t>
  </si>
  <si>
    <t>Automobili, GPL, percorso autostradale (IT)</t>
  </si>
  <si>
    <t>Automobili, E85 (85% etanolo + 15% benzina), percorso autostradale (IT)</t>
  </si>
  <si>
    <t>Automobili, metano, percorso autostradale (IT)</t>
  </si>
  <si>
    <t>Travels, private car, desel oil, natural gas, GPL, ethanol -petrol</t>
  </si>
  <si>
    <t>4 -  Macchina, casa-lavoro mix combustibili +</t>
  </si>
  <si>
    <t>Automobili, mix di combustibile, percorso extra-urbano (IT)</t>
  </si>
  <si>
    <t>5 - Macchina, casa-lavoro: autoveture disel, metano, GPL etanolo -benzina, mix di combusribili</t>
  </si>
  <si>
    <t xml:space="preserve">Diverse tipologie stradali e  combustibili/auto francesi con cavalli motori </t>
  </si>
  <si>
    <t>French metropolitan mix + Italian mix</t>
  </si>
  <si>
    <t>Compostaggio (IT)</t>
  </si>
  <si>
    <t>Digestione anaerobica (IT)</t>
  </si>
  <si>
    <t>Elettricità prodotta da impianto eolico, AC, &lt;1kV</t>
  </si>
  <si>
    <t>Eletricità prodotta da impianto nucleare</t>
  </si>
  <si>
    <t>Elettricità prodotta da impianto idroelettrico, AC, 230V</t>
  </si>
  <si>
    <t>Elettricità prodotta da impianto idroelettrico, AC, &lt;1kV</t>
  </si>
  <si>
    <t>Elettricità prodotta da fotovoltaico</t>
  </si>
  <si>
    <t>Elettricità prodotta da geotermico</t>
  </si>
  <si>
    <t>Sistemi di riscaldamento residenziale da oli leggeri</t>
  </si>
  <si>
    <t>Sistemi di riscaldamento residenziale da gas naturale</t>
  </si>
  <si>
    <t>Sistemi di riscaldamento residenziale da pelletes</t>
  </si>
  <si>
    <t>Teleriscaldamento da impianto pubblico a gas naturale</t>
  </si>
  <si>
    <t>Teleriscaldamento di calore da impianto pubblico a olio combustibile pesante</t>
  </si>
  <si>
    <t>Teleriscaldamento di calore da impianto pubblico a olio combustibile extra  leggero</t>
  </si>
  <si>
    <t>Teleriscaldamento di calore da impianto pubblico a truccioli di legno</t>
  </si>
  <si>
    <t>Teleriscaldamento da impianto pubblico medio per tutti gli impianti publici (Croazia)</t>
  </si>
  <si>
    <t>Teleriscaldamentoe da impianto medio per la Croazia</t>
  </si>
  <si>
    <t>Teleriscaldamento medio Ungheria</t>
  </si>
  <si>
    <t>Inceneritore per rifiuti solidi urbani (IT)</t>
  </si>
  <si>
    <t>Inceneritore per rifiuti industriali senza recupero di energia (IT)</t>
  </si>
  <si>
    <t>Inceneritore per rifiuti ospedalieri senza recupero di energia (IT)</t>
  </si>
  <si>
    <t>Inceneritore per fanghi di depurazione senza recupero di energia (IT)</t>
  </si>
  <si>
    <t>Inceneritore di oli esausti senza recupero di energia (IT)</t>
  </si>
  <si>
    <t>Depurazione delle acque reflue industriali (IT)</t>
  </si>
  <si>
    <t>Incenerimento di rifiuti di vetro / materiale inerte (EU)</t>
  </si>
  <si>
    <t>Incenerimento di rifiuti solidi urbani (RSU)</t>
  </si>
  <si>
    <t>Trattamento delle acque reflue; acque di scarico industriali; organici contaminati (EU)</t>
  </si>
  <si>
    <t>Trattamento delle acque reflue; acque reflue domestiche (EU)</t>
  </si>
  <si>
    <t>Trattamento delle acque reflue; acque reflue industriali;  organico e inorganico leggermente contaminato (EU)</t>
  </si>
  <si>
    <t>Acqua potabile da fada acquifera (EU)</t>
  </si>
  <si>
    <t>Automobili, benzina ibrida, qualsiasi percorso (IT)</t>
  </si>
  <si>
    <t>Automobili, benzina ibrida, percorso urbano (IT)</t>
  </si>
  <si>
    <t>Automobili, benzina ibrida, percorso extra-urbano (IT)</t>
  </si>
  <si>
    <t>Automobili, benzina ibrida, percorso autostradale (IT)</t>
  </si>
  <si>
    <t>Autobus, diesel, percorso extra-urbano (IT)</t>
  </si>
  <si>
    <t>Autobus, metano, percorso extra-urbano (IT)</t>
  </si>
  <si>
    <t>Autobus, diesel, percorso autostradale (IT)</t>
  </si>
  <si>
    <t>Ciclomotori , benzina, percorso extra-urbano (IT)</t>
  </si>
  <si>
    <t>Moto, benzina, percorso AUTOSTRADALE (IT)</t>
  </si>
  <si>
    <t>Moto, benzina, percorso extra-urbano (IT)</t>
  </si>
  <si>
    <t>Moto, benzina, percorso URBANO (IT)</t>
  </si>
  <si>
    <t>Moto, benzina,  qualsiasi percorso (IT)</t>
  </si>
  <si>
    <t>Network electricity in France -Italy+ autoproduction</t>
  </si>
  <si>
    <t>Acquisto di elettricità e produzione da fonti rinnovabili</t>
  </si>
  <si>
    <t>1 - Elettricità acquistata, in Italia - Francia e prodotta/acuistata da fonti rinnovabili</t>
  </si>
  <si>
    <t>Trattamenti biologici rifiuti fermentabili(inserire il tipo di valorizzazione in "type of  valorization"</t>
  </si>
  <si>
    <t>organico/mix food</t>
  </si>
  <si>
    <t>HWS- Hot Water Supply</t>
  </si>
  <si>
    <t>Rifiuti di processo - suddivisione per tipo/trattamento di rifiuto</t>
  </si>
  <si>
    <t>Discarica per rifuti solidi urbani (IT)</t>
  </si>
  <si>
    <t>bottiglia 0,5l in PET (IT)</t>
  </si>
  <si>
    <t>bottiglia 1,5l in PET (IT)</t>
  </si>
  <si>
    <t>Consumo di acqua da acquedotto  o bottiglia</t>
  </si>
  <si>
    <t>Consumo di acqua in bottiglia</t>
  </si>
  <si>
    <t>kg CO2e per l</t>
  </si>
  <si>
    <t>per l</t>
  </si>
  <si>
    <t>l</t>
  </si>
  <si>
    <t>Carne (IT)</t>
  </si>
  <si>
    <t>Uova (IT)</t>
  </si>
  <si>
    <t>Biscotti (IT)</t>
  </si>
  <si>
    <t>Fette biscottate (IT)</t>
  </si>
  <si>
    <t>Snack Salati (IT)</t>
  </si>
  <si>
    <t>Snack dolci (IT)</t>
  </si>
  <si>
    <t>Pane (IT)</t>
  </si>
  <si>
    <t>Pasta (IT)</t>
  </si>
  <si>
    <t>Zucchero (IT)</t>
  </si>
  <si>
    <t>Prodotto caseario (IT)</t>
  </si>
  <si>
    <t>Legumi (IT)</t>
  </si>
  <si>
    <t>Frutta (IT)</t>
  </si>
  <si>
    <t>Verdura (IT)</t>
  </si>
  <si>
    <t>Sugo pronto (IT)</t>
  </si>
  <si>
    <t>Italia-2016</t>
  </si>
  <si>
    <t>Italia- 2014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</si>
</sst>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0.00&quot;€&quot;;[Red]\-#,##0.00&quot;€&quot;"/>
    <numFmt numFmtId="165" formatCode="#,##0.0"/>
    <numFmt numFmtId="166" formatCode="0.0000"/>
    <numFmt numFmtId="167" formatCode="0.000"/>
    <numFmt numFmtId="168" formatCode="0.0"/>
    <numFmt numFmtId="169" formatCode="#,##0.000"/>
    <numFmt numFmtId="170" formatCode="0.00000"/>
    <numFmt numFmtId="171" formatCode="#,##0.0000"/>
    <numFmt numFmtId="172" formatCode="#,##0.00000"/>
    <numFmt numFmtId="173" formatCode="0.0%"/>
    <numFmt numFmtId="174" formatCode="0%;\-0%;;"/>
    <numFmt numFmtId="175" formatCode="#,##0.000000"/>
    <numFmt numFmtId="176" formatCode="0.00.E+00"/>
    <numFmt numFmtId="177" formatCode="0.00E+00;\_x0000_"/>
    <numFmt numFmtId="178" formatCode="#,##0;;"/>
    <numFmt numFmtId="179" formatCode="#,##0.000;;"/>
    <numFmt numFmtId="180" formatCode="0.000000"/>
    <numFmt numFmtId="181" formatCode="0.000000000000000000E+00"/>
    <numFmt numFmtId="182" formatCode="0.0000000"/>
    <numFmt numFmtId="183" formatCode="#,##0.000000000000000000000000000000000000000000000"/>
    <numFmt numFmtId="184" formatCode="0.000000000"/>
    <numFmt numFmtId="185" formatCode="0.00000000"/>
    <numFmt numFmtId="186" formatCode="0.0000000000000"/>
  </numFmts>
  <fonts count="86" x14ac:knownFonts="1">
    <font>
      <sz val="9"/>
      <name val="Geneva"/>
    </font>
    <font>
      <sz val="9"/>
      <name val="Geneva"/>
      <family val="2"/>
    </font>
    <font>
      <b/>
      <sz val="9"/>
      <color indexed="81"/>
      <name val="Geneva"/>
      <family val="2"/>
    </font>
    <font>
      <u/>
      <sz val="9"/>
      <color indexed="12"/>
      <name val="Geneva"/>
      <family val="2"/>
    </font>
    <font>
      <sz val="8"/>
      <name val="Verdana"/>
      <family val="2"/>
    </font>
    <font>
      <sz val="10"/>
      <name val="Arial"/>
      <family val="2"/>
    </font>
    <font>
      <b/>
      <sz val="10"/>
      <name val="Arial"/>
      <family val="2"/>
    </font>
    <font>
      <b/>
      <sz val="8"/>
      <color indexed="81"/>
      <name val="Tahoma"/>
      <family val="2"/>
    </font>
    <font>
      <sz val="9"/>
      <name val="Arial"/>
      <family val="2"/>
    </font>
    <font>
      <sz val="8"/>
      <name val="Geneva"/>
      <family val="2"/>
    </font>
    <font>
      <sz val="10"/>
      <color indexed="10"/>
      <name val="Arial"/>
      <family val="2"/>
    </font>
    <font>
      <sz val="12"/>
      <name val="Arial"/>
      <family val="2"/>
    </font>
    <font>
      <b/>
      <sz val="9"/>
      <name val="Arial"/>
      <family val="2"/>
    </font>
    <font>
      <b/>
      <sz val="12"/>
      <color indexed="16"/>
      <name val="Arial"/>
      <family val="2"/>
    </font>
    <font>
      <b/>
      <sz val="10"/>
      <color indexed="16"/>
      <name val="Arial"/>
      <family val="2"/>
    </font>
    <font>
      <b/>
      <sz val="10"/>
      <color indexed="12"/>
      <name val="Arial"/>
      <family val="2"/>
    </font>
    <font>
      <sz val="9"/>
      <color indexed="12"/>
      <name val="Arial"/>
      <family val="2"/>
    </font>
    <font>
      <sz val="10"/>
      <color indexed="8"/>
      <name val="Arial"/>
      <family val="2"/>
    </font>
    <font>
      <b/>
      <sz val="10"/>
      <color indexed="10"/>
      <name val="Arial"/>
      <family val="2"/>
    </font>
    <font>
      <i/>
      <sz val="10"/>
      <name val="Arial"/>
      <family val="2"/>
    </font>
    <font>
      <b/>
      <sz val="9"/>
      <color indexed="8"/>
      <name val="Arial"/>
      <family val="2"/>
    </font>
    <font>
      <b/>
      <sz val="10"/>
      <color indexed="8"/>
      <name val="Arial"/>
      <family val="2"/>
    </font>
    <font>
      <sz val="11"/>
      <name val="Arial"/>
      <family val="2"/>
    </font>
    <font>
      <b/>
      <sz val="11"/>
      <name val="Arial"/>
      <family val="2"/>
    </font>
    <font>
      <b/>
      <sz val="11"/>
      <color indexed="8"/>
      <name val="Arial"/>
      <family val="2"/>
    </font>
    <font>
      <u/>
      <sz val="11"/>
      <color indexed="12"/>
      <name val="Arial"/>
      <family val="2"/>
    </font>
    <font>
      <sz val="11"/>
      <color indexed="16"/>
      <name val="Arial"/>
      <family val="2"/>
    </font>
    <font>
      <sz val="10"/>
      <color indexed="19"/>
      <name val="Arial"/>
      <family val="2"/>
    </font>
    <font>
      <b/>
      <sz val="10"/>
      <color indexed="19"/>
      <name val="Arial"/>
      <family val="2"/>
    </font>
    <font>
      <b/>
      <sz val="12"/>
      <color indexed="19"/>
      <name val="Arial"/>
      <family val="2"/>
    </font>
    <font>
      <sz val="8"/>
      <color indexed="81"/>
      <name val="Tahoma"/>
      <family val="2"/>
    </font>
    <font>
      <b/>
      <sz val="9"/>
      <color indexed="81"/>
      <name val="Tahoma"/>
      <family val="2"/>
    </font>
    <font>
      <sz val="9"/>
      <color indexed="81"/>
      <name val="Tahoma"/>
      <family val="2"/>
    </font>
    <font>
      <sz val="9"/>
      <color indexed="81"/>
      <name val="Geneva"/>
      <family val="2"/>
    </font>
    <font>
      <u/>
      <sz val="10"/>
      <color indexed="12"/>
      <name val="Arial"/>
      <family val="2"/>
    </font>
    <font>
      <b/>
      <i/>
      <sz val="10"/>
      <name val="Arial"/>
      <family val="2"/>
    </font>
    <font>
      <strike/>
      <sz val="10"/>
      <name val="Arial"/>
      <family val="2"/>
    </font>
    <font>
      <sz val="11"/>
      <color theme="1"/>
      <name val="Calibri"/>
      <family val="2"/>
      <scheme val="minor"/>
    </font>
    <font>
      <sz val="11"/>
      <color theme="0"/>
      <name val="Calibri"/>
      <family val="2"/>
      <scheme val="minor"/>
    </font>
    <font>
      <sz val="11"/>
      <color rgb="FFFF0000"/>
      <name val="Calibri"/>
      <family val="2"/>
      <scheme val="minor"/>
    </font>
    <font>
      <b/>
      <sz val="12"/>
      <color theme="0"/>
      <name val="Arial"/>
      <family val="2"/>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0"/>
      <color rgb="FF000000"/>
      <name val="Arial"/>
      <family val="2"/>
    </font>
    <font>
      <b/>
      <sz val="10"/>
      <color theme="1"/>
      <name val="Arial"/>
      <family val="2"/>
    </font>
    <font>
      <sz val="10"/>
      <color theme="1"/>
      <name val="Arial"/>
      <family val="2"/>
    </font>
    <font>
      <sz val="9"/>
      <color theme="1"/>
      <name val="Arial"/>
      <family val="2"/>
    </font>
    <font>
      <b/>
      <sz val="11"/>
      <color theme="0"/>
      <name val="Arial"/>
      <family val="2"/>
    </font>
    <font>
      <b/>
      <sz val="10"/>
      <color theme="3"/>
      <name val="Arial"/>
      <family val="2"/>
    </font>
    <font>
      <sz val="10"/>
      <color theme="3"/>
      <name val="Arial"/>
      <family val="2"/>
    </font>
    <font>
      <b/>
      <sz val="10"/>
      <color rgb="FFC00000"/>
      <name val="Arial"/>
      <family val="2"/>
    </font>
    <font>
      <sz val="10"/>
      <color rgb="FFC00000"/>
      <name val="Arial"/>
      <family val="2"/>
    </font>
    <font>
      <b/>
      <sz val="9"/>
      <color theme="1"/>
      <name val="Arial"/>
      <family val="2"/>
    </font>
    <font>
      <b/>
      <sz val="11"/>
      <color theme="1"/>
      <name val="Arial"/>
      <family val="2"/>
    </font>
    <font>
      <sz val="11"/>
      <color theme="1"/>
      <name val="Arial"/>
      <family val="2"/>
    </font>
    <font>
      <u/>
      <sz val="11"/>
      <color rgb="FF0070C0"/>
      <name val="Arial"/>
      <family val="2"/>
    </font>
    <font>
      <sz val="10"/>
      <color theme="9" tint="-0.499984740745262"/>
      <name val="Arial"/>
      <family val="2"/>
    </font>
    <font>
      <b/>
      <sz val="10"/>
      <color theme="9" tint="-0.499984740745262"/>
      <name val="Arial"/>
      <family val="2"/>
    </font>
    <font>
      <b/>
      <sz val="11"/>
      <color theme="9" tint="-0.499984740745262"/>
      <name val="Arial"/>
      <family val="2"/>
    </font>
    <font>
      <b/>
      <sz val="10"/>
      <color theme="0"/>
      <name val="Arial"/>
      <family val="2"/>
    </font>
    <font>
      <b/>
      <u/>
      <sz val="11"/>
      <color rgb="FF0070C0"/>
      <name val="Arial"/>
      <family val="2"/>
    </font>
    <font>
      <b/>
      <sz val="10"/>
      <color rgb="FFFF0000"/>
      <name val="Arial"/>
      <family val="2"/>
    </font>
    <font>
      <sz val="10"/>
      <color theme="0"/>
      <name val="Arial"/>
      <family val="2"/>
    </font>
    <font>
      <sz val="10"/>
      <color rgb="FFFF0000"/>
      <name val="Arial"/>
      <family val="2"/>
    </font>
    <font>
      <u/>
      <sz val="11"/>
      <color rgb="FF0070C0"/>
      <name val="Geneva"/>
      <family val="2"/>
    </font>
    <font>
      <u/>
      <sz val="12"/>
      <color rgb="FF0070C0"/>
      <name val="Arial"/>
      <family val="2"/>
    </font>
    <font>
      <b/>
      <u/>
      <sz val="11"/>
      <color indexed="9"/>
      <name val="Arial"/>
      <family val="2"/>
    </font>
    <font>
      <b/>
      <sz val="11"/>
      <color indexed="9"/>
      <name val="Arial"/>
      <family val="2"/>
    </font>
    <font>
      <b/>
      <sz val="12"/>
      <color theme="4"/>
      <name val="Arial"/>
      <family val="2"/>
    </font>
    <font>
      <u/>
      <sz val="12"/>
      <color indexed="12"/>
      <name val="Geneva"/>
      <family val="2"/>
    </font>
    <font>
      <b/>
      <sz val="12"/>
      <color theme="4"/>
      <name val="Calibri"/>
      <family val="2"/>
    </font>
    <font>
      <b/>
      <sz val="9"/>
      <color theme="0"/>
      <name val="Arial"/>
      <family val="2"/>
    </font>
    <font>
      <u/>
      <sz val="9"/>
      <color theme="11"/>
      <name val="Geneva"/>
      <family val="2"/>
    </font>
    <font>
      <sz val="11"/>
      <color theme="1"/>
      <name val="Tahoma"/>
      <family val="2"/>
    </font>
  </fonts>
  <fills count="84">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6" tint="-0.249977111117893"/>
        <bgColor indexed="64"/>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theme="1" tint="0.34998626667073579"/>
        <bgColor indexed="64"/>
      </patternFill>
    </fill>
    <fill>
      <patternFill patternType="solid">
        <fgColor theme="9" tint="-0.249977111117893"/>
        <bgColor indexed="64"/>
      </patternFill>
    </fill>
    <fill>
      <patternFill patternType="solid">
        <fgColor rgb="FFE95042"/>
        <bgColor indexed="64"/>
      </patternFill>
    </fill>
    <fill>
      <patternFill patternType="solid">
        <fgColor theme="4"/>
        <bgColor indexed="64"/>
      </patternFill>
    </fill>
    <fill>
      <patternFill patternType="solid">
        <fgColor rgb="FFC6EFCE"/>
      </patternFill>
    </fill>
    <fill>
      <patternFill patternType="solid">
        <fgColor theme="7"/>
        <bgColor indexed="64"/>
      </patternFill>
    </fill>
    <fill>
      <patternFill patternType="solid">
        <fgColor rgb="FFA5A5A5"/>
      </patternFill>
    </fill>
    <fill>
      <patternFill patternType="solid">
        <fgColor rgb="FF99CCFF"/>
        <bgColor rgb="FF000000"/>
      </patternFill>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6"/>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009999"/>
        <bgColor rgb="FF000000"/>
      </patternFill>
    </fill>
    <fill>
      <patternFill patternType="solid">
        <fgColor theme="7" tint="0.59999389629810485"/>
        <bgColor rgb="FF000000"/>
      </patternFill>
    </fill>
    <fill>
      <patternFill patternType="solid">
        <fgColor theme="8" tint="0.79998168889431442"/>
        <bgColor rgb="FF000000"/>
      </patternFill>
    </fill>
    <fill>
      <patternFill patternType="solid">
        <fgColor theme="4" tint="0.59999389629810485"/>
        <bgColor rgb="FF000000"/>
      </patternFill>
    </fill>
    <fill>
      <patternFill patternType="solid">
        <fgColor theme="0" tint="-0.249977111117893"/>
        <bgColor rgb="FF000000"/>
      </patternFill>
    </fill>
    <fill>
      <patternFill patternType="solid">
        <fgColor theme="0" tint="-0.499984740745262"/>
        <bgColor rgb="FF000000"/>
      </patternFill>
    </fill>
    <fill>
      <patternFill patternType="solid">
        <fgColor theme="4"/>
        <bgColor rgb="FF000000"/>
      </patternFill>
    </fill>
    <fill>
      <patternFill patternType="solid">
        <fgColor theme="7"/>
        <bgColor rgb="FF000000"/>
      </patternFill>
    </fill>
    <fill>
      <patternFill patternType="solid">
        <fgColor theme="8" tint="0.59999389629810485"/>
        <bgColor rgb="FF000000"/>
      </patternFill>
    </fill>
    <fill>
      <patternFill patternType="solid">
        <fgColor rgb="FF009999"/>
        <bgColor indexed="64"/>
      </patternFill>
    </fill>
    <fill>
      <patternFill patternType="solid">
        <fgColor theme="7" tint="0.59999389629810485"/>
        <bgColor indexed="64"/>
      </patternFill>
    </fill>
    <fill>
      <patternFill patternType="solid">
        <fgColor theme="0"/>
        <bgColor rgb="FF000000"/>
      </patternFill>
    </fill>
    <fill>
      <patternFill patternType="lightUp">
        <fgColor theme="1" tint="0.34998626667073579"/>
        <bgColor theme="8" tint="0.79998168889431442"/>
      </patternFill>
    </fill>
    <fill>
      <patternFill patternType="lightUp">
        <fgColor theme="1" tint="0.34998626667073579"/>
        <bgColor rgb="FF009999"/>
      </patternFill>
    </fill>
    <fill>
      <patternFill patternType="lightUp">
        <fgColor theme="1" tint="0.34998626667073579"/>
        <bgColor theme="7" tint="0.59999389629810485"/>
      </patternFill>
    </fill>
    <fill>
      <patternFill patternType="lightUp">
        <fgColor theme="1" tint="0.34998626667073579"/>
        <bgColor theme="7"/>
      </patternFill>
    </fill>
    <fill>
      <patternFill patternType="solid">
        <fgColor theme="8"/>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lightUp">
        <fgColor theme="1" tint="0.34998626667073579"/>
        <bgColor theme="8" tint="0.59999389629810485"/>
      </patternFill>
    </fill>
    <fill>
      <patternFill patternType="lightUp">
        <fgColor theme="1" tint="0.34998626667073579"/>
        <bgColor theme="6" tint="0.39997558519241921"/>
      </patternFill>
    </fill>
    <fill>
      <patternFill patternType="lightUp">
        <fgColor theme="1" tint="0.34998626667073579"/>
        <bgColor theme="8"/>
      </patternFill>
    </fill>
    <fill>
      <patternFill patternType="lightUp">
        <fgColor theme="1" tint="0.34998626667073579"/>
        <bgColor theme="6"/>
      </patternFill>
    </fill>
    <fill>
      <patternFill patternType="solid">
        <fgColor theme="5"/>
        <bgColor indexed="64"/>
      </patternFill>
    </fill>
    <fill>
      <patternFill patternType="solid">
        <fgColor rgb="FFFFD833"/>
        <bgColor indexed="64"/>
      </patternFill>
    </fill>
    <fill>
      <patternFill patternType="solid">
        <fgColor theme="8"/>
        <bgColor rgb="FF000000"/>
      </patternFill>
    </fill>
    <fill>
      <patternFill patternType="solid">
        <fgColor rgb="FFFCD5B4"/>
        <bgColor rgb="FF000000"/>
      </patternFill>
    </fill>
    <fill>
      <patternFill patternType="solid">
        <fgColor rgb="FFD9D9D9"/>
        <bgColor rgb="FF000000"/>
      </patternFill>
    </fill>
    <fill>
      <patternFill patternType="solid">
        <fgColor rgb="FFFFFF00"/>
        <bgColor indexed="64"/>
      </patternFill>
    </fill>
    <fill>
      <patternFill patternType="solid">
        <fgColor rgb="FFFFFF00"/>
        <bgColor rgb="FF000000"/>
      </patternFill>
    </fill>
  </fills>
  <borders count="39">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style="thin">
        <color auto="1"/>
      </top>
      <bottom style="thin">
        <color auto="1"/>
      </bottom>
      <diagonal/>
    </border>
    <border>
      <left style="thin">
        <color indexed="8"/>
      </left>
      <right/>
      <top style="thin">
        <color auto="1"/>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auto="1"/>
      </bottom>
      <diagonal/>
    </border>
    <border>
      <left style="thin">
        <color auto="1"/>
      </left>
      <right style="thin">
        <color auto="1"/>
      </right>
      <top/>
      <bottom style="thin">
        <color theme="0" tint="-0.24994659260841701"/>
      </bottom>
      <diagonal/>
    </border>
    <border>
      <left style="thin">
        <color auto="1"/>
      </left>
      <right style="thin">
        <color auto="1"/>
      </right>
      <top style="thin">
        <color theme="0" tint="-0.24994659260841701"/>
      </top>
      <bottom/>
      <diagonal/>
    </border>
    <border>
      <left/>
      <right style="thin">
        <color theme="0" tint="-0.499984740745262"/>
      </right>
      <top/>
      <bottom/>
      <diagonal/>
    </border>
    <border>
      <left/>
      <right style="thin">
        <color theme="0" tint="-0.499984740745262"/>
      </right>
      <top/>
      <bottom style="thin">
        <color auto="1"/>
      </bottom>
      <diagonal/>
    </border>
    <border>
      <left/>
      <right style="thin">
        <color theme="0" tint="-0.499984740745262"/>
      </right>
      <top style="thin">
        <color auto="1"/>
      </top>
      <bottom/>
      <diagonal/>
    </border>
    <border>
      <left style="thin">
        <color theme="0" tint="-0.499984740745262"/>
      </left>
      <right/>
      <top style="thin">
        <color auto="1"/>
      </top>
      <bottom/>
      <diagonal/>
    </border>
    <border>
      <left style="thin">
        <color theme="0" tint="-0.499984740745262"/>
      </left>
      <right/>
      <top/>
      <bottom/>
      <diagonal/>
    </border>
    <border>
      <left style="thin">
        <color theme="0" tint="-0.499984740745262"/>
      </left>
      <right/>
      <top/>
      <bottom style="thin">
        <color auto="1"/>
      </bottom>
      <diagonal/>
    </border>
    <border>
      <left/>
      <right style="thin">
        <color rgb="FF000000"/>
      </right>
      <top style="thin">
        <color auto="1"/>
      </top>
      <bottom style="thin">
        <color auto="1"/>
      </bottom>
      <diagonal/>
    </border>
  </borders>
  <cellStyleXfs count="288">
    <xf numFmtId="0" fontId="0" fillId="0" borderId="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8"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9" fillId="0" borderId="0" applyNumberFormat="0" applyFill="0" applyBorder="0" applyAlignment="0" applyProtection="0"/>
    <xf numFmtId="0" fontId="40" fillId="27" borderId="1">
      <alignment horizontal="center" vertical="center"/>
    </xf>
    <xf numFmtId="0" fontId="40" fillId="27" borderId="1">
      <alignment horizontal="center" vertical="center"/>
    </xf>
    <xf numFmtId="0" fontId="40" fillId="27" borderId="1">
      <alignment horizontal="center" vertical="center"/>
    </xf>
    <xf numFmtId="0" fontId="41" fillId="28" borderId="18" applyNumberFormat="0" applyAlignment="0" applyProtection="0"/>
    <xf numFmtId="0" fontId="42" fillId="0" borderId="19" applyNumberFormat="0" applyFill="0" applyAlignment="0" applyProtection="0"/>
    <xf numFmtId="0" fontId="37" fillId="29" borderId="20" applyNumberFormat="0" applyFont="0" applyAlignment="0" applyProtection="0"/>
    <xf numFmtId="0" fontId="43" fillId="30" borderId="18" applyNumberFormat="0" applyAlignment="0" applyProtection="0"/>
    <xf numFmtId="0" fontId="44" fillId="31" borderId="0" applyNumberFormat="0" applyBorder="0" applyAlignment="0" applyProtection="0"/>
    <xf numFmtId="0" fontId="3" fillId="0" borderId="0" applyNumberFormat="0" applyFill="0" applyBorder="0" applyAlignment="0" applyProtection="0">
      <alignment vertical="top"/>
      <protection locked="0"/>
    </xf>
    <xf numFmtId="3" fontId="1" fillId="0" borderId="0" applyFont="0" applyFill="0" applyBorder="0" applyAlignment="0" applyProtection="0"/>
    <xf numFmtId="3" fontId="1" fillId="0" borderId="0" applyFont="0" applyFill="0" applyBorder="0" applyAlignment="0" applyProtection="0"/>
    <xf numFmtId="3" fontId="1" fillId="0" borderId="0" applyFont="0" applyFill="0" applyBorder="0" applyAlignment="0" applyProtection="0"/>
    <xf numFmtId="3" fontId="1" fillId="0" borderId="0" applyFont="0" applyFill="0" applyBorder="0" applyAlignment="0" applyProtection="0"/>
    <xf numFmtId="0" fontId="45" fillId="32" borderId="0" applyNumberFormat="0" applyBorder="0" applyAlignment="0" applyProtection="0"/>
    <xf numFmtId="0" fontId="1" fillId="0" borderId="0"/>
    <xf numFmtId="0" fontId="1" fillId="0" borderId="0"/>
    <xf numFmtId="0" fontId="37" fillId="0" borderId="0"/>
    <xf numFmtId="0" fontId="37" fillId="0" borderId="0"/>
    <xf numFmtId="0" fontId="37" fillId="0" borderId="0"/>
    <xf numFmtId="0" fontId="37" fillId="0" borderId="0"/>
    <xf numFmtId="0" fontId="1" fillId="0" borderId="0"/>
    <xf numFmtId="0" fontId="37" fillId="0" borderId="0"/>
    <xf numFmtId="0" fontId="37" fillId="0" borderId="0"/>
    <xf numFmtId="0" fontId="1" fillId="0" borderId="0"/>
    <xf numFmtId="0" fontId="37" fillId="0" borderId="0"/>
    <xf numFmtId="0" fontId="40" fillId="33" borderId="1">
      <alignment horizontal="center" vertical="center"/>
    </xf>
    <xf numFmtId="0" fontId="40" fillId="33" borderId="1">
      <alignment horizontal="center" vertical="center"/>
    </xf>
    <xf numFmtId="0" fontId="40" fillId="33" borderId="1">
      <alignment horizontal="center" vertical="center"/>
    </xf>
    <xf numFmtId="0" fontId="40" fillId="34" borderId="1">
      <alignment horizontal="center" vertical="center"/>
    </xf>
    <xf numFmtId="0" fontId="40" fillId="34" borderId="1">
      <alignment horizontal="center" vertical="center"/>
    </xf>
    <xf numFmtId="0" fontId="40" fillId="34" borderId="1">
      <alignment horizontal="center" vertical="center"/>
    </xf>
    <xf numFmtId="0" fontId="40" fillId="35" borderId="1">
      <alignment horizontal="center" vertical="center"/>
    </xf>
    <xf numFmtId="0" fontId="40" fillId="35" borderId="1">
      <alignment horizontal="center" vertical="center"/>
    </xf>
    <xf numFmtId="0" fontId="40" fillId="35" borderId="1">
      <alignment horizontal="center" vertical="center"/>
    </xf>
    <xf numFmtId="0" fontId="40" fillId="36" borderId="1">
      <alignment horizontal="center" vertical="center"/>
    </xf>
    <xf numFmtId="0" fontId="40" fillId="36" borderId="1">
      <alignment horizontal="center" vertical="center"/>
    </xf>
    <xf numFmtId="0" fontId="40" fillId="36" borderId="1">
      <alignment horizontal="center"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0" fontId="46" fillId="37" borderId="0" applyNumberFormat="0" applyBorder="0" applyAlignment="0" applyProtection="0"/>
    <xf numFmtId="0" fontId="47" fillId="28" borderId="21" applyNumberFormat="0" applyAlignment="0" applyProtection="0"/>
    <xf numFmtId="0" fontId="40" fillId="38" borderId="1">
      <alignment horizontal="center" vertical="center"/>
    </xf>
    <xf numFmtId="0" fontId="40" fillId="38" borderId="1">
      <alignment horizontal="center" vertical="center"/>
    </xf>
    <xf numFmtId="0" fontId="40" fillId="38" borderId="1">
      <alignment horizontal="center" vertical="center"/>
    </xf>
    <xf numFmtId="0" fontId="48" fillId="0" borderId="0" applyNumberFormat="0" applyFill="0" applyBorder="0" applyAlignment="0" applyProtection="0"/>
    <xf numFmtId="0" fontId="49" fillId="0" borderId="0" applyNumberFormat="0" applyFill="0" applyBorder="0" applyAlignment="0" applyProtection="0"/>
    <xf numFmtId="0" fontId="50" fillId="0" borderId="22" applyNumberFormat="0" applyFill="0" applyAlignment="0" applyProtection="0"/>
    <xf numFmtId="0" fontId="51" fillId="0" borderId="23" applyNumberFormat="0" applyFill="0" applyAlignment="0" applyProtection="0"/>
    <xf numFmtId="0" fontId="52" fillId="0" borderId="24" applyNumberFormat="0" applyFill="0" applyAlignment="0" applyProtection="0"/>
    <xf numFmtId="0" fontId="52" fillId="0" borderId="0" applyNumberFormat="0" applyFill="0" applyBorder="0" applyAlignment="0" applyProtection="0"/>
    <xf numFmtId="0" fontId="53" fillId="0" borderId="25" applyNumberFormat="0" applyFill="0" applyAlignment="0" applyProtection="0"/>
    <xf numFmtId="0" fontId="54" fillId="39" borderId="26" applyNumberFormat="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cellStyleXfs>
  <cellXfs count="2004">
    <xf numFmtId="0" fontId="0" fillId="0" borderId="0" xfId="0"/>
    <xf numFmtId="0" fontId="6" fillId="0" borderId="0" xfId="0" applyFont="1"/>
    <xf numFmtId="0" fontId="8" fillId="0" borderId="0" xfId="0" applyFont="1"/>
    <xf numFmtId="0" fontId="8" fillId="0" borderId="0" xfId="0" applyFont="1" applyAlignment="1">
      <alignment horizontal="center"/>
    </xf>
    <xf numFmtId="0" fontId="5" fillId="0" borderId="0" xfId="0" applyFont="1"/>
    <xf numFmtId="3" fontId="5" fillId="0" borderId="0" xfId="0" applyNumberFormat="1" applyFont="1"/>
    <xf numFmtId="0" fontId="5" fillId="0" borderId="0" xfId="0" applyFont="1" applyFill="1"/>
    <xf numFmtId="0" fontId="5" fillId="0" borderId="0" xfId="0" applyFont="1" applyFill="1" applyAlignment="1">
      <alignment horizontal="center"/>
    </xf>
    <xf numFmtId="0" fontId="5" fillId="0" borderId="0" xfId="0" applyFont="1" applyAlignment="1">
      <alignment horizontal="center"/>
    </xf>
    <xf numFmtId="9" fontId="5" fillId="0" borderId="0" xfId="0" applyNumberFormat="1" applyFont="1"/>
    <xf numFmtId="3" fontId="5" fillId="0" borderId="0" xfId="0" applyNumberFormat="1" applyFont="1" applyFill="1"/>
    <xf numFmtId="9" fontId="5" fillId="0" borderId="0" xfId="63" applyFont="1"/>
    <xf numFmtId="0" fontId="5" fillId="0" borderId="0" xfId="0" applyFont="1" applyBorder="1"/>
    <xf numFmtId="0" fontId="5" fillId="0" borderId="0" xfId="0" applyFont="1" applyFill="1" applyBorder="1"/>
    <xf numFmtId="0" fontId="11" fillId="0" borderId="0" xfId="0" applyFont="1"/>
    <xf numFmtId="0" fontId="5" fillId="0" borderId="0" xfId="0" applyFont="1" applyFill="1" applyBorder="1" applyAlignment="1">
      <alignment horizontal="center"/>
    </xf>
    <xf numFmtId="0" fontId="6" fillId="0" borderId="0" xfId="0" applyFont="1" applyAlignment="1">
      <alignment horizontal="center"/>
    </xf>
    <xf numFmtId="0" fontId="5" fillId="0" borderId="0" xfId="0" applyFont="1" applyAlignment="1">
      <alignment wrapText="1"/>
    </xf>
    <xf numFmtId="3" fontId="10" fillId="0" borderId="0" xfId="0" applyNumberFormat="1" applyFont="1" applyFill="1" applyBorder="1"/>
    <xf numFmtId="3" fontId="5" fillId="0" borderId="0" xfId="0" applyNumberFormat="1" applyFont="1" applyFill="1" applyBorder="1"/>
    <xf numFmtId="1" fontId="5" fillId="0" borderId="0" xfId="0" applyNumberFormat="1" applyFont="1" applyFill="1"/>
    <xf numFmtId="0" fontId="5" fillId="0" borderId="0" xfId="0" applyFont="1" applyAlignment="1">
      <alignment horizontal="right"/>
    </xf>
    <xf numFmtId="0" fontId="5" fillId="2" borderId="0" xfId="0" applyFont="1" applyFill="1"/>
    <xf numFmtId="1" fontId="5" fillId="0" borderId="0" xfId="0" applyNumberFormat="1" applyFont="1"/>
    <xf numFmtId="0" fontId="6" fillId="0" borderId="2" xfId="0" applyFont="1" applyBorder="1" applyAlignment="1">
      <alignment horizontal="center"/>
    </xf>
    <xf numFmtId="0" fontId="6" fillId="0" borderId="0" xfId="0" applyFont="1" applyBorder="1" applyAlignment="1">
      <alignment horizontal="center"/>
    </xf>
    <xf numFmtId="0" fontId="5" fillId="2" borderId="0" xfId="0" applyFont="1" applyFill="1" applyBorder="1"/>
    <xf numFmtId="167" fontId="5" fillId="0" borderId="0" xfId="0" applyNumberFormat="1" applyFont="1"/>
    <xf numFmtId="0" fontId="5" fillId="0" borderId="0" xfId="0" applyFont="1" applyBorder="1" applyAlignment="1">
      <alignment horizontal="center" wrapText="1"/>
    </xf>
    <xf numFmtId="0" fontId="5" fillId="0" borderId="0" xfId="0" applyFont="1" applyFill="1" applyBorder="1" applyAlignment="1">
      <alignment horizontal="center" wrapText="1"/>
    </xf>
    <xf numFmtId="3" fontId="5" fillId="0" borderId="0" xfId="0" applyNumberFormat="1" applyFont="1" applyAlignment="1">
      <alignment horizontal="center"/>
    </xf>
    <xf numFmtId="3" fontId="6" fillId="0" borderId="0" xfId="0" applyNumberFormat="1" applyFont="1" applyFill="1" applyBorder="1"/>
    <xf numFmtId="0" fontId="5" fillId="0" borderId="0" xfId="0" applyFont="1" applyAlignment="1">
      <alignment horizontal="center" vertical="center"/>
    </xf>
    <xf numFmtId="10" fontId="5" fillId="0" borderId="0" xfId="63" applyNumberFormat="1" applyFont="1" applyFill="1" applyBorder="1"/>
    <xf numFmtId="0" fontId="5" fillId="0" borderId="0" xfId="0" applyFont="1" applyAlignment="1">
      <alignment horizontal="left"/>
    </xf>
    <xf numFmtId="0" fontId="5" fillId="0" borderId="0" xfId="0" applyFont="1" applyFill="1" applyBorder="1" applyAlignment="1">
      <alignment horizontal="left"/>
    </xf>
    <xf numFmtId="9" fontId="5" fillId="0" borderId="0" xfId="63" applyFont="1" applyAlignment="1">
      <alignment horizontal="right"/>
    </xf>
    <xf numFmtId="0" fontId="5" fillId="0" borderId="0" xfId="0" applyFont="1" applyFill="1" applyBorder="1" applyAlignment="1">
      <alignment horizontal="right"/>
    </xf>
    <xf numFmtId="10" fontId="5" fillId="0" borderId="0" xfId="63" applyNumberFormat="1" applyFont="1" applyFill="1" applyBorder="1" applyAlignment="1">
      <alignment horizontal="right"/>
    </xf>
    <xf numFmtId="0" fontId="8" fillId="0" borderId="0" xfId="0" applyFont="1" applyAlignment="1">
      <alignment vertical="center"/>
    </xf>
    <xf numFmtId="0" fontId="5" fillId="0" borderId="0" xfId="0" applyFont="1" applyAlignment="1">
      <alignment vertical="center"/>
    </xf>
    <xf numFmtId="0" fontId="25" fillId="0" borderId="0" xfId="34" applyFont="1" applyAlignment="1" applyProtection="1">
      <alignment horizontal="center" vertical="center"/>
    </xf>
    <xf numFmtId="0" fontId="5" fillId="0" borderId="0" xfId="0" applyFont="1" applyFill="1" applyAlignment="1">
      <alignment vertical="center"/>
    </xf>
    <xf numFmtId="3" fontId="5" fillId="0" borderId="27" xfId="0" applyNumberFormat="1" applyFont="1" applyFill="1" applyBorder="1" applyAlignment="1">
      <alignment vertical="center"/>
    </xf>
    <xf numFmtId="9" fontId="17" fillId="0" borderId="27" xfId="0" applyNumberFormat="1" applyFont="1" applyFill="1" applyBorder="1" applyAlignment="1">
      <alignment vertical="center"/>
    </xf>
    <xf numFmtId="3" fontId="5" fillId="0" borderId="28" xfId="0" applyNumberFormat="1" applyFont="1" applyFill="1" applyBorder="1" applyAlignment="1">
      <alignment vertical="center"/>
    </xf>
    <xf numFmtId="9" fontId="17" fillId="0" borderId="28" xfId="0" applyNumberFormat="1" applyFont="1" applyFill="1" applyBorder="1" applyAlignment="1">
      <alignment vertical="center"/>
    </xf>
    <xf numFmtId="3" fontId="5" fillId="0" borderId="29" xfId="0" applyNumberFormat="1" applyFont="1" applyFill="1" applyBorder="1" applyAlignment="1">
      <alignment vertical="center"/>
    </xf>
    <xf numFmtId="9" fontId="17" fillId="0" borderId="29" xfId="0" applyNumberFormat="1" applyFont="1" applyFill="1" applyBorder="1" applyAlignment="1">
      <alignment vertical="center"/>
    </xf>
    <xf numFmtId="9" fontId="5" fillId="0" borderId="0" xfId="63" applyFont="1" applyAlignment="1">
      <alignment vertical="center"/>
    </xf>
    <xf numFmtId="0" fontId="5" fillId="0" borderId="0" xfId="0" applyFont="1" applyFill="1" applyAlignment="1">
      <alignment horizontal="center" vertical="center"/>
    </xf>
    <xf numFmtId="0" fontId="17" fillId="0" borderId="0" xfId="0" applyFont="1" applyAlignment="1">
      <alignment vertical="center"/>
    </xf>
    <xf numFmtId="0" fontId="21" fillId="0" borderId="0" xfId="0" applyFont="1" applyAlignment="1">
      <alignment vertical="center"/>
    </xf>
    <xf numFmtId="0" fontId="16" fillId="0" borderId="0" xfId="0" applyFont="1" applyAlignment="1">
      <alignment vertical="center"/>
    </xf>
    <xf numFmtId="0" fontId="56" fillId="42" borderId="1" xfId="0" applyFont="1" applyFill="1" applyBorder="1" applyAlignment="1">
      <alignment horizontal="center" vertical="center"/>
    </xf>
    <xf numFmtId="3" fontId="57" fillId="42" borderId="1" xfId="0" applyNumberFormat="1" applyFont="1" applyFill="1" applyBorder="1" applyAlignment="1">
      <alignment vertical="center"/>
    </xf>
    <xf numFmtId="0" fontId="56" fillId="42" borderId="4" xfId="0" applyFont="1" applyFill="1" applyBorder="1" applyAlignment="1">
      <alignment horizontal="center" vertical="center"/>
    </xf>
    <xf numFmtId="0" fontId="6" fillId="43" borderId="5" xfId="0" applyFont="1" applyFill="1" applyBorder="1" applyAlignment="1">
      <alignment vertical="center"/>
    </xf>
    <xf numFmtId="0" fontId="6" fillId="43" borderId="2" xfId="0" applyFont="1" applyFill="1" applyBorder="1" applyAlignment="1">
      <alignment vertical="center"/>
    </xf>
    <xf numFmtId="0" fontId="6" fillId="43" borderId="2" xfId="0" applyFont="1" applyFill="1" applyBorder="1" applyAlignment="1">
      <alignment horizontal="center" vertical="center"/>
    </xf>
    <xf numFmtId="0" fontId="5" fillId="43" borderId="2" xfId="0" applyFont="1" applyFill="1" applyBorder="1" applyAlignment="1">
      <alignment vertical="center"/>
    </xf>
    <xf numFmtId="0" fontId="5" fillId="43" borderId="6" xfId="0" applyFont="1" applyFill="1" applyBorder="1" applyAlignment="1">
      <alignment vertical="center"/>
    </xf>
    <xf numFmtId="0" fontId="5" fillId="43" borderId="7" xfId="0" applyFont="1" applyFill="1" applyBorder="1" applyAlignment="1">
      <alignment vertical="center"/>
    </xf>
    <xf numFmtId="0" fontId="5" fillId="43" borderId="0" xfId="0" applyFont="1" applyFill="1" applyBorder="1" applyAlignment="1">
      <alignment vertical="center"/>
    </xf>
    <xf numFmtId="0" fontId="5" fillId="43" borderId="0" xfId="0" applyFont="1" applyFill="1" applyBorder="1" applyAlignment="1">
      <alignment horizontal="center" vertical="center"/>
    </xf>
    <xf numFmtId="0" fontId="5" fillId="43" borderId="8" xfId="0" applyFont="1" applyFill="1" applyBorder="1" applyAlignment="1">
      <alignment vertical="center"/>
    </xf>
    <xf numFmtId="0" fontId="5" fillId="43" borderId="7" xfId="0" applyFont="1" applyFill="1" applyBorder="1" applyAlignment="1">
      <alignment horizontal="center" vertical="center"/>
    </xf>
    <xf numFmtId="0" fontId="5" fillId="43" borderId="3" xfId="0" applyFont="1" applyFill="1" applyBorder="1" applyAlignment="1">
      <alignment horizontal="center" vertical="center"/>
    </xf>
    <xf numFmtId="0" fontId="6" fillId="43" borderId="0" xfId="0" applyFont="1" applyFill="1" applyBorder="1" applyAlignment="1">
      <alignment horizontal="center" vertical="center"/>
    </xf>
    <xf numFmtId="0" fontId="6" fillId="43" borderId="8" xfId="0" applyFont="1" applyFill="1" applyBorder="1" applyAlignment="1">
      <alignment horizontal="center" vertical="center"/>
    </xf>
    <xf numFmtId="0" fontId="5" fillId="43" borderId="9" xfId="0" applyFont="1" applyFill="1" applyBorder="1" applyAlignment="1">
      <alignment horizontal="center" vertical="center"/>
    </xf>
    <xf numFmtId="3" fontId="6" fillId="43" borderId="0" xfId="0" applyNumberFormat="1" applyFont="1" applyFill="1" applyBorder="1" applyAlignment="1">
      <alignment vertical="center"/>
    </xf>
    <xf numFmtId="3" fontId="6" fillId="43" borderId="8" xfId="0" applyNumberFormat="1" applyFont="1" applyFill="1" applyBorder="1" applyAlignment="1">
      <alignment vertical="center"/>
    </xf>
    <xf numFmtId="0" fontId="5" fillId="43" borderId="10" xfId="0" applyFont="1" applyFill="1" applyBorder="1" applyAlignment="1">
      <alignment horizontal="center" vertical="center"/>
    </xf>
    <xf numFmtId="0" fontId="5" fillId="43" borderId="11" xfId="0" applyFont="1" applyFill="1" applyBorder="1" applyAlignment="1">
      <alignment vertical="center"/>
    </xf>
    <xf numFmtId="0" fontId="5" fillId="43" borderId="12" xfId="0" applyFont="1" applyFill="1" applyBorder="1" applyAlignment="1">
      <alignment vertical="center"/>
    </xf>
    <xf numFmtId="3" fontId="6" fillId="43" borderId="13" xfId="0" applyNumberFormat="1" applyFont="1" applyFill="1" applyBorder="1" applyAlignment="1">
      <alignment vertical="center"/>
    </xf>
    <xf numFmtId="0" fontId="18" fillId="43" borderId="2" xfId="0" applyFont="1" applyFill="1" applyBorder="1" applyAlignment="1">
      <alignment horizontal="center" vertical="center"/>
    </xf>
    <xf numFmtId="0" fontId="18" fillId="43" borderId="6" xfId="0" applyFont="1" applyFill="1" applyBorder="1" applyAlignment="1">
      <alignment horizontal="center" vertical="center"/>
    </xf>
    <xf numFmtId="0" fontId="5" fillId="43" borderId="5" xfId="0" applyFont="1" applyFill="1" applyBorder="1" applyAlignment="1">
      <alignment horizontal="center" vertical="center"/>
    </xf>
    <xf numFmtId="0" fontId="5" fillId="43" borderId="2" xfId="0" applyFont="1" applyFill="1" applyBorder="1" applyAlignment="1">
      <alignment horizontal="center" vertical="center"/>
    </xf>
    <xf numFmtId="0" fontId="5" fillId="43" borderId="6" xfId="0" applyFont="1" applyFill="1" applyBorder="1" applyAlignment="1">
      <alignment horizontal="center" vertical="center"/>
    </xf>
    <xf numFmtId="0" fontId="21" fillId="43" borderId="8" xfId="0" applyFont="1" applyFill="1" applyBorder="1" applyAlignment="1">
      <alignment horizontal="center" vertical="center"/>
    </xf>
    <xf numFmtId="3" fontId="5" fillId="43" borderId="0" xfId="0" applyNumberFormat="1" applyFont="1" applyFill="1" applyBorder="1" applyAlignment="1">
      <alignment vertical="center"/>
    </xf>
    <xf numFmtId="3" fontId="5" fillId="43" borderId="8" xfId="0" applyNumberFormat="1" applyFont="1" applyFill="1" applyBorder="1" applyAlignment="1">
      <alignment vertical="center"/>
    </xf>
    <xf numFmtId="0" fontId="21" fillId="43" borderId="0" xfId="0" applyFont="1" applyFill="1" applyBorder="1" applyAlignment="1">
      <alignment horizontal="center" vertical="center"/>
    </xf>
    <xf numFmtId="38" fontId="5" fillId="43" borderId="0" xfId="0" applyNumberFormat="1" applyFont="1" applyFill="1" applyBorder="1" applyAlignment="1">
      <alignment vertical="center"/>
    </xf>
    <xf numFmtId="0" fontId="6" fillId="43" borderId="8" xfId="0" applyFont="1" applyFill="1" applyBorder="1" applyAlignment="1">
      <alignment vertical="center"/>
    </xf>
    <xf numFmtId="3" fontId="5" fillId="43" borderId="12" xfId="0" applyNumberFormat="1" applyFont="1" applyFill="1" applyBorder="1" applyAlignment="1">
      <alignment vertical="center"/>
    </xf>
    <xf numFmtId="0" fontId="56" fillId="0" borderId="0" xfId="0" applyFont="1" applyAlignment="1">
      <alignment vertical="center"/>
    </xf>
    <xf numFmtId="0" fontId="57" fillId="0" borderId="0" xfId="0" applyFont="1" applyAlignment="1">
      <alignment vertical="center"/>
    </xf>
    <xf numFmtId="3" fontId="57" fillId="42" borderId="1" xfId="63" applyNumberFormat="1" applyFont="1" applyFill="1" applyBorder="1" applyAlignment="1">
      <alignment vertical="center"/>
    </xf>
    <xf numFmtId="0" fontId="6" fillId="43" borderId="6" xfId="0" applyFont="1" applyFill="1" applyBorder="1" applyAlignment="1">
      <alignment vertical="center"/>
    </xf>
    <xf numFmtId="0" fontId="5" fillId="43" borderId="0" xfId="0" applyFont="1" applyFill="1" applyBorder="1" applyAlignment="1">
      <alignment horizontal="left" vertical="center"/>
    </xf>
    <xf numFmtId="3" fontId="5" fillId="43" borderId="1" xfId="0" applyNumberFormat="1" applyFont="1" applyFill="1" applyBorder="1" applyAlignment="1">
      <alignment vertical="center"/>
    </xf>
    <xf numFmtId="174" fontId="17" fillId="43" borderId="1" xfId="0" applyNumberFormat="1" applyFont="1" applyFill="1" applyBorder="1" applyAlignment="1">
      <alignment vertical="center"/>
    </xf>
    <xf numFmtId="1" fontId="5" fillId="0" borderId="27" xfId="0" applyNumberFormat="1" applyFont="1" applyFill="1" applyBorder="1" applyAlignment="1">
      <alignment horizontal="center" vertical="center"/>
    </xf>
    <xf numFmtId="1" fontId="5" fillId="0" borderId="28" xfId="0" applyNumberFormat="1" applyFont="1" applyFill="1" applyBorder="1" applyAlignment="1">
      <alignment horizontal="center" vertical="center"/>
    </xf>
    <xf numFmtId="1" fontId="5" fillId="0" borderId="29" xfId="0" applyNumberFormat="1" applyFont="1" applyFill="1" applyBorder="1" applyAlignment="1">
      <alignment horizontal="center" vertical="center"/>
    </xf>
    <xf numFmtId="3" fontId="57" fillId="42" borderId="9" xfId="0" applyNumberFormat="1" applyFont="1" applyFill="1" applyBorder="1" applyAlignment="1">
      <alignment vertical="center"/>
    </xf>
    <xf numFmtId="3" fontId="57" fillId="42" borderId="11" xfId="0" applyNumberFormat="1" applyFont="1" applyFill="1" applyBorder="1" applyAlignment="1">
      <alignment vertical="center"/>
    </xf>
    <xf numFmtId="9" fontId="57" fillId="42" borderId="1" xfId="63" applyFont="1" applyFill="1" applyBorder="1" applyAlignment="1">
      <alignment vertical="center"/>
    </xf>
    <xf numFmtId="3" fontId="57" fillId="42" borderId="4" xfId="0" applyNumberFormat="1" applyFont="1" applyFill="1" applyBorder="1" applyAlignment="1">
      <alignment vertical="center"/>
    </xf>
    <xf numFmtId="165" fontId="57" fillId="44" borderId="1" xfId="0" applyNumberFormat="1" applyFont="1" applyFill="1" applyBorder="1" applyAlignment="1">
      <alignment vertical="center"/>
    </xf>
    <xf numFmtId="0" fontId="5" fillId="0" borderId="2" xfId="0" applyFont="1" applyBorder="1" applyAlignment="1">
      <alignment vertical="center"/>
    </xf>
    <xf numFmtId="0" fontId="5" fillId="0" borderId="6" xfId="0" applyFont="1" applyBorder="1" applyAlignment="1">
      <alignment vertical="center"/>
    </xf>
    <xf numFmtId="0" fontId="23" fillId="0" borderId="11" xfId="34" applyFont="1" applyBorder="1" applyAlignment="1" applyProtection="1">
      <alignment horizontal="right" vertical="center"/>
    </xf>
    <xf numFmtId="0" fontId="25" fillId="0" borderId="12" xfId="34" applyFont="1" applyBorder="1" applyAlignment="1" applyProtection="1">
      <alignment horizontal="center" vertical="center"/>
    </xf>
    <xf numFmtId="0" fontId="5" fillId="0" borderId="12" xfId="0" applyFont="1" applyBorder="1" applyAlignment="1">
      <alignment vertical="center"/>
    </xf>
    <xf numFmtId="0" fontId="5" fillId="0" borderId="13" xfId="0" applyFont="1" applyBorder="1" applyAlignment="1">
      <alignment vertical="center"/>
    </xf>
    <xf numFmtId="0" fontId="6" fillId="45" borderId="4" xfId="0" applyFont="1" applyFill="1" applyBorder="1" applyAlignment="1">
      <alignment vertical="center"/>
    </xf>
    <xf numFmtId="0" fontId="6" fillId="45" borderId="14" xfId="0" applyFont="1" applyFill="1" applyBorder="1" applyAlignment="1">
      <alignment vertical="center"/>
    </xf>
    <xf numFmtId="3" fontId="15" fillId="45" borderId="14" xfId="0" applyNumberFormat="1" applyFont="1" applyFill="1" applyBorder="1" applyAlignment="1">
      <alignment vertical="center"/>
    </xf>
    <xf numFmtId="0" fontId="5" fillId="45" borderId="14" xfId="0" applyFont="1" applyFill="1" applyBorder="1" applyAlignment="1">
      <alignment vertical="center"/>
    </xf>
    <xf numFmtId="3" fontId="6" fillId="45" borderId="15" xfId="0" applyNumberFormat="1" applyFont="1" applyFill="1" applyBorder="1" applyAlignment="1">
      <alignment vertical="center"/>
    </xf>
    <xf numFmtId="0" fontId="5" fillId="45" borderId="4" xfId="0" applyFont="1" applyFill="1" applyBorder="1" applyAlignment="1">
      <alignment vertical="center"/>
    </xf>
    <xf numFmtId="3" fontId="6" fillId="45" borderId="14" xfId="0" applyNumberFormat="1" applyFont="1" applyFill="1" applyBorder="1" applyAlignment="1">
      <alignment vertical="center"/>
    </xf>
    <xf numFmtId="3" fontId="5" fillId="45" borderId="14" xfId="0" applyNumberFormat="1" applyFont="1" applyFill="1" applyBorder="1" applyAlignment="1">
      <alignment vertical="center"/>
    </xf>
    <xf numFmtId="0" fontId="5" fillId="0" borderId="0" xfId="0" applyFont="1" applyFill="1" applyBorder="1" applyAlignment="1">
      <alignment vertical="center" wrapText="1"/>
    </xf>
    <xf numFmtId="0" fontId="23" fillId="0" borderId="5" xfId="34" applyFont="1" applyBorder="1" applyAlignment="1" applyProtection="1">
      <alignment horizontal="right" vertical="center"/>
    </xf>
    <xf numFmtId="0" fontId="25" fillId="0" borderId="2" xfId="34" applyFont="1" applyBorder="1" applyAlignment="1" applyProtection="1">
      <alignment horizontal="center" vertical="center"/>
    </xf>
    <xf numFmtId="0" fontId="22" fillId="0" borderId="0" xfId="0" applyFont="1" applyAlignment="1">
      <alignment vertical="center"/>
    </xf>
    <xf numFmtId="0" fontId="22" fillId="0" borderId="15" xfId="0" applyFont="1" applyBorder="1" applyAlignment="1">
      <alignment horizontal="center" vertical="center"/>
    </xf>
    <xf numFmtId="3" fontId="22" fillId="0" borderId="15" xfId="0" applyNumberFormat="1" applyFont="1" applyBorder="1" applyAlignment="1">
      <alignment horizontal="right" vertical="center"/>
    </xf>
    <xf numFmtId="0" fontId="22" fillId="0" borderId="0" xfId="0" applyFont="1" applyAlignment="1">
      <alignment horizontal="right" vertical="center"/>
    </xf>
    <xf numFmtId="3" fontId="22" fillId="0" borderId="0" xfId="0" applyNumberFormat="1" applyFont="1" applyAlignment="1">
      <alignment horizontal="right" vertical="center"/>
    </xf>
    <xf numFmtId="164" fontId="22" fillId="0" borderId="0" xfId="0" applyNumberFormat="1" applyFont="1" applyAlignment="1">
      <alignment vertical="center"/>
    </xf>
    <xf numFmtId="0" fontId="22" fillId="0" borderId="0" xfId="0" applyFont="1" applyAlignment="1">
      <alignment vertical="center" wrapText="1"/>
    </xf>
    <xf numFmtId="0" fontId="59" fillId="36" borderId="1" xfId="0" applyFont="1" applyFill="1" applyBorder="1" applyAlignment="1">
      <alignment horizontal="center" vertical="center" wrapText="1"/>
    </xf>
    <xf numFmtId="0" fontId="59" fillId="36" borderId="15" xfId="0" applyFont="1" applyFill="1" applyBorder="1" applyAlignment="1">
      <alignment horizontal="center" vertical="center" wrapText="1"/>
    </xf>
    <xf numFmtId="0" fontId="22" fillId="0" borderId="3" xfId="0" applyFont="1" applyFill="1" applyBorder="1" applyAlignment="1">
      <alignment vertical="center"/>
    </xf>
    <xf numFmtId="0" fontId="22" fillId="0" borderId="10" xfId="0" applyFont="1" applyFill="1" applyBorder="1" applyAlignment="1">
      <alignment vertical="center"/>
    </xf>
    <xf numFmtId="0" fontId="5" fillId="46" borderId="1" xfId="0" applyFont="1" applyFill="1" applyBorder="1" applyAlignment="1">
      <alignment vertical="center"/>
    </xf>
    <xf numFmtId="0" fontId="5" fillId="46" borderId="1" xfId="0" applyFont="1" applyFill="1" applyBorder="1" applyAlignment="1">
      <alignment horizontal="center" vertical="center"/>
    </xf>
    <xf numFmtId="0" fontId="22" fillId="45" borderId="3" xfId="0" applyFont="1" applyFill="1" applyBorder="1" applyAlignment="1">
      <alignment horizontal="center" vertical="center"/>
    </xf>
    <xf numFmtId="3" fontId="22" fillId="45" borderId="10" xfId="0" applyNumberFormat="1" applyFont="1" applyFill="1" applyBorder="1" applyAlignment="1">
      <alignment vertical="center"/>
    </xf>
    <xf numFmtId="165" fontId="22" fillId="45" borderId="9" xfId="0" applyNumberFormat="1" applyFont="1" applyFill="1" applyBorder="1" applyAlignment="1">
      <alignment vertical="center"/>
    </xf>
    <xf numFmtId="0" fontId="22" fillId="45" borderId="1" xfId="0" applyFont="1" applyFill="1" applyBorder="1" applyAlignment="1">
      <alignment horizontal="right" vertical="center"/>
    </xf>
    <xf numFmtId="0" fontId="6" fillId="43" borderId="0" xfId="0" applyFont="1" applyFill="1" applyBorder="1" applyAlignment="1">
      <alignment horizontal="center" vertical="center"/>
    </xf>
    <xf numFmtId="0" fontId="5" fillId="43" borderId="0" xfId="0" applyFont="1" applyFill="1" applyBorder="1" applyAlignment="1">
      <alignment horizontal="center" vertical="center"/>
    </xf>
    <xf numFmtId="3" fontId="60" fillId="43" borderId="0" xfId="0" applyNumberFormat="1" applyFont="1" applyFill="1" applyBorder="1" applyAlignment="1">
      <alignment vertical="center"/>
    </xf>
    <xf numFmtId="0" fontId="61" fillId="43" borderId="0" xfId="0" applyFont="1" applyFill="1" applyBorder="1" applyAlignment="1">
      <alignment vertical="center"/>
    </xf>
    <xf numFmtId="3" fontId="60" fillId="45" borderId="14" xfId="0" applyNumberFormat="1" applyFont="1" applyFill="1" applyBorder="1" applyAlignment="1">
      <alignment vertical="center"/>
    </xf>
    <xf numFmtId="3" fontId="62" fillId="43" borderId="0" xfId="0" applyNumberFormat="1" applyFont="1" applyFill="1" applyBorder="1" applyAlignment="1">
      <alignment vertical="center"/>
    </xf>
    <xf numFmtId="0" fontId="63" fillId="43" borderId="0" xfId="0" applyFont="1" applyFill="1" applyBorder="1" applyAlignment="1">
      <alignment vertical="center"/>
    </xf>
    <xf numFmtId="3" fontId="62" fillId="45" borderId="14" xfId="0" applyNumberFormat="1" applyFont="1" applyFill="1" applyBorder="1" applyAlignment="1">
      <alignment vertical="center"/>
    </xf>
    <xf numFmtId="0" fontId="63" fillId="43" borderId="12" xfId="0" applyFont="1" applyFill="1" applyBorder="1" applyAlignment="1">
      <alignment vertical="center"/>
    </xf>
    <xf numFmtId="0" fontId="6" fillId="43" borderId="12" xfId="0" applyFont="1" applyFill="1" applyBorder="1" applyAlignment="1">
      <alignment vertical="center"/>
    </xf>
    <xf numFmtId="0" fontId="61" fillId="43" borderId="0" xfId="0" applyFont="1" applyFill="1" applyBorder="1" applyAlignment="1">
      <alignment horizontal="center" vertical="center"/>
    </xf>
    <xf numFmtId="178" fontId="61" fillId="43" borderId="0" xfId="0" applyNumberFormat="1" applyFont="1" applyFill="1" applyBorder="1" applyAlignment="1">
      <alignment vertical="center"/>
    </xf>
    <xf numFmtId="167" fontId="61" fillId="43" borderId="0" xfId="0" applyNumberFormat="1" applyFont="1" applyFill="1" applyBorder="1" applyAlignment="1">
      <alignment vertical="center"/>
    </xf>
    <xf numFmtId="0" fontId="60" fillId="43" borderId="0" xfId="0" applyFont="1" applyFill="1" applyBorder="1" applyAlignment="1">
      <alignment horizontal="center" vertical="center"/>
    </xf>
    <xf numFmtId="0" fontId="60" fillId="43" borderId="8" xfId="0" applyFont="1" applyFill="1" applyBorder="1" applyAlignment="1">
      <alignment horizontal="center" vertical="center"/>
    </xf>
    <xf numFmtId="0" fontId="61" fillId="43" borderId="12" xfId="0" applyFont="1" applyFill="1" applyBorder="1" applyAlignment="1">
      <alignment vertical="center"/>
    </xf>
    <xf numFmtId="1" fontId="61" fillId="43" borderId="0" xfId="0" applyNumberFormat="1" applyFont="1" applyFill="1" applyBorder="1" applyAlignment="1">
      <alignment vertical="center"/>
    </xf>
    <xf numFmtId="179" fontId="61" fillId="43" borderId="0" xfId="0" applyNumberFormat="1" applyFont="1" applyFill="1" applyBorder="1" applyAlignment="1">
      <alignment vertical="center"/>
    </xf>
    <xf numFmtId="168" fontId="61" fillId="43" borderId="0" xfId="0" applyNumberFormat="1" applyFont="1" applyFill="1" applyBorder="1" applyAlignment="1">
      <alignment vertical="center"/>
    </xf>
    <xf numFmtId="9" fontId="61" fillId="0" borderId="27" xfId="63" applyFont="1" applyFill="1" applyBorder="1" applyAlignment="1">
      <alignment vertical="center"/>
    </xf>
    <xf numFmtId="9" fontId="61" fillId="0" borderId="28" xfId="63" applyFont="1" applyFill="1" applyBorder="1" applyAlignment="1">
      <alignment vertical="center"/>
    </xf>
    <xf numFmtId="9" fontId="61" fillId="0" borderId="29" xfId="63" applyFont="1" applyFill="1" applyBorder="1" applyAlignment="1">
      <alignment vertical="center"/>
    </xf>
    <xf numFmtId="9" fontId="61" fillId="43" borderId="7" xfId="0" applyNumberFormat="1" applyFont="1" applyFill="1" applyBorder="1" applyAlignment="1">
      <alignment vertical="center"/>
    </xf>
    <xf numFmtId="9" fontId="61" fillId="43" borderId="10" xfId="63" applyFont="1" applyFill="1" applyBorder="1" applyAlignment="1">
      <alignment vertical="center"/>
    </xf>
    <xf numFmtId="38" fontId="6" fillId="43" borderId="0" xfId="0" applyNumberFormat="1" applyFont="1" applyFill="1" applyBorder="1" applyAlignment="1">
      <alignment vertical="center"/>
    </xf>
    <xf numFmtId="38" fontId="6" fillId="43" borderId="8" xfId="0" applyNumberFormat="1" applyFont="1" applyFill="1" applyBorder="1" applyAlignment="1">
      <alignment vertical="center"/>
    </xf>
    <xf numFmtId="0" fontId="8" fillId="0" borderId="0" xfId="0" applyFont="1" applyAlignment="1">
      <alignment horizontal="center" vertical="center"/>
    </xf>
    <xf numFmtId="0" fontId="12" fillId="0" borderId="0" xfId="0" applyFont="1" applyAlignment="1">
      <alignment vertical="center"/>
    </xf>
    <xf numFmtId="0" fontId="22" fillId="0" borderId="0" xfId="0" applyFont="1" applyBorder="1" applyAlignment="1">
      <alignment vertical="center"/>
    </xf>
    <xf numFmtId="0" fontId="8" fillId="0" borderId="5" xfId="0" applyFont="1" applyBorder="1" applyAlignment="1">
      <alignment horizontal="center" vertical="center"/>
    </xf>
    <xf numFmtId="0" fontId="8" fillId="0" borderId="2" xfId="0" applyFont="1" applyBorder="1" applyAlignment="1">
      <alignment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22" fillId="0" borderId="12" xfId="0" applyFont="1" applyBorder="1" applyAlignment="1">
      <alignment vertical="center"/>
    </xf>
    <xf numFmtId="0" fontId="23" fillId="0" borderId="2" xfId="0" applyFont="1" applyBorder="1" applyAlignment="1">
      <alignment horizontal="right" vertical="center"/>
    </xf>
    <xf numFmtId="0" fontId="23" fillId="0" borderId="0" xfId="0" applyFont="1" applyBorder="1" applyAlignment="1">
      <alignment vertical="center"/>
    </xf>
    <xf numFmtId="0" fontId="23" fillId="0" borderId="12" xfId="0" applyFont="1" applyBorder="1" applyAlignment="1">
      <alignment horizontal="right" vertical="center"/>
    </xf>
    <xf numFmtId="0" fontId="5" fillId="44" borderId="1" xfId="0" applyFont="1" applyFill="1" applyBorder="1" applyAlignment="1">
      <alignment vertical="center"/>
    </xf>
    <xf numFmtId="9" fontId="5" fillId="0" borderId="28" xfId="0" applyNumberFormat="1" applyFont="1" applyBorder="1" applyAlignment="1">
      <alignment horizontal="center" vertical="center"/>
    </xf>
    <xf numFmtId="0" fontId="5" fillId="0" borderId="28" xfId="0" applyFont="1" applyBorder="1" applyAlignment="1">
      <alignment horizontal="center" vertical="center"/>
    </xf>
    <xf numFmtId="0" fontId="5" fillId="43" borderId="0" xfId="0" applyFont="1" applyFill="1" applyBorder="1" applyAlignment="1">
      <alignment horizontal="center" vertical="center"/>
    </xf>
    <xf numFmtId="9" fontId="17" fillId="0" borderId="1" xfId="0" applyNumberFormat="1" applyFont="1" applyFill="1" applyBorder="1"/>
    <xf numFmtId="3" fontId="5" fillId="0" borderId="1" xfId="0" applyNumberFormat="1" applyFont="1" applyFill="1" applyBorder="1"/>
    <xf numFmtId="3" fontId="5" fillId="0" borderId="27" xfId="0" applyNumberFormat="1" applyFont="1" applyFill="1" applyBorder="1" applyAlignment="1">
      <alignment vertical="center"/>
    </xf>
    <xf numFmtId="9" fontId="5" fillId="0" borderId="27" xfId="0" applyNumberFormat="1" applyFont="1" applyFill="1" applyBorder="1" applyAlignment="1">
      <alignment vertical="center"/>
    </xf>
    <xf numFmtId="9" fontId="17" fillId="0" borderId="27" xfId="0" applyNumberFormat="1" applyFont="1" applyFill="1" applyBorder="1" applyAlignment="1">
      <alignment vertical="center"/>
    </xf>
    <xf numFmtId="3" fontId="5" fillId="0" borderId="28" xfId="0" applyNumberFormat="1" applyFont="1" applyFill="1" applyBorder="1" applyAlignment="1">
      <alignment vertical="center"/>
    </xf>
    <xf numFmtId="9" fontId="5" fillId="0" borderId="28" xfId="0" applyNumberFormat="1" applyFont="1" applyFill="1" applyBorder="1" applyAlignment="1">
      <alignment vertical="center"/>
    </xf>
    <xf numFmtId="9" fontId="17" fillId="0" borderId="28" xfId="0" applyNumberFormat="1" applyFont="1" applyFill="1" applyBorder="1" applyAlignment="1">
      <alignment vertical="center"/>
    </xf>
    <xf numFmtId="3" fontId="5" fillId="0" borderId="29" xfId="0" applyNumberFormat="1" applyFont="1" applyFill="1" applyBorder="1" applyAlignment="1">
      <alignment vertical="center"/>
    </xf>
    <xf numFmtId="9" fontId="5" fillId="0" borderId="29" xfId="0" applyNumberFormat="1" applyFont="1" applyFill="1" applyBorder="1" applyAlignment="1">
      <alignment vertical="center"/>
    </xf>
    <xf numFmtId="9" fontId="17" fillId="0" borderId="29" xfId="0" applyNumberFormat="1" applyFont="1" applyFill="1" applyBorder="1" applyAlignment="1">
      <alignment vertical="center"/>
    </xf>
    <xf numFmtId="0" fontId="11" fillId="0" borderId="0" xfId="0" applyFont="1" applyAlignment="1">
      <alignment vertical="center"/>
    </xf>
    <xf numFmtId="0" fontId="20" fillId="0" borderId="0" xfId="0" applyFont="1" applyAlignment="1">
      <alignment vertical="center"/>
    </xf>
    <xf numFmtId="3" fontId="57" fillId="42" borderId="1" xfId="0" applyNumberFormat="1" applyFont="1" applyFill="1" applyBorder="1" applyAlignment="1">
      <alignment vertical="center"/>
    </xf>
    <xf numFmtId="0" fontId="56" fillId="42" borderId="3" xfId="0" applyFont="1" applyFill="1" applyBorder="1" applyAlignment="1">
      <alignment horizontal="center" vertical="center"/>
    </xf>
    <xf numFmtId="0" fontId="6" fillId="43" borderId="5" xfId="0" applyFont="1" applyFill="1" applyBorder="1" applyAlignment="1">
      <alignment vertical="center"/>
    </xf>
    <xf numFmtId="0" fontId="6" fillId="43" borderId="2" xfId="0" applyFont="1" applyFill="1" applyBorder="1" applyAlignment="1">
      <alignment vertical="center"/>
    </xf>
    <xf numFmtId="0" fontId="6" fillId="43" borderId="2" xfId="0" applyFont="1" applyFill="1" applyBorder="1" applyAlignment="1">
      <alignment horizontal="center" vertical="center"/>
    </xf>
    <xf numFmtId="0" fontId="5" fillId="43" borderId="2" xfId="0" applyFont="1" applyFill="1" applyBorder="1" applyAlignment="1">
      <alignment vertical="center"/>
    </xf>
    <xf numFmtId="0" fontId="5" fillId="43" borderId="6" xfId="0" applyFont="1" applyFill="1" applyBorder="1" applyAlignment="1">
      <alignment vertical="center"/>
    </xf>
    <xf numFmtId="0" fontId="5" fillId="43" borderId="7" xfId="0" applyFont="1" applyFill="1" applyBorder="1" applyAlignment="1">
      <alignment vertical="center"/>
    </xf>
    <xf numFmtId="0" fontId="5" fillId="43" borderId="0" xfId="0" applyFont="1" applyFill="1" applyBorder="1" applyAlignment="1">
      <alignment vertical="center"/>
    </xf>
    <xf numFmtId="0" fontId="5" fillId="43" borderId="0" xfId="0" applyFont="1" applyFill="1" applyBorder="1" applyAlignment="1">
      <alignment horizontal="center" vertical="center"/>
    </xf>
    <xf numFmtId="0" fontId="5" fillId="43" borderId="8" xfId="0" applyFont="1" applyFill="1" applyBorder="1" applyAlignment="1">
      <alignment vertical="center"/>
    </xf>
    <xf numFmtId="0" fontId="5" fillId="43" borderId="7" xfId="0" applyFont="1" applyFill="1" applyBorder="1" applyAlignment="1">
      <alignment horizontal="center" vertical="center"/>
    </xf>
    <xf numFmtId="0" fontId="5" fillId="43" borderId="3" xfId="0" applyFont="1" applyFill="1" applyBorder="1" applyAlignment="1">
      <alignment horizontal="center" vertical="center"/>
    </xf>
    <xf numFmtId="0" fontId="6" fillId="43" borderId="0" xfId="0" applyFont="1" applyFill="1" applyBorder="1" applyAlignment="1">
      <alignment horizontal="center" vertical="center"/>
    </xf>
    <xf numFmtId="0" fontId="6" fillId="43" borderId="8" xfId="0" applyFont="1" applyFill="1" applyBorder="1" applyAlignment="1">
      <alignment horizontal="center" vertical="center"/>
    </xf>
    <xf numFmtId="0" fontId="5" fillId="43" borderId="9" xfId="0" applyFont="1" applyFill="1" applyBorder="1" applyAlignment="1">
      <alignment horizontal="center" vertical="center"/>
    </xf>
    <xf numFmtId="167" fontId="10" fillId="43" borderId="0" xfId="0" applyNumberFormat="1" applyFont="1" applyFill="1" applyBorder="1" applyAlignment="1">
      <alignment vertical="center"/>
    </xf>
    <xf numFmtId="3" fontId="6" fillId="43" borderId="0" xfId="0" applyNumberFormat="1" applyFont="1" applyFill="1" applyBorder="1" applyAlignment="1">
      <alignment vertical="center"/>
    </xf>
    <xf numFmtId="3" fontId="6" fillId="43" borderId="8" xfId="0" applyNumberFormat="1" applyFont="1" applyFill="1" applyBorder="1" applyAlignment="1">
      <alignment vertical="center"/>
    </xf>
    <xf numFmtId="0" fontId="5" fillId="43" borderId="10" xfId="0" applyFont="1" applyFill="1" applyBorder="1" applyAlignment="1">
      <alignment horizontal="center" vertical="center"/>
    </xf>
    <xf numFmtId="0" fontId="5" fillId="43" borderId="11" xfId="0" applyFont="1" applyFill="1" applyBorder="1" applyAlignment="1">
      <alignment vertical="center"/>
    </xf>
    <xf numFmtId="0" fontId="5" fillId="43" borderId="12" xfId="0" applyFont="1" applyFill="1" applyBorder="1" applyAlignment="1">
      <alignment vertical="center"/>
    </xf>
    <xf numFmtId="3" fontId="6" fillId="43" borderId="13" xfId="0" applyNumberFormat="1" applyFont="1" applyFill="1" applyBorder="1" applyAlignment="1">
      <alignment vertical="center"/>
    </xf>
    <xf numFmtId="0" fontId="5" fillId="43" borderId="5" xfId="0" applyFont="1" applyFill="1" applyBorder="1" applyAlignment="1">
      <alignment horizontal="center" vertical="center"/>
    </xf>
    <xf numFmtId="0" fontId="5" fillId="43" borderId="2" xfId="0" applyFont="1" applyFill="1" applyBorder="1" applyAlignment="1">
      <alignment horizontal="center" vertical="center"/>
    </xf>
    <xf numFmtId="0" fontId="5" fillId="43" borderId="6" xfId="0" applyFont="1" applyFill="1" applyBorder="1" applyAlignment="1">
      <alignment horizontal="center" vertical="center"/>
    </xf>
    <xf numFmtId="0" fontId="21" fillId="43" borderId="8" xfId="0" applyFont="1" applyFill="1" applyBorder="1" applyAlignment="1">
      <alignment horizontal="center" vertical="center"/>
    </xf>
    <xf numFmtId="9" fontId="10" fillId="43" borderId="7" xfId="0" applyNumberFormat="1" applyFont="1" applyFill="1" applyBorder="1" applyAlignment="1">
      <alignment vertical="center"/>
    </xf>
    <xf numFmtId="3" fontId="5" fillId="43" borderId="0" xfId="0" applyNumberFormat="1" applyFont="1" applyFill="1" applyBorder="1" applyAlignment="1">
      <alignment vertical="center"/>
    </xf>
    <xf numFmtId="3" fontId="5" fillId="43" borderId="8" xfId="0" applyNumberFormat="1" applyFont="1" applyFill="1" applyBorder="1" applyAlignment="1">
      <alignment vertical="center"/>
    </xf>
    <xf numFmtId="0" fontId="21" fillId="43" borderId="0" xfId="0" applyFont="1" applyFill="1" applyBorder="1" applyAlignment="1">
      <alignment horizontal="center" vertical="center"/>
    </xf>
    <xf numFmtId="38" fontId="5" fillId="43" borderId="0" xfId="0" applyNumberFormat="1" applyFont="1" applyFill="1" applyBorder="1" applyAlignment="1">
      <alignment vertical="center"/>
    </xf>
    <xf numFmtId="0" fontId="6" fillId="43" borderId="0" xfId="0" applyFont="1" applyFill="1" applyBorder="1" applyAlignment="1">
      <alignment vertical="center"/>
    </xf>
    <xf numFmtId="0" fontId="6" fillId="43" borderId="8" xfId="0" applyFont="1" applyFill="1" applyBorder="1" applyAlignment="1">
      <alignment vertical="center"/>
    </xf>
    <xf numFmtId="3" fontId="5" fillId="43" borderId="12" xfId="0" applyNumberFormat="1" applyFont="1" applyFill="1" applyBorder="1" applyAlignment="1">
      <alignment vertical="center"/>
    </xf>
    <xf numFmtId="0" fontId="56" fillId="0" borderId="0" xfId="0" applyFont="1" applyAlignment="1">
      <alignment vertical="center"/>
    </xf>
    <xf numFmtId="0" fontId="57" fillId="0" borderId="0" xfId="0" applyFont="1" applyAlignment="1">
      <alignment vertical="center"/>
    </xf>
    <xf numFmtId="0" fontId="56" fillId="42" borderId="9" xfId="0" applyFont="1" applyFill="1" applyBorder="1" applyAlignment="1">
      <alignment horizontal="center" vertical="center"/>
    </xf>
    <xf numFmtId="0" fontId="64" fillId="0" borderId="0" xfId="0" applyFont="1" applyAlignment="1">
      <alignment vertical="center"/>
    </xf>
    <xf numFmtId="0" fontId="58" fillId="0" borderId="0" xfId="0" applyFont="1" applyAlignment="1">
      <alignment vertical="center"/>
    </xf>
    <xf numFmtId="3" fontId="57" fillId="42" borderId="1" xfId="63" applyNumberFormat="1" applyFont="1" applyFill="1" applyBorder="1" applyAlignment="1">
      <alignment vertical="center"/>
    </xf>
    <xf numFmtId="0" fontId="5" fillId="43" borderId="0" xfId="0" applyFont="1" applyFill="1" applyAlignment="1">
      <alignment vertical="center"/>
    </xf>
    <xf numFmtId="0" fontId="6" fillId="43" borderId="6" xfId="0" applyFont="1" applyFill="1" applyBorder="1" applyAlignment="1">
      <alignment vertical="center"/>
    </xf>
    <xf numFmtId="0" fontId="5" fillId="43" borderId="7" xfId="0" applyFont="1" applyFill="1" applyBorder="1" applyAlignment="1">
      <alignment horizontal="left" vertical="center"/>
    </xf>
    <xf numFmtId="0" fontId="5" fillId="43" borderId="0" xfId="0" applyFont="1" applyFill="1" applyBorder="1" applyAlignment="1">
      <alignment horizontal="left" vertical="center"/>
    </xf>
    <xf numFmtId="3" fontId="5" fillId="43" borderId="1" xfId="0" applyNumberFormat="1" applyFont="1" applyFill="1" applyBorder="1" applyAlignment="1">
      <alignment vertical="center"/>
    </xf>
    <xf numFmtId="174" fontId="5" fillId="43" borderId="1" xfId="0" applyNumberFormat="1" applyFont="1" applyFill="1" applyBorder="1" applyAlignment="1">
      <alignment vertical="center"/>
    </xf>
    <xf numFmtId="174" fontId="17" fillId="43" borderId="1" xfId="0" applyNumberFormat="1" applyFont="1" applyFill="1" applyBorder="1" applyAlignment="1">
      <alignment vertical="center"/>
    </xf>
    <xf numFmtId="3" fontId="57" fillId="42" borderId="9" xfId="0" applyNumberFormat="1" applyFont="1" applyFill="1" applyBorder="1" applyAlignment="1">
      <alignment vertical="center"/>
    </xf>
    <xf numFmtId="3" fontId="57" fillId="42" borderId="11" xfId="0" applyNumberFormat="1" applyFont="1" applyFill="1" applyBorder="1" applyAlignment="1">
      <alignment vertical="center"/>
    </xf>
    <xf numFmtId="9" fontId="57" fillId="42" borderId="1" xfId="63" applyFont="1" applyFill="1" applyBorder="1" applyAlignment="1">
      <alignment vertical="center"/>
    </xf>
    <xf numFmtId="3" fontId="57" fillId="42" borderId="4" xfId="0" applyNumberFormat="1" applyFont="1" applyFill="1" applyBorder="1" applyAlignment="1">
      <alignment vertical="center"/>
    </xf>
    <xf numFmtId="165" fontId="57" fillId="44" borderId="1" xfId="0" applyNumberFormat="1" applyFont="1" applyFill="1" applyBorder="1" applyAlignment="1">
      <alignment vertical="center"/>
    </xf>
    <xf numFmtId="3" fontId="65" fillId="42" borderId="1" xfId="0" applyNumberFormat="1" applyFont="1" applyFill="1" applyBorder="1" applyAlignment="1">
      <alignment vertical="center"/>
    </xf>
    <xf numFmtId="3" fontId="65" fillId="42" borderId="14" xfId="0" applyNumberFormat="1" applyFont="1" applyFill="1" applyBorder="1" applyAlignment="1">
      <alignment vertical="center"/>
    </xf>
    <xf numFmtId="9" fontId="65" fillId="42" borderId="1" xfId="63" applyFont="1" applyFill="1" applyBorder="1" applyAlignment="1">
      <alignment vertical="center"/>
    </xf>
    <xf numFmtId="0" fontId="24" fillId="0" borderId="0" xfId="0" applyFont="1" applyAlignment="1">
      <alignment vertical="center"/>
    </xf>
    <xf numFmtId="0" fontId="65" fillId="0" borderId="0" xfId="0" applyFont="1" applyAlignment="1">
      <alignment vertical="center"/>
    </xf>
    <xf numFmtId="3" fontId="65" fillId="42" borderId="1" xfId="63" applyNumberFormat="1" applyFont="1" applyFill="1" applyBorder="1" applyAlignment="1">
      <alignment vertical="center"/>
    </xf>
    <xf numFmtId="0" fontId="66" fillId="0" borderId="0" xfId="0" applyFont="1" applyAlignment="1">
      <alignment vertical="center"/>
    </xf>
    <xf numFmtId="0" fontId="6" fillId="45" borderId="4" xfId="0" applyFont="1" applyFill="1" applyBorder="1" applyAlignment="1">
      <alignment vertical="center"/>
    </xf>
    <xf numFmtId="0" fontId="6" fillId="45" borderId="14" xfId="0" applyFont="1" applyFill="1" applyBorder="1" applyAlignment="1">
      <alignment vertical="center"/>
    </xf>
    <xf numFmtId="3" fontId="15" fillId="45" borderId="14" xfId="0" applyNumberFormat="1" applyFont="1" applyFill="1" applyBorder="1" applyAlignment="1">
      <alignment vertical="center"/>
    </xf>
    <xf numFmtId="0" fontId="5" fillId="45" borderId="14" xfId="0" applyFont="1" applyFill="1" applyBorder="1" applyAlignment="1">
      <alignment vertical="center"/>
    </xf>
    <xf numFmtId="3" fontId="6" fillId="45" borderId="15" xfId="0" applyNumberFormat="1" applyFont="1" applyFill="1" applyBorder="1" applyAlignment="1">
      <alignment vertical="center"/>
    </xf>
    <xf numFmtId="0" fontId="5" fillId="45" borderId="4" xfId="0" applyFont="1" applyFill="1" applyBorder="1" applyAlignment="1">
      <alignment vertical="center"/>
    </xf>
    <xf numFmtId="3" fontId="6" fillId="45" borderId="14" xfId="0" applyNumberFormat="1" applyFont="1" applyFill="1" applyBorder="1" applyAlignment="1">
      <alignment vertical="center"/>
    </xf>
    <xf numFmtId="3" fontId="5" fillId="45" borderId="14" xfId="0" applyNumberFormat="1" applyFont="1" applyFill="1" applyBorder="1" applyAlignment="1">
      <alignment vertical="center"/>
    </xf>
    <xf numFmtId="1" fontId="5" fillId="45" borderId="14" xfId="0" applyNumberFormat="1" applyFont="1" applyFill="1" applyBorder="1" applyAlignment="1">
      <alignment vertical="center"/>
    </xf>
    <xf numFmtId="3" fontId="60" fillId="43" borderId="0" xfId="0" applyNumberFormat="1" applyFont="1" applyFill="1" applyBorder="1" applyAlignment="1">
      <alignment vertical="center"/>
    </xf>
    <xf numFmtId="0" fontId="61" fillId="43" borderId="0" xfId="0" applyFont="1" applyFill="1" applyBorder="1" applyAlignment="1">
      <alignment vertical="center"/>
    </xf>
    <xf numFmtId="3" fontId="60" fillId="45" borderId="14" xfId="0" applyNumberFormat="1" applyFont="1" applyFill="1" applyBorder="1" applyAlignment="1">
      <alignment vertical="center"/>
    </xf>
    <xf numFmtId="3" fontId="62" fillId="43" borderId="0" xfId="0" applyNumberFormat="1" applyFont="1" applyFill="1" applyBorder="1" applyAlignment="1">
      <alignment vertical="center"/>
    </xf>
    <xf numFmtId="0" fontId="63" fillId="43" borderId="0" xfId="0" applyFont="1" applyFill="1" applyBorder="1" applyAlignment="1">
      <alignment vertical="center"/>
    </xf>
    <xf numFmtId="3" fontId="62" fillId="45" borderId="14" xfId="0" applyNumberFormat="1" applyFont="1" applyFill="1" applyBorder="1" applyAlignment="1">
      <alignment vertical="center"/>
    </xf>
    <xf numFmtId="0" fontId="63" fillId="43" borderId="12" xfId="0" applyFont="1" applyFill="1" applyBorder="1" applyAlignment="1">
      <alignment vertical="center"/>
    </xf>
    <xf numFmtId="0" fontId="6" fillId="43" borderId="12" xfId="0" applyFont="1" applyFill="1" applyBorder="1" applyAlignment="1">
      <alignment vertical="center"/>
    </xf>
    <xf numFmtId="0" fontId="61" fillId="43" borderId="0" xfId="0" applyFont="1" applyFill="1" applyBorder="1" applyAlignment="1">
      <alignment horizontal="center" vertical="center"/>
    </xf>
    <xf numFmtId="178" fontId="61" fillId="43" borderId="0" xfId="0" applyNumberFormat="1" applyFont="1" applyFill="1" applyBorder="1" applyAlignment="1">
      <alignment vertical="center"/>
    </xf>
    <xf numFmtId="167" fontId="61" fillId="43" borderId="0" xfId="0" applyNumberFormat="1" applyFont="1" applyFill="1" applyBorder="1" applyAlignment="1">
      <alignment vertical="center"/>
    </xf>
    <xf numFmtId="3" fontId="61" fillId="43" borderId="0" xfId="0" applyNumberFormat="1" applyFont="1" applyFill="1" applyBorder="1" applyAlignment="1">
      <alignment vertical="center"/>
    </xf>
    <xf numFmtId="0" fontId="60" fillId="43" borderId="8" xfId="0" applyFont="1" applyFill="1" applyBorder="1" applyAlignment="1">
      <alignment horizontal="center" vertical="center"/>
    </xf>
    <xf numFmtId="0" fontId="61" fillId="43" borderId="12" xfId="0" applyFont="1" applyFill="1" applyBorder="1" applyAlignment="1">
      <alignment vertical="center"/>
    </xf>
    <xf numFmtId="1" fontId="61" fillId="43" borderId="0" xfId="0" applyNumberFormat="1" applyFont="1" applyFill="1" applyBorder="1" applyAlignment="1">
      <alignment vertical="center"/>
    </xf>
    <xf numFmtId="179" fontId="61" fillId="43" borderId="0" xfId="0" applyNumberFormat="1" applyFont="1" applyFill="1" applyBorder="1" applyAlignment="1">
      <alignment vertical="center"/>
    </xf>
    <xf numFmtId="9" fontId="61" fillId="0" borderId="27" xfId="63" applyFont="1" applyFill="1" applyBorder="1" applyAlignment="1">
      <alignment vertical="center"/>
    </xf>
    <xf numFmtId="9" fontId="61" fillId="0" borderId="28" xfId="63" applyFont="1" applyFill="1" applyBorder="1" applyAlignment="1">
      <alignment vertical="center"/>
    </xf>
    <xf numFmtId="9" fontId="61" fillId="0" borderId="29" xfId="63" applyFont="1" applyFill="1" applyBorder="1" applyAlignment="1">
      <alignment vertical="center"/>
    </xf>
    <xf numFmtId="9" fontId="61" fillId="43" borderId="0" xfId="63" applyFont="1" applyFill="1" applyBorder="1" applyAlignment="1">
      <alignment vertical="center"/>
    </xf>
    <xf numFmtId="9" fontId="61" fillId="43" borderId="7" xfId="0" applyNumberFormat="1" applyFont="1" applyFill="1" applyBorder="1" applyAlignment="1">
      <alignment vertical="center"/>
    </xf>
    <xf numFmtId="0" fontId="61" fillId="43" borderId="7" xfId="0" applyFont="1" applyFill="1" applyBorder="1" applyAlignment="1">
      <alignment horizontal="center" vertical="center"/>
    </xf>
    <xf numFmtId="9" fontId="61" fillId="43" borderId="10" xfId="63" applyFont="1" applyFill="1" applyBorder="1" applyAlignment="1">
      <alignment vertical="center"/>
    </xf>
    <xf numFmtId="38" fontId="6" fillId="43" borderId="0" xfId="0" applyNumberFormat="1" applyFont="1" applyFill="1" applyBorder="1" applyAlignment="1">
      <alignment vertical="center"/>
    </xf>
    <xf numFmtId="38" fontId="6" fillId="43" borderId="8" xfId="0" applyNumberFormat="1" applyFont="1" applyFill="1" applyBorder="1" applyAlignment="1">
      <alignment vertical="center"/>
    </xf>
    <xf numFmtId="0" fontId="56" fillId="42" borderId="1" xfId="0" applyFont="1" applyFill="1" applyBorder="1" applyAlignment="1">
      <alignment vertical="center"/>
    </xf>
    <xf numFmtId="9" fontId="56" fillId="42" borderId="1" xfId="63" applyFont="1" applyFill="1" applyBorder="1" applyAlignment="1">
      <alignment vertical="center"/>
    </xf>
    <xf numFmtId="9" fontId="17" fillId="0" borderId="3" xfId="0" applyNumberFormat="1" applyFont="1" applyFill="1" applyBorder="1" applyAlignment="1">
      <alignment vertical="center"/>
    </xf>
    <xf numFmtId="9" fontId="17" fillId="0" borderId="10" xfId="0" applyNumberFormat="1" applyFont="1" applyFill="1" applyBorder="1" applyAlignment="1">
      <alignment vertical="center"/>
    </xf>
    <xf numFmtId="9" fontId="5" fillId="0" borderId="9" xfId="0" applyNumberFormat="1" applyFont="1" applyFill="1" applyBorder="1" applyAlignment="1">
      <alignment vertical="center"/>
    </xf>
    <xf numFmtId="9" fontId="17" fillId="0" borderId="9" xfId="0" applyNumberFormat="1" applyFont="1" applyFill="1" applyBorder="1" applyAlignment="1">
      <alignment vertical="center"/>
    </xf>
    <xf numFmtId="0" fontId="14" fillId="0" borderId="0" xfId="0" applyFont="1" applyAlignment="1">
      <alignment vertical="center"/>
    </xf>
    <xf numFmtId="0" fontId="13" fillId="0" borderId="0" xfId="0" applyFont="1" applyAlignment="1">
      <alignment vertical="center"/>
    </xf>
    <xf numFmtId="3" fontId="8" fillId="0" borderId="0" xfId="0" applyNumberFormat="1" applyFont="1" applyAlignment="1">
      <alignment vertical="center"/>
    </xf>
    <xf numFmtId="0" fontId="67" fillId="0" borderId="12" xfId="34" applyFont="1" applyBorder="1" applyAlignment="1" applyProtection="1">
      <alignment vertical="center"/>
    </xf>
    <xf numFmtId="0" fontId="67" fillId="42" borderId="3" xfId="34" applyFont="1" applyFill="1" applyBorder="1" applyAlignment="1" applyProtection="1">
      <alignment vertical="center"/>
    </xf>
    <xf numFmtId="0" fontId="22" fillId="42" borderId="5" xfId="0" applyFont="1" applyFill="1" applyBorder="1" applyAlignment="1">
      <alignment vertical="center"/>
    </xf>
    <xf numFmtId="0" fontId="22" fillId="42" borderId="3" xfId="0" applyFont="1" applyFill="1" applyBorder="1" applyAlignment="1">
      <alignment vertical="center"/>
    </xf>
    <xf numFmtId="0" fontId="67" fillId="42" borderId="10" xfId="34" applyFont="1" applyFill="1" applyBorder="1" applyAlignment="1" applyProtection="1">
      <alignment vertical="center"/>
    </xf>
    <xf numFmtId="0" fontId="22" fillId="42" borderId="7" xfId="0" applyFont="1" applyFill="1" applyBorder="1" applyAlignment="1">
      <alignment vertical="center"/>
    </xf>
    <xf numFmtId="0" fontId="22" fillId="42" borderId="10" xfId="0" applyFont="1" applyFill="1" applyBorder="1" applyAlignment="1">
      <alignment vertical="center"/>
    </xf>
    <xf numFmtId="0" fontId="22" fillId="42" borderId="2" xfId="0" applyFont="1" applyFill="1" applyBorder="1" applyAlignment="1">
      <alignment vertical="center"/>
    </xf>
    <xf numFmtId="0" fontId="67" fillId="42" borderId="13" xfId="34" applyFont="1" applyFill="1" applyBorder="1" applyAlignment="1" applyProtection="1">
      <alignment vertical="center"/>
    </xf>
    <xf numFmtId="0" fontId="22" fillId="42" borderId="12" xfId="0" applyFont="1" applyFill="1" applyBorder="1" applyAlignment="1">
      <alignment vertical="center"/>
    </xf>
    <xf numFmtId="0" fontId="22" fillId="42" borderId="9" xfId="0" applyFont="1" applyFill="1" applyBorder="1" applyAlignment="1">
      <alignment vertical="center"/>
    </xf>
    <xf numFmtId="0" fontId="67" fillId="42" borderId="8" xfId="34" applyFont="1" applyFill="1" applyBorder="1" applyAlignment="1" applyProtection="1">
      <alignment vertical="center"/>
    </xf>
    <xf numFmtId="0" fontId="22" fillId="42" borderId="4" xfId="0" applyFont="1" applyFill="1" applyBorder="1" applyAlignment="1">
      <alignment vertical="center"/>
    </xf>
    <xf numFmtId="0" fontId="22" fillId="42" borderId="1" xfId="0" applyFont="1" applyFill="1" applyBorder="1" applyAlignment="1">
      <alignment vertical="center"/>
    </xf>
    <xf numFmtId="0" fontId="67" fillId="0" borderId="13" xfId="34" applyFont="1" applyBorder="1" applyAlignment="1" applyProtection="1">
      <alignment vertical="center"/>
    </xf>
    <xf numFmtId="0" fontId="67" fillId="0" borderId="2" xfId="34" applyFont="1" applyBorder="1" applyAlignment="1" applyProtection="1">
      <alignment vertical="center"/>
    </xf>
    <xf numFmtId="0" fontId="67" fillId="0" borderId="6" xfId="34" applyFont="1" applyBorder="1" applyAlignment="1" applyProtection="1">
      <alignment vertical="center"/>
    </xf>
    <xf numFmtId="0" fontId="22" fillId="0" borderId="0" xfId="0" applyFont="1" applyAlignment="1">
      <alignment horizontal="center" vertical="center"/>
    </xf>
    <xf numFmtId="3" fontId="5" fillId="0" borderId="0" xfId="0" applyNumberFormat="1" applyFont="1" applyAlignment="1">
      <alignment vertical="center"/>
    </xf>
    <xf numFmtId="9" fontId="5" fillId="0" borderId="0" xfId="0" applyNumberFormat="1" applyFont="1" applyAlignment="1">
      <alignment vertical="center"/>
    </xf>
    <xf numFmtId="0" fontId="5" fillId="0" borderId="0" xfId="0" applyFont="1" applyFill="1" applyBorder="1" applyAlignment="1">
      <alignment vertical="center"/>
    </xf>
    <xf numFmtId="3" fontId="5" fillId="0" borderId="0" xfId="0" applyNumberFormat="1" applyFont="1" applyFill="1" applyBorder="1" applyAlignment="1">
      <alignment vertical="center"/>
    </xf>
    <xf numFmtId="3" fontId="10" fillId="0" borderId="0" xfId="0" applyNumberFormat="1" applyFont="1" applyFill="1" applyBorder="1" applyAlignment="1">
      <alignment vertical="center"/>
    </xf>
    <xf numFmtId="165" fontId="5" fillId="0" borderId="0" xfId="0" applyNumberFormat="1" applyFont="1" applyAlignment="1">
      <alignment vertical="center"/>
    </xf>
    <xf numFmtId="174" fontId="8" fillId="0" borderId="0" xfId="63" applyNumberFormat="1" applyFont="1" applyAlignment="1">
      <alignment vertical="center"/>
    </xf>
    <xf numFmtId="0" fontId="6" fillId="0" borderId="0" xfId="0" applyFont="1" applyAlignment="1">
      <alignment horizontal="center" vertical="center"/>
    </xf>
    <xf numFmtId="0" fontId="27" fillId="0" borderId="0" xfId="0" applyFont="1" applyAlignment="1">
      <alignment vertical="center"/>
    </xf>
    <xf numFmtId="174" fontId="5" fillId="0" borderId="0" xfId="63" applyNumberFormat="1" applyFont="1" applyAlignment="1">
      <alignment vertical="center"/>
    </xf>
    <xf numFmtId="3" fontId="5" fillId="0" borderId="0" xfId="0" applyNumberFormat="1" applyFont="1" applyFill="1" applyAlignment="1">
      <alignment vertical="center"/>
    </xf>
    <xf numFmtId="3" fontId="5" fillId="0" borderId="1" xfId="0" applyNumberFormat="1" applyFont="1" applyFill="1" applyBorder="1" applyAlignment="1">
      <alignment vertical="center"/>
    </xf>
    <xf numFmtId="9" fontId="5" fillId="0" borderId="1" xfId="0" applyNumberFormat="1" applyFont="1" applyFill="1" applyBorder="1" applyAlignment="1">
      <alignment vertical="center"/>
    </xf>
    <xf numFmtId="9" fontId="17" fillId="0" borderId="1" xfId="0" applyNumberFormat="1" applyFont="1" applyFill="1" applyBorder="1" applyAlignment="1">
      <alignment vertical="center"/>
    </xf>
    <xf numFmtId="0" fontId="5" fillId="0" borderId="0" xfId="0" applyFont="1" applyBorder="1" applyAlignment="1">
      <alignment vertical="center"/>
    </xf>
    <xf numFmtId="0" fontId="10" fillId="0" borderId="0" xfId="0" applyFont="1" applyAlignment="1">
      <alignment vertical="center"/>
    </xf>
    <xf numFmtId="0" fontId="6" fillId="0" borderId="0" xfId="0" applyFont="1" applyAlignment="1">
      <alignment vertical="center"/>
    </xf>
    <xf numFmtId="9" fontId="5" fillId="0" borderId="0" xfId="63" applyFont="1" applyBorder="1" applyAlignment="1">
      <alignment vertical="center"/>
    </xf>
    <xf numFmtId="0" fontId="19" fillId="0" borderId="0" xfId="0" applyFont="1" applyAlignment="1">
      <alignment vertical="center"/>
    </xf>
    <xf numFmtId="4" fontId="5" fillId="0" borderId="0" xfId="0" applyNumberFormat="1" applyFont="1" applyAlignment="1">
      <alignment vertical="center"/>
    </xf>
    <xf numFmtId="3" fontId="5" fillId="0" borderId="9" xfId="0" applyNumberFormat="1" applyFont="1" applyBorder="1" applyAlignment="1">
      <alignment vertical="center"/>
    </xf>
    <xf numFmtId="171" fontId="5" fillId="0" borderId="0" xfId="0" applyNumberFormat="1" applyFont="1" applyAlignment="1">
      <alignment vertical="center"/>
    </xf>
    <xf numFmtId="0" fontId="27" fillId="0" borderId="0" xfId="0" applyFont="1" applyFill="1" applyAlignment="1">
      <alignment vertical="center"/>
    </xf>
    <xf numFmtId="3" fontId="17" fillId="0" borderId="1" xfId="35" applyFont="1" applyFill="1" applyBorder="1" applyAlignment="1">
      <alignment vertical="center"/>
    </xf>
    <xf numFmtId="0" fontId="5" fillId="0" borderId="1" xfId="0" applyFont="1" applyFill="1" applyBorder="1" applyAlignment="1">
      <alignment vertical="center"/>
    </xf>
    <xf numFmtId="2" fontId="5" fillId="0" borderId="0" xfId="0" applyNumberFormat="1" applyFont="1" applyAlignment="1">
      <alignment vertical="center"/>
    </xf>
    <xf numFmtId="168" fontId="5" fillId="0" borderId="0" xfId="0" applyNumberFormat="1" applyFont="1" applyAlignment="1">
      <alignment vertical="center"/>
    </xf>
    <xf numFmtId="0" fontId="6" fillId="0" borderId="0" xfId="0" applyFont="1" applyFill="1" applyAlignment="1">
      <alignment horizontal="center" vertical="center"/>
    </xf>
    <xf numFmtId="0" fontId="56" fillId="42" borderId="1" xfId="0" applyFont="1" applyFill="1" applyBorder="1" applyAlignment="1">
      <alignment horizontal="center" vertical="center"/>
    </xf>
    <xf numFmtId="0" fontId="56" fillId="42" borderId="4" xfId="0" applyFont="1" applyFill="1" applyBorder="1" applyAlignment="1">
      <alignment horizontal="center" vertical="center"/>
    </xf>
    <xf numFmtId="0" fontId="57" fillId="44" borderId="1" xfId="0" applyFont="1" applyFill="1" applyBorder="1" applyAlignment="1">
      <alignment horizontal="center" vertical="center"/>
    </xf>
    <xf numFmtId="0" fontId="56" fillId="42" borderId="4" xfId="0" applyFont="1" applyFill="1" applyBorder="1" applyAlignment="1">
      <alignment horizontal="center" vertical="center"/>
    </xf>
    <xf numFmtId="0" fontId="56" fillId="42" borderId="1" xfId="0" applyFont="1" applyFill="1" applyBorder="1" applyAlignment="1">
      <alignment horizontal="center" vertical="center"/>
    </xf>
    <xf numFmtId="0" fontId="57" fillId="44" borderId="1" xfId="0" applyFont="1" applyFill="1" applyBorder="1" applyAlignment="1">
      <alignment horizontal="center" vertical="center"/>
    </xf>
    <xf numFmtId="0" fontId="8" fillId="0" borderId="0" xfId="0" applyFont="1" applyBorder="1" applyAlignment="1">
      <alignment vertical="center"/>
    </xf>
    <xf numFmtId="0" fontId="17" fillId="0" borderId="0" xfId="0" applyFont="1" applyBorder="1" applyAlignment="1">
      <alignment vertical="center"/>
    </xf>
    <xf numFmtId="0" fontId="6" fillId="43" borderId="2" xfId="0" applyFont="1" applyFill="1" applyBorder="1" applyAlignment="1">
      <alignment horizontal="center" vertical="center"/>
    </xf>
    <xf numFmtId="0" fontId="5" fillId="43" borderId="0" xfId="0" applyFont="1" applyFill="1" applyBorder="1" applyAlignment="1">
      <alignment horizontal="center" vertical="center"/>
    </xf>
    <xf numFmtId="0" fontId="6" fillId="43" borderId="0" xfId="0" applyFont="1" applyFill="1" applyBorder="1" applyAlignment="1">
      <alignment horizontal="center" vertical="center"/>
    </xf>
    <xf numFmtId="0" fontId="22" fillId="0" borderId="2" xfId="0" applyFont="1" applyBorder="1" applyAlignment="1">
      <alignment horizontal="center" vertical="center"/>
    </xf>
    <xf numFmtId="0" fontId="22" fillId="0" borderId="7" xfId="0" applyFont="1" applyBorder="1" applyAlignment="1">
      <alignment vertical="center"/>
    </xf>
    <xf numFmtId="0" fontId="22" fillId="0" borderId="13" xfId="0" applyFont="1" applyBorder="1" applyAlignment="1">
      <alignment vertical="center"/>
    </xf>
    <xf numFmtId="0" fontId="8" fillId="0" borderId="12" xfId="0" applyFont="1" applyBorder="1" applyAlignment="1">
      <alignment vertical="center"/>
    </xf>
    <xf numFmtId="0" fontId="6" fillId="43" borderId="5" xfId="0" applyFont="1" applyFill="1" applyBorder="1" applyAlignment="1">
      <alignment horizontal="center" vertical="center"/>
    </xf>
    <xf numFmtId="0" fontId="6" fillId="43" borderId="2" xfId="0" applyFont="1" applyFill="1" applyBorder="1" applyAlignment="1">
      <alignment horizontal="center" vertical="center"/>
    </xf>
    <xf numFmtId="0" fontId="6" fillId="43" borderId="6" xfId="0" applyFont="1" applyFill="1" applyBorder="1" applyAlignment="1">
      <alignment horizontal="center" vertical="center"/>
    </xf>
    <xf numFmtId="0" fontId="6" fillId="43" borderId="7" xfId="0" applyFont="1" applyFill="1" applyBorder="1" applyAlignment="1">
      <alignment horizontal="center" vertical="center"/>
    </xf>
    <xf numFmtId="0" fontId="6" fillId="43" borderId="0" xfId="0" applyFont="1" applyFill="1" applyBorder="1" applyAlignment="1">
      <alignment horizontal="center" vertical="center"/>
    </xf>
    <xf numFmtId="0" fontId="5" fillId="43" borderId="0" xfId="0" applyFont="1" applyFill="1" applyBorder="1" applyAlignment="1">
      <alignment horizontal="center" vertical="center"/>
    </xf>
    <xf numFmtId="0" fontId="60" fillId="43" borderId="0" xfId="0" applyFont="1" applyFill="1" applyBorder="1" applyAlignment="1">
      <alignment horizontal="center" vertical="center"/>
    </xf>
    <xf numFmtId="0" fontId="67" fillId="0" borderId="0" xfId="34" applyFont="1" applyBorder="1" applyAlignment="1" applyProtection="1">
      <alignment horizontal="center" vertical="center"/>
    </xf>
    <xf numFmtId="0" fontId="67" fillId="0" borderId="8" xfId="34" applyFont="1" applyBorder="1" applyAlignment="1" applyProtection="1">
      <alignment horizontal="center" vertical="center"/>
    </xf>
    <xf numFmtId="0" fontId="22" fillId="0" borderId="0" xfId="0" applyFont="1" applyBorder="1" applyAlignment="1">
      <alignment horizontal="center" vertical="center"/>
    </xf>
    <xf numFmtId="0" fontId="6" fillId="43" borderId="5" xfId="0" applyFont="1" applyFill="1" applyBorder="1" applyAlignment="1"/>
    <xf numFmtId="0" fontId="6" fillId="43" borderId="2" xfId="0" applyFont="1" applyFill="1" applyBorder="1" applyAlignment="1"/>
    <xf numFmtId="0" fontId="5" fillId="43" borderId="2" xfId="0" applyFont="1" applyFill="1" applyBorder="1" applyAlignment="1">
      <alignment horizontal="center"/>
    </xf>
    <xf numFmtId="0" fontId="5" fillId="43" borderId="6" xfId="0" applyFont="1" applyFill="1" applyBorder="1" applyAlignment="1">
      <alignment horizontal="center"/>
    </xf>
    <xf numFmtId="0" fontId="5" fillId="43" borderId="7" xfId="0" applyFont="1" applyFill="1" applyBorder="1" applyAlignment="1">
      <alignment horizontal="center"/>
    </xf>
    <xf numFmtId="0" fontId="5" fillId="43" borderId="0" xfId="0" applyFont="1" applyFill="1" applyBorder="1" applyAlignment="1">
      <alignment horizontal="center"/>
    </xf>
    <xf numFmtId="0" fontId="5" fillId="43" borderId="8" xfId="0" applyFont="1" applyFill="1" applyBorder="1" applyAlignment="1">
      <alignment horizontal="center"/>
    </xf>
    <xf numFmtId="0" fontId="5" fillId="43" borderId="3" xfId="0" applyFont="1" applyFill="1" applyBorder="1" applyAlignment="1">
      <alignment horizontal="center"/>
    </xf>
    <xf numFmtId="0" fontId="6" fillId="43" borderId="8" xfId="0" applyFont="1" applyFill="1" applyBorder="1" applyAlignment="1">
      <alignment horizontal="center"/>
    </xf>
    <xf numFmtId="0" fontId="5" fillId="43" borderId="9" xfId="0" applyFont="1" applyFill="1" applyBorder="1" applyAlignment="1">
      <alignment horizontal="center"/>
    </xf>
    <xf numFmtId="0" fontId="5" fillId="43" borderId="7" xfId="0" applyFont="1" applyFill="1" applyBorder="1"/>
    <xf numFmtId="0" fontId="5" fillId="43" borderId="0" xfId="0" applyFont="1" applyFill="1" applyBorder="1"/>
    <xf numFmtId="3" fontId="6" fillId="43" borderId="8" xfId="0" applyNumberFormat="1" applyFont="1" applyFill="1" applyBorder="1"/>
    <xf numFmtId="0" fontId="6" fillId="43" borderId="8" xfId="0" applyFont="1" applyFill="1" applyBorder="1"/>
    <xf numFmtId="0" fontId="5" fillId="43" borderId="8" xfId="0" applyFont="1" applyFill="1" applyBorder="1"/>
    <xf numFmtId="0" fontId="6" fillId="43" borderId="0" xfId="0" applyFont="1" applyFill="1" applyBorder="1" applyAlignment="1">
      <alignment horizontal="center"/>
    </xf>
    <xf numFmtId="3" fontId="6" fillId="43" borderId="0" xfId="0" applyNumberFormat="1" applyFont="1" applyFill="1" applyBorder="1" applyAlignment="1"/>
    <xf numFmtId="0" fontId="5" fillId="43" borderId="11" xfId="0" applyFont="1" applyFill="1" applyBorder="1"/>
    <xf numFmtId="0" fontId="5" fillId="43" borderId="12" xfId="0" applyFont="1" applyFill="1" applyBorder="1"/>
    <xf numFmtId="0" fontId="5" fillId="43" borderId="12" xfId="0" applyFont="1" applyFill="1" applyBorder="1" applyAlignment="1">
      <alignment horizontal="center"/>
    </xf>
    <xf numFmtId="0" fontId="6" fillId="43" borderId="13" xfId="0" applyFont="1" applyFill="1" applyBorder="1"/>
    <xf numFmtId="3" fontId="5" fillId="0" borderId="27" xfId="0" applyNumberFormat="1" applyFont="1" applyFill="1" applyBorder="1" applyAlignment="1">
      <alignment horizontal="center" vertical="center"/>
    </xf>
    <xf numFmtId="3" fontId="5" fillId="0" borderId="28" xfId="0" applyNumberFormat="1" applyFont="1" applyFill="1" applyBorder="1" applyAlignment="1">
      <alignment horizontal="center" vertical="center"/>
    </xf>
    <xf numFmtId="3" fontId="5" fillId="0" borderId="29" xfId="0" applyNumberFormat="1" applyFont="1" applyFill="1" applyBorder="1" applyAlignment="1">
      <alignment horizontal="center" vertical="center"/>
    </xf>
    <xf numFmtId="3" fontId="60" fillId="43" borderId="0" xfId="0" applyNumberFormat="1" applyFont="1" applyFill="1" applyBorder="1" applyAlignment="1"/>
    <xf numFmtId="0" fontId="61" fillId="43" borderId="0" xfId="0" applyFont="1" applyFill="1" applyBorder="1"/>
    <xf numFmtId="0" fontId="61" fillId="43" borderId="0" xfId="0" applyFont="1" applyFill="1"/>
    <xf numFmtId="3" fontId="61" fillId="43" borderId="0" xfId="0" applyNumberFormat="1" applyFont="1" applyFill="1" applyBorder="1"/>
    <xf numFmtId="10" fontId="61" fillId="43" borderId="0" xfId="63" applyNumberFormat="1" applyFont="1" applyFill="1" applyBorder="1"/>
    <xf numFmtId="3" fontId="61" fillId="43" borderId="0" xfId="0" applyNumberFormat="1" applyFont="1" applyFill="1" applyBorder="1" applyAlignment="1"/>
    <xf numFmtId="9" fontId="61" fillId="43" borderId="7" xfId="0" applyNumberFormat="1" applyFont="1" applyFill="1" applyBorder="1"/>
    <xf numFmtId="3" fontId="62" fillId="43" borderId="0" xfId="0" applyNumberFormat="1" applyFont="1" applyFill="1" applyBorder="1" applyAlignment="1"/>
    <xf numFmtId="0" fontId="63" fillId="43" borderId="0" xfId="0" applyFont="1" applyFill="1" applyBorder="1"/>
    <xf numFmtId="0" fontId="63" fillId="43" borderId="0" xfId="0" applyFont="1" applyFill="1"/>
    <xf numFmtId="0" fontId="6" fillId="45" borderId="4" xfId="0" applyFont="1" applyFill="1" applyBorder="1"/>
    <xf numFmtId="0" fontId="6" fillId="45" borderId="14" xfId="0" applyFont="1" applyFill="1" applyBorder="1"/>
    <xf numFmtId="3" fontId="60" fillId="45" borderId="14" xfId="0" applyNumberFormat="1" applyFont="1" applyFill="1" applyBorder="1"/>
    <xf numFmtId="3" fontId="62" fillId="45" borderId="14" xfId="0" applyNumberFormat="1" applyFont="1" applyFill="1" applyBorder="1"/>
    <xf numFmtId="0" fontId="6" fillId="45" borderId="14" xfId="0" applyFont="1" applyFill="1" applyBorder="1" applyAlignment="1">
      <alignment horizontal="center"/>
    </xf>
    <xf numFmtId="3" fontId="6" fillId="45" borderId="15" xfId="0" applyNumberFormat="1" applyFont="1" applyFill="1" applyBorder="1"/>
    <xf numFmtId="0" fontId="5" fillId="45" borderId="4" xfId="0" applyFont="1" applyFill="1" applyBorder="1"/>
    <xf numFmtId="0" fontId="5" fillId="45" borderId="14" xfId="0" applyFont="1" applyFill="1" applyBorder="1"/>
    <xf numFmtId="3" fontId="6" fillId="45" borderId="14" xfId="0" applyNumberFormat="1" applyFont="1" applyFill="1" applyBorder="1"/>
    <xf numFmtId="3" fontId="10" fillId="43" borderId="0" xfId="0" applyNumberFormat="1" applyFont="1" applyFill="1" applyBorder="1" applyAlignment="1">
      <alignment vertical="center"/>
    </xf>
    <xf numFmtId="3" fontId="21" fillId="43" borderId="8" xfId="0" applyNumberFormat="1" applyFont="1" applyFill="1" applyBorder="1" applyAlignment="1">
      <alignment vertical="center"/>
    </xf>
    <xf numFmtId="0" fontId="6" fillId="43" borderId="12" xfId="0" applyFont="1" applyFill="1" applyBorder="1" applyAlignment="1">
      <alignment horizontal="center" vertical="center"/>
    </xf>
    <xf numFmtId="0" fontId="5" fillId="43" borderId="12" xfId="0" applyFont="1" applyFill="1" applyBorder="1" applyAlignment="1">
      <alignment horizontal="center" vertical="center"/>
    </xf>
    <xf numFmtId="0" fontId="6" fillId="43" borderId="5" xfId="0" applyFont="1" applyFill="1" applyBorder="1" applyAlignment="1">
      <alignment horizontal="left" vertical="center"/>
    </xf>
    <xf numFmtId="0" fontId="6" fillId="43" borderId="2" xfId="0" applyFont="1" applyFill="1" applyBorder="1" applyAlignment="1">
      <alignment horizontal="left" vertical="center"/>
    </xf>
    <xf numFmtId="0" fontId="27" fillId="43" borderId="6" xfId="0" applyFont="1" applyFill="1" applyBorder="1" applyAlignment="1">
      <alignment vertical="center"/>
    </xf>
    <xf numFmtId="0" fontId="6" fillId="43" borderId="7" xfId="0" applyFont="1" applyFill="1" applyBorder="1" applyAlignment="1">
      <alignment vertical="center"/>
    </xf>
    <xf numFmtId="0" fontId="6" fillId="43" borderId="7" xfId="0" applyFont="1" applyFill="1" applyBorder="1" applyAlignment="1">
      <alignment horizontal="left" vertical="center"/>
    </xf>
    <xf numFmtId="0" fontId="6" fillId="43" borderId="0" xfId="0" applyFont="1" applyFill="1" applyBorder="1" applyAlignment="1">
      <alignment horizontal="left" vertical="center"/>
    </xf>
    <xf numFmtId="4" fontId="61" fillId="43" borderId="0" xfId="0" applyNumberFormat="1" applyFont="1" applyFill="1" applyBorder="1" applyAlignment="1">
      <alignment vertical="center"/>
    </xf>
    <xf numFmtId="0" fontId="6" fillId="43" borderId="2" xfId="0" applyFont="1" applyFill="1" applyBorder="1" applyAlignment="1">
      <alignment horizontal="center" vertical="center"/>
    </xf>
    <xf numFmtId="0" fontId="60" fillId="43" borderId="0" xfId="0" applyFont="1" applyFill="1" applyBorder="1" applyAlignment="1">
      <alignment horizontal="center" vertical="center"/>
    </xf>
    <xf numFmtId="0" fontId="5" fillId="43" borderId="0" xfId="0" applyFont="1" applyFill="1" applyBorder="1" applyAlignment="1">
      <alignment horizontal="center" vertical="center"/>
    </xf>
    <xf numFmtId="0" fontId="6" fillId="43" borderId="0" xfId="0" applyFont="1" applyFill="1" applyBorder="1" applyAlignment="1">
      <alignment horizontal="center" vertical="center"/>
    </xf>
    <xf numFmtId="0" fontId="6" fillId="0" borderId="8" xfId="0" applyFont="1" applyFill="1" applyBorder="1" applyAlignment="1">
      <alignment horizontal="center" vertical="center"/>
    </xf>
    <xf numFmtId="3" fontId="6" fillId="45" borderId="4" xfId="0" applyNumberFormat="1" applyFont="1" applyFill="1" applyBorder="1" applyAlignment="1">
      <alignment vertical="center"/>
    </xf>
    <xf numFmtId="0" fontId="5" fillId="43" borderId="8" xfId="0" applyFont="1" applyFill="1" applyBorder="1" applyAlignment="1">
      <alignment horizontal="center" vertical="center"/>
    </xf>
    <xf numFmtId="3" fontId="5" fillId="45" borderId="15" xfId="0" applyNumberFormat="1" applyFont="1" applyFill="1" applyBorder="1" applyAlignment="1">
      <alignment vertical="center"/>
    </xf>
    <xf numFmtId="0" fontId="27" fillId="43" borderId="2" xfId="0" applyFont="1" applyFill="1" applyBorder="1" applyAlignment="1">
      <alignment horizontal="center" vertical="center"/>
    </xf>
    <xf numFmtId="0" fontId="27" fillId="43" borderId="6" xfId="0" applyFont="1" applyFill="1" applyBorder="1" applyAlignment="1">
      <alignment horizontal="center" vertical="center"/>
    </xf>
    <xf numFmtId="0" fontId="61" fillId="43" borderId="0" xfId="0" applyFont="1" applyFill="1" applyBorder="1" applyAlignment="1">
      <alignment horizontal="center" vertical="center"/>
    </xf>
    <xf numFmtId="3" fontId="17" fillId="43" borderId="0" xfId="0" applyNumberFormat="1" applyFont="1" applyFill="1" applyBorder="1" applyAlignment="1">
      <alignment vertical="center"/>
    </xf>
    <xf numFmtId="0" fontId="6" fillId="43" borderId="13" xfId="0" applyFont="1" applyFill="1" applyBorder="1" applyAlignment="1">
      <alignment vertical="center"/>
    </xf>
    <xf numFmtId="9" fontId="61" fillId="43" borderId="0" xfId="0" applyNumberFormat="1" applyFont="1" applyFill="1" applyBorder="1" applyAlignment="1">
      <alignment vertical="center"/>
    </xf>
    <xf numFmtId="3" fontId="5" fillId="43" borderId="0" xfId="0" applyNumberFormat="1" applyFont="1" applyFill="1" applyBorder="1" applyAlignment="1">
      <alignment horizontal="right" vertical="center"/>
    </xf>
    <xf numFmtId="9" fontId="5" fillId="0" borderId="27" xfId="63" applyFont="1" applyFill="1" applyBorder="1" applyAlignment="1">
      <alignment vertical="center"/>
    </xf>
    <xf numFmtId="9" fontId="5" fillId="0" borderId="28" xfId="63" applyFont="1" applyFill="1" applyBorder="1" applyAlignment="1">
      <alignment vertical="center"/>
    </xf>
    <xf numFmtId="9" fontId="5" fillId="0" borderId="29" xfId="63" applyFont="1" applyFill="1" applyBorder="1" applyAlignment="1">
      <alignment vertical="center"/>
    </xf>
    <xf numFmtId="9" fontId="17" fillId="0" borderId="27" xfId="63" applyFont="1" applyFill="1" applyBorder="1" applyAlignment="1">
      <alignment vertical="center"/>
    </xf>
    <xf numFmtId="9" fontId="17" fillId="0" borderId="28" xfId="63" applyFont="1" applyFill="1" applyBorder="1" applyAlignment="1">
      <alignment vertical="center"/>
    </xf>
    <xf numFmtId="9" fontId="17" fillId="0" borderId="29" xfId="63" applyFont="1" applyFill="1" applyBorder="1" applyAlignment="1">
      <alignment vertical="center"/>
    </xf>
    <xf numFmtId="0" fontId="5" fillId="0" borderId="28" xfId="0" applyFont="1" applyFill="1" applyBorder="1" applyAlignment="1">
      <alignment vertical="center"/>
    </xf>
    <xf numFmtId="0" fontId="5" fillId="0" borderId="29" xfId="0" applyFont="1" applyFill="1" applyBorder="1" applyAlignment="1">
      <alignment vertical="center"/>
    </xf>
    <xf numFmtId="0" fontId="68" fillId="43" borderId="0" xfId="0" applyFont="1" applyFill="1" applyBorder="1" applyAlignment="1">
      <alignment horizontal="center" vertical="center"/>
    </xf>
    <xf numFmtId="0" fontId="69" fillId="43" borderId="8" xfId="0" applyFont="1" applyFill="1" applyBorder="1" applyAlignment="1">
      <alignment horizontal="center" vertical="center"/>
    </xf>
    <xf numFmtId="3" fontId="68" fillId="43" borderId="0" xfId="0" applyNumberFormat="1" applyFont="1" applyFill="1" applyBorder="1" applyAlignment="1">
      <alignment vertical="center"/>
    </xf>
    <xf numFmtId="3" fontId="69" fillId="43" borderId="8" xfId="0" applyNumberFormat="1" applyFont="1" applyFill="1" applyBorder="1" applyAlignment="1">
      <alignment vertical="center"/>
    </xf>
    <xf numFmtId="0" fontId="68" fillId="43" borderId="12" xfId="0" applyFont="1" applyFill="1" applyBorder="1" applyAlignment="1">
      <alignment vertical="center"/>
    </xf>
    <xf numFmtId="0" fontId="69" fillId="43" borderId="13" xfId="0" applyFont="1" applyFill="1" applyBorder="1" applyAlignment="1">
      <alignment vertical="center"/>
    </xf>
    <xf numFmtId="3" fontId="68" fillId="45" borderId="14" xfId="0" applyNumberFormat="1" applyFont="1" applyFill="1" applyBorder="1" applyAlignment="1">
      <alignment vertical="center"/>
    </xf>
    <xf numFmtId="3" fontId="69" fillId="45" borderId="15" xfId="0" applyNumberFormat="1" applyFont="1" applyFill="1" applyBorder="1" applyAlignment="1">
      <alignment vertical="center"/>
    </xf>
    <xf numFmtId="0" fontId="68" fillId="43" borderId="0" xfId="0" applyFont="1" applyFill="1" applyBorder="1" applyAlignment="1">
      <alignment vertical="center"/>
    </xf>
    <xf numFmtId="0" fontId="69" fillId="43" borderId="8" xfId="0" applyFont="1" applyFill="1" applyBorder="1" applyAlignment="1">
      <alignment vertical="center"/>
    </xf>
    <xf numFmtId="0" fontId="68" fillId="43" borderId="8" xfId="0" applyFont="1" applyFill="1" applyBorder="1" applyAlignment="1">
      <alignment vertical="center"/>
    </xf>
    <xf numFmtId="0" fontId="23" fillId="0" borderId="7" xfId="34" applyFont="1" applyBorder="1" applyAlignment="1" applyProtection="1">
      <alignment horizontal="right" vertical="center"/>
    </xf>
    <xf numFmtId="0" fontId="22" fillId="0" borderId="6" xfId="0" applyFont="1" applyBorder="1" applyAlignment="1">
      <alignment horizontal="center" vertical="center"/>
    </xf>
    <xf numFmtId="0" fontId="22" fillId="0" borderId="8" xfId="0" applyFont="1" applyBorder="1" applyAlignment="1">
      <alignment vertical="center"/>
    </xf>
    <xf numFmtId="0" fontId="5" fillId="45" borderId="11" xfId="0" applyFont="1" applyFill="1" applyBorder="1" applyAlignment="1">
      <alignment vertical="center"/>
    </xf>
    <xf numFmtId="0" fontId="5" fillId="45" borderId="12" xfId="0" applyFont="1" applyFill="1" applyBorder="1" applyAlignment="1">
      <alignment vertical="center"/>
    </xf>
    <xf numFmtId="3" fontId="6" fillId="45" borderId="12" xfId="0" applyNumberFormat="1" applyFont="1" applyFill="1" applyBorder="1" applyAlignment="1">
      <alignment vertical="center"/>
    </xf>
    <xf numFmtId="0" fontId="5" fillId="43" borderId="7" xfId="0" applyFont="1" applyFill="1" applyBorder="1" applyAlignment="1">
      <alignment horizontal="center" vertical="center"/>
    </xf>
    <xf numFmtId="3" fontId="15" fillId="43" borderId="0" xfId="0" applyNumberFormat="1" applyFont="1" applyFill="1" applyBorder="1" applyAlignment="1">
      <alignment vertical="center"/>
    </xf>
    <xf numFmtId="3" fontId="6" fillId="43" borderId="12" xfId="0" applyNumberFormat="1" applyFont="1" applyFill="1" applyBorder="1" applyAlignment="1">
      <alignment vertical="center"/>
    </xf>
    <xf numFmtId="0" fontId="5" fillId="43" borderId="8" xfId="0" applyFont="1" applyFill="1" applyBorder="1" applyAlignment="1">
      <alignment horizontal="center" vertical="center"/>
    </xf>
    <xf numFmtId="3" fontId="21" fillId="43" borderId="0" xfId="0" applyNumberFormat="1" applyFont="1" applyFill="1" applyBorder="1" applyAlignment="1">
      <alignment vertical="center"/>
    </xf>
    <xf numFmtId="3" fontId="5" fillId="43" borderId="13" xfId="0" applyNumberFormat="1" applyFont="1" applyFill="1" applyBorder="1" applyAlignment="1">
      <alignment vertical="center"/>
    </xf>
    <xf numFmtId="167" fontId="5" fillId="43" borderId="7" xfId="0" applyNumberFormat="1" applyFont="1" applyFill="1" applyBorder="1" applyAlignment="1">
      <alignment vertical="center"/>
    </xf>
    <xf numFmtId="167" fontId="5" fillId="43" borderId="0" xfId="0" applyNumberFormat="1" applyFont="1" applyFill="1" applyBorder="1" applyAlignment="1">
      <alignment vertical="center"/>
    </xf>
    <xf numFmtId="3" fontId="10" fillId="43" borderId="12" xfId="0" applyNumberFormat="1" applyFont="1" applyFill="1" applyBorder="1" applyAlignment="1">
      <alignment vertical="center"/>
    </xf>
    <xf numFmtId="167" fontId="10" fillId="43" borderId="12" xfId="0" applyNumberFormat="1" applyFont="1" applyFill="1" applyBorder="1" applyAlignment="1">
      <alignment vertical="center"/>
    </xf>
    <xf numFmtId="49" fontId="5" fillId="43" borderId="7" xfId="0" applyNumberFormat="1" applyFont="1" applyFill="1" applyBorder="1" applyAlignment="1">
      <alignment vertical="center"/>
    </xf>
    <xf numFmtId="49" fontId="5" fillId="43" borderId="0" xfId="0" applyNumberFormat="1" applyFont="1" applyFill="1" applyBorder="1" applyAlignment="1">
      <alignment vertical="center"/>
    </xf>
    <xf numFmtId="0" fontId="10" fillId="43" borderId="0" xfId="0" applyFont="1" applyFill="1" applyBorder="1" applyAlignment="1">
      <alignment vertical="center"/>
    </xf>
    <xf numFmtId="0" fontId="17" fillId="43" borderId="12" xfId="0" applyFont="1" applyFill="1" applyBorder="1" applyAlignment="1">
      <alignment vertical="center"/>
    </xf>
    <xf numFmtId="0" fontId="17" fillId="43" borderId="0" xfId="0" applyFont="1" applyFill="1" applyBorder="1" applyAlignment="1">
      <alignment vertical="center"/>
    </xf>
    <xf numFmtId="9" fontId="17" fillId="43" borderId="1" xfId="0" applyNumberFormat="1" applyFont="1" applyFill="1" applyBorder="1" applyAlignment="1">
      <alignment vertical="center"/>
    </xf>
    <xf numFmtId="9" fontId="10" fillId="43" borderId="11" xfId="0" applyNumberFormat="1" applyFont="1" applyFill="1" applyBorder="1" applyAlignment="1">
      <alignment vertical="center"/>
    </xf>
    <xf numFmtId="0" fontId="5" fillId="43" borderId="13" xfId="0" applyFont="1" applyFill="1" applyBorder="1" applyAlignment="1">
      <alignment vertical="center"/>
    </xf>
    <xf numFmtId="9" fontId="5" fillId="43" borderId="1" xfId="63" applyFont="1" applyFill="1" applyBorder="1" applyAlignment="1">
      <alignment vertical="center"/>
    </xf>
    <xf numFmtId="3" fontId="5" fillId="43" borderId="7" xfId="0" applyNumberFormat="1" applyFont="1" applyFill="1" applyBorder="1" applyAlignment="1">
      <alignment vertical="center"/>
    </xf>
    <xf numFmtId="0" fontId="6" fillId="43" borderId="8"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6" fillId="45" borderId="11" xfId="0" applyFont="1" applyFill="1" applyBorder="1" applyAlignment="1">
      <alignment vertical="center"/>
    </xf>
    <xf numFmtId="0" fontId="6" fillId="45" borderId="12" xfId="0" applyFont="1" applyFill="1" applyBorder="1" applyAlignment="1">
      <alignment vertical="center"/>
    </xf>
    <xf numFmtId="3" fontId="5" fillId="45" borderId="13" xfId="0" applyNumberFormat="1" applyFont="1" applyFill="1" applyBorder="1" applyAlignment="1">
      <alignment vertical="center"/>
    </xf>
    <xf numFmtId="0" fontId="18" fillId="45" borderId="14" xfId="0" applyFont="1" applyFill="1" applyBorder="1" applyAlignment="1">
      <alignment vertical="center"/>
    </xf>
    <xf numFmtId="3" fontId="21" fillId="45" borderId="14" xfId="0" applyNumberFormat="1" applyFont="1" applyFill="1" applyBorder="1" applyAlignment="1">
      <alignment vertical="center"/>
    </xf>
    <xf numFmtId="3" fontId="5" fillId="45" borderId="4" xfId="0" applyNumberFormat="1" applyFont="1" applyFill="1" applyBorder="1" applyAlignment="1">
      <alignment vertical="center"/>
    </xf>
    <xf numFmtId="38" fontId="5" fillId="45" borderId="14" xfId="0" applyNumberFormat="1" applyFont="1" applyFill="1" applyBorder="1" applyAlignment="1">
      <alignment vertical="center"/>
    </xf>
    <xf numFmtId="49" fontId="61" fillId="43" borderId="0" xfId="0" applyNumberFormat="1" applyFont="1" applyFill="1" applyBorder="1" applyAlignment="1">
      <alignment vertical="center"/>
    </xf>
    <xf numFmtId="166" fontId="61" fillId="43" borderId="0" xfId="0" applyNumberFormat="1" applyFont="1" applyFill="1" applyBorder="1" applyAlignment="1">
      <alignment horizontal="right" vertical="center"/>
    </xf>
    <xf numFmtId="167" fontId="61" fillId="43" borderId="0" xfId="0" applyNumberFormat="1" applyFont="1" applyFill="1" applyBorder="1" applyAlignment="1">
      <alignment horizontal="right" vertical="center" wrapText="1"/>
    </xf>
    <xf numFmtId="9" fontId="61" fillId="0" borderId="27" xfId="63" applyNumberFormat="1" applyFont="1" applyFill="1" applyBorder="1" applyAlignment="1">
      <alignment horizontal="center" vertical="center"/>
    </xf>
    <xf numFmtId="2" fontId="61" fillId="43" borderId="0" xfId="0" applyNumberFormat="1" applyFont="1" applyFill="1" applyBorder="1" applyAlignment="1">
      <alignment horizontal="center" vertical="center"/>
    </xf>
    <xf numFmtId="9" fontId="61" fillId="0" borderId="28" xfId="63" applyNumberFormat="1" applyFont="1" applyFill="1" applyBorder="1" applyAlignment="1">
      <alignment horizontal="center" vertical="center"/>
    </xf>
    <xf numFmtId="9" fontId="61" fillId="0" borderId="29" xfId="63" applyNumberFormat="1" applyFont="1" applyFill="1" applyBorder="1" applyAlignment="1">
      <alignment horizontal="center" vertical="center"/>
    </xf>
    <xf numFmtId="49" fontId="63" fillId="43" borderId="0" xfId="0" applyNumberFormat="1" applyFont="1" applyFill="1" applyBorder="1" applyAlignment="1">
      <alignment vertical="center"/>
    </xf>
    <xf numFmtId="0" fontId="6" fillId="43" borderId="5" xfId="0" applyFont="1" applyFill="1" applyBorder="1" applyAlignment="1">
      <alignment horizontal="center" vertical="center"/>
    </xf>
    <xf numFmtId="0" fontId="6" fillId="43" borderId="2" xfId="0" applyFont="1" applyFill="1" applyBorder="1" applyAlignment="1">
      <alignment horizontal="center" vertical="center"/>
    </xf>
    <xf numFmtId="0" fontId="6" fillId="43" borderId="6" xfId="0" applyFont="1" applyFill="1" applyBorder="1" applyAlignment="1">
      <alignment horizontal="center" vertical="center"/>
    </xf>
    <xf numFmtId="0" fontId="6" fillId="43" borderId="7" xfId="0" applyFont="1" applyFill="1" applyBorder="1" applyAlignment="1">
      <alignment horizontal="center" vertical="center"/>
    </xf>
    <xf numFmtId="0" fontId="6" fillId="43" borderId="0" xfId="0" applyFont="1" applyFill="1" applyBorder="1" applyAlignment="1">
      <alignment horizontal="center" vertical="center"/>
    </xf>
    <xf numFmtId="0" fontId="5" fillId="43" borderId="0" xfId="0" applyFont="1" applyFill="1" applyBorder="1" applyAlignment="1">
      <alignment horizontal="center" vertical="center"/>
    </xf>
    <xf numFmtId="0" fontId="60"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8" xfId="0" applyFont="1" applyFill="1" applyBorder="1" applyAlignment="1">
      <alignment horizontal="center" vertical="center"/>
    </xf>
    <xf numFmtId="0" fontId="6" fillId="43" borderId="8" xfId="0" applyFont="1" applyFill="1" applyBorder="1" applyAlignment="1">
      <alignment horizontal="center" vertical="center"/>
    </xf>
    <xf numFmtId="0" fontId="5" fillId="47" borderId="0" xfId="0" applyFont="1" applyFill="1" applyBorder="1" applyAlignment="1">
      <alignment vertical="center"/>
    </xf>
    <xf numFmtId="9" fontId="61" fillId="43" borderId="7" xfId="63" applyFont="1" applyFill="1" applyBorder="1" applyAlignment="1">
      <alignment vertical="center"/>
    </xf>
    <xf numFmtId="0" fontId="5" fillId="47" borderId="7" xfId="0" applyFont="1" applyFill="1" applyBorder="1" applyAlignment="1">
      <alignment vertical="center"/>
    </xf>
    <xf numFmtId="3" fontId="60" fillId="47" borderId="0" xfId="0" applyNumberFormat="1" applyFont="1" applyFill="1" applyBorder="1" applyAlignment="1">
      <alignment vertical="center"/>
    </xf>
    <xf numFmtId="3" fontId="62" fillId="47" borderId="0" xfId="0" applyNumberFormat="1" applyFont="1" applyFill="1" applyBorder="1" applyAlignment="1">
      <alignment vertical="center"/>
    </xf>
    <xf numFmtId="0" fontId="68" fillId="43" borderId="2" xfId="0" applyFont="1" applyFill="1" applyBorder="1" applyAlignment="1">
      <alignment horizontal="center" vertical="center"/>
    </xf>
    <xf numFmtId="0" fontId="69" fillId="43" borderId="6" xfId="0" applyFont="1" applyFill="1" applyBorder="1" applyAlignment="1">
      <alignment horizontal="center" vertical="center"/>
    </xf>
    <xf numFmtId="3" fontId="17" fillId="43" borderId="7" xfId="0" applyNumberFormat="1" applyFont="1" applyFill="1" applyBorder="1" applyAlignment="1">
      <alignment vertical="center"/>
    </xf>
    <xf numFmtId="3" fontId="63" fillId="43" borderId="0" xfId="0" applyNumberFormat="1" applyFont="1" applyFill="1" applyBorder="1" applyAlignment="1">
      <alignment vertical="center"/>
    </xf>
    <xf numFmtId="3" fontId="61" fillId="43" borderId="12" xfId="0" applyNumberFormat="1" applyFont="1" applyFill="1" applyBorder="1" applyAlignment="1">
      <alignment vertical="center"/>
    </xf>
    <xf numFmtId="3" fontId="63" fillId="43" borderId="12" xfId="0" applyNumberFormat="1" applyFont="1" applyFill="1" applyBorder="1" applyAlignment="1">
      <alignment vertical="center"/>
    </xf>
    <xf numFmtId="3" fontId="68" fillId="43" borderId="12" xfId="0" applyNumberFormat="1" applyFont="1" applyFill="1" applyBorder="1" applyAlignment="1">
      <alignment vertical="center"/>
    </xf>
    <xf numFmtId="3" fontId="69" fillId="43" borderId="13" xfId="0" applyNumberFormat="1" applyFont="1" applyFill="1" applyBorder="1" applyAlignment="1">
      <alignment vertical="center"/>
    </xf>
    <xf numFmtId="0" fontId="5" fillId="0" borderId="27" xfId="0" applyNumberFormat="1" applyFont="1" applyFill="1" applyBorder="1" applyAlignment="1">
      <alignment horizontal="center" vertical="center"/>
    </xf>
    <xf numFmtId="0" fontId="5" fillId="0" borderId="28" xfId="0" applyNumberFormat="1" applyFont="1" applyFill="1" applyBorder="1" applyAlignment="1">
      <alignment horizontal="center" vertical="center"/>
    </xf>
    <xf numFmtId="0" fontId="5" fillId="0" borderId="29" xfId="0" applyNumberFormat="1" applyFont="1" applyFill="1" applyBorder="1" applyAlignment="1">
      <alignment horizontal="center" vertical="center"/>
    </xf>
    <xf numFmtId="169" fontId="5" fillId="0" borderId="28" xfId="0" applyNumberFormat="1" applyFont="1" applyFill="1" applyBorder="1" applyAlignment="1">
      <alignment vertical="center"/>
    </xf>
    <xf numFmtId="169" fontId="5" fillId="0" borderId="29" xfId="0" applyNumberFormat="1" applyFont="1" applyFill="1" applyBorder="1" applyAlignment="1">
      <alignment vertical="center"/>
    </xf>
    <xf numFmtId="169" fontId="5" fillId="0" borderId="27" xfId="0" applyNumberFormat="1" applyFont="1" applyFill="1" applyBorder="1" applyAlignment="1">
      <alignment vertical="center"/>
    </xf>
    <xf numFmtId="0" fontId="68" fillId="45" borderId="14" xfId="0" applyFont="1" applyFill="1" applyBorder="1" applyAlignment="1">
      <alignment vertical="center"/>
    </xf>
    <xf numFmtId="9" fontId="17" fillId="0" borderId="30" xfId="0" applyNumberFormat="1" applyFont="1" applyFill="1" applyBorder="1" applyAlignment="1">
      <alignment vertical="center"/>
    </xf>
    <xf numFmtId="9" fontId="17" fillId="0" borderId="31" xfId="0" applyNumberFormat="1" applyFont="1" applyFill="1" applyBorder="1" applyAlignment="1">
      <alignment vertical="center"/>
    </xf>
    <xf numFmtId="3" fontId="10" fillId="43" borderId="14" xfId="0" applyNumberFormat="1" applyFont="1" applyFill="1" applyBorder="1" applyAlignment="1">
      <alignment vertical="center"/>
    </xf>
    <xf numFmtId="9" fontId="5" fillId="0" borderId="31" xfId="0" applyNumberFormat="1" applyFont="1" applyFill="1" applyBorder="1" applyAlignment="1">
      <alignment vertical="center"/>
    </xf>
    <xf numFmtId="9" fontId="5" fillId="0" borderId="30" xfId="0" applyNumberFormat="1" applyFont="1" applyFill="1" applyBorder="1" applyAlignment="1">
      <alignment vertical="center"/>
    </xf>
    <xf numFmtId="3" fontId="5" fillId="0" borderId="31" xfId="0" applyNumberFormat="1" applyFont="1" applyFill="1" applyBorder="1" applyAlignment="1">
      <alignment vertical="center"/>
    </xf>
    <xf numFmtId="169" fontId="5" fillId="0" borderId="30" xfId="0" applyNumberFormat="1" applyFont="1" applyFill="1" applyBorder="1" applyAlignment="1">
      <alignment vertical="center"/>
    </xf>
    <xf numFmtId="3" fontId="10" fillId="43" borderId="4" xfId="0" applyNumberFormat="1" applyFont="1" applyFill="1" applyBorder="1" applyAlignment="1">
      <alignment vertical="center"/>
    </xf>
    <xf numFmtId="0" fontId="17" fillId="43" borderId="9" xfId="0" applyFont="1" applyFill="1" applyBorder="1" applyAlignment="1">
      <alignment horizontal="center" vertical="center"/>
    </xf>
    <xf numFmtId="0" fontId="10" fillId="43" borderId="0" xfId="0" applyFont="1" applyFill="1" applyBorder="1" applyAlignment="1">
      <alignment horizontal="center" vertical="center"/>
    </xf>
    <xf numFmtId="0" fontId="68" fillId="43" borderId="13" xfId="0" applyFont="1" applyFill="1" applyBorder="1" applyAlignment="1">
      <alignment vertical="center"/>
    </xf>
    <xf numFmtId="38" fontId="5" fillId="43" borderId="8" xfId="0" applyNumberFormat="1" applyFont="1" applyFill="1" applyBorder="1" applyAlignment="1">
      <alignment vertical="center"/>
    </xf>
    <xf numFmtId="3" fontId="5" fillId="43" borderId="12" xfId="0" applyNumberFormat="1" applyFont="1" applyFill="1" applyBorder="1" applyAlignment="1">
      <alignment horizontal="center" vertical="center"/>
    </xf>
    <xf numFmtId="0" fontId="5" fillId="43" borderId="13" xfId="0" applyFont="1" applyFill="1" applyBorder="1" applyAlignment="1">
      <alignment horizontal="center" vertical="center"/>
    </xf>
    <xf numFmtId="1" fontId="5" fillId="43" borderId="8" xfId="0" applyNumberFormat="1" applyFont="1" applyFill="1" applyBorder="1" applyAlignment="1">
      <alignment vertical="center"/>
    </xf>
    <xf numFmtId="1" fontId="6" fillId="45" borderId="15" xfId="0" applyNumberFormat="1" applyFont="1" applyFill="1" applyBorder="1" applyAlignment="1">
      <alignment vertical="center"/>
    </xf>
    <xf numFmtId="0" fontId="28" fillId="43" borderId="6" xfId="0" applyFont="1" applyFill="1" applyBorder="1" applyAlignment="1">
      <alignment vertical="center"/>
    </xf>
    <xf numFmtId="0" fontId="5" fillId="43" borderId="1" xfId="0" applyFont="1" applyFill="1" applyBorder="1" applyAlignment="1">
      <alignment vertical="center"/>
    </xf>
    <xf numFmtId="0" fontId="5" fillId="43" borderId="0" xfId="0" applyFont="1" applyFill="1" applyAlignment="1">
      <alignment horizontal="right" vertical="center"/>
    </xf>
    <xf numFmtId="174" fontId="5" fillId="43" borderId="1" xfId="63" applyNumberFormat="1" applyFont="1" applyFill="1" applyBorder="1" applyAlignment="1">
      <alignment vertical="center"/>
    </xf>
    <xf numFmtId="9" fontId="10" fillId="45" borderId="4" xfId="0" applyNumberFormat="1" applyFont="1" applyFill="1" applyBorder="1" applyAlignment="1">
      <alignment vertical="center"/>
    </xf>
    <xf numFmtId="0" fontId="17" fillId="43" borderId="0" xfId="0" applyFont="1" applyFill="1" applyBorder="1" applyAlignment="1">
      <alignment horizontal="center" vertical="center"/>
    </xf>
    <xf numFmtId="4" fontId="5" fillId="43" borderId="2" xfId="0" applyNumberFormat="1" applyFont="1" applyFill="1" applyBorder="1" applyAlignment="1">
      <alignment vertical="center"/>
    </xf>
    <xf numFmtId="167" fontId="17" fillId="43" borderId="0" xfId="0" applyNumberFormat="1" applyFont="1" applyFill="1" applyBorder="1" applyAlignment="1">
      <alignment vertical="center" wrapText="1"/>
    </xf>
    <xf numFmtId="0" fontId="17" fillId="43" borderId="7" xfId="0" applyFont="1" applyFill="1" applyBorder="1" applyAlignment="1">
      <alignment horizontal="left" vertical="center"/>
    </xf>
    <xf numFmtId="0" fontId="17" fillId="43" borderId="0" xfId="0" applyFont="1" applyFill="1" applyBorder="1" applyAlignment="1">
      <alignment horizontal="left" vertical="center"/>
    </xf>
    <xf numFmtId="0" fontId="21" fillId="43" borderId="0" xfId="0" applyFont="1" applyFill="1" applyBorder="1" applyAlignment="1">
      <alignment horizontal="left" vertical="center"/>
    </xf>
    <xf numFmtId="0" fontId="10" fillId="43" borderId="2" xfId="0" applyFont="1" applyFill="1" applyBorder="1" applyAlignment="1">
      <alignment horizontal="center" vertical="center"/>
    </xf>
    <xf numFmtId="0" fontId="17" fillId="43" borderId="2" xfId="0" applyFont="1" applyFill="1" applyBorder="1" applyAlignment="1">
      <alignment horizontal="center" vertical="center"/>
    </xf>
    <xf numFmtId="0" fontId="5" fillId="0" borderId="27" xfId="0" applyFont="1" applyFill="1" applyBorder="1" applyAlignment="1">
      <alignment vertical="center"/>
    </xf>
    <xf numFmtId="169" fontId="61" fillId="43" borderId="0" xfId="0" applyNumberFormat="1" applyFont="1" applyFill="1" applyBorder="1" applyAlignment="1">
      <alignment vertical="center"/>
    </xf>
    <xf numFmtId="3" fontId="61" fillId="0" borderId="27" xfId="0" applyNumberFormat="1" applyFont="1" applyFill="1" applyBorder="1" applyAlignment="1">
      <alignment vertical="center"/>
    </xf>
    <xf numFmtId="3" fontId="61" fillId="0" borderId="28" xfId="0" applyNumberFormat="1" applyFont="1" applyFill="1" applyBorder="1" applyAlignment="1">
      <alignment vertical="center"/>
    </xf>
    <xf numFmtId="3" fontId="61" fillId="0" borderId="29" xfId="0" applyNumberFormat="1" applyFont="1" applyFill="1" applyBorder="1" applyAlignment="1">
      <alignment vertical="center"/>
    </xf>
    <xf numFmtId="169" fontId="61" fillId="43" borderId="0" xfId="0" applyNumberFormat="1" applyFont="1" applyFill="1" applyBorder="1" applyAlignment="1">
      <alignment horizontal="right" vertical="center"/>
    </xf>
    <xf numFmtId="0" fontId="61" fillId="0" borderId="27" xfId="0" applyFont="1" applyFill="1" applyBorder="1" applyAlignment="1">
      <alignment vertical="center"/>
    </xf>
    <xf numFmtId="0" fontId="61" fillId="0" borderId="28" xfId="0" applyFont="1" applyFill="1" applyBorder="1" applyAlignment="1">
      <alignment vertical="center"/>
    </xf>
    <xf numFmtId="0" fontId="61" fillId="0" borderId="29" xfId="0" applyFont="1" applyFill="1" applyBorder="1" applyAlignment="1">
      <alignment vertical="center"/>
    </xf>
    <xf numFmtId="171" fontId="61" fillId="43" borderId="0" xfId="0" applyNumberFormat="1" applyFont="1" applyFill="1" applyBorder="1" applyAlignment="1">
      <alignment vertical="center"/>
    </xf>
    <xf numFmtId="0" fontId="5" fillId="2" borderId="0" xfId="0" applyFont="1" applyFill="1" applyAlignment="1">
      <alignment vertical="center"/>
    </xf>
    <xf numFmtId="3" fontId="5" fillId="0" borderId="1" xfId="0" applyNumberFormat="1" applyFont="1" applyBorder="1" applyAlignment="1">
      <alignment vertical="center"/>
    </xf>
    <xf numFmtId="3" fontId="5" fillId="0" borderId="3" xfId="0" applyNumberFormat="1" applyFont="1" applyBorder="1" applyAlignment="1">
      <alignment vertical="center"/>
    </xf>
    <xf numFmtId="0" fontId="5" fillId="2" borderId="0" xfId="0" applyFont="1" applyFill="1" applyBorder="1" applyAlignment="1">
      <alignment vertical="center"/>
    </xf>
    <xf numFmtId="0" fontId="8" fillId="0" borderId="0" xfId="0" applyFont="1" applyFill="1" applyAlignment="1">
      <alignment vertical="center"/>
    </xf>
    <xf numFmtId="0" fontId="5" fillId="48" borderId="1" xfId="0" applyFont="1" applyFill="1" applyBorder="1" applyAlignment="1">
      <alignment horizontal="center" vertical="center"/>
    </xf>
    <xf numFmtId="0" fontId="5" fillId="42" borderId="4" xfId="0" applyFont="1" applyFill="1" applyBorder="1" applyAlignment="1">
      <alignment vertical="center"/>
    </xf>
    <xf numFmtId="3" fontId="5" fillId="42" borderId="1" xfId="0" applyNumberFormat="1" applyFont="1" applyFill="1" applyBorder="1" applyAlignment="1">
      <alignment horizontal="right" vertical="center"/>
    </xf>
    <xf numFmtId="3" fontId="5" fillId="42" borderId="3" xfId="0" applyNumberFormat="1" applyFont="1" applyFill="1" applyBorder="1" applyAlignment="1">
      <alignment horizontal="right" vertical="center"/>
    </xf>
    <xf numFmtId="3" fontId="5" fillId="42" borderId="9" xfId="0" applyNumberFormat="1" applyFont="1" applyFill="1" applyBorder="1" applyAlignment="1">
      <alignment horizontal="right" vertical="center"/>
    </xf>
    <xf numFmtId="0" fontId="5" fillId="42" borderId="1" xfId="0" applyFont="1" applyFill="1" applyBorder="1" applyAlignment="1">
      <alignment horizontal="right" vertical="center"/>
    </xf>
    <xf numFmtId="0" fontId="5" fillId="42" borderId="3" xfId="0" applyFont="1" applyFill="1" applyBorder="1" applyAlignment="1">
      <alignment horizontal="right" vertical="center"/>
    </xf>
    <xf numFmtId="0" fontId="5" fillId="42" borderId="9" xfId="0" applyFont="1" applyFill="1" applyBorder="1" applyAlignment="1">
      <alignment horizontal="right" vertical="center"/>
    </xf>
    <xf numFmtId="165" fontId="5" fillId="42" borderId="1" xfId="0" applyNumberFormat="1" applyFont="1" applyFill="1" applyBorder="1" applyAlignment="1">
      <alignment vertical="center"/>
    </xf>
    <xf numFmtId="3" fontId="5" fillId="42" borderId="1" xfId="0" applyNumberFormat="1" applyFont="1" applyFill="1" applyBorder="1" applyAlignment="1">
      <alignment vertical="center"/>
    </xf>
    <xf numFmtId="4" fontId="5" fillId="42" borderId="1" xfId="0" applyNumberFormat="1" applyFont="1" applyFill="1" applyBorder="1" applyAlignment="1">
      <alignment vertical="center"/>
    </xf>
    <xf numFmtId="11" fontId="5" fillId="42" borderId="1" xfId="0" applyNumberFormat="1" applyFont="1" applyFill="1" applyBorder="1" applyAlignment="1">
      <alignment vertical="center"/>
    </xf>
    <xf numFmtId="169" fontId="5" fillId="42" borderId="1" xfId="0" applyNumberFormat="1" applyFont="1" applyFill="1" applyBorder="1" applyAlignment="1">
      <alignment vertical="center"/>
    </xf>
    <xf numFmtId="176" fontId="5" fillId="42" borderId="1" xfId="0" applyNumberFormat="1" applyFont="1" applyFill="1" applyBorder="1" applyAlignment="1">
      <alignment vertical="center"/>
    </xf>
    <xf numFmtId="177" fontId="5" fillId="42" borderId="1" xfId="0" applyNumberFormat="1" applyFont="1" applyFill="1" applyBorder="1" applyAlignment="1">
      <alignment vertical="center"/>
    </xf>
    <xf numFmtId="175" fontId="5" fillId="42" borderId="1" xfId="0" applyNumberFormat="1" applyFont="1" applyFill="1" applyBorder="1" applyAlignment="1">
      <alignment vertical="center"/>
    </xf>
    <xf numFmtId="172" fontId="5" fillId="42" borderId="1" xfId="0" applyNumberFormat="1" applyFont="1" applyFill="1" applyBorder="1" applyAlignment="1">
      <alignment vertical="center"/>
    </xf>
    <xf numFmtId="170" fontId="5" fillId="42" borderId="1" xfId="0" applyNumberFormat="1" applyFont="1" applyFill="1" applyBorder="1" applyAlignment="1">
      <alignment vertical="center"/>
    </xf>
    <xf numFmtId="167" fontId="5" fillId="42" borderId="1" xfId="0" applyNumberFormat="1" applyFont="1" applyFill="1" applyBorder="1" applyAlignment="1">
      <alignment vertical="center"/>
    </xf>
    <xf numFmtId="0" fontId="5" fillId="48" borderId="1" xfId="0" applyFont="1" applyFill="1" applyBorder="1" applyAlignment="1">
      <alignment horizontal="center" vertical="center" wrapText="1"/>
    </xf>
    <xf numFmtId="0" fontId="5" fillId="48" borderId="1" xfId="0" applyFont="1" applyFill="1" applyBorder="1" applyAlignment="1">
      <alignment horizontal="right" vertical="center"/>
    </xf>
    <xf numFmtId="0" fontId="69" fillId="42" borderId="1" xfId="0" applyFont="1" applyFill="1" applyBorder="1" applyAlignment="1">
      <alignment horizontal="center" vertical="center"/>
    </xf>
    <xf numFmtId="3" fontId="68" fillId="42" borderId="9" xfId="0" applyNumberFormat="1" applyFont="1" applyFill="1" applyBorder="1" applyAlignment="1">
      <alignment vertical="center"/>
    </xf>
    <xf numFmtId="3" fontId="68" fillId="42" borderId="1" xfId="0" applyNumberFormat="1" applyFont="1" applyFill="1" applyBorder="1" applyAlignment="1">
      <alignment vertical="center"/>
    </xf>
    <xf numFmtId="3" fontId="70" fillId="42" borderId="1" xfId="0" applyNumberFormat="1" applyFont="1" applyFill="1" applyBorder="1" applyAlignment="1">
      <alignment vertical="center"/>
    </xf>
    <xf numFmtId="0" fontId="68" fillId="0" borderId="0" xfId="0" applyFont="1" applyAlignment="1">
      <alignment vertical="center"/>
    </xf>
    <xf numFmtId="3" fontId="68" fillId="0" borderId="0" xfId="0" applyNumberFormat="1" applyFont="1" applyAlignment="1">
      <alignment vertical="center"/>
    </xf>
    <xf numFmtId="174" fontId="68" fillId="0" borderId="0" xfId="63" applyNumberFormat="1" applyFont="1" applyAlignment="1">
      <alignment vertical="center"/>
    </xf>
    <xf numFmtId="3" fontId="5" fillId="0" borderId="0" xfId="35" applyFont="1" applyAlignment="1">
      <alignment vertical="center"/>
    </xf>
    <xf numFmtId="3" fontId="5" fillId="0" borderId="0" xfId="35" applyFont="1" applyAlignment="1">
      <alignment horizontal="right" vertical="center"/>
    </xf>
    <xf numFmtId="9" fontId="5" fillId="0" borderId="0" xfId="63" applyFont="1" applyAlignment="1">
      <alignment horizontal="right" vertical="center"/>
    </xf>
    <xf numFmtId="3" fontId="5" fillId="0" borderId="0" xfId="35" applyFont="1" applyFill="1" applyAlignment="1">
      <alignment vertical="center"/>
    </xf>
    <xf numFmtId="3" fontId="5" fillId="0" borderId="0" xfId="35" applyFont="1" applyFill="1" applyAlignment="1">
      <alignment horizontal="right" vertical="center"/>
    </xf>
    <xf numFmtId="3" fontId="22" fillId="0" borderId="0" xfId="35" applyFont="1" applyAlignment="1">
      <alignment vertical="center"/>
    </xf>
    <xf numFmtId="9" fontId="22" fillId="0" borderId="0" xfId="63" applyFont="1" applyAlignment="1">
      <alignment vertical="center"/>
    </xf>
    <xf numFmtId="3" fontId="22" fillId="0" borderId="0" xfId="35" applyFont="1" applyFill="1" applyAlignment="1">
      <alignment vertical="center"/>
    </xf>
    <xf numFmtId="3" fontId="22" fillId="0" borderId="0" xfId="0" applyNumberFormat="1" applyFont="1" applyAlignment="1">
      <alignment vertical="center"/>
    </xf>
    <xf numFmtId="0" fontId="26" fillId="0" borderId="0" xfId="0" applyFont="1" applyAlignment="1">
      <alignment vertical="center"/>
    </xf>
    <xf numFmtId="0" fontId="5" fillId="44" borderId="5" xfId="0" applyFont="1" applyFill="1" applyBorder="1" applyAlignment="1">
      <alignment vertical="center"/>
    </xf>
    <xf numFmtId="0" fontId="5" fillId="44" borderId="2" xfId="0" applyFont="1" applyFill="1" applyBorder="1" applyAlignment="1">
      <alignment vertical="center"/>
    </xf>
    <xf numFmtId="3" fontId="5" fillId="44" borderId="3" xfId="0" applyNumberFormat="1" applyFont="1" applyFill="1" applyBorder="1" applyAlignment="1">
      <alignment vertical="center"/>
    </xf>
    <xf numFmtId="0" fontId="5" fillId="44" borderId="7" xfId="0" applyFont="1" applyFill="1" applyBorder="1" applyAlignment="1">
      <alignment vertical="center"/>
    </xf>
    <xf numFmtId="0" fontId="5" fillId="44" borderId="0" xfId="0" applyFont="1" applyFill="1" applyBorder="1" applyAlignment="1">
      <alignment vertical="center"/>
    </xf>
    <xf numFmtId="3" fontId="5" fillId="44" borderId="10" xfId="0" applyNumberFormat="1" applyFont="1" applyFill="1" applyBorder="1" applyAlignment="1">
      <alignment vertical="center"/>
    </xf>
    <xf numFmtId="0" fontId="5" fillId="44" borderId="11" xfId="0" applyFont="1" applyFill="1" applyBorder="1" applyAlignment="1">
      <alignment vertical="center"/>
    </xf>
    <xf numFmtId="0" fontId="5" fillId="44" borderId="12" xfId="0" applyFont="1" applyFill="1" applyBorder="1" applyAlignment="1">
      <alignment vertical="center"/>
    </xf>
    <xf numFmtId="3" fontId="5" fillId="44" borderId="9" xfId="0" applyNumberFormat="1" applyFont="1" applyFill="1" applyBorder="1" applyAlignment="1">
      <alignment vertical="center"/>
    </xf>
    <xf numFmtId="0" fontId="5" fillId="44" borderId="15" xfId="0" applyFont="1" applyFill="1" applyBorder="1" applyAlignment="1">
      <alignment vertical="center"/>
    </xf>
    <xf numFmtId="3" fontId="29" fillId="0" borderId="0" xfId="0" applyNumberFormat="1" applyFont="1" applyFill="1" applyBorder="1" applyAlignment="1">
      <alignment vertical="center"/>
    </xf>
    <xf numFmtId="3" fontId="11" fillId="0" borderId="0" xfId="0" applyNumberFormat="1" applyFont="1" applyAlignment="1">
      <alignment vertical="center"/>
    </xf>
    <xf numFmtId="3" fontId="27" fillId="0" borderId="0" xfId="0" applyNumberFormat="1" applyFont="1" applyFill="1" applyBorder="1" applyAlignment="1">
      <alignment vertical="center"/>
    </xf>
    <xf numFmtId="3" fontId="27" fillId="0" borderId="0" xfId="0" applyNumberFormat="1" applyFont="1" applyBorder="1" applyAlignment="1">
      <alignment vertical="center"/>
    </xf>
    <xf numFmtId="3" fontId="6" fillId="49" borderId="1" xfId="35" applyFont="1" applyFill="1" applyBorder="1" applyAlignment="1">
      <alignment vertical="center"/>
    </xf>
    <xf numFmtId="9" fontId="6" fillId="49" borderId="1" xfId="63" applyFont="1" applyFill="1" applyBorder="1" applyAlignment="1">
      <alignment vertical="center"/>
    </xf>
    <xf numFmtId="3" fontId="5" fillId="49" borderId="1" xfId="0" applyNumberFormat="1" applyFont="1" applyFill="1" applyBorder="1" applyAlignment="1">
      <alignment vertical="center"/>
    </xf>
    <xf numFmtId="3" fontId="5" fillId="49" borderId="1" xfId="35" applyFont="1" applyFill="1" applyBorder="1" applyAlignment="1">
      <alignment horizontal="right" vertical="center"/>
    </xf>
    <xf numFmtId="3" fontId="5" fillId="42" borderId="1" xfId="35" applyFont="1" applyFill="1" applyBorder="1" applyAlignment="1">
      <alignment horizontal="right" vertical="center"/>
    </xf>
    <xf numFmtId="3" fontId="59" fillId="36" borderId="1" xfId="0" applyNumberFormat="1" applyFont="1" applyFill="1" applyBorder="1" applyAlignment="1">
      <alignment horizontal="center" vertical="center"/>
    </xf>
    <xf numFmtId="0" fontId="5" fillId="44" borderId="4" xfId="0" applyFont="1" applyFill="1" applyBorder="1" applyAlignment="1">
      <alignment horizontal="left" vertical="center"/>
    </xf>
    <xf numFmtId="3" fontId="23" fillId="48" borderId="1" xfId="35" applyFont="1" applyFill="1" applyBorder="1" applyAlignment="1">
      <alignment vertical="center"/>
    </xf>
    <xf numFmtId="9" fontId="23" fillId="48" borderId="1" xfId="63" applyFont="1" applyFill="1" applyBorder="1" applyAlignment="1">
      <alignment vertical="center"/>
    </xf>
    <xf numFmtId="0" fontId="56" fillId="42" borderId="1" xfId="0" applyFont="1" applyFill="1" applyBorder="1" applyAlignment="1">
      <alignment horizontal="center" vertical="center"/>
    </xf>
    <xf numFmtId="0" fontId="56" fillId="42" borderId="4" xfId="0" applyFont="1" applyFill="1" applyBorder="1" applyAlignment="1">
      <alignment horizontal="center" vertical="center"/>
    </xf>
    <xf numFmtId="9" fontId="5" fillId="0" borderId="0" xfId="63" applyFont="1" applyFill="1" applyAlignment="1">
      <alignment vertical="center"/>
    </xf>
    <xf numFmtId="3" fontId="5" fillId="49" borderId="1" xfId="35" applyFont="1" applyFill="1" applyBorder="1" applyAlignment="1">
      <alignment vertical="center"/>
    </xf>
    <xf numFmtId="9" fontId="5" fillId="49" borderId="1" xfId="63" applyFont="1" applyFill="1" applyBorder="1" applyAlignment="1">
      <alignment vertical="center"/>
    </xf>
    <xf numFmtId="3" fontId="6" fillId="42" borderId="1" xfId="35" applyFont="1" applyFill="1" applyBorder="1" applyAlignment="1">
      <alignment vertical="center"/>
    </xf>
    <xf numFmtId="9" fontId="6" fillId="42" borderId="1" xfId="63" applyFont="1" applyFill="1" applyBorder="1" applyAlignment="1">
      <alignment vertical="center"/>
    </xf>
    <xf numFmtId="0" fontId="59" fillId="36" borderId="1" xfId="0" applyFont="1" applyFill="1" applyBorder="1" applyAlignment="1">
      <alignment horizontal="center" vertical="center"/>
    </xf>
    <xf numFmtId="0" fontId="72" fillId="42" borderId="1" xfId="34" applyFont="1" applyFill="1" applyBorder="1" applyAlignment="1" applyProtection="1">
      <alignment horizontal="center" vertical="center"/>
    </xf>
    <xf numFmtId="3" fontId="23" fillId="42" borderId="1" xfId="35" applyFont="1" applyFill="1" applyBorder="1" applyAlignment="1">
      <alignment horizontal="right" vertical="center"/>
    </xf>
    <xf numFmtId="9" fontId="23" fillId="42" borderId="1" xfId="63" applyFont="1" applyFill="1" applyBorder="1" applyAlignment="1">
      <alignment horizontal="right" vertical="center"/>
    </xf>
    <xf numFmtId="9" fontId="5" fillId="42" borderId="1" xfId="63" applyFont="1" applyFill="1" applyBorder="1" applyAlignment="1">
      <alignment horizontal="right" vertical="center"/>
    </xf>
    <xf numFmtId="3" fontId="5" fillId="42" borderId="1" xfId="35" applyFont="1" applyFill="1" applyBorder="1" applyAlignment="1">
      <alignment vertical="center"/>
    </xf>
    <xf numFmtId="9" fontId="5" fillId="42" borderId="1" xfId="63" applyFont="1" applyFill="1" applyBorder="1" applyAlignment="1">
      <alignment vertical="center"/>
    </xf>
    <xf numFmtId="3" fontId="5" fillId="0" borderId="0" xfId="0" applyNumberFormat="1" applyFont="1" applyAlignment="1">
      <alignment horizontal="right" vertical="center"/>
    </xf>
    <xf numFmtId="0" fontId="72" fillId="49" borderId="1" xfId="34" applyFont="1" applyFill="1" applyBorder="1" applyAlignment="1" applyProtection="1">
      <alignment horizontal="center" vertical="center"/>
    </xf>
    <xf numFmtId="3" fontId="23" fillId="49" borderId="1" xfId="35" applyFont="1" applyFill="1" applyBorder="1" applyAlignment="1">
      <alignment horizontal="right" vertical="center"/>
    </xf>
    <xf numFmtId="9" fontId="23" fillId="49" borderId="1" xfId="63" applyFont="1" applyFill="1" applyBorder="1" applyAlignment="1">
      <alignment horizontal="right" vertical="center"/>
    </xf>
    <xf numFmtId="9" fontId="5" fillId="49" borderId="1" xfId="63" applyFont="1" applyFill="1" applyBorder="1" applyAlignment="1">
      <alignment horizontal="right" vertical="center"/>
    </xf>
    <xf numFmtId="3" fontId="6" fillId="0" borderId="0" xfId="35" applyFont="1" applyAlignment="1">
      <alignment horizontal="right" vertical="center"/>
    </xf>
    <xf numFmtId="9" fontId="6" fillId="0" borderId="0" xfId="63" applyFont="1" applyAlignment="1">
      <alignment horizontal="right" vertical="center"/>
    </xf>
    <xf numFmtId="3" fontId="6" fillId="0" borderId="0" xfId="35" applyFont="1" applyFill="1" applyAlignment="1">
      <alignment horizontal="right" vertical="center"/>
    </xf>
    <xf numFmtId="3" fontId="6" fillId="0" borderId="0" xfId="0" applyNumberFormat="1" applyFont="1" applyAlignment="1">
      <alignment vertical="center"/>
    </xf>
    <xf numFmtId="0" fontId="6" fillId="42" borderId="4" xfId="0" applyFont="1" applyFill="1" applyBorder="1" applyAlignment="1">
      <alignment vertical="center"/>
    </xf>
    <xf numFmtId="0" fontId="6" fillId="49" borderId="4" xfId="0" applyFont="1" applyFill="1" applyBorder="1" applyAlignment="1">
      <alignment vertical="center"/>
    </xf>
    <xf numFmtId="0" fontId="23" fillId="48" borderId="1" xfId="0" applyFont="1" applyFill="1" applyBorder="1" applyAlignment="1">
      <alignment horizontal="center" vertical="center"/>
    </xf>
    <xf numFmtId="0" fontId="8" fillId="0" borderId="8" xfId="0" applyFont="1" applyFill="1" applyBorder="1" applyAlignment="1">
      <alignment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61" fillId="43" borderId="0" xfId="0" applyFont="1" applyFill="1" applyBorder="1" applyAlignment="1">
      <alignment horizontal="center" vertical="center"/>
    </xf>
    <xf numFmtId="0" fontId="5"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6" fillId="43" borderId="0" xfId="0" applyFont="1" applyFill="1" applyBorder="1" applyAlignment="1">
      <alignment horizontal="center" vertical="center"/>
    </xf>
    <xf numFmtId="0" fontId="6" fillId="43" borderId="2" xfId="0" applyFont="1" applyFill="1" applyBorder="1" applyAlignment="1">
      <alignment horizontal="center" vertical="center"/>
    </xf>
    <xf numFmtId="0" fontId="5" fillId="43" borderId="0" xfId="0" applyFont="1" applyFill="1" applyBorder="1" applyAlignment="1">
      <alignment horizontal="center" vertical="center"/>
    </xf>
    <xf numFmtId="0" fontId="6" fillId="43" borderId="8" xfId="0" applyFont="1" applyFill="1" applyBorder="1" applyAlignment="1">
      <alignment horizontal="center" vertical="center"/>
    </xf>
    <xf numFmtId="0" fontId="5" fillId="43" borderId="7" xfId="0" applyFont="1" applyFill="1" applyBorder="1" applyAlignment="1">
      <alignment horizontal="center" vertical="center"/>
    </xf>
    <xf numFmtId="0" fontId="5" fillId="0" borderId="27" xfId="0" applyFont="1" applyFill="1" applyBorder="1" applyAlignment="1">
      <alignment horizontal="center" vertical="center"/>
    </xf>
    <xf numFmtId="3" fontId="17" fillId="0" borderId="27" xfId="35" applyFont="1" applyFill="1" applyBorder="1" applyAlignment="1">
      <alignment vertical="center"/>
    </xf>
    <xf numFmtId="3" fontId="17" fillId="0" borderId="28" xfId="35" applyFont="1" applyFill="1" applyBorder="1" applyAlignment="1">
      <alignment vertical="center"/>
    </xf>
    <xf numFmtId="3" fontId="17" fillId="0" borderId="29" xfId="35" applyFont="1" applyFill="1" applyBorder="1" applyAlignment="1">
      <alignment vertical="center"/>
    </xf>
    <xf numFmtId="180" fontId="5" fillId="0" borderId="0" xfId="0" applyNumberFormat="1" applyFont="1"/>
    <xf numFmtId="1" fontId="5" fillId="0" borderId="0" xfId="0" applyNumberFormat="1" applyFont="1" applyBorder="1"/>
    <xf numFmtId="0" fontId="6" fillId="43" borderId="0" xfId="0" applyFont="1" applyFill="1" applyBorder="1" applyAlignment="1">
      <alignment horizontal="center" vertical="center"/>
    </xf>
    <xf numFmtId="0" fontId="60" fillId="43" borderId="0" xfId="0" applyFont="1" applyFill="1" applyBorder="1" applyAlignment="1">
      <alignment horizontal="center" vertical="center"/>
    </xf>
    <xf numFmtId="0" fontId="5"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5" fillId="43" borderId="0" xfId="0" applyFont="1" applyFill="1" applyBorder="1" applyAlignment="1">
      <alignment horizontal="center" vertical="center"/>
    </xf>
    <xf numFmtId="2" fontId="5" fillId="0" borderId="0" xfId="0" applyNumberFormat="1" applyFont="1"/>
    <xf numFmtId="181" fontId="5" fillId="0" borderId="0" xfId="0" applyNumberFormat="1" applyFont="1" applyAlignment="1">
      <alignment vertical="center"/>
    </xf>
    <xf numFmtId="176" fontId="5" fillId="0" borderId="0" xfId="0" applyNumberFormat="1" applyFont="1" applyAlignment="1">
      <alignment vertical="center"/>
    </xf>
    <xf numFmtId="2" fontId="5" fillId="0" borderId="0" xfId="0" applyNumberFormat="1" applyFont="1" applyFill="1"/>
    <xf numFmtId="0" fontId="5" fillId="0" borderId="14" xfId="0" applyFont="1" applyFill="1" applyBorder="1" applyAlignment="1">
      <alignment vertical="center"/>
    </xf>
    <xf numFmtId="0" fontId="61" fillId="45" borderId="14" xfId="0" applyFont="1" applyFill="1" applyBorder="1" applyAlignment="1">
      <alignment vertical="center"/>
    </xf>
    <xf numFmtId="0" fontId="61"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5" fillId="0" borderId="31" xfId="0" applyFont="1" applyFill="1" applyBorder="1" applyAlignment="1">
      <alignment vertical="center"/>
    </xf>
    <xf numFmtId="0" fontId="61" fillId="43" borderId="0" xfId="0" applyFont="1" applyFill="1" applyBorder="1" applyAlignment="1">
      <alignment horizontal="center" vertical="center"/>
    </xf>
    <xf numFmtId="9" fontId="5" fillId="0" borderId="0" xfId="63" applyFont="1" applyFill="1" applyBorder="1"/>
    <xf numFmtId="9" fontId="61" fillId="43" borderId="27" xfId="63" applyNumberFormat="1" applyFont="1" applyFill="1" applyBorder="1" applyAlignment="1">
      <alignment horizontal="center" vertical="center"/>
    </xf>
    <xf numFmtId="9" fontId="61" fillId="43" borderId="28" xfId="63" applyNumberFormat="1" applyFont="1" applyFill="1" applyBorder="1" applyAlignment="1">
      <alignment horizontal="center" vertical="center"/>
    </xf>
    <xf numFmtId="9" fontId="61" fillId="43" borderId="29" xfId="63" applyNumberFormat="1" applyFont="1" applyFill="1" applyBorder="1" applyAlignment="1">
      <alignment horizontal="center" vertical="center"/>
    </xf>
    <xf numFmtId="0" fontId="5" fillId="0" borderId="0" xfId="0" applyFont="1" applyFill="1" applyBorder="1" applyAlignment="1"/>
    <xf numFmtId="0" fontId="6" fillId="43" borderId="0" xfId="0" applyFont="1" applyFill="1" applyBorder="1" applyAlignment="1">
      <alignment horizontal="center" vertical="center"/>
    </xf>
    <xf numFmtId="0" fontId="60"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5" fillId="43" borderId="8" xfId="0" applyFont="1" applyFill="1" applyBorder="1" applyAlignment="1">
      <alignment horizontal="center" vertical="center"/>
    </xf>
    <xf numFmtId="2" fontId="5" fillId="43" borderId="0" xfId="0" applyNumberFormat="1" applyFont="1" applyFill="1" applyBorder="1" applyAlignment="1">
      <alignment horizontal="right" vertical="center"/>
    </xf>
    <xf numFmtId="0" fontId="6" fillId="43" borderId="7" xfId="0" applyFont="1" applyFill="1" applyBorder="1" applyAlignment="1">
      <alignment horizontal="center" vertical="center"/>
    </xf>
    <xf numFmtId="0" fontId="6" fillId="43" borderId="0" xfId="0" applyFont="1" applyFill="1" applyBorder="1" applyAlignment="1">
      <alignment horizontal="center" vertical="center"/>
    </xf>
    <xf numFmtId="0" fontId="5" fillId="43" borderId="0" xfId="0" applyFont="1" applyFill="1" applyBorder="1" applyAlignment="1">
      <alignment horizontal="center" vertical="center"/>
    </xf>
    <xf numFmtId="0" fontId="60"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8" xfId="0" applyFont="1" applyFill="1" applyBorder="1" applyAlignment="1">
      <alignment horizontal="center" vertical="center"/>
    </xf>
    <xf numFmtId="0" fontId="6" fillId="43" borderId="8" xfId="0" applyFont="1" applyFill="1" applyBorder="1" applyAlignment="1">
      <alignment horizontal="center" vertical="center"/>
    </xf>
    <xf numFmtId="171" fontId="5" fillId="0" borderId="0" xfId="0" applyNumberFormat="1" applyFont="1"/>
    <xf numFmtId="9" fontId="5" fillId="0" borderId="28" xfId="63" applyFont="1" applyFill="1" applyBorder="1" applyAlignment="1">
      <alignment horizontal="center"/>
    </xf>
    <xf numFmtId="2" fontId="5" fillId="0" borderId="0" xfId="63" applyNumberFormat="1" applyFont="1" applyFill="1" applyBorder="1"/>
    <xf numFmtId="1" fontId="5" fillId="0" borderId="0" xfId="63" applyNumberFormat="1" applyFont="1" applyFill="1" applyBorder="1"/>
    <xf numFmtId="0" fontId="57" fillId="44" borderId="1" xfId="0" applyFont="1" applyFill="1" applyBorder="1" applyAlignment="1">
      <alignment horizontal="center" vertical="center"/>
    </xf>
    <xf numFmtId="3" fontId="5" fillId="43" borderId="7" xfId="35" applyFont="1" applyFill="1" applyBorder="1" applyAlignment="1">
      <alignment vertical="center"/>
    </xf>
    <xf numFmtId="3" fontId="5" fillId="43" borderId="0" xfId="35" applyFont="1" applyFill="1" applyBorder="1" applyAlignment="1">
      <alignment vertical="center"/>
    </xf>
    <xf numFmtId="3" fontId="6" fillId="43" borderId="0" xfId="35" applyFont="1" applyFill="1" applyBorder="1" applyAlignment="1">
      <alignment vertical="center"/>
    </xf>
    <xf numFmtId="3" fontId="6" fillId="43" borderId="8" xfId="35" applyFont="1" applyFill="1" applyBorder="1" applyAlignment="1">
      <alignment vertical="center"/>
    </xf>
    <xf numFmtId="3" fontId="5" fillId="43" borderId="8" xfId="35" applyFont="1" applyFill="1" applyBorder="1" applyAlignment="1">
      <alignment vertical="center"/>
    </xf>
    <xf numFmtId="3" fontId="5" fillId="43" borderId="11" xfId="35" applyFont="1" applyFill="1" applyBorder="1" applyAlignment="1">
      <alignment vertical="center"/>
    </xf>
    <xf numFmtId="3" fontId="5" fillId="43" borderId="13" xfId="35" applyFont="1" applyFill="1" applyBorder="1" applyAlignment="1">
      <alignment vertical="center"/>
    </xf>
    <xf numFmtId="3" fontId="5" fillId="45" borderId="4" xfId="35" applyFont="1" applyFill="1" applyBorder="1" applyAlignment="1">
      <alignment vertical="center"/>
    </xf>
    <xf numFmtId="3" fontId="5" fillId="45" borderId="14" xfId="35" applyFont="1" applyFill="1" applyBorder="1" applyAlignment="1">
      <alignment vertical="center"/>
    </xf>
    <xf numFmtId="3" fontId="6" fillId="45" borderId="14" xfId="35" applyFont="1" applyFill="1" applyBorder="1" applyAlignment="1">
      <alignment vertical="center"/>
    </xf>
    <xf numFmtId="3" fontId="6" fillId="45" borderId="15" xfId="35" applyFont="1" applyFill="1" applyBorder="1" applyAlignment="1">
      <alignment vertical="center"/>
    </xf>
    <xf numFmtId="3" fontId="5" fillId="45" borderId="15" xfId="35" applyFont="1" applyFill="1" applyBorder="1" applyAlignment="1">
      <alignment vertical="center"/>
    </xf>
    <xf numFmtId="3" fontId="8" fillId="0" borderId="0" xfId="35" applyFont="1" applyAlignment="1">
      <alignment vertical="center"/>
    </xf>
    <xf numFmtId="3" fontId="6" fillId="43" borderId="5" xfId="35" applyFont="1" applyFill="1" applyBorder="1" applyAlignment="1">
      <alignment vertical="center"/>
    </xf>
    <xf numFmtId="3" fontId="6" fillId="43" borderId="6" xfId="35" applyFont="1" applyFill="1" applyBorder="1" applyAlignment="1">
      <alignment vertical="center"/>
    </xf>
    <xf numFmtId="3" fontId="61" fillId="43" borderId="7" xfId="35" applyFont="1" applyFill="1" applyBorder="1" applyAlignment="1">
      <alignment horizontal="center" vertical="center"/>
    </xf>
    <xf numFmtId="3" fontId="61" fillId="43" borderId="0" xfId="35" applyFont="1" applyFill="1" applyBorder="1" applyAlignment="1">
      <alignment horizontal="center" vertical="center"/>
    </xf>
    <xf numFmtId="3" fontId="60" fillId="43" borderId="0" xfId="35" applyFont="1" applyFill="1" applyBorder="1" applyAlignment="1">
      <alignment horizontal="center" vertical="center"/>
    </xf>
    <xf numFmtId="3" fontId="60" fillId="43" borderId="8" xfId="35" applyFont="1" applyFill="1" applyBorder="1" applyAlignment="1">
      <alignment horizontal="center" vertical="center"/>
    </xf>
    <xf numFmtId="3" fontId="61" fillId="43" borderId="8" xfId="35" applyFont="1" applyFill="1" applyBorder="1" applyAlignment="1">
      <alignment horizontal="center" vertical="center"/>
    </xf>
    <xf numFmtId="3" fontId="5" fillId="43" borderId="5" xfId="35" applyFont="1" applyFill="1" applyBorder="1" applyAlignment="1">
      <alignment vertical="center"/>
    </xf>
    <xf numFmtId="3" fontId="5" fillId="43" borderId="2" xfId="35" applyFont="1" applyFill="1" applyBorder="1" applyAlignment="1">
      <alignment vertical="center"/>
    </xf>
    <xf numFmtId="3" fontId="6" fillId="43" borderId="6" xfId="35" applyFont="1" applyFill="1" applyBorder="1" applyAlignment="1">
      <alignment horizontal="center" vertical="center"/>
    </xf>
    <xf numFmtId="3" fontId="5" fillId="43" borderId="3" xfId="35" applyFont="1" applyFill="1" applyBorder="1" applyAlignment="1">
      <alignment vertical="center"/>
    </xf>
    <xf numFmtId="3" fontId="6" fillId="43" borderId="8" xfId="35" applyFont="1" applyFill="1" applyBorder="1" applyAlignment="1">
      <alignment horizontal="center" vertical="center"/>
    </xf>
    <xf numFmtId="3" fontId="6" fillId="43" borderId="10" xfId="35" applyFont="1" applyFill="1" applyBorder="1" applyAlignment="1">
      <alignment vertical="center"/>
    </xf>
    <xf numFmtId="3" fontId="5" fillId="0" borderId="0" xfId="35" applyFont="1" applyAlignment="1">
      <alignment horizontal="center" vertical="center"/>
    </xf>
    <xf numFmtId="3" fontId="57" fillId="43" borderId="7" xfId="35" applyFont="1" applyFill="1" applyBorder="1" applyAlignment="1">
      <alignment horizontal="center" vertical="center"/>
    </xf>
    <xf numFmtId="3" fontId="57" fillId="43" borderId="0" xfId="35" applyFont="1" applyFill="1" applyBorder="1" applyAlignment="1">
      <alignment horizontal="center" vertical="center"/>
    </xf>
    <xf numFmtId="3" fontId="56" fillId="43" borderId="8" xfId="35" applyFont="1" applyFill="1" applyBorder="1" applyAlignment="1">
      <alignment horizontal="center" vertical="center"/>
    </xf>
    <xf numFmtId="3" fontId="57" fillId="43" borderId="10" xfId="35" applyFont="1" applyFill="1" applyBorder="1" applyAlignment="1">
      <alignment horizontal="center" vertical="center"/>
    </xf>
    <xf numFmtId="3" fontId="5" fillId="43" borderId="10" xfId="35" applyFont="1" applyFill="1" applyBorder="1" applyAlignment="1">
      <alignment vertical="center"/>
    </xf>
    <xf numFmtId="3" fontId="5" fillId="43" borderId="9" xfId="35" applyFont="1" applyFill="1" applyBorder="1" applyAlignment="1">
      <alignment vertical="center"/>
    </xf>
    <xf numFmtId="3" fontId="5" fillId="45" borderId="1" xfId="35" applyFont="1" applyFill="1" applyBorder="1" applyAlignment="1">
      <alignment vertical="center"/>
    </xf>
    <xf numFmtId="3" fontId="11" fillId="0" borderId="0" xfId="35" applyFont="1" applyAlignment="1">
      <alignment vertical="center"/>
    </xf>
    <xf numFmtId="3" fontId="16" fillId="0" borderId="0" xfId="35" applyFont="1" applyAlignment="1">
      <alignment vertical="center"/>
    </xf>
    <xf numFmtId="3" fontId="8" fillId="0" borderId="0" xfId="35" applyFont="1"/>
    <xf numFmtId="3" fontId="5" fillId="0" borderId="0" xfId="35" applyFont="1"/>
    <xf numFmtId="3" fontId="5" fillId="43" borderId="5" xfId="35" applyFont="1" applyFill="1" applyBorder="1"/>
    <xf numFmtId="3" fontId="5" fillId="43" borderId="2" xfId="35" applyFont="1" applyFill="1" applyBorder="1"/>
    <xf numFmtId="3" fontId="6" fillId="43" borderId="6" xfId="35" applyFont="1" applyFill="1" applyBorder="1" applyAlignment="1">
      <alignment horizontal="center"/>
    </xf>
    <xf numFmtId="3" fontId="5" fillId="43" borderId="3" xfId="35" applyFont="1" applyFill="1" applyBorder="1"/>
    <xf numFmtId="3" fontId="6" fillId="43" borderId="8" xfId="35" applyFont="1" applyFill="1" applyBorder="1" applyAlignment="1">
      <alignment horizontal="center"/>
    </xf>
    <xf numFmtId="3" fontId="6" fillId="43" borderId="10" xfId="35" applyFont="1" applyFill="1" applyBorder="1" applyAlignment="1"/>
    <xf numFmtId="3" fontId="57" fillId="43" borderId="7" xfId="35" applyFont="1" applyFill="1" applyBorder="1" applyAlignment="1">
      <alignment horizontal="center"/>
    </xf>
    <xf numFmtId="3" fontId="57" fillId="43" borderId="0" xfId="35" applyFont="1" applyFill="1" applyBorder="1" applyAlignment="1">
      <alignment horizontal="center"/>
    </xf>
    <xf numFmtId="3" fontId="56" fillId="43" borderId="8" xfId="35" applyFont="1" applyFill="1" applyBorder="1" applyAlignment="1">
      <alignment horizontal="center"/>
    </xf>
    <xf numFmtId="3" fontId="57" fillId="43" borderId="10" xfId="35" applyFont="1" applyFill="1" applyBorder="1" applyAlignment="1">
      <alignment horizontal="center"/>
    </xf>
    <xf numFmtId="3" fontId="5" fillId="43" borderId="7" xfId="35" applyFont="1" applyFill="1" applyBorder="1"/>
    <xf numFmtId="3" fontId="5" fillId="43" borderId="0" xfId="35" applyFont="1" applyFill="1" applyBorder="1"/>
    <xf numFmtId="3" fontId="6" fillId="43" borderId="8" xfId="35" applyFont="1" applyFill="1" applyBorder="1"/>
    <xf numFmtId="3" fontId="5" fillId="43" borderId="10" xfId="35" applyFont="1" applyFill="1" applyBorder="1"/>
    <xf numFmtId="3" fontId="5" fillId="43" borderId="9" xfId="35" applyFont="1" applyFill="1" applyBorder="1"/>
    <xf numFmtId="3" fontId="5" fillId="45" borderId="4" xfId="35" applyFont="1" applyFill="1" applyBorder="1"/>
    <xf numFmtId="3" fontId="5" fillId="45" borderId="14" xfId="35" applyFont="1" applyFill="1" applyBorder="1"/>
    <xf numFmtId="3" fontId="6" fillId="45" borderId="15" xfId="35" applyFont="1" applyFill="1" applyBorder="1"/>
    <xf numFmtId="3" fontId="5" fillId="45" borderId="1" xfId="35" applyFont="1" applyFill="1" applyBorder="1"/>
    <xf numFmtId="3" fontId="5" fillId="0" borderId="0" xfId="35" applyFont="1" applyFill="1" applyBorder="1"/>
    <xf numFmtId="3" fontId="6" fillId="0" borderId="0" xfId="35" applyFont="1" applyFill="1" applyBorder="1"/>
    <xf numFmtId="3" fontId="11" fillId="0" borderId="0" xfId="35" applyFont="1"/>
    <xf numFmtId="3" fontId="22" fillId="0" borderId="0" xfId="35" applyFont="1" applyAlignment="1">
      <alignment horizontal="center" vertical="center"/>
    </xf>
    <xf numFmtId="3" fontId="6" fillId="43" borderId="7" xfId="35" applyFont="1" applyFill="1" applyBorder="1" applyAlignment="1">
      <alignment horizontal="center" vertical="center"/>
    </xf>
    <xf numFmtId="3" fontId="6" fillId="43" borderId="0" xfId="35" applyFont="1" applyFill="1" applyBorder="1" applyAlignment="1">
      <alignment horizontal="center" vertical="center"/>
    </xf>
    <xf numFmtId="3" fontId="6" fillId="43" borderId="3" xfId="35" applyFont="1" applyFill="1" applyBorder="1" applyAlignment="1">
      <alignment horizontal="center" vertical="center"/>
    </xf>
    <xf numFmtId="3" fontId="5" fillId="43" borderId="0" xfId="35" applyNumberFormat="1" applyFont="1" applyFill="1" applyBorder="1" applyAlignment="1">
      <alignment vertical="center"/>
    </xf>
    <xf numFmtId="3" fontId="5" fillId="45" borderId="14" xfId="35" applyNumberFormat="1" applyFont="1" applyFill="1" applyBorder="1" applyAlignment="1">
      <alignment vertical="center"/>
    </xf>
    <xf numFmtId="3" fontId="5" fillId="43" borderId="7" xfId="35" applyNumberFormat="1" applyFont="1" applyFill="1" applyBorder="1" applyAlignment="1">
      <alignment vertical="center"/>
    </xf>
    <xf numFmtId="3" fontId="5" fillId="45" borderId="4" xfId="35" applyNumberFormat="1" applyFont="1" applyFill="1" applyBorder="1" applyAlignment="1">
      <alignment vertical="center"/>
    </xf>
    <xf numFmtId="3" fontId="6" fillId="43" borderId="2" xfId="35" applyFont="1" applyFill="1" applyBorder="1" applyAlignment="1">
      <alignment vertical="center"/>
    </xf>
    <xf numFmtId="3" fontId="5" fillId="43" borderId="12" xfId="35" applyFont="1" applyFill="1" applyBorder="1" applyAlignment="1">
      <alignment vertical="center"/>
    </xf>
    <xf numFmtId="3" fontId="6" fillId="43" borderId="5" xfId="35" applyFont="1" applyFill="1" applyBorder="1" applyAlignment="1">
      <alignment horizontal="center" vertical="center"/>
    </xf>
    <xf numFmtId="3" fontId="6" fillId="43" borderId="2" xfId="35" applyFont="1" applyFill="1" applyBorder="1" applyAlignment="1">
      <alignment horizontal="center" vertical="center"/>
    </xf>
    <xf numFmtId="1" fontId="61" fillId="43" borderId="0" xfId="0" applyNumberFormat="1" applyFont="1" applyFill="1" applyBorder="1" applyAlignment="1">
      <alignment horizontal="right" vertical="center"/>
    </xf>
    <xf numFmtId="3" fontId="5" fillId="43" borderId="6" xfId="35" applyFont="1" applyFill="1" applyBorder="1" applyAlignment="1">
      <alignment vertical="center"/>
    </xf>
    <xf numFmtId="3" fontId="23" fillId="49" borderId="3" xfId="35" applyFont="1" applyFill="1" applyBorder="1" applyAlignment="1">
      <alignment vertical="center"/>
    </xf>
    <xf numFmtId="9" fontId="23" fillId="49" borderId="3" xfId="63" applyFont="1" applyFill="1" applyBorder="1" applyAlignment="1">
      <alignment vertical="center"/>
    </xf>
    <xf numFmtId="9" fontId="23" fillId="42" borderId="1" xfId="63" applyFont="1" applyFill="1" applyBorder="1" applyAlignment="1">
      <alignment vertical="center"/>
    </xf>
    <xf numFmtId="9" fontId="23" fillId="49" borderId="1" xfId="63" applyFont="1" applyFill="1" applyBorder="1" applyAlignment="1">
      <alignment vertical="center"/>
    </xf>
    <xf numFmtId="0" fontId="5" fillId="48" borderId="1" xfId="0" applyFont="1" applyFill="1" applyBorder="1" applyAlignment="1">
      <alignment horizontal="center"/>
    </xf>
    <xf numFmtId="0" fontId="5" fillId="48" borderId="5" xfId="0" applyFont="1" applyFill="1" applyBorder="1" applyAlignment="1">
      <alignment horizontal="center"/>
    </xf>
    <xf numFmtId="0" fontId="5" fillId="48" borderId="3" xfId="0" applyFont="1" applyFill="1" applyBorder="1" applyAlignment="1">
      <alignment horizontal="center"/>
    </xf>
    <xf numFmtId="0" fontId="5" fillId="48" borderId="7" xfId="0" applyFont="1" applyFill="1" applyBorder="1"/>
    <xf numFmtId="0" fontId="5" fillId="42" borderId="5" xfId="0" applyFont="1" applyFill="1" applyBorder="1"/>
    <xf numFmtId="0" fontId="5" fillId="42" borderId="7" xfId="0" applyFont="1" applyFill="1" applyBorder="1"/>
    <xf numFmtId="0" fontId="5" fillId="42" borderId="11" xfId="0" applyFont="1" applyFill="1" applyBorder="1"/>
    <xf numFmtId="0" fontId="5" fillId="42" borderId="9" xfId="0" applyFont="1" applyFill="1" applyBorder="1"/>
    <xf numFmtId="9" fontId="10" fillId="42" borderId="9" xfId="0" applyNumberFormat="1" applyFont="1" applyFill="1" applyBorder="1"/>
    <xf numFmtId="0" fontId="5" fillId="42" borderId="3" xfId="0" applyFont="1" applyFill="1" applyBorder="1"/>
    <xf numFmtId="9" fontId="5" fillId="42" borderId="3" xfId="0" applyNumberFormat="1" applyFont="1" applyFill="1" applyBorder="1"/>
    <xf numFmtId="0" fontId="5" fillId="42" borderId="10" xfId="0" applyFont="1" applyFill="1" applyBorder="1"/>
    <xf numFmtId="9" fontId="5" fillId="42" borderId="10" xfId="0" applyNumberFormat="1" applyFont="1" applyFill="1" applyBorder="1"/>
    <xf numFmtId="0" fontId="5" fillId="42" borderId="5" xfId="0" applyFont="1" applyFill="1" applyBorder="1" applyAlignment="1">
      <alignment horizontal="left"/>
    </xf>
    <xf numFmtId="0" fontId="5" fillId="42" borderId="3" xfId="0" applyFont="1" applyFill="1" applyBorder="1" applyAlignment="1">
      <alignment horizontal="right"/>
    </xf>
    <xf numFmtId="0" fontId="5" fillId="42" borderId="3" xfId="0" applyFont="1" applyFill="1" applyBorder="1" applyAlignment="1"/>
    <xf numFmtId="9" fontId="5" fillId="42" borderId="3" xfId="0" applyNumberFormat="1" applyFont="1" applyFill="1" applyBorder="1" applyAlignment="1"/>
    <xf numFmtId="3" fontId="5" fillId="42" borderId="8" xfId="0" applyNumberFormat="1" applyFont="1" applyFill="1" applyBorder="1"/>
    <xf numFmtId="3" fontId="5" fillId="42" borderId="13" xfId="0" applyNumberFormat="1" applyFont="1" applyFill="1" applyBorder="1"/>
    <xf numFmtId="9" fontId="5" fillId="42" borderId="9" xfId="0" applyNumberFormat="1" applyFont="1" applyFill="1" applyBorder="1"/>
    <xf numFmtId="3" fontId="5" fillId="42" borderId="0" xfId="0" applyNumberFormat="1" applyFont="1" applyFill="1" applyBorder="1"/>
    <xf numFmtId="4" fontId="5" fillId="42" borderId="0" xfId="0" applyNumberFormat="1" applyFont="1" applyFill="1" applyBorder="1"/>
    <xf numFmtId="3" fontId="5" fillId="42" borderId="12" xfId="0" applyNumberFormat="1" applyFont="1" applyFill="1" applyBorder="1"/>
    <xf numFmtId="0" fontId="6" fillId="48" borderId="3" xfId="0" applyFont="1" applyFill="1" applyBorder="1" applyAlignment="1">
      <alignment horizontal="left"/>
    </xf>
    <xf numFmtId="0" fontId="6" fillId="48" borderId="5" xfId="0" applyFont="1" applyFill="1" applyBorder="1" applyAlignment="1"/>
    <xf numFmtId="0" fontId="6" fillId="48" borderId="1" xfId="0" applyFont="1" applyFill="1" applyBorder="1" applyAlignment="1"/>
    <xf numFmtId="0" fontId="5" fillId="42" borderId="0" xfId="0" applyFont="1" applyFill="1" applyBorder="1"/>
    <xf numFmtId="0" fontId="5" fillId="42" borderId="8" xfId="0" applyFont="1" applyFill="1" applyBorder="1"/>
    <xf numFmtId="0" fontId="5" fillId="42" borderId="12" xfId="0" applyFont="1" applyFill="1" applyBorder="1"/>
    <xf numFmtId="0" fontId="5" fillId="42" borderId="13" xfId="0" applyFont="1" applyFill="1" applyBorder="1"/>
    <xf numFmtId="11" fontId="5" fillId="42" borderId="0" xfId="0" applyNumberFormat="1" applyFont="1" applyFill="1" applyBorder="1"/>
    <xf numFmtId="0" fontId="5" fillId="42" borderId="2" xfId="0" applyFont="1" applyFill="1" applyBorder="1"/>
    <xf numFmtId="0" fontId="5" fillId="42" borderId="6" xfId="0" applyFont="1" applyFill="1" applyBorder="1"/>
    <xf numFmtId="9" fontId="5" fillId="42" borderId="3" xfId="63" applyFont="1" applyFill="1" applyBorder="1"/>
    <xf numFmtId="9" fontId="5" fillId="42" borderId="10" xfId="63" applyFont="1" applyFill="1" applyBorder="1"/>
    <xf numFmtId="9" fontId="5" fillId="42" borderId="9" xfId="63" applyFont="1" applyFill="1" applyBorder="1"/>
    <xf numFmtId="11" fontId="5" fillId="42" borderId="2" xfId="0" applyNumberFormat="1" applyFont="1" applyFill="1" applyBorder="1"/>
    <xf numFmtId="0" fontId="6" fillId="48" borderId="3" xfId="0" applyFont="1" applyFill="1" applyBorder="1"/>
    <xf numFmtId="9" fontId="8" fillId="48" borderId="3" xfId="63" applyFont="1" applyFill="1" applyBorder="1" applyAlignment="1">
      <alignment horizontal="center"/>
    </xf>
    <xf numFmtId="0" fontId="5" fillId="48" borderId="10" xfId="0" applyFont="1" applyFill="1" applyBorder="1"/>
    <xf numFmtId="9" fontId="5" fillId="48" borderId="10" xfId="63" applyFont="1" applyFill="1" applyBorder="1" applyAlignment="1">
      <alignment horizontal="center"/>
    </xf>
    <xf numFmtId="0" fontId="5" fillId="48" borderId="9" xfId="0" applyFont="1" applyFill="1" applyBorder="1" applyAlignment="1">
      <alignment horizontal="center"/>
    </xf>
    <xf numFmtId="0" fontId="5" fillId="48" borderId="11" xfId="40" applyFont="1" applyFill="1" applyBorder="1" applyAlignment="1">
      <alignment horizontal="center"/>
    </xf>
    <xf numFmtId="0" fontId="5" fillId="48" borderId="13" xfId="40" applyFont="1" applyFill="1" applyBorder="1" applyAlignment="1">
      <alignment horizontal="center"/>
    </xf>
    <xf numFmtId="9" fontId="5" fillId="48" borderId="9" xfId="63" applyFont="1" applyFill="1" applyBorder="1" applyAlignment="1">
      <alignment horizontal="center"/>
    </xf>
    <xf numFmtId="0" fontId="6" fillId="48" borderId="5" xfId="0" applyFont="1" applyFill="1" applyBorder="1"/>
    <xf numFmtId="0" fontId="5" fillId="42" borderId="32" xfId="0" applyFont="1" applyFill="1" applyBorder="1"/>
    <xf numFmtId="0" fontId="5" fillId="42" borderId="33" xfId="0" applyFont="1" applyFill="1" applyBorder="1"/>
    <xf numFmtId="167" fontId="5" fillId="42" borderId="0" xfId="0" applyNumberFormat="1" applyFont="1" applyFill="1" applyBorder="1"/>
    <xf numFmtId="167" fontId="5" fillId="42" borderId="34" xfId="0" applyNumberFormat="1" applyFont="1" applyFill="1" applyBorder="1"/>
    <xf numFmtId="167" fontId="5" fillId="42" borderId="32" xfId="0" applyNumberFormat="1" applyFont="1" applyFill="1" applyBorder="1"/>
    <xf numFmtId="2" fontId="5" fillId="42" borderId="0" xfId="0" applyNumberFormat="1" applyFont="1" applyFill="1" applyBorder="1"/>
    <xf numFmtId="2" fontId="5" fillId="42" borderId="34" xfId="0" applyNumberFormat="1" applyFont="1" applyFill="1" applyBorder="1"/>
    <xf numFmtId="2" fontId="5" fillId="42" borderId="32" xfId="0" applyNumberFormat="1" applyFont="1" applyFill="1" applyBorder="1"/>
    <xf numFmtId="1" fontId="5" fillId="42" borderId="0" xfId="0" applyNumberFormat="1" applyFont="1" applyFill="1" applyBorder="1"/>
    <xf numFmtId="1" fontId="5" fillId="42" borderId="34" xfId="0" applyNumberFormat="1" applyFont="1" applyFill="1" applyBorder="1"/>
    <xf numFmtId="1" fontId="5" fillId="42" borderId="32" xfId="0" applyNumberFormat="1" applyFont="1" applyFill="1" applyBorder="1"/>
    <xf numFmtId="2" fontId="5" fillId="42" borderId="12" xfId="0" applyNumberFormat="1" applyFont="1" applyFill="1" applyBorder="1"/>
    <xf numFmtId="2" fontId="5" fillId="42" borderId="33" xfId="0" applyNumberFormat="1" applyFont="1" applyFill="1" applyBorder="1"/>
    <xf numFmtId="1" fontId="5" fillId="42" borderId="12" xfId="0" applyNumberFormat="1" applyFont="1" applyFill="1" applyBorder="1"/>
    <xf numFmtId="1" fontId="5" fillId="42" borderId="33" xfId="0" applyNumberFormat="1" applyFont="1" applyFill="1" applyBorder="1"/>
    <xf numFmtId="166" fontId="5" fillId="42" borderId="0" xfId="0" applyNumberFormat="1" applyFont="1" applyFill="1" applyBorder="1"/>
    <xf numFmtId="166" fontId="5" fillId="42" borderId="34" xfId="0" applyNumberFormat="1" applyFont="1" applyFill="1" applyBorder="1"/>
    <xf numFmtId="166" fontId="5" fillId="42" borderId="32" xfId="0" applyNumberFormat="1" applyFont="1" applyFill="1" applyBorder="1"/>
    <xf numFmtId="167" fontId="5" fillId="42" borderId="12" xfId="0" applyNumberFormat="1" applyFont="1" applyFill="1" applyBorder="1"/>
    <xf numFmtId="167" fontId="5" fillId="42" borderId="33" xfId="0" applyNumberFormat="1" applyFont="1" applyFill="1" applyBorder="1"/>
    <xf numFmtId="180" fontId="5" fillId="42" borderId="0" xfId="0" applyNumberFormat="1" applyFont="1" applyFill="1" applyBorder="1"/>
    <xf numFmtId="180" fontId="5" fillId="42" borderId="32" xfId="0" applyNumberFormat="1" applyFont="1" applyFill="1" applyBorder="1"/>
    <xf numFmtId="180" fontId="5" fillId="42" borderId="12" xfId="0" applyNumberFormat="1" applyFont="1" applyFill="1" applyBorder="1"/>
    <xf numFmtId="1" fontId="5" fillId="42" borderId="5" xfId="0" applyNumberFormat="1" applyFont="1" applyFill="1" applyBorder="1"/>
    <xf numFmtId="1" fontId="5" fillId="42" borderId="7" xfId="0" applyNumberFormat="1" applyFont="1" applyFill="1" applyBorder="1"/>
    <xf numFmtId="1" fontId="5" fillId="42" borderId="11" xfId="0" applyNumberFormat="1" applyFont="1" applyFill="1" applyBorder="1"/>
    <xf numFmtId="2" fontId="5" fillId="42" borderId="11" xfId="0" applyNumberFormat="1" applyFont="1" applyFill="1" applyBorder="1"/>
    <xf numFmtId="167" fontId="5" fillId="42" borderId="5" xfId="0" applyNumberFormat="1" applyFont="1" applyFill="1" applyBorder="1"/>
    <xf numFmtId="167" fontId="5" fillId="42" borderId="7" xfId="0" applyNumberFormat="1" applyFont="1" applyFill="1" applyBorder="1"/>
    <xf numFmtId="167" fontId="5" fillId="42" borderId="11" xfId="0" applyNumberFormat="1" applyFont="1" applyFill="1" applyBorder="1"/>
    <xf numFmtId="166" fontId="5" fillId="42" borderId="7" xfId="0" applyNumberFormat="1" applyFont="1" applyFill="1" applyBorder="1"/>
    <xf numFmtId="2" fontId="5" fillId="42" borderId="8" xfId="0" applyNumberFormat="1" applyFont="1" applyFill="1" applyBorder="1"/>
    <xf numFmtId="2" fontId="5" fillId="42" borderId="13" xfId="0" applyNumberFormat="1" applyFont="1" applyFill="1" applyBorder="1"/>
    <xf numFmtId="167" fontId="5" fillId="42" borderId="8" xfId="0" applyNumberFormat="1" applyFont="1" applyFill="1" applyBorder="1"/>
    <xf numFmtId="2" fontId="5" fillId="42" borderId="9" xfId="63" applyNumberFormat="1" applyFont="1" applyFill="1" applyBorder="1"/>
    <xf numFmtId="2" fontId="5" fillId="0" borderId="0" xfId="0" applyNumberFormat="1" applyFont="1" applyFill="1" applyBorder="1"/>
    <xf numFmtId="3" fontId="5" fillId="42" borderId="3" xfId="0" applyNumberFormat="1" applyFont="1" applyFill="1" applyBorder="1"/>
    <xf numFmtId="9" fontId="5" fillId="42" borderId="8" xfId="63" applyFont="1" applyFill="1" applyBorder="1"/>
    <xf numFmtId="0" fontId="5" fillId="48" borderId="0" xfId="0" applyFont="1" applyFill="1" applyBorder="1" applyAlignment="1">
      <alignment horizontal="center" wrapText="1"/>
    </xf>
    <xf numFmtId="0" fontId="5" fillId="48" borderId="11" xfId="0" applyFont="1" applyFill="1" applyBorder="1" applyAlignment="1">
      <alignment horizontal="center"/>
    </xf>
    <xf numFmtId="0" fontId="5" fillId="48" borderId="12" xfId="0" applyFont="1" applyFill="1" applyBorder="1" applyAlignment="1">
      <alignment horizontal="center" wrapText="1"/>
    </xf>
    <xf numFmtId="167" fontId="5" fillId="42" borderId="2" xfId="0" applyNumberFormat="1" applyFont="1" applyFill="1" applyBorder="1"/>
    <xf numFmtId="3" fontId="5" fillId="42" borderId="2" xfId="0" applyNumberFormat="1" applyFont="1" applyFill="1" applyBorder="1"/>
    <xf numFmtId="9" fontId="5" fillId="42" borderId="6" xfId="63" applyFont="1" applyFill="1" applyBorder="1"/>
    <xf numFmtId="0" fontId="5" fillId="48" borderId="0" xfId="0" applyFont="1" applyFill="1" applyBorder="1" applyAlignment="1">
      <alignment horizontal="center"/>
    </xf>
    <xf numFmtId="0" fontId="5" fillId="48" borderId="2" xfId="0" applyFont="1" applyFill="1" applyBorder="1"/>
    <xf numFmtId="0" fontId="5" fillId="48" borderId="6" xfId="0" applyFont="1" applyFill="1" applyBorder="1"/>
    <xf numFmtId="0" fontId="5" fillId="48" borderId="12" xfId="0" applyFont="1" applyFill="1" applyBorder="1" applyAlignment="1">
      <alignment horizontal="center"/>
    </xf>
    <xf numFmtId="0" fontId="5" fillId="48" borderId="12" xfId="0" applyFont="1" applyFill="1" applyBorder="1" applyAlignment="1">
      <alignment horizontal="center" vertical="center" wrapText="1"/>
    </xf>
    <xf numFmtId="0" fontId="5" fillId="48" borderId="11" xfId="0" applyFont="1" applyFill="1" applyBorder="1" applyAlignment="1">
      <alignment horizontal="center" vertical="center" wrapText="1"/>
    </xf>
    <xf numFmtId="0" fontId="5" fillId="48" borderId="8" xfId="0" applyFont="1" applyFill="1" applyBorder="1"/>
    <xf numFmtId="180" fontId="5" fillId="42" borderId="8" xfId="0" applyNumberFormat="1" applyFont="1" applyFill="1" applyBorder="1"/>
    <xf numFmtId="166" fontId="5" fillId="42" borderId="8" xfId="0" applyNumberFormat="1" applyFont="1" applyFill="1" applyBorder="1"/>
    <xf numFmtId="1" fontId="5" fillId="42" borderId="8" xfId="0" applyNumberFormat="1" applyFont="1" applyFill="1" applyBorder="1"/>
    <xf numFmtId="9" fontId="5" fillId="42" borderId="8" xfId="0" applyNumberFormat="1" applyFont="1" applyFill="1" applyBorder="1"/>
    <xf numFmtId="0" fontId="5" fillId="48" borderId="13" xfId="0" applyFont="1" applyFill="1" applyBorder="1" applyAlignment="1">
      <alignment horizontal="center"/>
    </xf>
    <xf numFmtId="0" fontId="5" fillId="48" borderId="8" xfId="0" applyFont="1" applyFill="1" applyBorder="1" applyAlignment="1">
      <alignment horizontal="center"/>
    </xf>
    <xf numFmtId="0" fontId="5" fillId="48" borderId="3" xfId="0" applyFont="1" applyFill="1" applyBorder="1"/>
    <xf numFmtId="0" fontId="5" fillId="48" borderId="10" xfId="0" applyFont="1" applyFill="1" applyBorder="1" applyAlignment="1">
      <alignment horizontal="center"/>
    </xf>
    <xf numFmtId="0" fontId="6" fillId="48" borderId="5" xfId="0" applyFont="1" applyFill="1" applyBorder="1" applyAlignment="1">
      <alignment horizontal="left"/>
    </xf>
    <xf numFmtId="0" fontId="6" fillId="48" borderId="2" xfId="0" applyFont="1" applyFill="1" applyBorder="1"/>
    <xf numFmtId="167" fontId="5" fillId="42" borderId="0" xfId="0" applyNumberFormat="1" applyFont="1" applyFill="1" applyBorder="1" applyAlignment="1">
      <alignment horizontal="right" vertical="top" wrapText="1"/>
    </xf>
    <xf numFmtId="2" fontId="5" fillId="42" borderId="0" xfId="0" applyNumberFormat="1" applyFont="1" applyFill="1" applyBorder="1" applyAlignment="1">
      <alignment horizontal="center"/>
    </xf>
    <xf numFmtId="2" fontId="5" fillId="42" borderId="3" xfId="0" applyNumberFormat="1" applyFont="1" applyFill="1" applyBorder="1" applyAlignment="1">
      <alignment horizontal="center"/>
    </xf>
    <xf numFmtId="167" fontId="5" fillId="42" borderId="35" xfId="0" applyNumberFormat="1" applyFont="1" applyFill="1" applyBorder="1" applyAlignment="1">
      <alignment horizontal="right" vertical="top" wrapText="1"/>
    </xf>
    <xf numFmtId="167" fontId="5" fillId="42" borderId="34" xfId="0" applyNumberFormat="1" applyFont="1" applyFill="1" applyBorder="1" applyAlignment="1">
      <alignment horizontal="right" vertical="top" wrapText="1"/>
    </xf>
    <xf numFmtId="167" fontId="5" fillId="42" borderId="36" xfId="0" applyNumberFormat="1" applyFont="1" applyFill="1" applyBorder="1" applyAlignment="1">
      <alignment horizontal="right" vertical="top" wrapText="1"/>
    </xf>
    <xf numFmtId="167" fontId="5" fillId="42" borderId="32" xfId="0" applyNumberFormat="1" applyFont="1" applyFill="1" applyBorder="1" applyAlignment="1">
      <alignment horizontal="right" vertical="top" wrapText="1"/>
    </xf>
    <xf numFmtId="0" fontId="5" fillId="42" borderId="37" xfId="0" applyFont="1" applyFill="1" applyBorder="1"/>
    <xf numFmtId="180" fontId="5" fillId="42" borderId="2" xfId="0" applyNumberFormat="1" applyFont="1" applyFill="1" applyBorder="1"/>
    <xf numFmtId="166" fontId="5" fillId="42" borderId="5" xfId="0" applyNumberFormat="1" applyFont="1" applyFill="1" applyBorder="1"/>
    <xf numFmtId="166" fontId="5" fillId="42" borderId="2" xfId="0" applyNumberFormat="1" applyFont="1" applyFill="1" applyBorder="1"/>
    <xf numFmtId="11" fontId="5" fillId="42" borderId="34" xfId="0" applyNumberFormat="1" applyFont="1" applyFill="1" applyBorder="1"/>
    <xf numFmtId="11" fontId="5" fillId="42" borderId="32" xfId="0" applyNumberFormat="1" applyFont="1" applyFill="1" applyBorder="1"/>
    <xf numFmtId="180" fontId="5" fillId="42" borderId="6" xfId="0" applyNumberFormat="1" applyFont="1" applyFill="1" applyBorder="1"/>
    <xf numFmtId="11" fontId="5" fillId="42" borderId="12" xfId="0" applyNumberFormat="1" applyFont="1" applyFill="1" applyBorder="1"/>
    <xf numFmtId="11" fontId="5" fillId="42" borderId="33" xfId="0" applyNumberFormat="1" applyFont="1" applyFill="1" applyBorder="1"/>
    <xf numFmtId="180" fontId="5" fillId="42" borderId="13" xfId="0" applyNumberFormat="1" applyFont="1" applyFill="1" applyBorder="1"/>
    <xf numFmtId="9" fontId="5" fillId="42" borderId="13" xfId="63" applyFont="1" applyFill="1" applyBorder="1"/>
    <xf numFmtId="0" fontId="5" fillId="42" borderId="7" xfId="0" applyFont="1" applyFill="1" applyBorder="1" applyAlignment="1"/>
    <xf numFmtId="167" fontId="5" fillId="42" borderId="0" xfId="0" applyNumberFormat="1" applyFont="1" applyFill="1" applyBorder="1" applyAlignment="1"/>
    <xf numFmtId="167" fontId="10" fillId="42" borderId="12" xfId="0" applyNumberFormat="1" applyFont="1" applyFill="1" applyBorder="1"/>
    <xf numFmtId="9" fontId="5" fillId="48" borderId="9" xfId="63" applyFont="1" applyFill="1" applyBorder="1" applyAlignment="1">
      <alignment horizontal="center" wrapText="1"/>
    </xf>
    <xf numFmtId="1" fontId="5" fillId="42" borderId="10" xfId="0" applyNumberFormat="1" applyFont="1" applyFill="1" applyBorder="1"/>
    <xf numFmtId="0" fontId="6" fillId="48" borderId="2" xfId="0" applyFont="1" applyFill="1" applyBorder="1" applyAlignment="1"/>
    <xf numFmtId="0" fontId="6" fillId="48" borderId="3" xfId="0" applyFont="1" applyFill="1" applyBorder="1" applyAlignment="1"/>
    <xf numFmtId="0" fontId="5" fillId="48" borderId="9" xfId="0" applyFont="1" applyFill="1" applyBorder="1" applyAlignment="1">
      <alignment horizontal="center" wrapText="1"/>
    </xf>
    <xf numFmtId="0" fontId="5" fillId="48" borderId="4" xfId="0" applyFont="1" applyFill="1" applyBorder="1"/>
    <xf numFmtId="2" fontId="5" fillId="48" borderId="15" xfId="0" applyNumberFormat="1" applyFont="1" applyFill="1" applyBorder="1"/>
    <xf numFmtId="167" fontId="5" fillId="42" borderId="10" xfId="0" applyNumberFormat="1" applyFont="1" applyFill="1" applyBorder="1" applyAlignment="1"/>
    <xf numFmtId="167" fontId="10" fillId="42" borderId="9" xfId="0" applyNumberFormat="1" applyFont="1" applyFill="1" applyBorder="1"/>
    <xf numFmtId="167" fontId="5" fillId="42" borderId="3" xfId="0" applyNumberFormat="1" applyFont="1" applyFill="1" applyBorder="1" applyAlignment="1"/>
    <xf numFmtId="167" fontId="5" fillId="42" borderId="6" xfId="0" applyNumberFormat="1" applyFont="1" applyFill="1" applyBorder="1"/>
    <xf numFmtId="167" fontId="10" fillId="42" borderId="13" xfId="0" applyNumberFormat="1" applyFont="1" applyFill="1" applyBorder="1"/>
    <xf numFmtId="167" fontId="10" fillId="42" borderId="11" xfId="0" applyNumberFormat="1" applyFont="1" applyFill="1" applyBorder="1"/>
    <xf numFmtId="0" fontId="5" fillId="48" borderId="3" xfId="0" applyFont="1" applyFill="1" applyBorder="1" applyAlignment="1"/>
    <xf numFmtId="167" fontId="10" fillId="42" borderId="33" xfId="0" applyNumberFormat="1" applyFont="1" applyFill="1" applyBorder="1"/>
    <xf numFmtId="0" fontId="5" fillId="42" borderId="5" xfId="0" applyFont="1" applyFill="1" applyBorder="1" applyAlignment="1">
      <alignment horizontal="right"/>
    </xf>
    <xf numFmtId="0" fontId="5" fillId="42" borderId="7" xfId="0" applyFont="1" applyFill="1" applyBorder="1" applyAlignment="1">
      <alignment horizontal="right"/>
    </xf>
    <xf numFmtId="2" fontId="5" fillId="42" borderId="2" xfId="0" applyNumberFormat="1" applyFont="1" applyFill="1" applyBorder="1"/>
    <xf numFmtId="1" fontId="5" fillId="42" borderId="2" xfId="0" applyNumberFormat="1" applyFont="1" applyFill="1" applyBorder="1"/>
    <xf numFmtId="1" fontId="5" fillId="42" borderId="6" xfId="0" applyNumberFormat="1" applyFont="1" applyFill="1" applyBorder="1"/>
    <xf numFmtId="11" fontId="5" fillId="42" borderId="6" xfId="0" applyNumberFormat="1" applyFont="1" applyFill="1" applyBorder="1"/>
    <xf numFmtId="11" fontId="5" fillId="42" borderId="8" xfId="0" applyNumberFormat="1" applyFont="1" applyFill="1" applyBorder="1"/>
    <xf numFmtId="1" fontId="5" fillId="42" borderId="6" xfId="63" applyNumberFormat="1" applyFont="1" applyFill="1" applyBorder="1"/>
    <xf numFmtId="1" fontId="5" fillId="42" borderId="8" xfId="63" applyNumberFormat="1" applyFont="1" applyFill="1" applyBorder="1"/>
    <xf numFmtId="166" fontId="5" fillId="42" borderId="6" xfId="0" applyNumberFormat="1" applyFont="1" applyFill="1" applyBorder="1"/>
    <xf numFmtId="0" fontId="5" fillId="48" borderId="7" xfId="0" applyFont="1" applyFill="1" applyBorder="1" applyAlignment="1">
      <alignment horizontal="center" vertical="center"/>
    </xf>
    <xf numFmtId="0" fontId="5" fillId="42" borderId="7" xfId="0" applyFont="1" applyFill="1" applyBorder="1" applyAlignment="1">
      <alignment horizontal="left"/>
    </xf>
    <xf numFmtId="166" fontId="5" fillId="42" borderId="0" xfId="0" applyNumberFormat="1" applyFont="1" applyFill="1" applyBorder="1" applyAlignment="1">
      <alignment horizontal="right"/>
    </xf>
    <xf numFmtId="166" fontId="10" fillId="42" borderId="13" xfId="0" applyNumberFormat="1" applyFont="1" applyFill="1" applyBorder="1" applyAlignment="1">
      <alignment horizontal="right"/>
    </xf>
    <xf numFmtId="1" fontId="5" fillId="42" borderId="13" xfId="0" applyNumberFormat="1" applyFont="1" applyFill="1" applyBorder="1"/>
    <xf numFmtId="1" fontId="10" fillId="42" borderId="12" xfId="0" applyNumberFormat="1" applyFont="1" applyFill="1" applyBorder="1"/>
    <xf numFmtId="9" fontId="10" fillId="42" borderId="13" xfId="0" applyNumberFormat="1" applyFont="1" applyFill="1" applyBorder="1"/>
    <xf numFmtId="1" fontId="10" fillId="42" borderId="9" xfId="0" applyNumberFormat="1" applyFont="1" applyFill="1" applyBorder="1"/>
    <xf numFmtId="0" fontId="5" fillId="42" borderId="10" xfId="0" applyFont="1" applyFill="1" applyBorder="1" applyAlignment="1">
      <alignment horizontal="right"/>
    </xf>
    <xf numFmtId="0" fontId="5" fillId="42" borderId="9" xfId="0" applyFont="1" applyFill="1" applyBorder="1" applyAlignment="1">
      <alignment horizontal="right"/>
    </xf>
    <xf numFmtId="0" fontId="5" fillId="48" borderId="12" xfId="0" applyFont="1" applyFill="1" applyBorder="1" applyAlignment="1">
      <alignment horizontal="center" vertical="center"/>
    </xf>
    <xf numFmtId="9" fontId="5" fillId="42" borderId="6" xfId="0" applyNumberFormat="1" applyFont="1" applyFill="1" applyBorder="1"/>
    <xf numFmtId="3" fontId="10" fillId="42" borderId="9" xfId="0" applyNumberFormat="1" applyFont="1" applyFill="1" applyBorder="1"/>
    <xf numFmtId="0" fontId="6" fillId="48" borderId="5" xfId="0" applyFont="1" applyFill="1" applyBorder="1" applyAlignment="1">
      <alignment vertical="top"/>
    </xf>
    <xf numFmtId="0" fontId="5" fillId="48" borderId="1" xfId="0" applyFont="1" applyFill="1" applyBorder="1" applyAlignment="1">
      <alignment horizontal="center" wrapText="1"/>
    </xf>
    <xf numFmtId="0" fontId="5" fillId="48" borderId="8" xfId="0" applyFont="1" applyFill="1" applyBorder="1" applyAlignment="1">
      <alignment horizontal="center"/>
    </xf>
    <xf numFmtId="0" fontId="5" fillId="48" borderId="5" xfId="0" applyFont="1" applyFill="1" applyBorder="1" applyAlignment="1">
      <alignment horizontal="center"/>
    </xf>
    <xf numFmtId="0" fontId="5" fillId="48" borderId="7" xfId="0" applyFont="1" applyFill="1" applyBorder="1" applyAlignment="1">
      <alignment horizontal="center"/>
    </xf>
    <xf numFmtId="0" fontId="5" fillId="42" borderId="9" xfId="0" applyFont="1" applyFill="1" applyBorder="1" applyAlignment="1"/>
    <xf numFmtId="167" fontId="5" fillId="42" borderId="13" xfId="0" applyNumberFormat="1" applyFont="1" applyFill="1" applyBorder="1"/>
    <xf numFmtId="167" fontId="5" fillId="42" borderId="9" xfId="0" applyNumberFormat="1" applyFont="1" applyFill="1" applyBorder="1"/>
    <xf numFmtId="4" fontId="5" fillId="48" borderId="2" xfId="0" applyNumberFormat="1" applyFont="1" applyFill="1" applyBorder="1"/>
    <xf numFmtId="4" fontId="5" fillId="48" borderId="6" xfId="0" applyNumberFormat="1" applyFont="1" applyFill="1" applyBorder="1"/>
    <xf numFmtId="169" fontId="5" fillId="42" borderId="0" xfId="0" applyNumberFormat="1" applyFont="1" applyFill="1" applyBorder="1"/>
    <xf numFmtId="169" fontId="5" fillId="42" borderId="8" xfId="0" applyNumberFormat="1" applyFont="1" applyFill="1" applyBorder="1"/>
    <xf numFmtId="169" fontId="10" fillId="42" borderId="12" xfId="0" applyNumberFormat="1" applyFont="1" applyFill="1" applyBorder="1"/>
    <xf numFmtId="169" fontId="10" fillId="42" borderId="13" xfId="0" applyNumberFormat="1" applyFont="1" applyFill="1" applyBorder="1"/>
    <xf numFmtId="0" fontId="5" fillId="48" borderId="12" xfId="0" applyFont="1" applyFill="1" applyBorder="1"/>
    <xf numFmtId="169" fontId="5" fillId="42" borderId="2" xfId="0" applyNumberFormat="1" applyFont="1" applyFill="1" applyBorder="1"/>
    <xf numFmtId="169" fontId="5" fillId="42" borderId="6" xfId="0" applyNumberFormat="1" applyFont="1" applyFill="1" applyBorder="1"/>
    <xf numFmtId="3" fontId="5" fillId="42" borderId="5" xfId="0" applyNumberFormat="1" applyFont="1" applyFill="1" applyBorder="1"/>
    <xf numFmtId="3" fontId="5" fillId="42" borderId="6" xfId="0" applyNumberFormat="1" applyFont="1" applyFill="1" applyBorder="1"/>
    <xf numFmtId="3" fontId="5" fillId="42" borderId="7" xfId="0" applyNumberFormat="1" applyFont="1" applyFill="1" applyBorder="1"/>
    <xf numFmtId="3" fontId="5" fillId="42" borderId="10" xfId="0" applyNumberFormat="1" applyFont="1" applyFill="1" applyBorder="1"/>
    <xf numFmtId="0" fontId="6" fillId="42" borderId="5" xfId="0" applyFont="1" applyFill="1" applyBorder="1"/>
    <xf numFmtId="4" fontId="5" fillId="42" borderId="2" xfId="0" applyNumberFormat="1" applyFont="1" applyFill="1" applyBorder="1"/>
    <xf numFmtId="0" fontId="5" fillId="42" borderId="3" xfId="0" applyFont="1" applyFill="1" applyBorder="1" applyAlignment="1">
      <alignment horizontal="center"/>
    </xf>
    <xf numFmtId="0" fontId="5" fillId="42" borderId="7" xfId="0" applyFont="1" applyFill="1" applyBorder="1" applyAlignment="1">
      <alignment horizontal="center"/>
    </xf>
    <xf numFmtId="0" fontId="5" fillId="42" borderId="10" xfId="0" applyFont="1" applyFill="1" applyBorder="1" applyAlignment="1">
      <alignment horizontal="center"/>
    </xf>
    <xf numFmtId="0" fontId="5" fillId="42" borderId="0" xfId="0" applyFont="1" applyFill="1" applyBorder="1" applyAlignment="1">
      <alignment horizontal="center"/>
    </xf>
    <xf numFmtId="4" fontId="5" fillId="48" borderId="5" xfId="0" applyNumberFormat="1" applyFont="1" applyFill="1" applyBorder="1"/>
    <xf numFmtId="0" fontId="17" fillId="48" borderId="10" xfId="0" applyFont="1" applyFill="1" applyBorder="1" applyAlignment="1">
      <alignment horizontal="center"/>
    </xf>
    <xf numFmtId="0" fontId="5" fillId="42" borderId="5" xfId="0" applyFont="1" applyFill="1" applyBorder="1" applyAlignment="1"/>
    <xf numFmtId="0" fontId="5" fillId="42" borderId="2" xfId="0" applyFont="1" applyFill="1" applyBorder="1" applyAlignment="1"/>
    <xf numFmtId="9" fontId="5" fillId="42" borderId="6" xfId="0" applyNumberFormat="1" applyFont="1" applyFill="1" applyBorder="1" applyAlignment="1"/>
    <xf numFmtId="0" fontId="5" fillId="42" borderId="0" xfId="0" applyFont="1" applyFill="1" applyBorder="1" applyAlignment="1"/>
    <xf numFmtId="9" fontId="5" fillId="42" borderId="8" xfId="0" applyNumberFormat="1" applyFont="1" applyFill="1" applyBorder="1" applyAlignment="1"/>
    <xf numFmtId="0" fontId="5" fillId="42" borderId="11" xfId="0" applyFont="1" applyFill="1" applyBorder="1" applyAlignment="1"/>
    <xf numFmtId="0" fontId="5" fillId="42" borderId="12" xfId="0" applyFont="1" applyFill="1" applyBorder="1" applyAlignment="1"/>
    <xf numFmtId="0" fontId="5" fillId="42" borderId="13" xfId="0" applyFont="1" applyFill="1" applyBorder="1" applyAlignment="1"/>
    <xf numFmtId="0" fontId="5" fillId="42" borderId="33" xfId="0" applyFont="1" applyFill="1" applyBorder="1" applyAlignment="1"/>
    <xf numFmtId="166" fontId="5" fillId="42" borderId="2" xfId="0" applyNumberFormat="1" applyFont="1" applyFill="1" applyBorder="1" applyAlignment="1"/>
    <xf numFmtId="166" fontId="5" fillId="42" borderId="6" xfId="0" applyNumberFormat="1" applyFont="1" applyFill="1" applyBorder="1" applyAlignment="1"/>
    <xf numFmtId="166" fontId="5" fillId="42" borderId="0" xfId="0" applyNumberFormat="1" applyFont="1" applyFill="1" applyBorder="1" applyAlignment="1"/>
    <xf numFmtId="166" fontId="5" fillId="42" borderId="8" xfId="0" applyNumberFormat="1" applyFont="1" applyFill="1" applyBorder="1" applyAlignment="1"/>
    <xf numFmtId="167" fontId="5" fillId="42" borderId="2" xfId="0" applyNumberFormat="1" applyFont="1" applyFill="1" applyBorder="1" applyAlignment="1"/>
    <xf numFmtId="167" fontId="5" fillId="42" borderId="6" xfId="0" applyNumberFormat="1" applyFont="1" applyFill="1" applyBorder="1" applyAlignment="1"/>
    <xf numFmtId="167" fontId="5" fillId="42" borderId="8" xfId="0" applyNumberFormat="1" applyFont="1" applyFill="1" applyBorder="1" applyAlignment="1"/>
    <xf numFmtId="167" fontId="5" fillId="42" borderId="34" xfId="0" applyNumberFormat="1" applyFont="1" applyFill="1" applyBorder="1" applyAlignment="1"/>
    <xf numFmtId="167" fontId="5" fillId="42" borderId="32" xfId="0" applyNumberFormat="1" applyFont="1" applyFill="1" applyBorder="1" applyAlignment="1"/>
    <xf numFmtId="11" fontId="5" fillId="42" borderId="34" xfId="0" applyNumberFormat="1" applyFont="1" applyFill="1" applyBorder="1" applyAlignment="1"/>
    <xf numFmtId="11" fontId="5" fillId="42" borderId="32" xfId="0" applyNumberFormat="1" applyFont="1" applyFill="1" applyBorder="1" applyAlignment="1"/>
    <xf numFmtId="11" fontId="5" fillId="42" borderId="2" xfId="0" applyNumberFormat="1" applyFont="1" applyFill="1" applyBorder="1" applyAlignment="1"/>
    <xf numFmtId="11" fontId="5" fillId="42" borderId="0" xfId="0" applyNumberFormat="1" applyFont="1" applyFill="1" applyBorder="1" applyAlignment="1"/>
    <xf numFmtId="0" fontId="5" fillId="42" borderId="10" xfId="0" applyFont="1" applyFill="1" applyBorder="1" applyAlignment="1"/>
    <xf numFmtId="167" fontId="5" fillId="42" borderId="5" xfId="0" applyNumberFormat="1" applyFont="1" applyFill="1" applyBorder="1" applyAlignment="1"/>
    <xf numFmtId="167" fontId="5" fillId="42" borderId="7" xfId="0" applyNumberFormat="1" applyFont="1" applyFill="1" applyBorder="1" applyAlignment="1"/>
    <xf numFmtId="170" fontId="5" fillId="42" borderId="2" xfId="0" applyNumberFormat="1" applyFont="1" applyFill="1" applyBorder="1"/>
    <xf numFmtId="170" fontId="5" fillId="42" borderId="0" xfId="0" applyNumberFormat="1" applyFont="1" applyFill="1" applyBorder="1"/>
    <xf numFmtId="3" fontId="5" fillId="42" borderId="3" xfId="35" applyFont="1" applyFill="1" applyBorder="1"/>
    <xf numFmtId="3" fontId="5" fillId="42" borderId="10" xfId="35" applyFont="1" applyFill="1" applyBorder="1"/>
    <xf numFmtId="3" fontId="10" fillId="42" borderId="9" xfId="35" applyFont="1" applyFill="1" applyBorder="1"/>
    <xf numFmtId="170" fontId="5" fillId="42" borderId="6" xfId="0" applyNumberFormat="1" applyFont="1" applyFill="1" applyBorder="1"/>
    <xf numFmtId="170" fontId="5" fillId="42" borderId="34" xfId="0" applyNumberFormat="1" applyFont="1" applyFill="1" applyBorder="1"/>
    <xf numFmtId="170" fontId="5" fillId="42" borderId="8" xfId="0" applyNumberFormat="1" applyFont="1" applyFill="1" applyBorder="1"/>
    <xf numFmtId="170" fontId="5" fillId="42" borderId="32" xfId="0" applyNumberFormat="1" applyFont="1" applyFill="1" applyBorder="1"/>
    <xf numFmtId="2" fontId="5" fillId="42" borderId="7" xfId="0" applyNumberFormat="1" applyFont="1" applyFill="1" applyBorder="1"/>
    <xf numFmtId="170" fontId="10" fillId="42" borderId="12" xfId="0" applyNumberFormat="1" applyFont="1" applyFill="1" applyBorder="1"/>
    <xf numFmtId="182" fontId="5" fillId="42" borderId="2" xfId="0" applyNumberFormat="1" applyFont="1" applyFill="1" applyBorder="1"/>
    <xf numFmtId="182" fontId="5" fillId="42" borderId="34" xfId="0" applyNumberFormat="1" applyFont="1" applyFill="1" applyBorder="1"/>
    <xf numFmtId="182" fontId="5" fillId="42" borderId="0" xfId="0" applyNumberFormat="1" applyFont="1" applyFill="1" applyBorder="1"/>
    <xf numFmtId="182" fontId="5" fillId="42" borderId="32" xfId="0" applyNumberFormat="1" applyFont="1" applyFill="1" applyBorder="1"/>
    <xf numFmtId="182" fontId="10" fillId="42" borderId="12" xfId="0" applyNumberFormat="1" applyFont="1" applyFill="1" applyBorder="1"/>
    <xf numFmtId="182" fontId="10" fillId="42" borderId="33" xfId="0" applyNumberFormat="1" applyFont="1" applyFill="1" applyBorder="1"/>
    <xf numFmtId="182" fontId="5" fillId="42" borderId="6" xfId="0" applyNumberFormat="1" applyFont="1" applyFill="1" applyBorder="1"/>
    <xf numFmtId="182" fontId="5" fillId="42" borderId="8" xfId="0" applyNumberFormat="1" applyFont="1" applyFill="1" applyBorder="1"/>
    <xf numFmtId="182" fontId="10" fillId="42" borderId="13" xfId="0" applyNumberFormat="1" applyFont="1" applyFill="1" applyBorder="1"/>
    <xf numFmtId="170" fontId="10" fillId="42" borderId="13" xfId="0" applyNumberFormat="1" applyFont="1" applyFill="1" applyBorder="1"/>
    <xf numFmtId="0" fontId="6" fillId="0" borderId="14" xfId="0" applyFont="1" applyBorder="1" applyAlignment="1">
      <alignment horizontal="center"/>
    </xf>
    <xf numFmtId="9" fontId="5" fillId="42" borderId="5" xfId="0" applyNumberFormat="1" applyFont="1" applyFill="1" applyBorder="1"/>
    <xf numFmtId="9" fontId="5" fillId="42" borderId="7" xfId="0" applyNumberFormat="1" applyFont="1" applyFill="1" applyBorder="1"/>
    <xf numFmtId="3" fontId="5" fillId="42" borderId="9" xfId="0" applyNumberFormat="1" applyFont="1" applyFill="1" applyBorder="1"/>
    <xf numFmtId="9" fontId="5" fillId="42" borderId="11" xfId="0" applyNumberFormat="1" applyFont="1" applyFill="1" applyBorder="1"/>
    <xf numFmtId="0" fontId="5" fillId="48" borderId="4" xfId="0" applyFont="1" applyFill="1" applyBorder="1" applyAlignment="1">
      <alignment horizontal="center" wrapText="1"/>
    </xf>
    <xf numFmtId="0" fontId="5" fillId="48" borderId="14" xfId="0" applyFont="1" applyFill="1" applyBorder="1" applyAlignment="1">
      <alignment horizontal="center" wrapText="1"/>
    </xf>
    <xf numFmtId="0" fontId="5" fillId="48" borderId="11" xfId="0" applyFont="1" applyFill="1" applyBorder="1" applyAlignment="1">
      <alignment horizontal="center" vertical="center"/>
    </xf>
    <xf numFmtId="0" fontId="5" fillId="48" borderId="13" xfId="0" applyFont="1" applyFill="1" applyBorder="1" applyAlignment="1">
      <alignment horizontal="center" vertical="center"/>
    </xf>
    <xf numFmtId="3" fontId="5" fillId="42" borderId="11" xfId="0" applyNumberFormat="1" applyFont="1" applyFill="1" applyBorder="1"/>
    <xf numFmtId="0" fontId="5" fillId="48" borderId="5" xfId="0" applyFont="1" applyFill="1" applyBorder="1" applyAlignment="1">
      <alignment horizontal="center" wrapText="1"/>
    </xf>
    <xf numFmtId="0" fontId="5" fillId="48" borderId="2" xfId="0" applyFont="1" applyFill="1" applyBorder="1" applyAlignment="1">
      <alignment horizontal="center" wrapText="1"/>
    </xf>
    <xf numFmtId="9" fontId="5" fillId="42" borderId="2" xfId="0" applyNumberFormat="1" applyFont="1" applyFill="1" applyBorder="1"/>
    <xf numFmtId="9" fontId="5" fillId="42" borderId="0" xfId="0" applyNumberFormat="1" applyFont="1" applyFill="1" applyBorder="1"/>
    <xf numFmtId="9" fontId="5" fillId="42" borderId="12" xfId="0" applyNumberFormat="1" applyFont="1" applyFill="1" applyBorder="1"/>
    <xf numFmtId="0" fontId="5" fillId="48" borderId="8" xfId="0" applyFont="1" applyFill="1" applyBorder="1" applyAlignment="1">
      <alignment horizontal="center" vertical="center"/>
    </xf>
    <xf numFmtId="3" fontId="10" fillId="42" borderId="13" xfId="0" applyNumberFormat="1" applyFont="1" applyFill="1" applyBorder="1"/>
    <xf numFmtId="0" fontId="5" fillId="42" borderId="9" xfId="0" applyFont="1" applyFill="1" applyBorder="1" applyAlignment="1">
      <alignment horizontal="center"/>
    </xf>
    <xf numFmtId="0" fontId="5" fillId="48" borderId="13" xfId="0" applyFont="1" applyFill="1" applyBorder="1" applyAlignment="1">
      <alignment horizontal="center" wrapText="1"/>
    </xf>
    <xf numFmtId="165" fontId="5" fillId="42" borderId="8" xfId="0" applyNumberFormat="1" applyFont="1" applyFill="1" applyBorder="1"/>
    <xf numFmtId="0" fontId="5" fillId="42" borderId="12" xfId="0" applyFont="1" applyFill="1" applyBorder="1" applyAlignment="1">
      <alignment horizontal="center"/>
    </xf>
    <xf numFmtId="0" fontId="5" fillId="0" borderId="14" xfId="0" applyFont="1" applyFill="1" applyBorder="1"/>
    <xf numFmtId="9" fontId="5" fillId="0" borderId="0" xfId="0" applyNumberFormat="1" applyFont="1" applyFill="1" applyBorder="1"/>
    <xf numFmtId="0" fontId="6" fillId="48" borderId="7" xfId="0" applyFont="1" applyFill="1" applyBorder="1"/>
    <xf numFmtId="0" fontId="19" fillId="42" borderId="11" xfId="0" applyFont="1" applyFill="1" applyBorder="1"/>
    <xf numFmtId="3" fontId="10" fillId="42" borderId="11" xfId="0" applyNumberFormat="1" applyFont="1" applyFill="1" applyBorder="1"/>
    <xf numFmtId="9" fontId="5" fillId="42" borderId="13" xfId="0" applyNumberFormat="1" applyFont="1" applyFill="1" applyBorder="1"/>
    <xf numFmtId="0" fontId="5" fillId="48" borderId="15" xfId="0" applyFont="1" applyFill="1" applyBorder="1" applyAlignment="1">
      <alignment horizontal="center" wrapText="1"/>
    </xf>
    <xf numFmtId="0" fontId="6" fillId="48" borderId="3" xfId="0" applyFont="1" applyFill="1" applyBorder="1" applyAlignment="1">
      <alignment vertical="top"/>
    </xf>
    <xf numFmtId="0" fontId="6" fillId="48" borderId="1" xfId="0" applyFont="1" applyFill="1" applyBorder="1" applyAlignment="1">
      <alignment vertical="top"/>
    </xf>
    <xf numFmtId="0" fontId="6" fillId="48" borderId="10" xfId="0" applyFont="1" applyFill="1" applyBorder="1" applyAlignment="1">
      <alignment horizontal="left"/>
    </xf>
    <xf numFmtId="0" fontId="5" fillId="42" borderId="7" xfId="0" applyFont="1" applyFill="1" applyBorder="1" applyAlignment="1">
      <alignment vertical="center"/>
    </xf>
    <xf numFmtId="0" fontId="5" fillId="42" borderId="1" xfId="0" applyFont="1" applyFill="1" applyBorder="1" applyAlignment="1">
      <alignment horizontal="center"/>
    </xf>
    <xf numFmtId="169" fontId="17" fillId="0" borderId="29" xfId="0" applyNumberFormat="1" applyFont="1" applyFill="1" applyBorder="1"/>
    <xf numFmtId="0" fontId="6" fillId="48" borderId="11" xfId="0" applyFont="1" applyFill="1" applyBorder="1" applyAlignment="1">
      <alignment wrapText="1"/>
    </xf>
    <xf numFmtId="0" fontId="5" fillId="48" borderId="3" xfId="0" applyFont="1" applyFill="1" applyBorder="1" applyAlignment="1">
      <alignment horizontal="center" wrapText="1"/>
    </xf>
    <xf numFmtId="0" fontId="5" fillId="48" borderId="9" xfId="0" applyFont="1" applyFill="1" applyBorder="1"/>
    <xf numFmtId="0" fontId="6" fillId="42" borderId="11" xfId="0" applyFont="1" applyFill="1" applyBorder="1"/>
    <xf numFmtId="0" fontId="5" fillId="42" borderId="13" xfId="0" applyFont="1" applyFill="1" applyBorder="1" applyAlignment="1">
      <alignment horizontal="center"/>
    </xf>
    <xf numFmtId="3" fontId="10" fillId="42" borderId="12" xfId="0" applyNumberFormat="1" applyFont="1" applyFill="1" applyBorder="1"/>
    <xf numFmtId="0" fontId="6" fillId="48" borderId="3" xfId="0" applyFont="1" applyFill="1" applyBorder="1" applyAlignment="1">
      <alignment horizontal="center"/>
    </xf>
    <xf numFmtId="0" fontId="5" fillId="48" borderId="11" xfId="0" applyFont="1" applyFill="1" applyBorder="1" applyAlignment="1">
      <alignment horizontal="center" wrapText="1"/>
    </xf>
    <xf numFmtId="0" fontId="5" fillId="48" borderId="7" xfId="0" applyFont="1" applyFill="1" applyBorder="1" applyAlignment="1">
      <alignment horizontal="right"/>
    </xf>
    <xf numFmtId="0" fontId="10" fillId="42" borderId="12" xfId="0" applyFont="1" applyFill="1" applyBorder="1"/>
    <xf numFmtId="0" fontId="6" fillId="48" borderId="10" xfId="0" applyFont="1" applyFill="1" applyBorder="1"/>
    <xf numFmtId="3" fontId="5" fillId="42" borderId="5" xfId="35" applyFont="1" applyFill="1" applyBorder="1"/>
    <xf numFmtId="3" fontId="5" fillId="42" borderId="7" xfId="35" applyFont="1" applyFill="1" applyBorder="1"/>
    <xf numFmtId="0" fontId="6" fillId="0" borderId="0" xfId="0" applyFont="1" applyFill="1"/>
    <xf numFmtId="0" fontId="5" fillId="42" borderId="3" xfId="0" applyFont="1" applyFill="1" applyBorder="1" applyAlignment="1">
      <alignment horizontal="center" wrapText="1"/>
    </xf>
    <xf numFmtId="0" fontId="5" fillId="42" borderId="10" xfId="0" applyFont="1" applyFill="1" applyBorder="1" applyAlignment="1">
      <alignment horizontal="center" wrapText="1"/>
    </xf>
    <xf numFmtId="0" fontId="5" fillId="42" borderId="5" xfId="0" applyFont="1" applyFill="1" applyBorder="1" applyAlignment="1">
      <alignment horizontal="center"/>
    </xf>
    <xf numFmtId="0" fontId="6" fillId="48" borderId="10" xfId="0" applyFont="1" applyFill="1" applyBorder="1" applyAlignment="1">
      <alignment horizontal="center"/>
    </xf>
    <xf numFmtId="166" fontId="10" fillId="0" borderId="0" xfId="0" applyNumberFormat="1" applyFont="1" applyFill="1" applyBorder="1" applyAlignment="1">
      <alignment horizontal="right"/>
    </xf>
    <xf numFmtId="9" fontId="10" fillId="0" borderId="0" xfId="0" applyNumberFormat="1" applyFont="1" applyFill="1" applyBorder="1"/>
    <xf numFmtId="4" fontId="5" fillId="42" borderId="8" xfId="0" applyNumberFormat="1" applyFont="1" applyFill="1" applyBorder="1"/>
    <xf numFmtId="0" fontId="5" fillId="0" borderId="0" xfId="0" applyFont="1" applyBorder="1" applyAlignment="1">
      <alignment horizontal="center" vertical="center" wrapText="1"/>
    </xf>
    <xf numFmtId="0" fontId="5" fillId="48" borderId="1" xfId="0" applyFont="1" applyFill="1" applyBorder="1"/>
    <xf numFmtId="173" fontId="5" fillId="42" borderId="8" xfId="63" applyNumberFormat="1" applyFont="1" applyFill="1" applyBorder="1"/>
    <xf numFmtId="173" fontId="10" fillId="42" borderId="13" xfId="63" applyNumberFormat="1" applyFont="1" applyFill="1" applyBorder="1"/>
    <xf numFmtId="10" fontId="5" fillId="48" borderId="15" xfId="0" applyNumberFormat="1" applyFont="1" applyFill="1" applyBorder="1"/>
    <xf numFmtId="3" fontId="5" fillId="42" borderId="8" xfId="0" applyNumberFormat="1" applyFont="1" applyFill="1" applyBorder="1" applyAlignment="1"/>
    <xf numFmtId="3" fontId="5" fillId="42" borderId="13" xfId="0" applyNumberFormat="1" applyFont="1" applyFill="1" applyBorder="1" applyAlignment="1"/>
    <xf numFmtId="0" fontId="5" fillId="42" borderId="11" xfId="0" applyFont="1" applyFill="1" applyBorder="1" applyAlignment="1">
      <alignment horizontal="left"/>
    </xf>
    <xf numFmtId="9" fontId="5" fillId="42" borderId="3" xfId="0" applyNumberFormat="1" applyFont="1" applyFill="1" applyBorder="1" applyAlignment="1">
      <alignment horizontal="center"/>
    </xf>
    <xf numFmtId="9" fontId="5" fillId="42" borderId="10" xfId="0" applyNumberFormat="1" applyFont="1" applyFill="1" applyBorder="1" applyAlignment="1">
      <alignment horizontal="center"/>
    </xf>
    <xf numFmtId="9" fontId="5" fillId="42" borderId="9" xfId="0" applyNumberFormat="1" applyFont="1" applyFill="1" applyBorder="1" applyAlignment="1">
      <alignment horizontal="center"/>
    </xf>
    <xf numFmtId="0" fontId="5" fillId="42" borderId="11" xfId="0" applyFont="1" applyFill="1" applyBorder="1" applyAlignment="1">
      <alignment horizontal="right"/>
    </xf>
    <xf numFmtId="0" fontId="5" fillId="42" borderId="10" xfId="0" applyFont="1" applyFill="1" applyBorder="1" applyAlignment="1">
      <alignment vertical="center"/>
    </xf>
    <xf numFmtId="0" fontId="5" fillId="42" borderId="10" xfId="0" applyFont="1" applyFill="1" applyBorder="1" applyAlignment="1">
      <alignment vertical="center" wrapText="1"/>
    </xf>
    <xf numFmtId="0" fontId="5" fillId="42" borderId="7" xfId="0" applyFont="1" applyFill="1" applyBorder="1" applyAlignment="1">
      <alignment horizontal="center" wrapText="1"/>
    </xf>
    <xf numFmtId="0" fontId="5" fillId="42" borderId="9" xfId="0" applyFont="1" applyFill="1" applyBorder="1" applyAlignment="1">
      <alignment vertical="center" wrapText="1"/>
    </xf>
    <xf numFmtId="0" fontId="5" fillId="42" borderId="9" xfId="0" applyFont="1" applyFill="1" applyBorder="1" applyAlignment="1">
      <alignment horizontal="center" wrapText="1"/>
    </xf>
    <xf numFmtId="0" fontId="5" fillId="42" borderId="11" xfId="0" applyFont="1" applyFill="1" applyBorder="1" applyAlignment="1">
      <alignment horizontal="center" wrapText="1"/>
    </xf>
    <xf numFmtId="0" fontId="6" fillId="48" borderId="3" xfId="0" applyFont="1" applyFill="1" applyBorder="1" applyAlignment="1">
      <alignment horizontal="left" vertical="center" wrapText="1"/>
    </xf>
    <xf numFmtId="0" fontId="6" fillId="48" borderId="9" xfId="0" applyFont="1" applyFill="1" applyBorder="1" applyAlignment="1">
      <alignment horizontal="left" vertical="center" wrapText="1"/>
    </xf>
    <xf numFmtId="0" fontId="6" fillId="48" borderId="1" xfId="0" applyFont="1" applyFill="1" applyBorder="1" applyAlignment="1">
      <alignment vertical="center"/>
    </xf>
    <xf numFmtId="9" fontId="5" fillId="42" borderId="5" xfId="63" applyFont="1" applyFill="1" applyBorder="1"/>
    <xf numFmtId="9" fontId="5" fillId="42" borderId="7" xfId="63" applyFont="1" applyFill="1" applyBorder="1"/>
    <xf numFmtId="9" fontId="5" fillId="42" borderId="8" xfId="63" applyFont="1" applyFill="1" applyBorder="1" applyAlignment="1">
      <alignment horizontal="right"/>
    </xf>
    <xf numFmtId="9" fontId="5" fillId="42" borderId="11" xfId="63" applyFont="1" applyFill="1" applyBorder="1"/>
    <xf numFmtId="9" fontId="5" fillId="42" borderId="5" xfId="63" applyFont="1" applyFill="1" applyBorder="1" applyAlignment="1">
      <alignment horizontal="right"/>
    </xf>
    <xf numFmtId="9" fontId="5" fillId="42" borderId="6" xfId="63" applyFont="1" applyFill="1" applyBorder="1" applyAlignment="1">
      <alignment horizontal="right"/>
    </xf>
    <xf numFmtId="9" fontId="5" fillId="42" borderId="7" xfId="63" applyFont="1" applyFill="1" applyBorder="1" applyAlignment="1">
      <alignment horizontal="right"/>
    </xf>
    <xf numFmtId="9" fontId="5" fillId="42" borderId="11" xfId="63" applyFont="1" applyFill="1" applyBorder="1" applyAlignment="1">
      <alignment horizontal="right"/>
    </xf>
    <xf numFmtId="9" fontId="5" fillId="42" borderId="13" xfId="63" applyFont="1" applyFill="1" applyBorder="1" applyAlignment="1">
      <alignment horizontal="right"/>
    </xf>
    <xf numFmtId="0" fontId="5" fillId="48" borderId="10" xfId="0" applyFont="1" applyFill="1" applyBorder="1" applyAlignment="1">
      <alignment horizontal="center" vertical="top"/>
    </xf>
    <xf numFmtId="0" fontId="5" fillId="42" borderId="0" xfId="0" applyFont="1" applyFill="1" applyBorder="1" applyAlignment="1">
      <alignment vertical="center"/>
    </xf>
    <xf numFmtId="0" fontId="5" fillId="42" borderId="9" xfId="0" applyFont="1" applyFill="1" applyBorder="1" applyAlignment="1">
      <alignment vertical="center"/>
    </xf>
    <xf numFmtId="0" fontId="5" fillId="42" borderId="12" xfId="0" applyFont="1" applyFill="1" applyBorder="1" applyAlignment="1">
      <alignment vertical="center"/>
    </xf>
    <xf numFmtId="0" fontId="6" fillId="48" borderId="1" xfId="0" applyFont="1" applyFill="1" applyBorder="1"/>
    <xf numFmtId="0" fontId="17" fillId="48" borderId="1" xfId="0" applyFont="1" applyFill="1" applyBorder="1" applyAlignment="1">
      <alignment horizontal="center" wrapText="1"/>
    </xf>
    <xf numFmtId="0" fontId="5" fillId="48" borderId="10" xfId="0" applyFont="1" applyFill="1" applyBorder="1" applyAlignment="1">
      <alignment vertical="center"/>
    </xf>
    <xf numFmtId="1" fontId="5" fillId="42" borderId="0" xfId="0" applyNumberFormat="1" applyFont="1" applyFill="1" applyBorder="1" applyAlignment="1"/>
    <xf numFmtId="1" fontId="5" fillId="42" borderId="8" xfId="0" applyNumberFormat="1" applyFont="1" applyFill="1" applyBorder="1" applyAlignment="1"/>
    <xf numFmtId="1" fontId="5" fillId="42" borderId="10" xfId="0" applyNumberFormat="1" applyFont="1" applyFill="1" applyBorder="1" applyAlignment="1"/>
    <xf numFmtId="3" fontId="5" fillId="42" borderId="10" xfId="0" applyNumberFormat="1" applyFont="1" applyFill="1" applyBorder="1" applyAlignment="1"/>
    <xf numFmtId="1" fontId="5" fillId="42" borderId="6" xfId="0" applyNumberFormat="1" applyFont="1" applyFill="1" applyBorder="1" applyAlignment="1"/>
    <xf numFmtId="0" fontId="6" fillId="48" borderId="9" xfId="0" applyFont="1" applyFill="1" applyBorder="1" applyAlignment="1">
      <alignment horizontal="center"/>
    </xf>
    <xf numFmtId="0" fontId="6" fillId="48" borderId="5" xfId="0" applyNumberFormat="1" applyFont="1" applyFill="1" applyBorder="1" applyAlignment="1">
      <alignment vertical="top" wrapText="1"/>
    </xf>
    <xf numFmtId="0" fontId="5" fillId="48" borderId="16" xfId="0" applyNumberFormat="1" applyFont="1" applyFill="1" applyBorder="1" applyAlignment="1">
      <alignment horizontal="center" wrapText="1"/>
    </xf>
    <xf numFmtId="0" fontId="5" fillId="48" borderId="14" xfId="0" applyNumberFormat="1" applyFont="1" applyFill="1" applyBorder="1" applyAlignment="1">
      <alignment horizontal="center" wrapText="1"/>
    </xf>
    <xf numFmtId="0" fontId="5" fillId="48" borderId="15" xfId="0" applyNumberFormat="1" applyFont="1" applyFill="1" applyBorder="1" applyAlignment="1">
      <alignment horizontal="center" wrapText="1"/>
    </xf>
    <xf numFmtId="0" fontId="5" fillId="48" borderId="6" xfId="0" applyNumberFormat="1" applyFont="1" applyFill="1" applyBorder="1" applyAlignment="1">
      <alignment horizontal="center" wrapText="1"/>
    </xf>
    <xf numFmtId="0" fontId="5" fillId="48" borderId="17" xfId="0" applyNumberFormat="1" applyFont="1" applyFill="1" applyBorder="1" applyAlignment="1">
      <alignment horizontal="center" wrapText="1"/>
    </xf>
    <xf numFmtId="0" fontId="5" fillId="48" borderId="2" xfId="0" applyNumberFormat="1" applyFont="1" applyFill="1" applyBorder="1" applyAlignment="1">
      <alignment horizontal="center" wrapText="1"/>
    </xf>
    <xf numFmtId="1" fontId="5" fillId="42" borderId="5" xfId="0" applyNumberFormat="1" applyFont="1" applyFill="1" applyBorder="1" applyAlignment="1"/>
    <xf numFmtId="1" fontId="5" fillId="42" borderId="2" xfId="0" applyNumberFormat="1" applyFont="1" applyFill="1" applyBorder="1" applyAlignment="1"/>
    <xf numFmtId="1" fontId="5" fillId="42" borderId="7" xfId="0" applyNumberFormat="1" applyFont="1" applyFill="1" applyBorder="1" applyAlignment="1"/>
    <xf numFmtId="0" fontId="6" fillId="48" borderId="1" xfId="0" applyFont="1" applyFill="1" applyBorder="1" applyAlignment="1">
      <alignment horizontal="left" wrapText="1"/>
    </xf>
    <xf numFmtId="4" fontId="5" fillId="42" borderId="3" xfId="0" applyNumberFormat="1" applyFont="1" applyFill="1" applyBorder="1"/>
    <xf numFmtId="4" fontId="5" fillId="42" borderId="10" xfId="0" applyNumberFormat="1" applyFont="1" applyFill="1" applyBorder="1"/>
    <xf numFmtId="0" fontId="6" fillId="48" borderId="1" xfId="0" applyFont="1" applyFill="1" applyBorder="1" applyAlignment="1">
      <alignment horizontal="left" vertical="top" wrapText="1"/>
    </xf>
    <xf numFmtId="9" fontId="5" fillId="42" borderId="2" xfId="63" applyFont="1" applyFill="1" applyBorder="1"/>
    <xf numFmtId="0" fontId="6" fillId="48" borderId="4" xfId="0" applyFont="1" applyFill="1" applyBorder="1" applyAlignment="1">
      <alignment horizontal="left" vertical="top" wrapText="1"/>
    </xf>
    <xf numFmtId="0" fontId="6" fillId="50" borderId="1" xfId="0" applyFont="1" applyFill="1" applyBorder="1" applyAlignment="1">
      <alignment horizontal="center" vertical="center"/>
    </xf>
    <xf numFmtId="0" fontId="5" fillId="51" borderId="1" xfId="0" applyFont="1" applyFill="1" applyBorder="1" applyAlignment="1">
      <alignment horizontal="center" vertical="center"/>
    </xf>
    <xf numFmtId="0" fontId="5" fillId="51" borderId="5" xfId="0" applyFont="1" applyFill="1" applyBorder="1" applyAlignment="1">
      <alignment vertical="center"/>
    </xf>
    <xf numFmtId="0" fontId="5" fillId="51" borderId="6" xfId="0" applyFont="1" applyFill="1" applyBorder="1" applyAlignment="1">
      <alignment vertical="center"/>
    </xf>
    <xf numFmtId="0" fontId="5" fillId="51" borderId="7" xfId="0" applyFont="1" applyFill="1" applyBorder="1" applyAlignment="1">
      <alignment vertical="center"/>
    </xf>
    <xf numFmtId="0" fontId="5" fillId="51" borderId="8" xfId="0" applyFont="1" applyFill="1" applyBorder="1" applyAlignment="1">
      <alignment vertical="center"/>
    </xf>
    <xf numFmtId="0" fontId="5" fillId="51" borderId="11" xfId="0" applyFont="1" applyFill="1" applyBorder="1" applyAlignment="1">
      <alignment vertical="center"/>
    </xf>
    <xf numFmtId="0" fontId="5" fillId="51" borderId="13" xfId="0" applyFont="1" applyFill="1" applyBorder="1" applyAlignment="1">
      <alignment vertical="center"/>
    </xf>
    <xf numFmtId="0" fontId="8" fillId="51" borderId="13" xfId="0" applyFont="1" applyFill="1" applyBorder="1" applyAlignment="1">
      <alignment vertical="center"/>
    </xf>
    <xf numFmtId="0" fontId="8" fillId="51" borderId="11" xfId="0" applyFont="1" applyFill="1" applyBorder="1" applyAlignment="1">
      <alignment vertical="center"/>
    </xf>
    <xf numFmtId="3" fontId="5" fillId="44" borderId="1" xfId="35" applyFont="1" applyFill="1" applyBorder="1" applyAlignment="1">
      <alignment vertical="center"/>
    </xf>
    <xf numFmtId="9" fontId="5" fillId="0" borderId="1" xfId="63" applyFont="1" applyFill="1" applyBorder="1"/>
    <xf numFmtId="9" fontId="8" fillId="0" borderId="0" xfId="63" applyFont="1" applyAlignment="1">
      <alignment vertical="center"/>
    </xf>
    <xf numFmtId="9" fontId="5" fillId="43" borderId="2" xfId="63" applyFont="1" applyFill="1" applyBorder="1" applyAlignment="1">
      <alignment horizontal="center" vertical="center"/>
    </xf>
    <xf numFmtId="9" fontId="5" fillId="43" borderId="0" xfId="63" applyFont="1" applyFill="1" applyBorder="1" applyAlignment="1">
      <alignment horizontal="center" vertical="center"/>
    </xf>
    <xf numFmtId="9" fontId="5" fillId="43" borderId="0" xfId="63" applyFont="1" applyFill="1" applyBorder="1" applyAlignment="1">
      <alignment vertical="center"/>
    </xf>
    <xf numFmtId="9" fontId="5" fillId="45" borderId="14" xfId="63" applyFont="1" applyFill="1" applyBorder="1" applyAlignment="1">
      <alignment vertical="center"/>
    </xf>
    <xf numFmtId="9" fontId="5" fillId="43" borderId="12" xfId="63" applyFont="1" applyFill="1" applyBorder="1" applyAlignment="1">
      <alignment vertical="center"/>
    </xf>
    <xf numFmtId="9" fontId="5" fillId="43" borderId="0" xfId="63" applyFont="1" applyFill="1" applyAlignment="1">
      <alignment vertical="center"/>
    </xf>
    <xf numFmtId="9" fontId="11" fillId="0" borderId="0" xfId="63" applyFont="1" applyAlignment="1">
      <alignment vertical="center"/>
    </xf>
    <xf numFmtId="9" fontId="5" fillId="43" borderId="5" xfId="63" applyFont="1" applyFill="1" applyBorder="1" applyAlignment="1">
      <alignment horizontal="center" vertical="center"/>
    </xf>
    <xf numFmtId="9" fontId="5" fillId="43" borderId="7" xfId="63" applyFont="1" applyFill="1" applyBorder="1" applyAlignment="1">
      <alignment horizontal="center" vertical="center"/>
    </xf>
    <xf numFmtId="9" fontId="5" fillId="43" borderId="7" xfId="63" applyFont="1" applyFill="1" applyBorder="1" applyAlignment="1">
      <alignment vertical="center"/>
    </xf>
    <xf numFmtId="9" fontId="5" fillId="45" borderId="4" xfId="63" applyFont="1" applyFill="1" applyBorder="1" applyAlignment="1">
      <alignment vertical="center"/>
    </xf>
    <xf numFmtId="9" fontId="17" fillId="43" borderId="1" xfId="63" applyFont="1" applyFill="1" applyBorder="1" applyAlignment="1">
      <alignment vertical="center"/>
    </xf>
    <xf numFmtId="9" fontId="5" fillId="0" borderId="0" xfId="63" applyFont="1" applyAlignment="1">
      <alignment horizontal="center" vertical="center"/>
    </xf>
    <xf numFmtId="9" fontId="67" fillId="0" borderId="12" xfId="63" applyFont="1" applyBorder="1" applyAlignment="1" applyProtection="1">
      <alignment vertical="center"/>
    </xf>
    <xf numFmtId="9" fontId="5" fillId="43" borderId="0" xfId="63" applyFont="1" applyFill="1" applyBorder="1" applyAlignment="1">
      <alignment horizontal="center"/>
    </xf>
    <xf numFmtId="9" fontId="5" fillId="43" borderId="0" xfId="63" applyFont="1" applyFill="1" applyBorder="1"/>
    <xf numFmtId="9" fontId="5" fillId="45" borderId="14" xfId="63" applyFont="1" applyFill="1" applyBorder="1"/>
    <xf numFmtId="9" fontId="56" fillId="0" borderId="0" xfId="63" applyFont="1" applyAlignment="1">
      <alignment vertical="center"/>
    </xf>
    <xf numFmtId="9" fontId="57" fillId="0" borderId="0" xfId="63" applyFont="1" applyAlignment="1">
      <alignment vertical="center"/>
    </xf>
    <xf numFmtId="9" fontId="65" fillId="0" borderId="0" xfId="63" applyFont="1" applyAlignment="1">
      <alignment vertical="center"/>
    </xf>
    <xf numFmtId="9" fontId="64" fillId="0" borderId="0" xfId="63" applyFont="1" applyAlignment="1">
      <alignment vertical="center"/>
    </xf>
    <xf numFmtId="9" fontId="8" fillId="0" borderId="0" xfId="63" applyFont="1"/>
    <xf numFmtId="9" fontId="6" fillId="43" borderId="7" xfId="63" applyFont="1" applyFill="1" applyBorder="1" applyAlignment="1">
      <alignment horizontal="center"/>
    </xf>
    <xf numFmtId="9" fontId="5" fillId="43" borderId="7" xfId="63" applyFont="1" applyFill="1" applyBorder="1" applyAlignment="1">
      <alignment horizontal="center"/>
    </xf>
    <xf numFmtId="9" fontId="17" fillId="0" borderId="1" xfId="63" applyFont="1" applyFill="1" applyBorder="1"/>
    <xf numFmtId="9" fontId="5" fillId="43" borderId="7" xfId="63" applyFont="1" applyFill="1" applyBorder="1"/>
    <xf numFmtId="9" fontId="5" fillId="45" borderId="4" xfId="63" applyFont="1" applyFill="1" applyBorder="1"/>
    <xf numFmtId="9" fontId="6" fillId="0" borderId="0" xfId="63" applyFont="1" applyFill="1" applyBorder="1"/>
    <xf numFmtId="9" fontId="66" fillId="0" borderId="0" xfId="63" applyFont="1" applyAlignment="1">
      <alignment vertical="center"/>
    </xf>
    <xf numFmtId="9" fontId="58" fillId="0" borderId="0" xfId="63" applyFont="1" applyAlignment="1">
      <alignment vertical="center"/>
    </xf>
    <xf numFmtId="165" fontId="5" fillId="45" borderId="14" xfId="35" applyNumberFormat="1" applyFont="1" applyFill="1" applyBorder="1" applyAlignment="1">
      <alignment vertical="center"/>
    </xf>
    <xf numFmtId="3" fontId="23" fillId="48" borderId="1" xfId="35" applyNumberFormat="1" applyFont="1" applyFill="1" applyBorder="1" applyAlignment="1">
      <alignment vertical="center"/>
    </xf>
    <xf numFmtId="183" fontId="27" fillId="0" borderId="0" xfId="0" applyNumberFormat="1" applyFont="1" applyFill="1" applyBorder="1" applyAlignment="1">
      <alignment vertical="center"/>
    </xf>
    <xf numFmtId="178" fontId="5" fillId="43" borderId="27" xfId="0" applyNumberFormat="1" applyFont="1" applyFill="1" applyBorder="1" applyAlignment="1">
      <alignment vertical="center"/>
    </xf>
    <xf numFmtId="178" fontId="5" fillId="43" borderId="28" xfId="0" applyNumberFormat="1" applyFont="1" applyFill="1" applyBorder="1" applyAlignment="1">
      <alignment vertical="center"/>
    </xf>
    <xf numFmtId="178" fontId="5" fillId="43" borderId="29" xfId="0" applyNumberFormat="1" applyFont="1" applyFill="1" applyBorder="1" applyAlignment="1">
      <alignment vertical="center"/>
    </xf>
    <xf numFmtId="174" fontId="5" fillId="43" borderId="27" xfId="0" applyNumberFormat="1" applyFont="1" applyFill="1" applyBorder="1" applyAlignment="1">
      <alignment vertical="center"/>
    </xf>
    <xf numFmtId="174" fontId="5" fillId="43" borderId="28" xfId="0" applyNumberFormat="1" applyFont="1" applyFill="1" applyBorder="1" applyAlignment="1">
      <alignment vertical="center"/>
    </xf>
    <xf numFmtId="174" fontId="5" fillId="43" borderId="29" xfId="0" applyNumberFormat="1" applyFont="1" applyFill="1" applyBorder="1" applyAlignment="1">
      <alignment vertical="center"/>
    </xf>
    <xf numFmtId="9" fontId="6" fillId="43" borderId="4" xfId="63" applyFont="1" applyFill="1" applyBorder="1" applyAlignment="1">
      <alignment horizontal="center"/>
    </xf>
    <xf numFmtId="3" fontId="5" fillId="43" borderId="5" xfId="0" applyNumberFormat="1" applyFont="1" applyFill="1" applyBorder="1" applyAlignment="1">
      <alignment vertical="center"/>
    </xf>
    <xf numFmtId="0" fontId="22" fillId="0" borderId="0" xfId="0" applyFont="1" applyAlignment="1">
      <alignment horizontal="left" vertical="center"/>
    </xf>
    <xf numFmtId="1" fontId="5" fillId="0" borderId="0" xfId="0" applyNumberFormat="1" applyFont="1" applyFill="1" applyBorder="1"/>
    <xf numFmtId="0" fontId="5" fillId="51" borderId="2" xfId="0" applyFont="1" applyFill="1" applyBorder="1" applyAlignment="1">
      <alignment vertical="center"/>
    </xf>
    <xf numFmtId="0" fontId="5" fillId="51" borderId="0" xfId="0" applyFont="1" applyFill="1" applyBorder="1" applyAlignment="1">
      <alignment vertical="center"/>
    </xf>
    <xf numFmtId="0" fontId="5" fillId="51" borderId="12" xfId="0" applyFont="1" applyFill="1" applyBorder="1" applyAlignment="1">
      <alignment vertical="center"/>
    </xf>
    <xf numFmtId="0" fontId="8" fillId="51" borderId="12" xfId="0" applyFont="1" applyFill="1" applyBorder="1" applyAlignment="1">
      <alignment vertical="center"/>
    </xf>
    <xf numFmtId="3" fontId="5" fillId="0" borderId="1" xfId="0" applyNumberFormat="1" applyFont="1" applyFill="1" applyBorder="1" applyAlignment="1"/>
    <xf numFmtId="0" fontId="5" fillId="43" borderId="0" xfId="0" applyFont="1" applyFill="1" applyBorder="1" applyAlignment="1">
      <alignment horizontal="center" vertical="center"/>
    </xf>
    <xf numFmtId="0" fontId="6" fillId="43" borderId="2" xfId="0" applyFont="1" applyFill="1" applyBorder="1" applyAlignment="1">
      <alignment horizontal="center" vertical="center"/>
    </xf>
    <xf numFmtId="1" fontId="5" fillId="0" borderId="28" xfId="0" applyNumberFormat="1" applyFont="1" applyFill="1" applyBorder="1" applyAlignment="1">
      <alignment vertical="center"/>
    </xf>
    <xf numFmtId="3" fontId="5" fillId="0" borderId="28" xfId="35" applyFont="1" applyFill="1" applyBorder="1" applyAlignment="1">
      <alignment vertical="center"/>
    </xf>
    <xf numFmtId="9" fontId="5" fillId="0" borderId="27" xfId="63" applyNumberFormat="1" applyFont="1" applyFill="1" applyBorder="1" applyAlignment="1">
      <alignment horizontal="center"/>
    </xf>
    <xf numFmtId="9" fontId="5" fillId="0" borderId="27" xfId="63" applyFont="1" applyFill="1" applyBorder="1" applyAlignment="1">
      <alignment horizontal="center"/>
    </xf>
    <xf numFmtId="9" fontId="5" fillId="0" borderId="28" xfId="63" applyNumberFormat="1" applyFont="1" applyFill="1" applyBorder="1" applyAlignment="1">
      <alignment horizontal="center"/>
    </xf>
    <xf numFmtId="9" fontId="5" fillId="0" borderId="29" xfId="63" applyNumberFormat="1" applyFont="1" applyFill="1" applyBorder="1" applyAlignment="1">
      <alignment horizontal="center"/>
    </xf>
    <xf numFmtId="9" fontId="5" fillId="0" borderId="29" xfId="63" applyFont="1" applyFill="1" applyBorder="1" applyAlignment="1">
      <alignment horizontal="center"/>
    </xf>
    <xf numFmtId="184" fontId="5" fillId="0" borderId="0" xfId="0" applyNumberFormat="1" applyFont="1"/>
    <xf numFmtId="1" fontId="17" fillId="0" borderId="27" xfId="0" applyNumberFormat="1" applyFont="1" applyFill="1" applyBorder="1" applyAlignment="1">
      <alignment vertical="center"/>
    </xf>
    <xf numFmtId="1" fontId="5" fillId="0" borderId="28" xfId="35" applyNumberFormat="1" applyFont="1" applyFill="1" applyBorder="1" applyAlignment="1">
      <alignment vertical="center"/>
    </xf>
    <xf numFmtId="1" fontId="5" fillId="0" borderId="29" xfId="0" applyNumberFormat="1" applyFont="1" applyFill="1" applyBorder="1" applyAlignment="1">
      <alignment vertical="center"/>
    </xf>
    <xf numFmtId="3" fontId="5" fillId="0" borderId="29" xfId="35" applyFont="1" applyFill="1" applyBorder="1" applyAlignment="1">
      <alignment vertical="center"/>
    </xf>
    <xf numFmtId="3" fontId="5" fillId="43" borderId="11" xfId="0" applyNumberFormat="1" applyFont="1" applyFill="1" applyBorder="1" applyAlignment="1">
      <alignment vertical="center"/>
    </xf>
    <xf numFmtId="172" fontId="5" fillId="0" borderId="0" xfId="35" applyNumberFormat="1" applyFont="1" applyAlignment="1">
      <alignment vertical="center"/>
    </xf>
    <xf numFmtId="0" fontId="5" fillId="43" borderId="0" xfId="0" applyFont="1" applyFill="1" applyBorder="1" applyAlignment="1">
      <alignment horizontal="center" vertical="center"/>
    </xf>
    <xf numFmtId="0" fontId="5" fillId="43" borderId="27" xfId="0" applyFont="1" applyFill="1" applyBorder="1" applyAlignment="1">
      <alignment horizontal="center" vertical="center"/>
    </xf>
    <xf numFmtId="0" fontId="5" fillId="43" borderId="28" xfId="0" applyFont="1" applyFill="1" applyBorder="1" applyAlignment="1">
      <alignment horizontal="center" vertical="center"/>
    </xf>
    <xf numFmtId="0" fontId="5" fillId="43" borderId="29" xfId="0" applyFont="1" applyFill="1" applyBorder="1" applyAlignment="1">
      <alignment horizontal="center" vertical="center"/>
    </xf>
    <xf numFmtId="3" fontId="10" fillId="43" borderId="14" xfId="0" applyNumberFormat="1" applyFont="1" applyFill="1" applyBorder="1" applyAlignment="1">
      <alignment horizontal="center" vertical="center"/>
    </xf>
    <xf numFmtId="169" fontId="5" fillId="0" borderId="27" xfId="0" applyNumberFormat="1" applyFont="1" applyFill="1" applyBorder="1" applyAlignment="1">
      <alignment horizontal="center" vertical="center"/>
    </xf>
    <xf numFmtId="169" fontId="5" fillId="0" borderId="28" xfId="0" applyNumberFormat="1" applyFont="1" applyFill="1" applyBorder="1" applyAlignment="1">
      <alignment horizontal="center" vertical="center"/>
    </xf>
    <xf numFmtId="169" fontId="5" fillId="0" borderId="29" xfId="0" applyNumberFormat="1" applyFont="1" applyFill="1" applyBorder="1" applyAlignment="1">
      <alignment horizontal="center" vertical="center"/>
    </xf>
    <xf numFmtId="0" fontId="57" fillId="44" borderId="1" xfId="0" applyFont="1" applyFill="1" applyBorder="1" applyAlignment="1">
      <alignment horizontal="center" vertical="center"/>
    </xf>
    <xf numFmtId="3" fontId="71" fillId="52" borderId="1" xfId="35" applyFont="1" applyFill="1" applyBorder="1" applyAlignment="1">
      <alignment vertical="center" wrapText="1"/>
    </xf>
    <xf numFmtId="3" fontId="5" fillId="53" borderId="1" xfId="35" applyFont="1" applyFill="1" applyBorder="1" applyAlignment="1">
      <alignment vertical="center" wrapText="1"/>
    </xf>
    <xf numFmtId="0" fontId="5" fillId="54" borderId="1" xfId="0" applyFont="1" applyFill="1" applyBorder="1" applyAlignment="1">
      <alignment horizontal="center" vertical="center" wrapText="1"/>
    </xf>
    <xf numFmtId="3" fontId="5" fillId="54" borderId="1" xfId="35" applyFont="1" applyFill="1" applyBorder="1" applyAlignment="1">
      <alignment vertical="center" wrapText="1"/>
    </xf>
    <xf numFmtId="3" fontId="5" fillId="55" borderId="1" xfId="35" applyFont="1" applyFill="1" applyBorder="1" applyAlignment="1">
      <alignment vertical="center" wrapText="1"/>
    </xf>
    <xf numFmtId="3" fontId="5" fillId="55" borderId="15" xfId="35" applyFont="1" applyFill="1" applyBorder="1" applyAlignment="1">
      <alignment vertical="center" wrapText="1"/>
    </xf>
    <xf numFmtId="3" fontId="5" fillId="56" borderId="1" xfId="35" applyFont="1" applyFill="1" applyBorder="1" applyAlignment="1">
      <alignment vertical="center" wrapText="1"/>
    </xf>
    <xf numFmtId="3" fontId="71" fillId="57" borderId="1" xfId="35" applyFont="1" applyFill="1" applyBorder="1" applyAlignment="1">
      <alignment vertical="center" wrapText="1"/>
    </xf>
    <xf numFmtId="3" fontId="71" fillId="58" borderId="15" xfId="35" applyFont="1" applyFill="1" applyBorder="1" applyAlignment="1">
      <alignment vertical="center" wrapText="1"/>
    </xf>
    <xf numFmtId="0" fontId="5" fillId="54" borderId="1" xfId="0" quotePrefix="1" applyNumberFormat="1" applyFont="1" applyFill="1" applyBorder="1" applyAlignment="1">
      <alignment horizontal="center" vertical="center" wrapText="1"/>
    </xf>
    <xf numFmtId="0" fontId="5" fillId="54" borderId="1" xfId="0" quotePrefix="1" applyFont="1" applyFill="1" applyBorder="1" applyAlignment="1">
      <alignment horizontal="center" vertical="center" wrapText="1"/>
    </xf>
    <xf numFmtId="3" fontId="71" fillId="59" borderId="1" xfId="35" applyFont="1" applyFill="1" applyBorder="1" applyAlignment="1">
      <alignment vertical="center" wrapText="1"/>
    </xf>
    <xf numFmtId="3" fontId="6" fillId="60" borderId="1" xfId="35" applyFont="1" applyFill="1" applyBorder="1" applyAlignment="1">
      <alignment vertical="center" wrapText="1"/>
    </xf>
    <xf numFmtId="0" fontId="71" fillId="61" borderId="3" xfId="0" applyFont="1" applyFill="1" applyBorder="1" applyAlignment="1">
      <alignment horizontal="center" vertical="center" wrapText="1"/>
    </xf>
    <xf numFmtId="0" fontId="74" fillId="61" borderId="1" xfId="0" applyFont="1" applyFill="1" applyBorder="1" applyAlignment="1">
      <alignment horizontal="center" vertical="center" wrapText="1"/>
    </xf>
    <xf numFmtId="0" fontId="71" fillId="61" borderId="1" xfId="0" applyFont="1" applyFill="1" applyBorder="1" applyAlignment="1">
      <alignment horizontal="center" vertical="center" wrapText="1"/>
    </xf>
    <xf numFmtId="0" fontId="71" fillId="61" borderId="4" xfId="0" applyFont="1" applyFill="1" applyBorder="1" applyAlignment="1">
      <alignment horizontal="center" vertical="center" wrapText="1"/>
    </xf>
    <xf numFmtId="0" fontId="0" fillId="0" borderId="0" xfId="0" applyAlignment="1">
      <alignment vertical="center"/>
    </xf>
    <xf numFmtId="9" fontId="5" fillId="0" borderId="31" xfId="0" applyNumberFormat="1" applyFont="1" applyBorder="1" applyAlignment="1">
      <alignment horizontal="center" vertical="center"/>
    </xf>
    <xf numFmtId="9" fontId="5" fillId="0" borderId="30" xfId="0" applyNumberFormat="1" applyFont="1" applyBorder="1" applyAlignment="1">
      <alignment horizontal="center" vertical="center"/>
    </xf>
    <xf numFmtId="0" fontId="5" fillId="0" borderId="1" xfId="0" applyFont="1" applyBorder="1" applyAlignment="1">
      <alignment horizontal="center" vertical="center"/>
    </xf>
    <xf numFmtId="3" fontId="5" fillId="54" borderId="1" xfId="0" quotePrefix="1" applyNumberFormat="1" applyFont="1" applyFill="1" applyBorder="1" applyAlignment="1">
      <alignment horizontal="center" vertical="center" wrapText="1"/>
    </xf>
    <xf numFmtId="3" fontId="5" fillId="54" borderId="4" xfId="0" applyNumberFormat="1" applyFont="1" applyFill="1" applyBorder="1" applyAlignment="1">
      <alignment vertical="center" wrapText="1"/>
    </xf>
    <xf numFmtId="3" fontId="5" fillId="54" borderId="1" xfId="35" applyNumberFormat="1" applyFont="1" applyFill="1" applyBorder="1" applyAlignment="1">
      <alignment vertical="center" wrapText="1"/>
    </xf>
    <xf numFmtId="3" fontId="6" fillId="60" borderId="1" xfId="35" applyNumberFormat="1" applyFont="1" applyFill="1" applyBorder="1" applyAlignment="1">
      <alignment vertical="center" wrapText="1"/>
    </xf>
    <xf numFmtId="3" fontId="5" fillId="53" borderId="1" xfId="35" applyNumberFormat="1" applyFont="1" applyFill="1" applyBorder="1" applyAlignment="1">
      <alignment vertical="center" wrapText="1"/>
    </xf>
    <xf numFmtId="3" fontId="5" fillId="55" borderId="15" xfId="35" applyNumberFormat="1" applyFont="1" applyFill="1" applyBorder="1" applyAlignment="1">
      <alignment vertical="center" wrapText="1"/>
    </xf>
    <xf numFmtId="3" fontId="71" fillId="52" borderId="1" xfId="35" applyNumberFormat="1" applyFont="1" applyFill="1" applyBorder="1" applyAlignment="1">
      <alignment vertical="center" wrapText="1"/>
    </xf>
    <xf numFmtId="3" fontId="71" fillId="59" borderId="1" xfId="35" applyNumberFormat="1" applyFont="1" applyFill="1" applyBorder="1" applyAlignment="1">
      <alignment vertical="center" wrapText="1"/>
    </xf>
    <xf numFmtId="3" fontId="71" fillId="57" borderId="1" xfId="35" applyNumberFormat="1" applyFont="1" applyFill="1" applyBorder="1" applyAlignment="1">
      <alignment vertical="center" wrapText="1"/>
    </xf>
    <xf numFmtId="3" fontId="71" fillId="58" borderId="15" xfId="35" applyNumberFormat="1" applyFont="1" applyFill="1" applyBorder="1" applyAlignment="1">
      <alignment vertical="center" wrapText="1"/>
    </xf>
    <xf numFmtId="3" fontId="5" fillId="55" borderId="1" xfId="35" applyNumberFormat="1" applyFont="1" applyFill="1" applyBorder="1" applyAlignment="1">
      <alignment vertical="center" wrapText="1"/>
    </xf>
    <xf numFmtId="3" fontId="5" fillId="54"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3" fontId="6" fillId="62" borderId="7" xfId="35" applyFont="1" applyFill="1" applyBorder="1" applyAlignment="1">
      <alignment horizontal="center" vertical="center"/>
    </xf>
    <xf numFmtId="3" fontId="6" fillId="62" borderId="0" xfId="35" applyFont="1" applyFill="1" applyBorder="1" applyAlignment="1">
      <alignment horizontal="center" vertical="center"/>
    </xf>
    <xf numFmtId="3" fontId="6" fillId="62" borderId="8" xfId="35" applyFont="1" applyFill="1" applyBorder="1" applyAlignment="1">
      <alignment horizontal="center" vertical="center"/>
    </xf>
    <xf numFmtId="3" fontId="6" fillId="62" borderId="3" xfId="35" applyFont="1" applyFill="1" applyBorder="1" applyAlignment="1">
      <alignment horizontal="center" vertical="center"/>
    </xf>
    <xf numFmtId="3" fontId="6" fillId="62" borderId="10" xfId="35" applyFont="1" applyFill="1" applyBorder="1" applyAlignment="1">
      <alignment vertical="center"/>
    </xf>
    <xf numFmtId="3" fontId="57" fillId="62" borderId="7" xfId="35" applyFont="1" applyFill="1" applyBorder="1" applyAlignment="1">
      <alignment horizontal="center" vertical="center"/>
    </xf>
    <xf numFmtId="3" fontId="57" fillId="62" borderId="0" xfId="35" applyFont="1" applyFill="1" applyBorder="1" applyAlignment="1">
      <alignment horizontal="center" vertical="center"/>
    </xf>
    <xf numFmtId="3" fontId="56" fillId="62" borderId="8" xfId="35" applyFont="1" applyFill="1" applyBorder="1" applyAlignment="1">
      <alignment horizontal="center" vertical="center"/>
    </xf>
    <xf numFmtId="3" fontId="57" fillId="62" borderId="10" xfId="35" applyFont="1" applyFill="1" applyBorder="1" applyAlignment="1">
      <alignment horizontal="center" vertical="center"/>
    </xf>
    <xf numFmtId="3" fontId="5" fillId="62" borderId="7" xfId="35" applyFont="1" applyFill="1" applyBorder="1" applyAlignment="1">
      <alignment vertical="center"/>
    </xf>
    <xf numFmtId="3" fontId="5" fillId="62" borderId="0" xfId="35" applyFont="1" applyFill="1" applyBorder="1" applyAlignment="1">
      <alignment vertical="center"/>
    </xf>
    <xf numFmtId="3" fontId="6" fillId="62" borderId="8" xfId="35" applyFont="1" applyFill="1" applyBorder="1" applyAlignment="1">
      <alignment vertical="center"/>
    </xf>
    <xf numFmtId="3" fontId="5" fillId="62" borderId="10" xfId="35" applyFont="1" applyFill="1" applyBorder="1" applyAlignment="1">
      <alignment vertical="center"/>
    </xf>
    <xf numFmtId="3" fontId="5" fillId="62" borderId="9" xfId="35" applyFont="1" applyFill="1" applyBorder="1" applyAlignment="1">
      <alignment vertical="center"/>
    </xf>
    <xf numFmtId="3" fontId="5" fillId="38" borderId="4" xfId="35" applyFont="1" applyFill="1" applyBorder="1" applyAlignment="1">
      <alignment vertical="center"/>
    </xf>
    <xf numFmtId="3" fontId="5" fillId="38" borderId="14" xfId="35" applyFont="1" applyFill="1" applyBorder="1" applyAlignment="1">
      <alignment vertical="center"/>
    </xf>
    <xf numFmtId="3" fontId="6" fillId="38" borderId="15" xfId="35" applyFont="1" applyFill="1" applyBorder="1" applyAlignment="1">
      <alignment vertical="center"/>
    </xf>
    <xf numFmtId="3" fontId="5" fillId="38" borderId="1" xfId="35" applyFont="1" applyFill="1" applyBorder="1" applyAlignment="1">
      <alignment vertical="center"/>
    </xf>
    <xf numFmtId="3" fontId="6" fillId="38" borderId="14" xfId="35" applyFont="1" applyFill="1" applyBorder="1" applyAlignment="1">
      <alignment vertical="center"/>
    </xf>
    <xf numFmtId="3" fontId="5" fillId="38" borderId="15" xfId="35" applyFont="1" applyFill="1" applyBorder="1" applyAlignment="1">
      <alignment vertical="center"/>
    </xf>
    <xf numFmtId="3" fontId="6" fillId="62" borderId="5" xfId="35" applyFont="1" applyFill="1" applyBorder="1" applyAlignment="1">
      <alignment vertical="center"/>
    </xf>
    <xf numFmtId="3" fontId="6" fillId="62" borderId="6" xfId="35" applyFont="1" applyFill="1" applyBorder="1" applyAlignment="1">
      <alignment vertical="center"/>
    </xf>
    <xf numFmtId="3" fontId="61" fillId="62" borderId="7" xfId="35" applyFont="1" applyFill="1" applyBorder="1" applyAlignment="1">
      <alignment horizontal="center" vertical="center"/>
    </xf>
    <xf numFmtId="3" fontId="61" fillId="62" borderId="0" xfId="35" applyFont="1" applyFill="1" applyBorder="1" applyAlignment="1">
      <alignment horizontal="center" vertical="center"/>
    </xf>
    <xf numFmtId="3" fontId="60" fillId="62" borderId="0" xfId="35" applyFont="1" applyFill="1" applyBorder="1" applyAlignment="1">
      <alignment horizontal="center" vertical="center"/>
    </xf>
    <xf numFmtId="3" fontId="60" fillId="62" borderId="8" xfId="35" applyFont="1" applyFill="1" applyBorder="1" applyAlignment="1">
      <alignment horizontal="center" vertical="center"/>
    </xf>
    <xf numFmtId="3" fontId="61" fillId="62" borderId="8" xfId="35" applyFont="1" applyFill="1" applyBorder="1" applyAlignment="1">
      <alignment horizontal="center" vertical="center"/>
    </xf>
    <xf numFmtId="3" fontId="6" fillId="62" borderId="0" xfId="35" applyFont="1" applyFill="1" applyBorder="1" applyAlignment="1">
      <alignment vertical="center"/>
    </xf>
    <xf numFmtId="3" fontId="5" fillId="62" borderId="8" xfId="35" applyFont="1" applyFill="1" applyBorder="1" applyAlignment="1">
      <alignment vertical="center"/>
    </xf>
    <xf numFmtId="3" fontId="5" fillId="62" borderId="11" xfId="35" applyFont="1" applyFill="1" applyBorder="1" applyAlignment="1">
      <alignment vertical="center"/>
    </xf>
    <xf numFmtId="3" fontId="5" fillId="62" borderId="13" xfId="35" applyFont="1" applyFill="1" applyBorder="1" applyAlignment="1">
      <alignment vertical="center"/>
    </xf>
    <xf numFmtId="3" fontId="5" fillId="63" borderId="1" xfId="35" applyNumberFormat="1" applyFont="1" applyFill="1" applyBorder="1" applyAlignment="1">
      <alignment vertical="center" wrapText="1"/>
    </xf>
    <xf numFmtId="0" fontId="5"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6" fillId="50" borderId="1" xfId="0" applyFont="1" applyFill="1" applyBorder="1" applyAlignment="1">
      <alignment vertical="center"/>
    </xf>
    <xf numFmtId="0" fontId="5" fillId="51" borderId="3" xfId="0" applyFont="1" applyFill="1" applyBorder="1" applyAlignment="1">
      <alignment vertical="center"/>
    </xf>
    <xf numFmtId="0" fontId="5" fillId="51" borderId="10" xfId="0" applyFont="1" applyFill="1" applyBorder="1" applyAlignment="1">
      <alignment vertical="center"/>
    </xf>
    <xf numFmtId="0" fontId="5" fillId="51" borderId="9" xfId="0" applyFont="1" applyFill="1" applyBorder="1" applyAlignment="1">
      <alignment vertical="center"/>
    </xf>
    <xf numFmtId="0" fontId="6" fillId="43" borderId="2" xfId="0" applyFont="1" applyFill="1" applyBorder="1" applyAlignment="1">
      <alignment horizontal="center" vertical="center"/>
    </xf>
    <xf numFmtId="0" fontId="60" fillId="43" borderId="0" xfId="0" applyFont="1" applyFill="1" applyBorder="1" applyAlignment="1">
      <alignment horizontal="center" vertical="center"/>
    </xf>
    <xf numFmtId="0" fontId="5"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5" fillId="48" borderId="12" xfId="0" applyFont="1" applyFill="1" applyBorder="1" applyAlignment="1">
      <alignment horizontal="center"/>
    </xf>
    <xf numFmtId="167" fontId="5" fillId="0" borderId="0" xfId="0" applyNumberFormat="1" applyFont="1" applyFill="1" applyBorder="1"/>
    <xf numFmtId="180" fontId="73" fillId="0" borderId="0" xfId="0" applyNumberFormat="1" applyFont="1"/>
    <xf numFmtId="180" fontId="73" fillId="0" borderId="0" xfId="0" applyNumberFormat="1" applyFont="1" applyFill="1" applyBorder="1"/>
    <xf numFmtId="4" fontId="8" fillId="0" borderId="0" xfId="0" applyNumberFormat="1" applyFont="1" applyAlignment="1">
      <alignment vertical="center"/>
    </xf>
    <xf numFmtId="0" fontId="5" fillId="48" borderId="4" xfId="0" applyFont="1" applyFill="1" applyBorder="1" applyAlignment="1">
      <alignment horizontal="center" wrapText="1"/>
    </xf>
    <xf numFmtId="0" fontId="5" fillId="48" borderId="1" xfId="0" applyFont="1" applyFill="1" applyBorder="1" applyAlignment="1">
      <alignment horizontal="center" wrapText="1"/>
    </xf>
    <xf numFmtId="0" fontId="0" fillId="48" borderId="3" xfId="0" applyFill="1" applyBorder="1"/>
    <xf numFmtId="1" fontId="5" fillId="42" borderId="3" xfId="0" applyNumberFormat="1" applyFont="1" applyFill="1" applyBorder="1"/>
    <xf numFmtId="2" fontId="5" fillId="42" borderId="10" xfId="0" applyNumberFormat="1" applyFont="1" applyFill="1" applyBorder="1" applyAlignment="1">
      <alignment horizontal="center"/>
    </xf>
    <xf numFmtId="0" fontId="5" fillId="48" borderId="9" xfId="0" applyFont="1" applyFill="1" applyBorder="1" applyAlignment="1">
      <alignment horizontal="center"/>
    </xf>
    <xf numFmtId="0" fontId="5" fillId="41" borderId="0" xfId="0" applyFont="1" applyFill="1" applyBorder="1"/>
    <xf numFmtId="169" fontId="17" fillId="41" borderId="10" xfId="0" applyNumberFormat="1" applyFont="1" applyFill="1" applyBorder="1"/>
    <xf numFmtId="0" fontId="5" fillId="41" borderId="0" xfId="0" applyFont="1" applyFill="1"/>
    <xf numFmtId="0" fontId="8" fillId="0" borderId="0" xfId="0" applyFont="1" applyAlignment="1">
      <alignment vertical="center" wrapText="1"/>
    </xf>
    <xf numFmtId="0" fontId="5" fillId="48" borderId="6" xfId="0" applyFont="1" applyFill="1" applyBorder="1" applyAlignment="1">
      <alignment horizontal="center" wrapText="1"/>
    </xf>
    <xf numFmtId="0" fontId="5" fillId="48" borderId="7" xfId="0" applyFont="1" applyFill="1" applyBorder="1" applyAlignment="1">
      <alignment wrapText="1"/>
    </xf>
    <xf numFmtId="0" fontId="5" fillId="48" borderId="8" xfId="0" applyFont="1" applyFill="1" applyBorder="1" applyAlignment="1">
      <alignment horizontal="center" wrapText="1"/>
    </xf>
    <xf numFmtId="0" fontId="5" fillId="43" borderId="0" xfId="0" applyFont="1" applyFill="1" applyBorder="1" applyAlignment="1">
      <alignment horizontal="center" vertical="center"/>
    </xf>
    <xf numFmtId="0" fontId="67" fillId="0" borderId="0" xfId="34" applyFont="1" applyBorder="1" applyAlignment="1" applyProtection="1">
      <alignment horizontal="center" vertical="center"/>
    </xf>
    <xf numFmtId="180" fontId="5" fillId="0" borderId="0" xfId="0" applyNumberFormat="1" applyFont="1" applyFill="1" applyBorder="1"/>
    <xf numFmtId="0" fontId="23" fillId="0" borderId="0" xfId="34" applyFont="1" applyBorder="1" applyAlignment="1" applyProtection="1">
      <alignment horizontal="right" vertical="center"/>
    </xf>
    <xf numFmtId="0" fontId="25" fillId="0" borderId="0" xfId="34" applyFont="1" applyBorder="1" applyAlignment="1" applyProtection="1">
      <alignment horizontal="center" vertical="center"/>
    </xf>
    <xf numFmtId="0" fontId="22" fillId="0" borderId="0" xfId="34" applyFont="1" applyBorder="1" applyAlignment="1" applyProtection="1">
      <alignment vertical="center"/>
    </xf>
    <xf numFmtId="179" fontId="5" fillId="0" borderId="0" xfId="0" applyNumberFormat="1" applyFont="1" applyFill="1" applyAlignment="1">
      <alignment vertical="center"/>
    </xf>
    <xf numFmtId="166" fontId="5" fillId="0" borderId="0" xfId="0" applyNumberFormat="1" applyFont="1" applyFill="1" applyAlignment="1">
      <alignment vertical="center"/>
    </xf>
    <xf numFmtId="0" fontId="6" fillId="0" borderId="0" xfId="0" applyFont="1" applyAlignment="1">
      <alignment horizontal="right" vertical="center"/>
    </xf>
    <xf numFmtId="0" fontId="5" fillId="48" borderId="9" xfId="0" applyFont="1" applyFill="1" applyBorder="1" applyAlignment="1">
      <alignment horizontal="center"/>
    </xf>
    <xf numFmtId="0" fontId="5" fillId="48" borderId="13" xfId="0" applyFont="1" applyFill="1" applyBorder="1" applyAlignment="1">
      <alignment horizontal="center"/>
    </xf>
    <xf numFmtId="0" fontId="5" fillId="48" borderId="3" xfId="0" applyFont="1" applyFill="1" applyBorder="1" applyAlignment="1">
      <alignment horizontal="center"/>
    </xf>
    <xf numFmtId="9" fontId="61" fillId="43" borderId="7" xfId="63" applyFont="1" applyFill="1" applyBorder="1" applyAlignment="1">
      <alignment horizontal="right" vertical="center"/>
    </xf>
    <xf numFmtId="3" fontId="5" fillId="0" borderId="1" xfId="0" applyNumberFormat="1" applyFont="1" applyFill="1" applyBorder="1" applyAlignment="1">
      <alignment horizontal="center" vertical="center"/>
    </xf>
    <xf numFmtId="0" fontId="5" fillId="48" borderId="8" xfId="0" applyFont="1" applyFill="1" applyBorder="1" applyAlignment="1">
      <alignment horizontal="center"/>
    </xf>
    <xf numFmtId="0" fontId="5" fillId="43" borderId="0" xfId="0" applyFont="1" applyFill="1" applyBorder="1" applyAlignment="1">
      <alignment horizontal="center" vertical="center"/>
    </xf>
    <xf numFmtId="3" fontId="56" fillId="43" borderId="0" xfId="35" applyFont="1" applyFill="1" applyBorder="1" applyAlignment="1">
      <alignment horizontal="center" vertical="center"/>
    </xf>
    <xf numFmtId="3" fontId="6" fillId="43" borderId="0" xfId="35" applyFont="1" applyFill="1" applyBorder="1" applyAlignment="1">
      <alignment horizontal="center" vertical="center"/>
    </xf>
    <xf numFmtId="3" fontId="5" fillId="45" borderId="9" xfId="35" applyFont="1" applyFill="1" applyBorder="1" applyAlignment="1">
      <alignment vertical="center"/>
    </xf>
    <xf numFmtId="3" fontId="5" fillId="64" borderId="1" xfId="35" applyNumberFormat="1" applyFont="1" applyFill="1" applyBorder="1" applyAlignment="1">
      <alignment vertical="center" wrapText="1"/>
    </xf>
    <xf numFmtId="3" fontId="71" fillId="65" borderId="1" xfId="35" applyNumberFormat="1" applyFont="1" applyFill="1" applyBorder="1" applyAlignment="1">
      <alignment vertical="center" wrapText="1"/>
    </xf>
    <xf numFmtId="3" fontId="5" fillId="66" borderId="1" xfId="35" applyNumberFormat="1" applyFont="1" applyFill="1" applyBorder="1" applyAlignment="1">
      <alignment vertical="center" wrapText="1"/>
    </xf>
    <xf numFmtId="3" fontId="71" fillId="67" borderId="1" xfId="35" applyNumberFormat="1" applyFont="1" applyFill="1" applyBorder="1" applyAlignment="1">
      <alignment vertical="center" wrapText="1"/>
    </xf>
    <xf numFmtId="3" fontId="5" fillId="64" borderId="1" xfId="35" applyFont="1" applyFill="1" applyBorder="1" applyAlignment="1">
      <alignment vertical="center" wrapText="1"/>
    </xf>
    <xf numFmtId="3" fontId="71" fillId="65" borderId="1" xfId="35" applyFont="1" applyFill="1" applyBorder="1" applyAlignment="1">
      <alignment vertical="center" wrapText="1"/>
    </xf>
    <xf numFmtId="3" fontId="5" fillId="66" borderId="1" xfId="35" applyFont="1" applyFill="1" applyBorder="1" applyAlignment="1">
      <alignment vertical="center" wrapText="1"/>
    </xf>
    <xf numFmtId="3" fontId="71" fillId="67" borderId="1" xfId="35" applyFont="1" applyFill="1" applyBorder="1" applyAlignment="1">
      <alignment vertical="center" wrapText="1"/>
    </xf>
    <xf numFmtId="0" fontId="5" fillId="43" borderId="0" xfId="0" applyFont="1" applyFill="1" applyBorder="1" applyAlignment="1">
      <alignment horizontal="center" vertical="center"/>
    </xf>
    <xf numFmtId="0" fontId="75" fillId="43" borderId="0" xfId="0" applyFont="1" applyFill="1" applyBorder="1" applyAlignment="1">
      <alignment horizontal="center" vertical="center"/>
    </xf>
    <xf numFmtId="0" fontId="5" fillId="48" borderId="10" xfId="0" applyFont="1" applyFill="1" applyBorder="1" applyAlignment="1">
      <alignment horizontal="center" wrapText="1"/>
    </xf>
    <xf numFmtId="0" fontId="5" fillId="48" borderId="3" xfId="0" applyFont="1" applyFill="1" applyBorder="1" applyAlignment="1">
      <alignment horizontal="center"/>
    </xf>
    <xf numFmtId="0" fontId="5" fillId="48" borderId="9" xfId="0" applyFont="1" applyFill="1" applyBorder="1" applyAlignment="1">
      <alignment horizontal="center"/>
    </xf>
    <xf numFmtId="0" fontId="6" fillId="43" borderId="5" xfId="0" applyFont="1" applyFill="1" applyBorder="1" applyAlignment="1">
      <alignment horizontal="center" vertical="center"/>
    </xf>
    <xf numFmtId="0" fontId="6" fillId="43" borderId="2" xfId="0" applyFont="1" applyFill="1" applyBorder="1" applyAlignment="1">
      <alignment horizontal="center" vertical="center"/>
    </xf>
    <xf numFmtId="0" fontId="6" fillId="43" borderId="6" xfId="0" applyFont="1" applyFill="1" applyBorder="1" applyAlignment="1">
      <alignment horizontal="center" vertical="center"/>
    </xf>
    <xf numFmtId="3" fontId="6" fillId="43" borderId="5" xfId="35" applyFont="1" applyFill="1" applyBorder="1" applyAlignment="1">
      <alignment horizontal="center" vertical="center"/>
    </xf>
    <xf numFmtId="3" fontId="6" fillId="43" borderId="2" xfId="35" applyFont="1" applyFill="1" applyBorder="1" applyAlignment="1">
      <alignment horizontal="center" vertical="center"/>
    </xf>
    <xf numFmtId="3" fontId="6" fillId="43" borderId="6" xfId="35" applyFont="1" applyFill="1" applyBorder="1" applyAlignment="1">
      <alignment horizontal="center" vertical="center"/>
    </xf>
    <xf numFmtId="0" fontId="5" fillId="43" borderId="7" xfId="0" applyFont="1" applyFill="1" applyBorder="1" applyAlignment="1">
      <alignment horizontal="center" vertical="center"/>
    </xf>
    <xf numFmtId="0" fontId="5" fillId="43" borderId="0" xfId="0" applyFont="1" applyFill="1" applyBorder="1" applyAlignment="1">
      <alignment horizontal="center" vertical="center"/>
    </xf>
    <xf numFmtId="3" fontId="57" fillId="43" borderId="7" xfId="35" applyFont="1" applyFill="1" applyBorder="1" applyAlignment="1">
      <alignment horizontal="center" vertical="center"/>
    </xf>
    <xf numFmtId="3" fontId="57" fillId="43" borderId="0" xfId="35" applyFont="1" applyFill="1" applyBorder="1" applyAlignment="1">
      <alignment horizontal="center" vertical="center"/>
    </xf>
    <xf numFmtId="3" fontId="56" fillId="43" borderId="8" xfId="35" applyFont="1" applyFill="1" applyBorder="1" applyAlignment="1">
      <alignment horizontal="center" vertical="center"/>
    </xf>
    <xf numFmtId="3" fontId="6" fillId="43" borderId="7" xfId="35" applyFont="1" applyFill="1" applyBorder="1" applyAlignment="1">
      <alignment horizontal="center" vertical="center"/>
    </xf>
    <xf numFmtId="3" fontId="6" fillId="43" borderId="0" xfId="35" applyFont="1" applyFill="1" applyBorder="1" applyAlignment="1">
      <alignment horizontal="center" vertical="center"/>
    </xf>
    <xf numFmtId="0" fontId="60"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5" fillId="43" borderId="8" xfId="0" applyFont="1" applyFill="1" applyBorder="1" applyAlignment="1">
      <alignment horizontal="center" vertical="center"/>
    </xf>
    <xf numFmtId="3" fontId="6" fillId="43" borderId="8" xfId="35" applyFont="1" applyFill="1" applyBorder="1" applyAlignment="1">
      <alignment horizontal="center" vertical="center"/>
    </xf>
    <xf numFmtId="9" fontId="6" fillId="45" borderId="14" xfId="63" applyFont="1" applyFill="1" applyBorder="1" applyAlignment="1">
      <alignment vertical="center"/>
    </xf>
    <xf numFmtId="0" fontId="71" fillId="61" borderId="3" xfId="0" applyFont="1" applyFill="1" applyBorder="1" applyAlignment="1">
      <alignment horizontal="center" vertical="center" wrapText="1"/>
    </xf>
    <xf numFmtId="0" fontId="5" fillId="43" borderId="7" xfId="0" applyFont="1" applyFill="1" applyBorder="1" applyAlignment="1">
      <alignment horizontal="center" vertical="center"/>
    </xf>
    <xf numFmtId="1" fontId="5" fillId="0" borderId="0" xfId="0" applyNumberFormat="1" applyFont="1" applyFill="1" applyAlignment="1">
      <alignment vertical="center"/>
    </xf>
    <xf numFmtId="185" fontId="8" fillId="0" borderId="0" xfId="0" applyNumberFormat="1" applyFont="1" applyAlignment="1">
      <alignment vertical="center"/>
    </xf>
    <xf numFmtId="0" fontId="12" fillId="0" borderId="0" xfId="0" applyFont="1" applyBorder="1" applyAlignment="1">
      <alignment horizontal="center" vertical="center"/>
    </xf>
    <xf numFmtId="0" fontId="12" fillId="0" borderId="0" xfId="0" applyFont="1" applyBorder="1" applyAlignment="1">
      <alignment horizontal="right" vertical="center"/>
    </xf>
    <xf numFmtId="3" fontId="8" fillId="0" borderId="0" xfId="35" applyNumberFormat="1" applyFont="1" applyBorder="1" applyAlignment="1">
      <alignment vertical="center"/>
    </xf>
    <xf numFmtId="3" fontId="12" fillId="0" borderId="0" xfId="35" applyFont="1" applyBorder="1" applyAlignment="1">
      <alignment horizontal="right" vertical="center"/>
    </xf>
    <xf numFmtId="167" fontId="5" fillId="0" borderId="0" xfId="0" applyNumberFormat="1" applyFont="1" applyFill="1"/>
    <xf numFmtId="9" fontId="5" fillId="0" borderId="1" xfId="63" applyFont="1" applyFill="1" applyBorder="1" applyAlignment="1">
      <alignment horizontal="center" vertical="center"/>
    </xf>
    <xf numFmtId="4" fontId="5" fillId="42" borderId="6" xfId="0" applyNumberFormat="1" applyFont="1" applyFill="1" applyBorder="1"/>
    <xf numFmtId="167" fontId="5" fillId="0" borderId="0" xfId="0" applyNumberFormat="1" applyFont="1" applyBorder="1" applyAlignment="1">
      <alignment horizontal="center" wrapText="1"/>
    </xf>
    <xf numFmtId="167" fontId="5" fillId="2" borderId="0" xfId="0" applyNumberFormat="1" applyFont="1" applyFill="1" applyBorder="1"/>
    <xf numFmtId="10" fontId="5" fillId="0" borderId="0" xfId="63" applyNumberFormat="1" applyFont="1" applyBorder="1" applyAlignment="1">
      <alignment horizontal="center" wrapText="1"/>
    </xf>
    <xf numFmtId="0" fontId="5" fillId="0" borderId="0" xfId="0" applyFont="1" applyBorder="1" applyAlignment="1">
      <alignment horizontal="right" wrapText="1"/>
    </xf>
    <xf numFmtId="0" fontId="6" fillId="42" borderId="5" xfId="0" applyFont="1" applyFill="1" applyBorder="1" applyAlignment="1">
      <alignment vertical="center"/>
    </xf>
    <xf numFmtId="0" fontId="6" fillId="42" borderId="2" xfId="0" applyFont="1" applyFill="1" applyBorder="1" applyAlignment="1">
      <alignment vertical="center"/>
    </xf>
    <xf numFmtId="0" fontId="6" fillId="42" borderId="2" xfId="0" applyFont="1" applyFill="1" applyBorder="1" applyAlignment="1">
      <alignment horizontal="center" vertical="center"/>
    </xf>
    <xf numFmtId="0" fontId="5" fillId="42" borderId="2" xfId="0" applyFont="1" applyFill="1" applyBorder="1" applyAlignment="1">
      <alignment vertical="center"/>
    </xf>
    <xf numFmtId="0" fontId="5" fillId="42" borderId="6" xfId="0" applyFont="1" applyFill="1" applyBorder="1" applyAlignment="1">
      <alignment vertical="center"/>
    </xf>
    <xf numFmtId="0" fontId="6" fillId="42" borderId="0" xfId="0" applyFont="1" applyFill="1" applyBorder="1" applyAlignment="1">
      <alignment horizontal="center" vertical="center"/>
    </xf>
    <xf numFmtId="0" fontId="5" fillId="42" borderId="8" xfId="0" applyFont="1" applyFill="1" applyBorder="1" applyAlignment="1">
      <alignment vertical="center"/>
    </xf>
    <xf numFmtId="0" fontId="5" fillId="42" borderId="7" xfId="0" applyFont="1" applyFill="1" applyBorder="1" applyAlignment="1">
      <alignment horizontal="center" vertical="center"/>
    </xf>
    <xf numFmtId="0" fontId="5" fillId="42" borderId="0" xfId="0" applyFont="1" applyFill="1" applyBorder="1" applyAlignment="1">
      <alignment horizontal="center" vertical="center"/>
    </xf>
    <xf numFmtId="0" fontId="5" fillId="42" borderId="3" xfId="0" applyFont="1" applyFill="1" applyBorder="1" applyAlignment="1">
      <alignment horizontal="center" vertical="center"/>
    </xf>
    <xf numFmtId="0" fontId="6" fillId="42" borderId="8" xfId="0" applyFont="1" applyFill="1" applyBorder="1" applyAlignment="1">
      <alignment horizontal="center" vertical="center"/>
    </xf>
    <xf numFmtId="0" fontId="5" fillId="42" borderId="9" xfId="0" applyFont="1" applyFill="1" applyBorder="1" applyAlignment="1">
      <alignment horizontal="center" vertical="center"/>
    </xf>
    <xf numFmtId="3" fontId="60" fillId="42" borderId="0" xfId="0" applyNumberFormat="1" applyFont="1" applyFill="1" applyBorder="1" applyAlignment="1">
      <alignment vertical="center"/>
    </xf>
    <xf numFmtId="3" fontId="62" fillId="42" borderId="0" xfId="0" applyNumberFormat="1" applyFont="1" applyFill="1" applyBorder="1" applyAlignment="1">
      <alignment vertical="center"/>
    </xf>
    <xf numFmtId="2" fontId="61" fillId="42" borderId="0" xfId="0" applyNumberFormat="1" applyFont="1" applyFill="1" applyBorder="1" applyAlignment="1">
      <alignment vertical="center"/>
    </xf>
    <xf numFmtId="3" fontId="6" fillId="42" borderId="8" xfId="0" applyNumberFormat="1" applyFont="1" applyFill="1" applyBorder="1" applyAlignment="1">
      <alignment vertical="center"/>
    </xf>
    <xf numFmtId="0" fontId="61" fillId="42" borderId="0" xfId="0" applyFont="1" applyFill="1" applyBorder="1" applyAlignment="1">
      <alignment vertical="center"/>
    </xf>
    <xf numFmtId="0" fontId="63" fillId="42" borderId="0" xfId="0" applyFont="1" applyFill="1" applyBorder="1" applyAlignment="1">
      <alignment vertical="center"/>
    </xf>
    <xf numFmtId="0" fontId="6" fillId="42" borderId="8" xfId="0" applyFont="1" applyFill="1" applyBorder="1" applyAlignment="1">
      <alignment vertical="center"/>
    </xf>
    <xf numFmtId="9" fontId="5" fillId="42" borderId="0" xfId="63" applyFont="1" applyFill="1" applyBorder="1" applyAlignment="1">
      <alignment horizontal="center" vertical="center"/>
    </xf>
    <xf numFmtId="9" fontId="61" fillId="42" borderId="7" xfId="0" applyNumberFormat="1" applyFont="1" applyFill="1" applyBorder="1" applyAlignment="1">
      <alignment vertical="center"/>
    </xf>
    <xf numFmtId="9" fontId="5" fillId="42" borderId="0" xfId="63" applyFont="1" applyFill="1" applyAlignment="1">
      <alignment vertical="center"/>
    </xf>
    <xf numFmtId="3" fontId="5" fillId="42" borderId="8" xfId="0" applyNumberFormat="1" applyFont="1" applyFill="1" applyBorder="1" applyAlignment="1">
      <alignment vertical="center"/>
    </xf>
    <xf numFmtId="0" fontId="6" fillId="48" borderId="4" xfId="0" applyFont="1" applyFill="1" applyBorder="1" applyAlignment="1">
      <alignment vertical="center"/>
    </xf>
    <xf numFmtId="0" fontId="6" fillId="48" borderId="14" xfId="0" applyFont="1" applyFill="1" applyBorder="1" applyAlignment="1">
      <alignment vertical="center"/>
    </xf>
    <xf numFmtId="3" fontId="60" fillId="48" borderId="14" xfId="0" applyNumberFormat="1" applyFont="1" applyFill="1" applyBorder="1" applyAlignment="1">
      <alignment vertical="center"/>
    </xf>
    <xf numFmtId="3" fontId="62" fillId="48" borderId="14" xfId="0" applyNumberFormat="1" applyFont="1" applyFill="1" applyBorder="1" applyAlignment="1">
      <alignment vertical="center"/>
    </xf>
    <xf numFmtId="0" fontId="5" fillId="48" borderId="14" xfId="0" applyFont="1" applyFill="1" applyBorder="1" applyAlignment="1">
      <alignment vertical="center"/>
    </xf>
    <xf numFmtId="3" fontId="6" fillId="48" borderId="15" xfId="0" applyNumberFormat="1" applyFont="1" applyFill="1" applyBorder="1" applyAlignment="1">
      <alignment vertical="center"/>
    </xf>
    <xf numFmtId="0" fontId="5" fillId="48" borderId="4" xfId="0" applyFont="1" applyFill="1" applyBorder="1" applyAlignment="1">
      <alignment vertical="center"/>
    </xf>
    <xf numFmtId="9" fontId="5" fillId="48" borderId="14" xfId="63" applyFont="1" applyFill="1" applyBorder="1" applyAlignment="1">
      <alignment vertical="center"/>
    </xf>
    <xf numFmtId="1" fontId="5" fillId="0" borderId="0" xfId="0" applyNumberFormat="1" applyFont="1" applyAlignment="1">
      <alignment horizontal="center"/>
    </xf>
    <xf numFmtId="0" fontId="57" fillId="44" borderId="1" xfId="0" applyFont="1" applyFill="1" applyBorder="1" applyAlignment="1">
      <alignment horizontal="center" vertical="center"/>
    </xf>
    <xf numFmtId="0" fontId="71" fillId="68" borderId="4" xfId="0" applyFont="1" applyFill="1" applyBorder="1" applyAlignment="1">
      <alignment horizontal="center" vertical="center" wrapText="1"/>
    </xf>
    <xf numFmtId="0" fontId="71" fillId="68" borderId="3" xfId="0" applyFont="1" applyFill="1" applyBorder="1" applyAlignment="1">
      <alignment horizontal="center" vertical="center" wrapText="1"/>
    </xf>
    <xf numFmtId="0" fontId="74" fillId="68" borderId="1" xfId="0" applyFont="1" applyFill="1" applyBorder="1" applyAlignment="1">
      <alignment horizontal="center" vertical="center" wrapText="1"/>
    </xf>
    <xf numFmtId="0" fontId="71" fillId="68" borderId="1" xfId="0" applyFont="1" applyFill="1" applyBorder="1" applyAlignment="1">
      <alignment horizontal="center" vertical="center" wrapText="1"/>
    </xf>
    <xf numFmtId="0" fontId="71" fillId="68" borderId="6" xfId="0" applyFont="1" applyFill="1" applyBorder="1" applyAlignment="1">
      <alignment horizontal="center" vertical="center" wrapText="1"/>
    </xf>
    <xf numFmtId="0" fontId="71" fillId="68" borderId="1" xfId="0" applyFont="1" applyFill="1" applyBorder="1" applyAlignment="1">
      <alignment horizontal="center" vertical="center" wrapText="1"/>
    </xf>
    <xf numFmtId="0" fontId="5" fillId="69" borderId="1" xfId="0" applyFont="1" applyFill="1" applyBorder="1" applyAlignment="1">
      <alignment horizontal="center" vertical="center"/>
    </xf>
    <xf numFmtId="0" fontId="71" fillId="68" borderId="3" xfId="0" applyFont="1" applyFill="1" applyBorder="1" applyAlignment="1">
      <alignment horizontal="center" vertical="center" wrapText="1"/>
    </xf>
    <xf numFmtId="3" fontId="5" fillId="0" borderId="0" xfId="35" applyFont="1" applyBorder="1" applyAlignment="1">
      <alignment vertical="center"/>
    </xf>
    <xf numFmtId="0" fontId="5" fillId="69" borderId="4" xfId="0" applyFont="1" applyFill="1" applyBorder="1" applyAlignment="1">
      <alignment vertical="center"/>
    </xf>
    <xf numFmtId="0" fontId="40" fillId="0" borderId="0" xfId="51" applyFill="1" applyBorder="1" applyAlignment="1">
      <alignment vertical="center"/>
    </xf>
    <xf numFmtId="9" fontId="5" fillId="0" borderId="0" xfId="0" applyNumberFormat="1" applyFont="1" applyBorder="1" applyAlignment="1">
      <alignment horizontal="center" vertical="center"/>
    </xf>
    <xf numFmtId="3" fontId="5" fillId="69" borderId="1" xfId="35" applyFont="1" applyFill="1" applyBorder="1" applyAlignment="1">
      <alignment vertical="center"/>
    </xf>
    <xf numFmtId="3" fontId="6" fillId="70" borderId="1" xfId="35" applyFont="1" applyFill="1" applyBorder="1" applyAlignment="1">
      <alignment vertical="center"/>
    </xf>
    <xf numFmtId="3" fontId="5" fillId="71" borderId="1" xfId="35" applyFont="1" applyFill="1" applyBorder="1" applyAlignment="1">
      <alignment vertical="center"/>
    </xf>
    <xf numFmtId="3" fontId="5" fillId="51" borderId="1" xfId="35" applyFont="1" applyFill="1" applyBorder="1" applyAlignment="1">
      <alignment vertical="center"/>
    </xf>
    <xf numFmtId="3" fontId="5" fillId="72" borderId="1" xfId="35" applyFont="1" applyFill="1" applyBorder="1" applyAlignment="1">
      <alignment vertical="center"/>
    </xf>
    <xf numFmtId="3" fontId="5" fillId="41" borderId="4" xfId="35" applyFont="1" applyFill="1" applyBorder="1" applyAlignment="1">
      <alignment horizontal="center" vertical="center"/>
    </xf>
    <xf numFmtId="3" fontId="71" fillId="68" borderId="1" xfId="35" applyFont="1" applyFill="1" applyBorder="1" applyAlignment="1">
      <alignment vertical="center"/>
    </xf>
    <xf numFmtId="3" fontId="71" fillId="46" borderId="1" xfId="35" applyFont="1" applyFill="1" applyBorder="1" applyAlignment="1">
      <alignment vertical="center"/>
    </xf>
    <xf numFmtId="3" fontId="71" fillId="50" borderId="1" xfId="35" applyFont="1" applyFill="1" applyBorder="1" applyAlignment="1">
      <alignment vertical="center"/>
    </xf>
    <xf numFmtId="3" fontId="71" fillId="36" borderId="1" xfId="35" applyFont="1" applyFill="1" applyBorder="1" applyAlignment="1">
      <alignment vertical="center"/>
    </xf>
    <xf numFmtId="3" fontId="5" fillId="72" borderId="9" xfId="35" applyFont="1" applyFill="1" applyBorder="1" applyAlignment="1">
      <alignment vertical="center"/>
    </xf>
    <xf numFmtId="3" fontId="5" fillId="0" borderId="1" xfId="35" applyFont="1" applyFill="1" applyBorder="1" applyAlignment="1">
      <alignment vertical="center"/>
    </xf>
    <xf numFmtId="3" fontId="6" fillId="0" borderId="1" xfId="35" applyFont="1" applyFill="1" applyBorder="1" applyAlignment="1">
      <alignment vertical="center"/>
    </xf>
    <xf numFmtId="3" fontId="5" fillId="73" borderId="1" xfId="35" applyFont="1" applyFill="1" applyBorder="1" applyAlignment="1">
      <alignment vertical="center"/>
    </xf>
    <xf numFmtId="3" fontId="5" fillId="74" borderId="1" xfId="35" applyFont="1" applyFill="1" applyBorder="1" applyAlignment="1">
      <alignment vertical="center"/>
    </xf>
    <xf numFmtId="3" fontId="71" fillId="75" borderId="1" xfId="35" applyFont="1" applyFill="1" applyBorder="1" applyAlignment="1">
      <alignment vertical="center"/>
    </xf>
    <xf numFmtId="3" fontId="71" fillId="76" borderId="1" xfId="35" applyFont="1" applyFill="1" applyBorder="1" applyAlignment="1">
      <alignment vertical="center"/>
    </xf>
    <xf numFmtId="3" fontId="71" fillId="36" borderId="4" xfId="35" applyFont="1" applyFill="1" applyBorder="1" applyAlignment="1">
      <alignment vertical="center"/>
    </xf>
    <xf numFmtId="0" fontId="5" fillId="51" borderId="1" xfId="0" applyFont="1" applyFill="1" applyBorder="1" applyAlignment="1">
      <alignment horizontal="center" vertical="center"/>
    </xf>
    <xf numFmtId="0" fontId="5" fillId="2" borderId="12" xfId="0" applyFont="1" applyFill="1" applyBorder="1"/>
    <xf numFmtId="0" fontId="5" fillId="2" borderId="13" xfId="0" applyFont="1" applyFill="1" applyBorder="1"/>
    <xf numFmtId="0" fontId="6" fillId="50" borderId="1" xfId="0" applyFont="1" applyFill="1" applyBorder="1" applyAlignment="1">
      <alignment horizontal="center" vertical="center" wrapText="1"/>
    </xf>
    <xf numFmtId="0" fontId="5" fillId="42" borderId="5" xfId="0" applyFont="1" applyFill="1" applyBorder="1"/>
    <xf numFmtId="17" fontId="5" fillId="42" borderId="7" xfId="0" applyNumberFormat="1" applyFont="1" applyFill="1" applyBorder="1"/>
    <xf numFmtId="0" fontId="5"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61" fillId="43" borderId="0" xfId="0" applyFont="1" applyFill="1" applyBorder="1" applyAlignment="1">
      <alignment horizontal="center" vertical="center"/>
    </xf>
    <xf numFmtId="0" fontId="5" fillId="43" borderId="8" xfId="0" applyFont="1" applyFill="1" applyBorder="1" applyAlignment="1">
      <alignment horizontal="center" vertical="center"/>
    </xf>
    <xf numFmtId="0" fontId="5" fillId="48" borderId="1" xfId="0" applyFont="1" applyFill="1" applyBorder="1" applyAlignment="1">
      <alignment horizontal="center"/>
    </xf>
    <xf numFmtId="0" fontId="5" fillId="48" borderId="11" xfId="0" applyFont="1" applyFill="1" applyBorder="1" applyAlignment="1">
      <alignment horizontal="center"/>
    </xf>
    <xf numFmtId="0" fontId="5" fillId="48" borderId="13" xfId="0" applyFont="1" applyFill="1" applyBorder="1" applyAlignment="1">
      <alignment horizontal="center"/>
    </xf>
    <xf numFmtId="168" fontId="5" fillId="42" borderId="32" xfId="0" applyNumberFormat="1" applyFont="1" applyFill="1" applyBorder="1"/>
    <xf numFmtId="168" fontId="5" fillId="42" borderId="7" xfId="0" applyNumberFormat="1" applyFont="1" applyFill="1" applyBorder="1"/>
    <xf numFmtId="168" fontId="5" fillId="42" borderId="0" xfId="0" applyNumberFormat="1" applyFont="1" applyFill="1" applyBorder="1"/>
    <xf numFmtId="0" fontId="6" fillId="48" borderId="3" xfId="0" applyFont="1" applyFill="1" applyBorder="1"/>
    <xf numFmtId="9" fontId="8" fillId="48" borderId="3" xfId="63" applyFont="1" applyFill="1" applyBorder="1" applyAlignment="1">
      <alignment horizontal="center"/>
    </xf>
    <xf numFmtId="168" fontId="5" fillId="42" borderId="5" xfId="0" applyNumberFormat="1" applyFont="1" applyFill="1" applyBorder="1"/>
    <xf numFmtId="168" fontId="5" fillId="42" borderId="34" xfId="0" applyNumberFormat="1" applyFont="1" applyFill="1" applyBorder="1"/>
    <xf numFmtId="166" fontId="5" fillId="42" borderId="12" xfId="0" applyNumberFormat="1" applyFont="1" applyFill="1" applyBorder="1"/>
    <xf numFmtId="168" fontId="5" fillId="42" borderId="11" xfId="0" applyNumberFormat="1" applyFont="1" applyFill="1" applyBorder="1"/>
    <xf numFmtId="170" fontId="5" fillId="42" borderId="12" xfId="0" applyNumberFormat="1" applyFont="1" applyFill="1" applyBorder="1"/>
    <xf numFmtId="170" fontId="5" fillId="42" borderId="33" xfId="0" applyNumberFormat="1" applyFont="1" applyFill="1" applyBorder="1"/>
    <xf numFmtId="168" fontId="5" fillId="42" borderId="12" xfId="0" applyNumberFormat="1" applyFont="1" applyFill="1" applyBorder="1"/>
    <xf numFmtId="168" fontId="5" fillId="42" borderId="33" xfId="0" applyNumberFormat="1" applyFont="1" applyFill="1" applyBorder="1"/>
    <xf numFmtId="1" fontId="5" fillId="42" borderId="7" xfId="0" applyNumberFormat="1" applyFont="1" applyFill="1" applyBorder="1" applyAlignment="1">
      <alignment horizontal="center"/>
    </xf>
    <xf numFmtId="0" fontId="5" fillId="48" borderId="11" xfId="0" applyFont="1" applyFill="1" applyBorder="1" applyAlignment="1">
      <alignment horizontal="left"/>
    </xf>
    <xf numFmtId="0" fontId="5" fillId="48" borderId="11" xfId="0" applyFont="1" applyFill="1" applyBorder="1" applyAlignment="1">
      <alignment horizontal="center"/>
    </xf>
    <xf numFmtId="0" fontId="5" fillId="48" borderId="9" xfId="0" applyFont="1" applyFill="1" applyBorder="1" applyAlignment="1">
      <alignment horizontal="center"/>
    </xf>
    <xf numFmtId="0" fontId="6" fillId="48" borderId="5" xfId="0" applyFont="1" applyFill="1" applyBorder="1"/>
    <xf numFmtId="1" fontId="5" fillId="42" borderId="3" xfId="0" applyNumberFormat="1" applyFont="1" applyFill="1" applyBorder="1" applyAlignment="1">
      <alignment horizontal="right"/>
    </xf>
    <xf numFmtId="0" fontId="5" fillId="48" borderId="3" xfId="0" applyFont="1" applyFill="1" applyBorder="1" applyAlignment="1">
      <alignment horizontal="center"/>
    </xf>
    <xf numFmtId="0" fontId="5" fillId="48" borderId="9" xfId="0" applyFont="1" applyFill="1" applyBorder="1" applyAlignment="1">
      <alignment horizontal="center"/>
    </xf>
    <xf numFmtId="0" fontId="5" fillId="48" borderId="9" xfId="0" applyFont="1" applyFill="1" applyBorder="1" applyAlignment="1">
      <alignment horizontal="center" wrapText="1"/>
    </xf>
    <xf numFmtId="0" fontId="5" fillId="48" borderId="13" xfId="0" applyFont="1" applyFill="1" applyBorder="1" applyAlignment="1">
      <alignment horizontal="center"/>
    </xf>
    <xf numFmtId="0" fontId="5" fillId="48" borderId="10" xfId="0" applyFont="1" applyFill="1" applyBorder="1" applyAlignment="1">
      <alignment horizontal="center"/>
    </xf>
    <xf numFmtId="0" fontId="5" fillId="48" borderId="3" xfId="0" applyFont="1" applyFill="1" applyBorder="1" applyAlignment="1">
      <alignment horizontal="center" wrapText="1"/>
    </xf>
    <xf numFmtId="0" fontId="5" fillId="48" borderId="10" xfId="0" applyFont="1" applyFill="1" applyBorder="1" applyAlignment="1">
      <alignment horizontal="center"/>
    </xf>
    <xf numFmtId="168" fontId="5" fillId="42" borderId="10" xfId="0" applyNumberFormat="1" applyFont="1" applyFill="1" applyBorder="1"/>
    <xf numFmtId="0" fontId="5" fillId="48" borderId="1" xfId="0" applyFont="1" applyFill="1" applyBorder="1" applyAlignment="1">
      <alignment horizontal="center"/>
    </xf>
    <xf numFmtId="0" fontId="35" fillId="42" borderId="7" xfId="0" applyFont="1" applyFill="1" applyBorder="1" applyAlignment="1">
      <alignment horizontal="center" vertical="center"/>
    </xf>
    <xf numFmtId="0" fontId="35" fillId="42" borderId="5" xfId="0" applyFont="1" applyFill="1" applyBorder="1" applyAlignment="1">
      <alignment horizontal="center" vertical="center"/>
    </xf>
    <xf numFmtId="0" fontId="19" fillId="43" borderId="7" xfId="0" applyFont="1" applyFill="1" applyBorder="1" applyAlignment="1">
      <alignment horizontal="center" vertical="center"/>
    </xf>
    <xf numFmtId="0" fontId="5" fillId="48" borderId="4" xfId="0" applyFont="1" applyFill="1" applyBorder="1" applyAlignment="1">
      <alignment horizontal="center" wrapText="1"/>
    </xf>
    <xf numFmtId="0" fontId="5" fillId="48" borderId="14" xfId="0" applyFont="1" applyFill="1" applyBorder="1" applyAlignment="1">
      <alignment horizontal="center" wrapText="1"/>
    </xf>
    <xf numFmtId="0" fontId="5" fillId="48" borderId="15" xfId="0" applyFont="1" applyFill="1" applyBorder="1" applyAlignment="1">
      <alignment horizontal="center" wrapText="1"/>
    </xf>
    <xf numFmtId="0" fontId="5" fillId="48" borderId="13" xfId="0" applyFont="1" applyFill="1" applyBorder="1" applyAlignment="1">
      <alignment horizontal="center"/>
    </xf>
    <xf numFmtId="0" fontId="5" fillId="48" borderId="0" xfId="0" applyFont="1" applyFill="1" applyBorder="1" applyAlignment="1">
      <alignment horizontal="center"/>
    </xf>
    <xf numFmtId="0" fontId="5" fillId="48" borderId="8" xfId="0" applyFont="1" applyFill="1" applyBorder="1" applyAlignment="1">
      <alignment horizontal="center"/>
    </xf>
    <xf numFmtId="0" fontId="5" fillId="48" borderId="3" xfId="0" applyFont="1" applyFill="1" applyBorder="1" applyAlignment="1">
      <alignment horizontal="center"/>
    </xf>
    <xf numFmtId="0" fontId="5" fillId="48" borderId="10" xfId="0" applyFont="1" applyFill="1" applyBorder="1" applyAlignment="1">
      <alignment horizontal="center"/>
    </xf>
    <xf numFmtId="0" fontId="5" fillId="48" borderId="5" xfId="0" applyFont="1" applyFill="1" applyBorder="1" applyAlignment="1">
      <alignment horizontal="center" wrapText="1"/>
    </xf>
    <xf numFmtId="0" fontId="5" fillId="42" borderId="3" xfId="0" applyFont="1" applyFill="1" applyBorder="1"/>
    <xf numFmtId="3" fontId="5" fillId="42" borderId="5" xfId="0" applyNumberFormat="1" applyFont="1" applyFill="1" applyBorder="1"/>
    <xf numFmtId="9" fontId="5" fillId="42" borderId="3" xfId="0" applyNumberFormat="1" applyFont="1" applyFill="1" applyBorder="1"/>
    <xf numFmtId="4" fontId="5" fillId="42" borderId="12" xfId="0" applyNumberFormat="1" applyFont="1" applyFill="1" applyBorder="1"/>
    <xf numFmtId="169" fontId="5" fillId="42" borderId="7" xfId="0" applyNumberFormat="1" applyFont="1" applyFill="1" applyBorder="1"/>
    <xf numFmtId="172" fontId="5" fillId="42" borderId="5" xfId="0" applyNumberFormat="1" applyFont="1" applyFill="1" applyBorder="1"/>
    <xf numFmtId="172" fontId="5" fillId="42" borderId="7" xfId="0" applyNumberFormat="1" applyFont="1" applyFill="1" applyBorder="1"/>
    <xf numFmtId="180" fontId="5" fillId="42" borderId="0" xfId="0" applyNumberFormat="1" applyFont="1" applyFill="1" applyBorder="1" applyAlignment="1"/>
    <xf numFmtId="182" fontId="5" fillId="42" borderId="0" xfId="0" applyNumberFormat="1" applyFont="1" applyFill="1" applyBorder="1" applyAlignment="1"/>
    <xf numFmtId="166" fontId="5" fillId="42" borderId="3" xfId="0" applyNumberFormat="1" applyFont="1" applyFill="1" applyBorder="1" applyAlignment="1"/>
    <xf numFmtId="166" fontId="5" fillId="42" borderId="10" xfId="0" applyNumberFormat="1" applyFont="1" applyFill="1" applyBorder="1" applyAlignment="1"/>
    <xf numFmtId="2" fontId="5" fillId="42" borderId="0" xfId="0" applyNumberFormat="1" applyFont="1" applyFill="1" applyBorder="1" applyAlignment="1">
      <alignment horizontal="right"/>
    </xf>
    <xf numFmtId="0" fontId="5" fillId="48" borderId="13" xfId="0" applyFont="1" applyFill="1" applyBorder="1" applyAlignment="1">
      <alignment horizontal="center"/>
    </xf>
    <xf numFmtId="3" fontId="57" fillId="43" borderId="0" xfId="35" applyFont="1" applyFill="1" applyBorder="1" applyAlignment="1">
      <alignment horizontal="center" vertical="center"/>
    </xf>
    <xf numFmtId="3" fontId="57" fillId="43" borderId="7" xfId="35" applyFont="1" applyFill="1" applyBorder="1" applyAlignment="1">
      <alignment horizontal="center" vertical="center"/>
    </xf>
    <xf numFmtId="3" fontId="56" fillId="43" borderId="0" xfId="35" applyFont="1" applyFill="1" applyBorder="1" applyAlignment="1">
      <alignment horizontal="center" vertical="center"/>
    </xf>
    <xf numFmtId="3" fontId="6" fillId="43" borderId="0" xfId="35" applyFont="1" applyFill="1" applyBorder="1" applyAlignment="1">
      <alignment horizontal="center" vertical="center"/>
    </xf>
    <xf numFmtId="0" fontId="5" fillId="43" borderId="0" xfId="0" applyFont="1" applyFill="1" applyBorder="1" applyAlignment="1">
      <alignment horizontal="center" vertical="center"/>
    </xf>
    <xf numFmtId="0" fontId="6" fillId="43" borderId="2" xfId="0" applyFont="1" applyFill="1" applyBorder="1" applyAlignment="1">
      <alignment horizontal="center" vertical="center"/>
    </xf>
    <xf numFmtId="0" fontId="5" fillId="43" borderId="7" xfId="0" applyFont="1" applyFill="1" applyBorder="1" applyAlignment="1">
      <alignment horizontal="center" vertical="center"/>
    </xf>
    <xf numFmtId="0" fontId="5" fillId="0" borderId="0" xfId="0" quotePrefix="1" applyFont="1" applyFill="1" applyAlignment="1">
      <alignment horizontal="right"/>
    </xf>
    <xf numFmtId="0" fontId="5" fillId="42" borderId="4" xfId="0" applyFont="1" applyFill="1" applyBorder="1"/>
    <xf numFmtId="9" fontId="5" fillId="42" borderId="15" xfId="63" applyNumberFormat="1" applyFont="1" applyFill="1" applyBorder="1"/>
    <xf numFmtId="0" fontId="5" fillId="48" borderId="12" xfId="0" applyFont="1" applyFill="1" applyBorder="1" applyAlignment="1">
      <alignment horizontal="center"/>
    </xf>
    <xf numFmtId="186" fontId="5" fillId="0" borderId="0" xfId="0" applyNumberFormat="1" applyFont="1"/>
    <xf numFmtId="0" fontId="5" fillId="48" borderId="3" xfId="0" applyFont="1" applyFill="1" applyBorder="1" applyAlignment="1">
      <alignment horizontal="center" vertical="center" wrapText="1"/>
    </xf>
    <xf numFmtId="167" fontId="5" fillId="42" borderId="10" xfId="0" applyNumberFormat="1" applyFont="1" applyFill="1" applyBorder="1"/>
    <xf numFmtId="4" fontId="5" fillId="0" borderId="0" xfId="0" applyNumberFormat="1" applyFont="1" applyAlignment="1">
      <alignment horizontal="center" vertical="center"/>
    </xf>
    <xf numFmtId="2" fontId="5" fillId="0" borderId="0" xfId="0" applyNumberFormat="1" applyFont="1" applyAlignment="1">
      <alignment horizontal="center" vertical="center"/>
    </xf>
    <xf numFmtId="0" fontId="5" fillId="48" borderId="13" xfId="0" applyFont="1" applyFill="1" applyBorder="1" applyAlignment="1">
      <alignment horizontal="center" vertical="center" wrapText="1"/>
    </xf>
    <xf numFmtId="0" fontId="5" fillId="43" borderId="0" xfId="0" applyFont="1" applyFill="1" applyBorder="1" applyAlignment="1">
      <alignment horizontal="center" vertical="center"/>
    </xf>
    <xf numFmtId="9" fontId="61" fillId="43" borderId="0" xfId="63" applyNumberFormat="1" applyFont="1" applyFill="1" applyBorder="1" applyAlignment="1">
      <alignment vertical="center"/>
    </xf>
    <xf numFmtId="0" fontId="5" fillId="43" borderId="0" xfId="0" applyFont="1" applyFill="1" applyBorder="1" applyAlignment="1">
      <alignment horizontal="center" vertical="center"/>
    </xf>
    <xf numFmtId="0" fontId="36" fillId="0" borderId="0" xfId="0" applyFont="1" applyFill="1" applyBorder="1"/>
    <xf numFmtId="1" fontId="36" fillId="0" borderId="0" xfId="0" applyNumberFormat="1" applyFont="1"/>
    <xf numFmtId="0" fontId="36" fillId="0" borderId="0" xfId="0" applyFont="1"/>
    <xf numFmtId="0" fontId="5" fillId="48" borderId="1" xfId="0" applyFont="1" applyFill="1" applyBorder="1" applyAlignment="1">
      <alignment horizontal="center"/>
    </xf>
    <xf numFmtId="0" fontId="5" fillId="48" borderId="9" xfId="0" applyFont="1" applyFill="1" applyBorder="1" applyAlignment="1">
      <alignment horizontal="center"/>
    </xf>
    <xf numFmtId="0" fontId="5" fillId="48" borderId="7" xfId="0" applyFont="1" applyFill="1" applyBorder="1" applyAlignment="1">
      <alignment horizontal="center"/>
    </xf>
    <xf numFmtId="0" fontId="5" fillId="48" borderId="9" xfId="0" applyFont="1" applyFill="1" applyBorder="1" applyAlignment="1">
      <alignment horizontal="center" wrapText="1"/>
    </xf>
    <xf numFmtId="0" fontId="5" fillId="48" borderId="9" xfId="0" applyFont="1" applyFill="1" applyBorder="1" applyAlignment="1">
      <alignment horizontal="center"/>
    </xf>
    <xf numFmtId="0" fontId="5" fillId="48" borderId="11" xfId="0" applyFont="1" applyFill="1" applyBorder="1" applyAlignment="1">
      <alignment horizontal="center"/>
    </xf>
    <xf numFmtId="0" fontId="5" fillId="48" borderId="12" xfId="0" applyFont="1" applyFill="1" applyBorder="1" applyAlignment="1">
      <alignment horizontal="center"/>
    </xf>
    <xf numFmtId="0" fontId="5" fillId="48" borderId="1" xfId="0" applyFont="1" applyFill="1" applyBorder="1" applyAlignment="1">
      <alignment horizontal="center"/>
    </xf>
    <xf numFmtId="0" fontId="5" fillId="48" borderId="11" xfId="0" applyFont="1" applyFill="1" applyBorder="1" applyAlignment="1">
      <alignment horizontal="center"/>
    </xf>
    <xf numFmtId="0" fontId="5" fillId="48" borderId="12" xfId="0" applyFont="1" applyFill="1" applyBorder="1" applyAlignment="1">
      <alignment horizontal="center"/>
    </xf>
    <xf numFmtId="0" fontId="5" fillId="48" borderId="13" xfId="0" applyFont="1" applyFill="1" applyBorder="1" applyAlignment="1">
      <alignment horizontal="center"/>
    </xf>
    <xf numFmtId="0" fontId="5" fillId="48" borderId="3" xfId="0" applyFont="1" applyFill="1" applyBorder="1" applyAlignment="1">
      <alignment horizontal="center"/>
    </xf>
    <xf numFmtId="0" fontId="5" fillId="48" borderId="9" xfId="0" applyFont="1" applyFill="1" applyBorder="1" applyAlignment="1">
      <alignment horizontal="center"/>
    </xf>
    <xf numFmtId="0" fontId="5" fillId="48" borderId="7" xfId="0" applyFont="1" applyFill="1" applyBorder="1" applyAlignment="1">
      <alignment horizontal="center"/>
    </xf>
    <xf numFmtId="0" fontId="5" fillId="48" borderId="0" xfId="0" applyFont="1" applyFill="1" applyBorder="1" applyAlignment="1">
      <alignment horizontal="center"/>
    </xf>
    <xf numFmtId="0" fontId="5" fillId="48" borderId="10" xfId="0" applyFont="1" applyFill="1" applyBorder="1" applyAlignment="1">
      <alignment horizontal="center"/>
    </xf>
    <xf numFmtId="0" fontId="5" fillId="42" borderId="7" xfId="0" applyFont="1" applyFill="1" applyBorder="1" applyAlignment="1">
      <alignment wrapText="1"/>
    </xf>
    <xf numFmtId="0" fontId="5" fillId="48" borderId="7" xfId="0" applyFont="1" applyFill="1" applyBorder="1" applyAlignment="1">
      <alignment horizontal="center"/>
    </xf>
    <xf numFmtId="0" fontId="5" fillId="48" borderId="0" xfId="0" applyFont="1" applyFill="1" applyBorder="1" applyAlignment="1">
      <alignment horizontal="center"/>
    </xf>
    <xf numFmtId="0" fontId="5" fillId="48" borderId="8" xfId="0" applyFont="1" applyFill="1" applyBorder="1" applyAlignment="1">
      <alignment horizontal="center"/>
    </xf>
    <xf numFmtId="0" fontId="5" fillId="48" borderId="9" xfId="0" applyFont="1" applyFill="1" applyBorder="1" applyAlignment="1">
      <alignment horizontal="center"/>
    </xf>
    <xf numFmtId="0" fontId="5" fillId="48" borderId="11" xfId="0" applyFont="1" applyFill="1" applyBorder="1" applyAlignment="1">
      <alignment horizontal="center"/>
    </xf>
    <xf numFmtId="0" fontId="5" fillId="48" borderId="12" xfId="0" applyFont="1" applyFill="1" applyBorder="1" applyAlignment="1">
      <alignment horizontal="center"/>
    </xf>
    <xf numFmtId="0" fontId="5" fillId="48" borderId="13" xfId="0" applyFont="1" applyFill="1" applyBorder="1" applyAlignment="1">
      <alignment horizontal="center"/>
    </xf>
    <xf numFmtId="0" fontId="5" fillId="48" borderId="13" xfId="0" applyFont="1" applyFill="1" applyBorder="1" applyAlignment="1">
      <alignment horizontal="center" wrapText="1"/>
    </xf>
    <xf numFmtId="0" fontId="5" fillId="48" borderId="10" xfId="0" applyFont="1" applyFill="1" applyBorder="1" applyAlignment="1">
      <alignment horizontal="center"/>
    </xf>
    <xf numFmtId="0" fontId="5" fillId="48" borderId="9" xfId="0" applyFont="1" applyFill="1" applyBorder="1" applyAlignment="1">
      <alignment horizontal="center"/>
    </xf>
    <xf numFmtId="0" fontId="5" fillId="48" borderId="2" xfId="0" applyFont="1" applyFill="1" applyBorder="1" applyAlignment="1">
      <alignment horizontal="center"/>
    </xf>
    <xf numFmtId="0" fontId="5" fillId="48" borderId="6" xfId="0" applyFont="1" applyFill="1" applyBorder="1" applyAlignment="1">
      <alignment horizontal="center"/>
    </xf>
    <xf numFmtId="0" fontId="5" fillId="48" borderId="5" xfId="0" applyFont="1" applyFill="1" applyBorder="1" applyAlignment="1">
      <alignment horizontal="center"/>
    </xf>
    <xf numFmtId="0" fontId="5" fillId="48" borderId="10" xfId="0" applyFont="1" applyFill="1" applyBorder="1" applyAlignment="1">
      <alignment horizontal="center" wrapText="1"/>
    </xf>
    <xf numFmtId="0" fontId="5" fillId="48" borderId="3" xfId="0" applyFont="1" applyFill="1" applyBorder="1" applyAlignment="1">
      <alignment horizontal="center"/>
    </xf>
    <xf numFmtId="0" fontId="5" fillId="48" borderId="9" xfId="0" applyFont="1" applyFill="1" applyBorder="1" applyAlignment="1">
      <alignment horizontal="center"/>
    </xf>
    <xf numFmtId="0" fontId="5" fillId="48" borderId="11" xfId="0" applyFont="1" applyFill="1" applyBorder="1" applyAlignment="1">
      <alignment horizontal="center"/>
    </xf>
    <xf numFmtId="0" fontId="5" fillId="48" borderId="12" xfId="0" applyFont="1" applyFill="1" applyBorder="1" applyAlignment="1">
      <alignment horizontal="center"/>
    </xf>
    <xf numFmtId="0" fontId="5" fillId="48" borderId="13" xfId="0" applyFont="1" applyFill="1" applyBorder="1" applyAlignment="1">
      <alignment horizontal="center"/>
    </xf>
    <xf numFmtId="0" fontId="5" fillId="48" borderId="1" xfId="0" applyFont="1" applyFill="1" applyBorder="1" applyAlignment="1">
      <alignment horizontal="center"/>
    </xf>
    <xf numFmtId="0" fontId="5" fillId="48" borderId="13" xfId="0" applyFont="1" applyFill="1" applyBorder="1" applyAlignment="1">
      <alignment horizontal="center" wrapText="1"/>
    </xf>
    <xf numFmtId="0" fontId="5" fillId="48" borderId="10" xfId="0" applyFont="1" applyFill="1" applyBorder="1" applyAlignment="1">
      <alignment horizontal="center"/>
    </xf>
    <xf numFmtId="0" fontId="5" fillId="42" borderId="10" xfId="0" applyFont="1" applyFill="1" applyBorder="1" applyAlignment="1">
      <alignment wrapText="1"/>
    </xf>
    <xf numFmtId="0" fontId="5" fillId="43" borderId="7" xfId="0" applyFont="1" applyFill="1" applyBorder="1" applyAlignment="1">
      <alignment horizontal="center" vertical="center"/>
    </xf>
    <xf numFmtId="0" fontId="5" fillId="43" borderId="0" xfId="0" applyFont="1" applyFill="1" applyBorder="1" applyAlignment="1">
      <alignment horizontal="center" vertical="center"/>
    </xf>
    <xf numFmtId="0" fontId="5" fillId="48" borderId="1" xfId="0" applyFont="1" applyFill="1" applyBorder="1" applyAlignment="1">
      <alignment horizontal="center"/>
    </xf>
    <xf numFmtId="0" fontId="5" fillId="48" borderId="1" xfId="0" applyFont="1" applyFill="1" applyBorder="1" applyAlignment="1">
      <alignment horizontal="center" wrapText="1"/>
    </xf>
    <xf numFmtId="0" fontId="5" fillId="48" borderId="3" xfId="0" applyFont="1" applyFill="1" applyBorder="1" applyAlignment="1">
      <alignment horizontal="center" wrapText="1"/>
    </xf>
    <xf numFmtId="0" fontId="5" fillId="48" borderId="9" xfId="0" applyFont="1" applyFill="1" applyBorder="1" applyAlignment="1">
      <alignment horizontal="center" wrapText="1"/>
    </xf>
    <xf numFmtId="0" fontId="5" fillId="48" borderId="11" xfId="0" applyFont="1" applyFill="1" applyBorder="1" applyAlignment="1">
      <alignment horizontal="center"/>
    </xf>
    <xf numFmtId="0" fontId="5" fillId="48" borderId="3" xfId="0" applyFont="1" applyFill="1" applyBorder="1" applyAlignment="1">
      <alignment horizontal="center"/>
    </xf>
    <xf numFmtId="0" fontId="5" fillId="48" borderId="9" xfId="0" applyFont="1" applyFill="1" applyBorder="1" applyAlignment="1">
      <alignment horizontal="center"/>
    </xf>
    <xf numFmtId="0" fontId="5" fillId="48" borderId="6" xfId="0" applyFont="1" applyFill="1" applyBorder="1" applyAlignment="1">
      <alignment horizontal="center"/>
    </xf>
    <xf numFmtId="0" fontId="6" fillId="48" borderId="4" xfId="0" applyFont="1" applyFill="1" applyBorder="1" applyAlignment="1">
      <alignment horizontal="left"/>
    </xf>
    <xf numFmtId="0" fontId="5" fillId="48" borderId="8" xfId="0" applyFont="1" applyFill="1" applyBorder="1" applyAlignment="1">
      <alignment horizontal="center"/>
    </xf>
    <xf numFmtId="0" fontId="5" fillId="48" borderId="2" xfId="0" applyFont="1" applyFill="1" applyBorder="1" applyAlignment="1">
      <alignment horizontal="center"/>
    </xf>
    <xf numFmtId="0" fontId="5" fillId="48" borderId="15" xfId="0" applyFont="1" applyFill="1" applyBorder="1" applyAlignment="1">
      <alignment horizontal="center" wrapText="1"/>
    </xf>
    <xf numFmtId="0" fontId="5" fillId="48" borderId="4" xfId="0" applyFont="1" applyFill="1" applyBorder="1" applyAlignment="1">
      <alignment horizontal="center" vertical="center"/>
    </xf>
    <xf numFmtId="0" fontId="5" fillId="48" borderId="10" xfId="0" applyFont="1" applyFill="1" applyBorder="1" applyAlignment="1">
      <alignment horizontal="center"/>
    </xf>
    <xf numFmtId="0" fontId="5" fillId="43" borderId="0" xfId="0" applyFont="1" applyFill="1" applyBorder="1" applyAlignment="1">
      <alignment horizontal="center" vertical="center"/>
    </xf>
    <xf numFmtId="0" fontId="56" fillId="42" borderId="1" xfId="0" applyFont="1" applyFill="1" applyBorder="1" applyAlignment="1">
      <alignment horizontal="center" vertical="center"/>
    </xf>
    <xf numFmtId="0" fontId="57" fillId="44" borderId="1" xfId="0" applyFont="1" applyFill="1" applyBorder="1" applyAlignment="1">
      <alignment horizontal="center" vertical="center"/>
    </xf>
    <xf numFmtId="0" fontId="5" fillId="48" borderId="9" xfId="0" applyFont="1" applyFill="1" applyBorder="1" applyAlignment="1">
      <alignment horizontal="center" wrapText="1"/>
    </xf>
    <xf numFmtId="0" fontId="5" fillId="48" borderId="3" xfId="0" applyFont="1" applyFill="1" applyBorder="1" applyAlignment="1">
      <alignment horizontal="center"/>
    </xf>
    <xf numFmtId="0" fontId="5" fillId="48" borderId="9" xfId="0" applyFont="1" applyFill="1" applyBorder="1" applyAlignment="1">
      <alignment horizontal="center"/>
    </xf>
    <xf numFmtId="0" fontId="6" fillId="48" borderId="5" xfId="0" applyFont="1" applyFill="1" applyBorder="1" applyAlignment="1">
      <alignment wrapText="1"/>
    </xf>
    <xf numFmtId="0" fontId="5" fillId="48" borderId="1" xfId="0" applyFont="1" applyFill="1" applyBorder="1" applyAlignment="1">
      <alignment horizontal="center"/>
    </xf>
    <xf numFmtId="0" fontId="5" fillId="48" borderId="1" xfId="0" applyFont="1" applyFill="1" applyBorder="1" applyAlignment="1">
      <alignment horizontal="center" wrapText="1"/>
    </xf>
    <xf numFmtId="0" fontId="5" fillId="48" borderId="6" xfId="0" applyFont="1" applyFill="1" applyBorder="1" applyAlignment="1">
      <alignment horizontal="center" wrapText="1"/>
    </xf>
    <xf numFmtId="0" fontId="5" fillId="48" borderId="13" xfId="0" applyFont="1" applyFill="1" applyBorder="1" applyAlignment="1">
      <alignment horizontal="center" wrapText="1"/>
    </xf>
    <xf numFmtId="0" fontId="5" fillId="48" borderId="10" xfId="0" applyFont="1" applyFill="1" applyBorder="1" applyAlignment="1">
      <alignment horizontal="center"/>
    </xf>
    <xf numFmtId="0" fontId="67" fillId="42" borderId="9" xfId="34" applyFont="1" applyFill="1" applyBorder="1" applyAlignment="1" applyProtection="1">
      <alignment vertical="center"/>
    </xf>
    <xf numFmtId="0" fontId="71" fillId="61" borderId="3" xfId="0" applyFont="1" applyFill="1" applyBorder="1" applyAlignment="1">
      <alignment horizontal="center" vertical="center" wrapText="1"/>
    </xf>
    <xf numFmtId="0" fontId="5" fillId="43" borderId="7" xfId="0" applyFont="1" applyFill="1" applyBorder="1" applyAlignment="1">
      <alignment horizontal="center" vertical="center"/>
    </xf>
    <xf numFmtId="0" fontId="5"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5" fillId="80" borderId="7" xfId="0" applyFont="1" applyFill="1" applyBorder="1" applyAlignment="1">
      <alignment horizontal="center" vertical="center"/>
    </xf>
    <xf numFmtId="0" fontId="5" fillId="80" borderId="3" xfId="0" applyFont="1" applyFill="1" applyBorder="1" applyAlignment="1">
      <alignment horizontal="center" vertical="center"/>
    </xf>
    <xf numFmtId="0" fontId="5" fillId="80" borderId="9" xfId="0" applyFont="1" applyFill="1" applyBorder="1" applyAlignment="1">
      <alignment horizontal="center" vertical="center"/>
    </xf>
    <xf numFmtId="0" fontId="5"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0" xfId="0" applyFont="1" applyFill="1" applyBorder="1" applyAlignment="1">
      <alignment horizontal="center" vertical="center"/>
    </xf>
    <xf numFmtId="0" fontId="5"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0" xfId="0" applyFont="1" applyFill="1" applyBorder="1" applyAlignment="1">
      <alignment horizontal="center" vertical="center"/>
    </xf>
    <xf numFmtId="0" fontId="5"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0" xfId="0" applyFont="1" applyFill="1" applyBorder="1" applyAlignment="1">
      <alignment horizontal="center" vertical="center"/>
    </xf>
    <xf numFmtId="0" fontId="73" fillId="43" borderId="7" xfId="0" applyFont="1" applyFill="1" applyBorder="1" applyAlignment="1">
      <alignment horizontal="left" vertical="center"/>
    </xf>
    <xf numFmtId="0" fontId="5"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7" xfId="0" applyFont="1" applyFill="1" applyBorder="1" applyAlignment="1">
      <alignment horizontal="center" vertical="center"/>
    </xf>
    <xf numFmtId="0" fontId="5" fillId="0" borderId="1" xfId="0" applyFont="1" applyBorder="1" applyAlignment="1">
      <alignment horizontal="center" vertical="center"/>
    </xf>
    <xf numFmtId="0" fontId="80" fillId="0" borderId="0" xfId="0" applyFont="1" applyBorder="1" applyAlignment="1">
      <alignment horizontal="right" vertical="center" wrapText="1"/>
    </xf>
    <xf numFmtId="0" fontId="80" fillId="0" borderId="0" xfId="0" applyFont="1" applyBorder="1" applyAlignment="1">
      <alignment vertical="center" wrapText="1"/>
    </xf>
    <xf numFmtId="0" fontId="81" fillId="0" borderId="0" xfId="34" applyFont="1" applyBorder="1" applyAlignment="1" applyProtection="1">
      <alignment vertical="center" wrapText="1"/>
    </xf>
    <xf numFmtId="0" fontId="80" fillId="0" borderId="0" xfId="0" applyFont="1" applyBorder="1" applyAlignment="1">
      <alignment horizontal="left" vertical="center" wrapText="1"/>
    </xf>
    <xf numFmtId="0" fontId="81" fillId="0" borderId="0" xfId="34" applyFont="1" applyAlignment="1" applyProtection="1">
      <alignment vertical="center"/>
    </xf>
    <xf numFmtId="0" fontId="67" fillId="42" borderId="1" xfId="34" applyFont="1" applyFill="1" applyBorder="1" applyAlignment="1" applyProtection="1">
      <alignment vertical="center"/>
    </xf>
    <xf numFmtId="3" fontId="83" fillId="0" borderId="0" xfId="0" applyNumberFormat="1" applyFont="1" applyAlignment="1">
      <alignment vertical="center"/>
    </xf>
    <xf numFmtId="0" fontId="80" fillId="0" borderId="0" xfId="0" applyFont="1" applyBorder="1" applyAlignment="1">
      <alignment horizontal="center" vertical="center" wrapText="1"/>
    </xf>
    <xf numFmtId="0" fontId="81" fillId="0" borderId="0" xfId="34" applyFont="1" applyBorder="1" applyAlignment="1" applyProtection="1">
      <alignment horizontal="center" vertical="center" wrapText="1"/>
    </xf>
    <xf numFmtId="0" fontId="81" fillId="0" borderId="0" xfId="34" applyFont="1" applyBorder="1" applyAlignment="1" applyProtection="1">
      <alignment horizontal="center" vertical="center"/>
    </xf>
    <xf numFmtId="0" fontId="5"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60" fillId="43" borderId="0" xfId="0" applyFont="1" applyFill="1" applyBorder="1" applyAlignment="1">
      <alignment horizontal="center" vertical="center"/>
    </xf>
    <xf numFmtId="0" fontId="61" fillId="43" borderId="0" xfId="0" applyFont="1" applyFill="1" applyBorder="1" applyAlignment="1">
      <alignment horizontal="center" vertical="center"/>
    </xf>
    <xf numFmtId="0" fontId="6" fillId="43" borderId="5" xfId="0" applyFont="1" applyFill="1" applyBorder="1" applyAlignment="1">
      <alignment vertical="center" wrapText="1"/>
    </xf>
    <xf numFmtId="1" fontId="5" fillId="82" borderId="32" xfId="0" applyNumberFormat="1" applyFont="1" applyFill="1" applyBorder="1"/>
    <xf numFmtId="0" fontId="5" fillId="82" borderId="7" xfId="0" applyFont="1" applyFill="1" applyBorder="1"/>
    <xf numFmtId="3" fontId="5" fillId="82" borderId="8" xfId="0" applyNumberFormat="1" applyFont="1" applyFill="1" applyBorder="1"/>
    <xf numFmtId="0" fontId="5" fillId="82" borderId="7" xfId="0" applyFont="1" applyFill="1" applyBorder="1" applyAlignment="1">
      <alignment horizontal="left"/>
    </xf>
    <xf numFmtId="167" fontId="5" fillId="82" borderId="0" xfId="0" applyNumberFormat="1" applyFont="1" applyFill="1" applyBorder="1"/>
    <xf numFmtId="167" fontId="5" fillId="82" borderId="32" xfId="0" applyNumberFormat="1" applyFont="1" applyFill="1" applyBorder="1"/>
    <xf numFmtId="11" fontId="5" fillId="82" borderId="32" xfId="0" applyNumberFormat="1" applyFont="1" applyFill="1" applyBorder="1"/>
    <xf numFmtId="180" fontId="5" fillId="82" borderId="0" xfId="0" applyNumberFormat="1" applyFont="1" applyFill="1" applyBorder="1"/>
    <xf numFmtId="0" fontId="5" fillId="82" borderId="7" xfId="0" applyFont="1" applyFill="1" applyBorder="1" applyAlignment="1"/>
    <xf numFmtId="167" fontId="5" fillId="82" borderId="8" xfId="0" applyNumberFormat="1" applyFont="1" applyFill="1" applyBorder="1" applyAlignment="1"/>
    <xf numFmtId="167" fontId="5" fillId="82" borderId="32" xfId="0" applyNumberFormat="1" applyFont="1" applyFill="1" applyBorder="1" applyAlignment="1"/>
    <xf numFmtId="11" fontId="5" fillId="82" borderId="32" xfId="0" applyNumberFormat="1" applyFont="1" applyFill="1" applyBorder="1" applyAlignment="1"/>
    <xf numFmtId="11" fontId="5" fillId="82" borderId="0" xfId="0" applyNumberFormat="1" applyFont="1" applyFill="1" applyBorder="1" applyAlignment="1"/>
    <xf numFmtId="167" fontId="5" fillId="82" borderId="7" xfId="0" applyNumberFormat="1" applyFont="1" applyFill="1" applyBorder="1"/>
    <xf numFmtId="169" fontId="5" fillId="82" borderId="8" xfId="0" applyNumberFormat="1" applyFont="1" applyFill="1" applyBorder="1"/>
    <xf numFmtId="9" fontId="5" fillId="0" borderId="12" xfId="63" applyNumberFormat="1" applyFont="1" applyFill="1" applyBorder="1" applyAlignment="1">
      <alignment horizontal="center"/>
    </xf>
    <xf numFmtId="9" fontId="5" fillId="0" borderId="12" xfId="63" applyFont="1" applyFill="1" applyBorder="1" applyAlignment="1">
      <alignment horizontal="center"/>
    </xf>
    <xf numFmtId="167" fontId="5" fillId="82" borderId="32" xfId="0" applyNumberFormat="1" applyFont="1" applyFill="1" applyBorder="1" applyAlignment="1">
      <alignment horizontal="right" vertical="top" wrapText="1"/>
    </xf>
    <xf numFmtId="169" fontId="5" fillId="82" borderId="0" xfId="0" applyNumberFormat="1" applyFont="1" applyFill="1" applyBorder="1"/>
    <xf numFmtId="1" fontId="5" fillId="82" borderId="10" xfId="0" applyNumberFormat="1" applyFont="1" applyFill="1" applyBorder="1"/>
    <xf numFmtId="1" fontId="5" fillId="82" borderId="0" xfId="0" applyNumberFormat="1" applyFont="1" applyFill="1" applyBorder="1"/>
    <xf numFmtId="0" fontId="5" fillId="82" borderId="10" xfId="0" applyFont="1" applyFill="1" applyBorder="1" applyAlignment="1">
      <alignment horizontal="left"/>
    </xf>
    <xf numFmtId="0" fontId="5" fillId="0" borderId="8" xfId="0" applyFont="1" applyFill="1" applyBorder="1"/>
    <xf numFmtId="1" fontId="5" fillId="82" borderId="8" xfId="0" applyNumberFormat="1" applyFont="1" applyFill="1" applyBorder="1"/>
    <xf numFmtId="0" fontId="5" fillId="82" borderId="7" xfId="0" applyFont="1" applyFill="1" applyBorder="1" applyAlignment="1">
      <alignment vertical="center"/>
    </xf>
    <xf numFmtId="3" fontId="5" fillId="82" borderId="10" xfId="0" applyNumberFormat="1" applyFont="1" applyFill="1" applyBorder="1"/>
    <xf numFmtId="3" fontId="5" fillId="82" borderId="7" xfId="0" applyNumberFormat="1" applyFont="1" applyFill="1" applyBorder="1"/>
    <xf numFmtId="0" fontId="5" fillId="82" borderId="0" xfId="0" applyFont="1" applyFill="1" applyBorder="1"/>
    <xf numFmtId="3" fontId="5" fillId="82" borderId="0" xfId="0" applyNumberFormat="1" applyFont="1" applyFill="1" applyBorder="1"/>
    <xf numFmtId="1" fontId="5" fillId="82" borderId="7" xfId="0" applyNumberFormat="1" applyFont="1" applyFill="1" applyBorder="1"/>
    <xf numFmtId="11" fontId="5" fillId="82" borderId="0" xfId="0" applyNumberFormat="1" applyFont="1" applyFill="1" applyBorder="1"/>
    <xf numFmtId="0" fontId="5" fillId="83" borderId="7" xfId="0" applyFont="1" applyFill="1" applyBorder="1"/>
    <xf numFmtId="167" fontId="5" fillId="82" borderId="0" xfId="0" applyNumberFormat="1" applyFont="1" applyFill="1" applyBorder="1" applyAlignment="1"/>
    <xf numFmtId="166" fontId="5" fillId="82" borderId="0" xfId="0" applyNumberFormat="1" applyFont="1" applyFill="1" applyBorder="1" applyAlignment="1"/>
    <xf numFmtId="0" fontId="5" fillId="82" borderId="5" xfId="0" applyFont="1" applyFill="1" applyBorder="1"/>
    <xf numFmtId="167" fontId="5" fillId="82" borderId="2" xfId="0" applyNumberFormat="1" applyFont="1" applyFill="1" applyBorder="1" applyAlignment="1"/>
    <xf numFmtId="167" fontId="5" fillId="82" borderId="6" xfId="0" applyNumberFormat="1" applyFont="1" applyFill="1" applyBorder="1" applyAlignment="1"/>
    <xf numFmtId="167" fontId="5" fillId="82" borderId="34" xfId="0" applyNumberFormat="1" applyFont="1" applyFill="1" applyBorder="1" applyAlignment="1"/>
    <xf numFmtId="166" fontId="5" fillId="82" borderId="2" xfId="0" applyNumberFormat="1" applyFont="1" applyFill="1" applyBorder="1" applyAlignment="1"/>
    <xf numFmtId="11" fontId="5" fillId="82" borderId="34" xfId="0" applyNumberFormat="1" applyFont="1" applyFill="1" applyBorder="1" applyAlignment="1"/>
    <xf numFmtId="180" fontId="5" fillId="82" borderId="2" xfId="0" applyNumberFormat="1" applyFont="1" applyFill="1" applyBorder="1"/>
    <xf numFmtId="0" fontId="5" fillId="0" borderId="2" xfId="0" applyFont="1" applyFill="1" applyBorder="1"/>
    <xf numFmtId="167" fontId="5" fillId="82" borderId="2" xfId="0" applyNumberFormat="1" applyFont="1" applyFill="1" applyBorder="1"/>
    <xf numFmtId="167" fontId="5" fillId="82" borderId="34" xfId="0" applyNumberFormat="1" applyFont="1" applyFill="1" applyBorder="1"/>
    <xf numFmtId="11" fontId="5" fillId="82" borderId="34" xfId="0" applyNumberFormat="1" applyFont="1" applyFill="1" applyBorder="1"/>
    <xf numFmtId="180" fontId="5" fillId="82" borderId="6" xfId="0" applyNumberFormat="1" applyFont="1" applyFill="1" applyBorder="1"/>
    <xf numFmtId="0" fontId="5" fillId="43" borderId="7" xfId="0" applyFont="1" applyFill="1" applyBorder="1" applyAlignment="1">
      <alignment horizontal="center" vertical="center"/>
    </xf>
    <xf numFmtId="167" fontId="5" fillId="82" borderId="8" xfId="0" applyNumberFormat="1" applyFont="1" applyFill="1" applyBorder="1"/>
    <xf numFmtId="0" fontId="6" fillId="82" borderId="5" xfId="0" applyFont="1" applyFill="1" applyBorder="1" applyAlignment="1">
      <alignment horizontal="left" vertical="center"/>
    </xf>
    <xf numFmtId="0" fontId="5" fillId="82" borderId="10" xfId="0" applyFont="1" applyFill="1" applyBorder="1"/>
    <xf numFmtId="4" fontId="5" fillId="82" borderId="0" xfId="0" applyNumberFormat="1" applyFont="1" applyFill="1" applyBorder="1"/>
    <xf numFmtId="4" fontId="5" fillId="82" borderId="8" xfId="0" applyNumberFormat="1" applyFont="1" applyFill="1" applyBorder="1"/>
    <xf numFmtId="0" fontId="5" fillId="82" borderId="11" xfId="0" applyFont="1" applyFill="1" applyBorder="1"/>
    <xf numFmtId="11" fontId="85" fillId="50" borderId="1" xfId="35" applyNumberFormat="1" applyFont="1" applyFill="1" applyBorder="1" applyAlignment="1">
      <alignment vertical="center"/>
    </xf>
    <xf numFmtId="0" fontId="5" fillId="43" borderId="0" xfId="0" applyFont="1" applyFill="1" applyBorder="1" applyAlignment="1">
      <alignment horizontal="center" vertical="center"/>
    </xf>
    <xf numFmtId="0" fontId="5" fillId="43" borderId="7" xfId="0" applyFont="1" applyFill="1" applyBorder="1" applyAlignment="1">
      <alignment horizontal="center" vertical="center"/>
    </xf>
    <xf numFmtId="0" fontId="5" fillId="48" borderId="7" xfId="0" applyFont="1" applyFill="1" applyBorder="1" applyAlignment="1">
      <alignment horizontal="center"/>
    </xf>
    <xf numFmtId="0" fontId="5" fillId="48" borderId="8" xfId="0" applyFont="1" applyFill="1" applyBorder="1" applyAlignment="1">
      <alignment horizontal="center"/>
    </xf>
    <xf numFmtId="0" fontId="5" fillId="48" borderId="3" xfId="0" applyFont="1" applyFill="1" applyBorder="1" applyAlignment="1">
      <alignment horizontal="center" wrapText="1"/>
    </xf>
    <xf numFmtId="0" fontId="5" fillId="48" borderId="9" xfId="0" applyFont="1" applyFill="1" applyBorder="1" applyAlignment="1">
      <alignment horizontal="center" wrapText="1"/>
    </xf>
    <xf numFmtId="0" fontId="5" fillId="48" borderId="11" xfId="0" applyFont="1" applyFill="1" applyBorder="1" applyAlignment="1">
      <alignment horizontal="center"/>
    </xf>
    <xf numFmtId="0" fontId="5" fillId="48" borderId="13" xfId="0" applyFont="1" applyFill="1" applyBorder="1" applyAlignment="1">
      <alignment horizontal="center"/>
    </xf>
    <xf numFmtId="0" fontId="6" fillId="82" borderId="5" xfId="0" applyFont="1" applyFill="1" applyBorder="1" applyAlignment="1">
      <alignment vertical="center"/>
    </xf>
    <xf numFmtId="3" fontId="10" fillId="42" borderId="0" xfId="0" applyNumberFormat="1" applyFont="1" applyFill="1" applyBorder="1"/>
    <xf numFmtId="9" fontId="10" fillId="42" borderId="0" xfId="0" applyNumberFormat="1" applyFont="1" applyFill="1" applyBorder="1"/>
    <xf numFmtId="4" fontId="6" fillId="43" borderId="8" xfId="0" applyNumberFormat="1" applyFont="1" applyFill="1" applyBorder="1" applyAlignment="1">
      <alignment vertical="center"/>
    </xf>
    <xf numFmtId="165" fontId="60" fillId="45" borderId="14" xfId="0" applyNumberFormat="1" applyFont="1" applyFill="1" applyBorder="1" applyAlignment="1">
      <alignment vertical="center"/>
    </xf>
    <xf numFmtId="0" fontId="22" fillId="77" borderId="1" xfId="0" applyFont="1" applyFill="1" applyBorder="1" applyAlignment="1">
      <alignment horizontal="center" vertical="center"/>
    </xf>
    <xf numFmtId="0" fontId="22" fillId="45" borderId="1" xfId="0" applyFont="1" applyFill="1" applyBorder="1" applyAlignment="1">
      <alignment horizontal="center" vertical="center"/>
    </xf>
    <xf numFmtId="0" fontId="40" fillId="33" borderId="1" xfId="51">
      <alignment horizontal="center" vertical="center"/>
    </xf>
    <xf numFmtId="0" fontId="22" fillId="78" borderId="3" xfId="0" applyFont="1" applyFill="1" applyBorder="1" applyAlignment="1">
      <alignment horizontal="center" vertical="center"/>
    </xf>
    <xf numFmtId="0" fontId="22" fillId="78" borderId="10" xfId="0" applyFont="1" applyFill="1" applyBorder="1" applyAlignment="1">
      <alignment horizontal="center" vertical="center"/>
    </xf>
    <xf numFmtId="0" fontId="22" fillId="78" borderId="9" xfId="0" applyFont="1" applyFill="1" applyBorder="1" applyAlignment="1">
      <alignment horizontal="center" vertical="center"/>
    </xf>
    <xf numFmtId="3" fontId="19" fillId="41" borderId="6" xfId="35" applyFont="1" applyFill="1" applyBorder="1" applyAlignment="1">
      <alignment horizontal="center" vertical="center" wrapText="1"/>
    </xf>
    <xf numFmtId="3" fontId="19" fillId="41" borderId="8" xfId="35" applyFont="1" applyFill="1" applyBorder="1" applyAlignment="1">
      <alignment horizontal="center" vertical="center" wrapText="1"/>
    </xf>
    <xf numFmtId="3" fontId="19" fillId="41" borderId="13" xfId="35" applyFont="1" applyFill="1" applyBorder="1" applyAlignment="1">
      <alignment horizontal="center" vertical="center" wrapText="1"/>
    </xf>
    <xf numFmtId="0" fontId="5" fillId="69" borderId="4" xfId="0" applyFont="1" applyFill="1" applyBorder="1" applyAlignment="1">
      <alignment horizontal="left" vertical="center"/>
    </xf>
    <xf numFmtId="0" fontId="5" fillId="69" borderId="15" xfId="0" applyFont="1" applyFill="1" applyBorder="1" applyAlignment="1">
      <alignment horizontal="left" vertical="center"/>
    </xf>
    <xf numFmtId="0" fontId="71" fillId="68" borderId="4" xfId="0" applyFont="1" applyFill="1" applyBorder="1" applyAlignment="1">
      <alignment horizontal="center" vertical="center" wrapText="1"/>
    </xf>
    <xf numFmtId="0" fontId="71" fillId="68" borderId="15" xfId="0" applyFont="1" applyFill="1" applyBorder="1" applyAlignment="1">
      <alignment horizontal="center" vertical="center" wrapText="1"/>
    </xf>
    <xf numFmtId="0" fontId="71" fillId="68" borderId="14" xfId="0" applyFont="1" applyFill="1" applyBorder="1" applyAlignment="1">
      <alignment horizontal="center" vertical="center" wrapText="1"/>
    </xf>
    <xf numFmtId="0" fontId="71" fillId="79" borderId="1" xfId="0" applyFont="1" applyFill="1" applyBorder="1" applyAlignment="1">
      <alignment horizontal="right" vertical="center"/>
    </xf>
    <xf numFmtId="3" fontId="6" fillId="43" borderId="7" xfId="35" applyFont="1" applyFill="1" applyBorder="1" applyAlignment="1">
      <alignment horizontal="center" vertical="center"/>
    </xf>
    <xf numFmtId="3" fontId="6" fillId="43" borderId="0" xfId="35" applyFont="1" applyFill="1" applyBorder="1" applyAlignment="1">
      <alignment horizontal="center" vertical="center"/>
    </xf>
    <xf numFmtId="0" fontId="40" fillId="68" borderId="4" xfId="0" applyFont="1" applyFill="1" applyBorder="1" applyAlignment="1">
      <alignment horizontal="center" vertical="center"/>
    </xf>
    <xf numFmtId="0" fontId="40" fillId="68" borderId="14" xfId="0" applyFont="1" applyFill="1" applyBorder="1" applyAlignment="1">
      <alignment horizontal="center" vertical="center"/>
    </xf>
    <xf numFmtId="0" fontId="40" fillId="68" borderId="15" xfId="0" applyFont="1" applyFill="1" applyBorder="1" applyAlignment="1">
      <alignment horizontal="center" vertical="center"/>
    </xf>
    <xf numFmtId="0" fontId="5" fillId="43" borderId="7" xfId="0" applyFont="1" applyFill="1" applyBorder="1" applyAlignment="1">
      <alignment horizontal="center" vertical="center"/>
    </xf>
    <xf numFmtId="0" fontId="5" fillId="43" borderId="0" xfId="0" applyFont="1" applyFill="1" applyBorder="1" applyAlignment="1">
      <alignment horizontal="center" vertical="center"/>
    </xf>
    <xf numFmtId="0" fontId="6" fillId="43" borderId="4" xfId="0" applyFont="1" applyFill="1" applyBorder="1" applyAlignment="1">
      <alignment horizontal="center" vertical="center"/>
    </xf>
    <xf numFmtId="0" fontId="6" fillId="43" borderId="14" xfId="0" applyFont="1" applyFill="1" applyBorder="1" applyAlignment="1">
      <alignment horizontal="center" vertical="center"/>
    </xf>
    <xf numFmtId="0" fontId="6" fillId="43" borderId="15" xfId="0" applyFont="1" applyFill="1" applyBorder="1" applyAlignment="1">
      <alignment horizontal="center" vertical="center"/>
    </xf>
    <xf numFmtId="0" fontId="5" fillId="54" borderId="1" xfId="0" applyFont="1" applyFill="1" applyBorder="1" applyAlignment="1">
      <alignment horizontal="left" vertical="center" wrapText="1"/>
    </xf>
    <xf numFmtId="0" fontId="5" fillId="54" borderId="4" xfId="0" applyFont="1" applyFill="1" applyBorder="1" applyAlignment="1">
      <alignment horizontal="left" vertical="center"/>
    </xf>
    <xf numFmtId="0" fontId="5" fillId="54" borderId="15" xfId="0" applyFont="1" applyFill="1" applyBorder="1" applyAlignment="1">
      <alignment horizontal="left" vertical="center"/>
    </xf>
    <xf numFmtId="0" fontId="6" fillId="43" borderId="5" xfId="0" applyFont="1" applyFill="1" applyBorder="1" applyAlignment="1">
      <alignment horizontal="center" vertical="center"/>
    </xf>
    <xf numFmtId="0" fontId="6" fillId="43" borderId="2" xfId="0" applyFont="1" applyFill="1" applyBorder="1" applyAlignment="1">
      <alignment horizontal="center" vertical="center"/>
    </xf>
    <xf numFmtId="0" fontId="6" fillId="43" borderId="6" xfId="0" applyFont="1" applyFill="1" applyBorder="1" applyAlignment="1">
      <alignment horizontal="center" vertical="center"/>
    </xf>
    <xf numFmtId="3" fontId="6" fillId="43" borderId="4" xfId="35" applyFont="1" applyFill="1" applyBorder="1" applyAlignment="1">
      <alignment horizontal="center" vertical="center"/>
    </xf>
    <xf numFmtId="3" fontId="6" fillId="43" borderId="14" xfId="35" applyFont="1" applyFill="1" applyBorder="1" applyAlignment="1">
      <alignment horizontal="center" vertical="center"/>
    </xf>
    <xf numFmtId="3" fontId="6" fillId="43" borderId="15" xfId="35" applyFont="1" applyFill="1" applyBorder="1" applyAlignment="1">
      <alignment horizontal="center" vertical="center"/>
    </xf>
    <xf numFmtId="3" fontId="6" fillId="43" borderId="5" xfId="35" applyFont="1" applyFill="1" applyBorder="1" applyAlignment="1">
      <alignment horizontal="center" vertical="center"/>
    </xf>
    <xf numFmtId="3" fontId="6" fillId="43" borderId="2" xfId="35" applyFont="1" applyFill="1" applyBorder="1" applyAlignment="1">
      <alignment horizontal="center" vertical="center"/>
    </xf>
    <xf numFmtId="3" fontId="6" fillId="43" borderId="6" xfId="35" applyFont="1" applyFill="1" applyBorder="1" applyAlignment="1">
      <alignment horizontal="center" vertical="center"/>
    </xf>
    <xf numFmtId="3" fontId="57" fillId="43" borderId="0" xfId="35" applyFont="1" applyFill="1" applyBorder="1" applyAlignment="1">
      <alignment horizontal="center" vertical="center"/>
    </xf>
    <xf numFmtId="3" fontId="56" fillId="43" borderId="0" xfId="35" applyFont="1" applyFill="1" applyBorder="1" applyAlignment="1">
      <alignment horizontal="center" vertical="center"/>
    </xf>
    <xf numFmtId="3" fontId="56" fillId="43" borderId="8" xfId="35" applyFont="1" applyFill="1" applyBorder="1" applyAlignment="1">
      <alignment horizontal="center" vertical="center"/>
    </xf>
    <xf numFmtId="3" fontId="57" fillId="43" borderId="7" xfId="35" applyFont="1" applyFill="1" applyBorder="1" applyAlignment="1">
      <alignment horizontal="center" vertical="center"/>
    </xf>
    <xf numFmtId="3" fontId="57" fillId="43" borderId="8" xfId="35" applyFont="1" applyFill="1" applyBorder="1" applyAlignment="1">
      <alignment horizontal="center" vertical="center"/>
    </xf>
    <xf numFmtId="0" fontId="71" fillId="52" borderId="4" xfId="0" applyFont="1" applyFill="1" applyBorder="1" applyAlignment="1">
      <alignment horizontal="right" vertical="center"/>
    </xf>
    <xf numFmtId="0" fontId="71" fillId="52" borderId="14" xfId="0" applyFont="1" applyFill="1" applyBorder="1" applyAlignment="1">
      <alignment horizontal="right" vertical="center"/>
    </xf>
    <xf numFmtId="0" fontId="71" fillId="52" borderId="15" xfId="0" applyFont="1" applyFill="1" applyBorder="1" applyAlignment="1">
      <alignment horizontal="right" vertical="center"/>
    </xf>
    <xf numFmtId="0" fontId="5" fillId="54" borderId="4" xfId="0" applyFont="1" applyFill="1" applyBorder="1" applyAlignment="1">
      <alignment horizontal="left" vertical="center" wrapText="1"/>
    </xf>
    <xf numFmtId="0" fontId="5" fillId="54" borderId="15" xfId="0" applyFont="1" applyFill="1" applyBorder="1" applyAlignment="1">
      <alignment horizontal="left" vertical="center" wrapText="1"/>
    </xf>
    <xf numFmtId="0" fontId="6" fillId="56" borderId="4" xfId="0" applyFont="1" applyFill="1" applyBorder="1" applyAlignment="1">
      <alignment horizontal="center" vertical="center" wrapText="1"/>
    </xf>
    <xf numFmtId="0" fontId="6" fillId="56" borderId="14" xfId="0" applyFont="1" applyFill="1" applyBorder="1" applyAlignment="1">
      <alignment horizontal="center" vertical="center" wrapText="1"/>
    </xf>
    <xf numFmtId="0" fontId="6" fillId="56" borderId="15" xfId="0" applyFont="1" applyFill="1" applyBorder="1" applyAlignment="1">
      <alignment horizontal="center" vertical="center" wrapText="1"/>
    </xf>
    <xf numFmtId="0" fontId="40" fillId="61" borderId="4" xfId="0" applyFont="1" applyFill="1" applyBorder="1" applyAlignment="1">
      <alignment horizontal="center" vertical="center"/>
    </xf>
    <xf numFmtId="0" fontId="40" fillId="61" borderId="14" xfId="0" applyFont="1" applyFill="1" applyBorder="1" applyAlignment="1">
      <alignment horizontal="center" vertical="center"/>
    </xf>
    <xf numFmtId="0" fontId="40" fillId="61" borderId="15" xfId="0" applyFont="1" applyFill="1" applyBorder="1" applyAlignment="1">
      <alignment horizontal="center" vertical="center"/>
    </xf>
    <xf numFmtId="0" fontId="71" fillId="61" borderId="4" xfId="0" applyFont="1" applyFill="1" applyBorder="1" applyAlignment="1">
      <alignment horizontal="center" vertical="center" wrapText="1"/>
    </xf>
    <xf numFmtId="0" fontId="71" fillId="61" borderId="15" xfId="0" applyFont="1" applyFill="1" applyBorder="1" applyAlignment="1">
      <alignment horizontal="center" vertical="center" wrapText="1"/>
    </xf>
    <xf numFmtId="0" fontId="71" fillId="61" borderId="14" xfId="0" applyFont="1" applyFill="1" applyBorder="1" applyAlignment="1">
      <alignment horizontal="center" vertical="center" wrapText="1"/>
    </xf>
    <xf numFmtId="0" fontId="40" fillId="36" borderId="1" xfId="60">
      <alignment horizontal="center" vertical="center"/>
    </xf>
    <xf numFmtId="0" fontId="65" fillId="42" borderId="5" xfId="0" applyFont="1" applyFill="1" applyBorder="1" applyAlignment="1">
      <alignment horizontal="center" vertical="center"/>
    </xf>
    <xf numFmtId="0" fontId="65" fillId="42" borderId="2" xfId="0" applyFont="1" applyFill="1" applyBorder="1" applyAlignment="1">
      <alignment horizontal="center" vertical="center"/>
    </xf>
    <xf numFmtId="0" fontId="65" fillId="42" borderId="11" xfId="0" applyFont="1" applyFill="1" applyBorder="1" applyAlignment="1">
      <alignment horizontal="center" vertical="center"/>
    </xf>
    <xf numFmtId="0" fontId="65" fillId="42" borderId="12" xfId="0" applyFont="1" applyFill="1" applyBorder="1" applyAlignment="1">
      <alignment horizontal="center" vertical="center"/>
    </xf>
    <xf numFmtId="0" fontId="55" fillId="81" borderId="4" xfId="0" applyFont="1" applyFill="1" applyBorder="1" applyAlignment="1">
      <alignment horizontal="center" vertical="center"/>
    </xf>
    <xf numFmtId="0" fontId="55" fillId="81" borderId="14" xfId="0" applyFont="1" applyFill="1" applyBorder="1" applyAlignment="1">
      <alignment horizontal="center" vertical="center"/>
    </xf>
    <xf numFmtId="0" fontId="55" fillId="81" borderId="15" xfId="0" applyFont="1" applyFill="1" applyBorder="1" applyAlignment="1">
      <alignment horizontal="center" vertical="center"/>
    </xf>
    <xf numFmtId="0" fontId="57" fillId="42" borderId="4" xfId="0" applyFont="1" applyFill="1" applyBorder="1" applyAlignment="1">
      <alignment vertical="center"/>
    </xf>
    <xf numFmtId="0" fontId="57" fillId="42" borderId="15" xfId="0" applyFont="1" applyFill="1" applyBorder="1" applyAlignment="1">
      <alignment vertical="center"/>
    </xf>
    <xf numFmtId="0" fontId="65" fillId="42" borderId="4" xfId="0" applyFont="1" applyFill="1" applyBorder="1" applyAlignment="1">
      <alignment horizontal="center" vertical="center"/>
    </xf>
    <xf numFmtId="0" fontId="65" fillId="42" borderId="15" xfId="0" applyFont="1" applyFill="1" applyBorder="1" applyAlignment="1">
      <alignment horizontal="center" vertical="center"/>
    </xf>
    <xf numFmtId="0" fontId="56" fillId="42" borderId="4" xfId="0" applyFont="1" applyFill="1" applyBorder="1" applyAlignment="1">
      <alignment horizontal="center" vertical="center"/>
    </xf>
    <xf numFmtId="0" fontId="56" fillId="42" borderId="15" xfId="0" applyFont="1" applyFill="1" applyBorder="1" applyAlignment="1">
      <alignment horizontal="center" vertical="center"/>
    </xf>
    <xf numFmtId="0" fontId="56" fillId="42" borderId="1" xfId="0" applyFont="1" applyFill="1" applyBorder="1" applyAlignment="1">
      <alignment horizontal="center" vertical="center"/>
    </xf>
    <xf numFmtId="0" fontId="40" fillId="34" borderId="1" xfId="54">
      <alignment horizontal="center" vertical="center"/>
    </xf>
    <xf numFmtId="0" fontId="40" fillId="34" borderId="1" xfId="57" applyFill="1">
      <alignment horizontal="center" vertical="center"/>
    </xf>
    <xf numFmtId="0" fontId="67" fillId="0" borderId="2" xfId="34" applyFont="1" applyBorder="1" applyAlignment="1" applyProtection="1">
      <alignment horizontal="center" vertical="center"/>
    </xf>
    <xf numFmtId="0" fontId="67" fillId="0" borderId="12" xfId="34" applyFont="1" applyBorder="1" applyAlignment="1" applyProtection="1">
      <alignment horizontal="center" vertical="center"/>
    </xf>
    <xf numFmtId="0" fontId="60" fillId="43" borderId="0" xfId="0" applyFont="1" applyFill="1" applyBorder="1" applyAlignment="1">
      <alignment horizontal="center" vertical="center"/>
    </xf>
    <xf numFmtId="3" fontId="6" fillId="80" borderId="4" xfId="0" applyNumberFormat="1" applyFont="1" applyFill="1" applyBorder="1" applyAlignment="1">
      <alignment horizontal="center" vertical="center"/>
    </xf>
    <xf numFmtId="3" fontId="6" fillId="80" borderId="14" xfId="0" applyNumberFormat="1" applyFont="1" applyFill="1" applyBorder="1" applyAlignment="1">
      <alignment horizontal="center" vertical="center"/>
    </xf>
    <xf numFmtId="3" fontId="6" fillId="80" borderId="38" xfId="0" applyNumberFormat="1" applyFont="1" applyFill="1" applyBorder="1" applyAlignment="1">
      <alignment horizontal="center" vertical="center"/>
    </xf>
    <xf numFmtId="0" fontId="40" fillId="34" borderId="4" xfId="54" applyBorder="1">
      <alignment horizontal="center" vertical="center"/>
    </xf>
    <xf numFmtId="0" fontId="40" fillId="34" borderId="14" xfId="54" applyBorder="1">
      <alignment horizontal="center" vertical="center"/>
    </xf>
    <xf numFmtId="0" fontId="40" fillId="34" borderId="15" xfId="54" applyBorder="1">
      <alignment horizontal="center" vertical="center"/>
    </xf>
    <xf numFmtId="0" fontId="56" fillId="42" borderId="14" xfId="0" applyFont="1" applyFill="1" applyBorder="1" applyAlignment="1">
      <alignment horizontal="center" vertical="center"/>
    </xf>
    <xf numFmtId="0" fontId="6" fillId="43" borderId="4" xfId="0" applyFont="1" applyFill="1" applyBorder="1" applyAlignment="1">
      <alignment horizontal="center"/>
    </xf>
    <xf numFmtId="0" fontId="6" fillId="43" borderId="14" xfId="0" applyFont="1" applyFill="1" applyBorder="1" applyAlignment="1">
      <alignment horizontal="center"/>
    </xf>
    <xf numFmtId="0" fontId="6" fillId="43" borderId="15" xfId="0" applyFont="1" applyFill="1" applyBorder="1" applyAlignment="1">
      <alignment horizontal="center"/>
    </xf>
    <xf numFmtId="3" fontId="6" fillId="43" borderId="7" xfId="35" applyFont="1" applyFill="1" applyBorder="1" applyAlignment="1">
      <alignment horizontal="center"/>
    </xf>
    <xf numFmtId="3" fontId="6" fillId="43" borderId="0" xfId="35" applyFont="1" applyFill="1" applyBorder="1" applyAlignment="1">
      <alignment horizontal="center"/>
    </xf>
    <xf numFmtId="0" fontId="57" fillId="44" borderId="1" xfId="0" applyFont="1" applyFill="1" applyBorder="1" applyAlignment="1">
      <alignment horizontal="center" vertical="center"/>
    </xf>
    <xf numFmtId="3" fontId="6" fillId="43" borderId="4" xfId="35" applyFont="1" applyFill="1" applyBorder="1" applyAlignment="1">
      <alignment horizontal="center"/>
    </xf>
    <xf numFmtId="3" fontId="6" fillId="43" borderId="14" xfId="35" applyFont="1" applyFill="1" applyBorder="1" applyAlignment="1">
      <alignment horizontal="center"/>
    </xf>
    <xf numFmtId="3" fontId="6" fillId="43" borderId="15" xfId="35" applyFont="1" applyFill="1" applyBorder="1" applyAlignment="1">
      <alignment horizontal="center"/>
    </xf>
    <xf numFmtId="0" fontId="70" fillId="42" borderId="5" xfId="0" applyFont="1" applyFill="1" applyBorder="1" applyAlignment="1">
      <alignment horizontal="center" vertical="center"/>
    </xf>
    <xf numFmtId="0" fontId="70" fillId="42" borderId="2" xfId="0" applyFont="1" applyFill="1" applyBorder="1" applyAlignment="1">
      <alignment horizontal="center" vertical="center"/>
    </xf>
    <xf numFmtId="0" fontId="68" fillId="42" borderId="4" xfId="0" applyFont="1" applyFill="1" applyBorder="1" applyAlignment="1">
      <alignment vertical="center"/>
    </xf>
    <xf numFmtId="0" fontId="68" fillId="42" borderId="15" xfId="0" applyFont="1" applyFill="1" applyBorder="1" applyAlignment="1">
      <alignment vertical="center"/>
    </xf>
    <xf numFmtId="0" fontId="40" fillId="34" borderId="4" xfId="54" applyBorder="1" applyAlignment="1">
      <alignment horizontal="center" vertical="center"/>
    </xf>
    <xf numFmtId="0" fontId="40" fillId="34" borderId="14" xfId="54" applyBorder="1" applyAlignment="1">
      <alignment horizontal="center" vertical="center"/>
    </xf>
    <xf numFmtId="0" fontId="40" fillId="34" borderId="15" xfId="54" applyBorder="1" applyAlignment="1">
      <alignment horizontal="center" vertical="center"/>
    </xf>
    <xf numFmtId="0" fontId="67" fillId="0" borderId="6" xfId="34" applyFont="1" applyBorder="1" applyAlignment="1" applyProtection="1">
      <alignment horizontal="center" vertical="center"/>
    </xf>
    <xf numFmtId="0" fontId="67" fillId="0" borderId="0" xfId="34" applyFont="1" applyBorder="1" applyAlignment="1" applyProtection="1">
      <alignment horizontal="center" vertical="center"/>
    </xf>
    <xf numFmtId="0" fontId="67" fillId="0" borderId="8" xfId="34" applyFont="1" applyBorder="1" applyAlignment="1" applyProtection="1">
      <alignment horizontal="center" vertical="center"/>
    </xf>
    <xf numFmtId="0" fontId="70" fillId="42" borderId="4" xfId="0" applyFont="1" applyFill="1" applyBorder="1" applyAlignment="1">
      <alignment horizontal="center" vertical="center"/>
    </xf>
    <xf numFmtId="0" fontId="70" fillId="42" borderId="15" xfId="0" applyFont="1" applyFill="1" applyBorder="1" applyAlignment="1">
      <alignment horizontal="center" vertical="center"/>
    </xf>
    <xf numFmtId="0" fontId="61" fillId="43" borderId="0" xfId="0" applyFont="1" applyFill="1" applyBorder="1" applyAlignment="1">
      <alignment horizontal="center" vertical="center"/>
    </xf>
    <xf numFmtId="0" fontId="5" fillId="40" borderId="4" xfId="0" applyFont="1" applyFill="1" applyBorder="1" applyAlignment="1">
      <alignment horizontal="right" vertical="center" wrapText="1"/>
    </xf>
    <xf numFmtId="0" fontId="5" fillId="40" borderId="15" xfId="0" applyFont="1" applyFill="1" applyBorder="1" applyAlignment="1">
      <alignment horizontal="right" vertical="center" wrapText="1"/>
    </xf>
    <xf numFmtId="0" fontId="5" fillId="60" borderId="4" xfId="0" applyFont="1" applyFill="1" applyBorder="1" applyAlignment="1">
      <alignment horizontal="right" vertical="center"/>
    </xf>
    <xf numFmtId="0" fontId="5" fillId="60" borderId="15" xfId="0" applyFont="1" applyFill="1" applyBorder="1" applyAlignment="1">
      <alignment horizontal="right" vertical="center"/>
    </xf>
    <xf numFmtId="0" fontId="5" fillId="54" borderId="4" xfId="0" applyFont="1" applyFill="1" applyBorder="1" applyAlignment="1">
      <alignment horizontal="right" vertical="center"/>
    </xf>
    <xf numFmtId="0" fontId="5" fillId="54" borderId="15" xfId="0" applyFont="1" applyFill="1" applyBorder="1" applyAlignment="1">
      <alignment horizontal="right" vertical="center"/>
    </xf>
    <xf numFmtId="0" fontId="5" fillId="43" borderId="8" xfId="0" applyFont="1" applyFill="1" applyBorder="1" applyAlignment="1">
      <alignment horizontal="center" vertical="center"/>
    </xf>
    <xf numFmtId="3" fontId="6" fillId="43" borderId="8" xfId="35" applyFont="1" applyFill="1" applyBorder="1" applyAlignment="1">
      <alignment horizontal="center" vertical="center"/>
    </xf>
    <xf numFmtId="0" fontId="71" fillId="77" borderId="1" xfId="0" applyFont="1" applyFill="1" applyBorder="1" applyAlignment="1">
      <alignment horizontal="right" vertical="center" wrapText="1"/>
    </xf>
    <xf numFmtId="0" fontId="17" fillId="43" borderId="7" xfId="0" applyFont="1" applyFill="1" applyBorder="1" applyAlignment="1">
      <alignment horizontal="center" vertical="center"/>
    </xf>
    <xf numFmtId="0" fontId="17" fillId="43" borderId="0" xfId="0" applyFont="1" applyFill="1" applyBorder="1" applyAlignment="1">
      <alignment horizontal="center" vertical="center"/>
    </xf>
    <xf numFmtId="0" fontId="40" fillId="33" borderId="1" xfId="51" applyFont="1">
      <alignment horizontal="center" vertical="center"/>
    </xf>
    <xf numFmtId="0" fontId="71" fillId="77" borderId="1" xfId="0" applyFont="1" applyFill="1" applyBorder="1" applyAlignment="1">
      <alignment horizontal="right" vertical="center"/>
    </xf>
    <xf numFmtId="0" fontId="5" fillId="0" borderId="1" xfId="0" applyFont="1" applyBorder="1" applyAlignment="1">
      <alignment horizontal="center" vertical="center"/>
    </xf>
    <xf numFmtId="3" fontId="6" fillId="62" borderId="4" xfId="35" applyFont="1" applyFill="1" applyBorder="1" applyAlignment="1">
      <alignment horizontal="center" vertical="center"/>
    </xf>
    <xf numFmtId="3" fontId="6" fillId="62" borderId="14" xfId="35" applyFont="1" applyFill="1" applyBorder="1" applyAlignment="1">
      <alignment horizontal="center" vertical="center"/>
    </xf>
    <xf numFmtId="3" fontId="6" fillId="62" borderId="15" xfId="35" applyFont="1" applyFill="1" applyBorder="1" applyAlignment="1">
      <alignment horizontal="center" vertical="center"/>
    </xf>
    <xf numFmtId="3" fontId="6" fillId="62" borderId="7" xfId="35" applyFont="1" applyFill="1" applyBorder="1" applyAlignment="1">
      <alignment horizontal="center" vertical="center"/>
    </xf>
    <xf numFmtId="3" fontId="6" fillId="62" borderId="0" xfId="35" applyFont="1" applyFill="1" applyBorder="1" applyAlignment="1">
      <alignment horizontal="center" vertical="center"/>
    </xf>
    <xf numFmtId="3" fontId="6" fillId="62" borderId="5" xfId="35" applyFont="1" applyFill="1" applyBorder="1" applyAlignment="1">
      <alignment horizontal="center" vertical="center"/>
    </xf>
    <xf numFmtId="3" fontId="6" fillId="62" borderId="2" xfId="35" applyFont="1" applyFill="1" applyBorder="1" applyAlignment="1">
      <alignment horizontal="center" vertical="center"/>
    </xf>
    <xf numFmtId="3" fontId="57" fillId="62" borderId="7" xfId="35" applyFont="1" applyFill="1" applyBorder="1" applyAlignment="1">
      <alignment horizontal="center" vertical="center"/>
    </xf>
    <xf numFmtId="3" fontId="57" fillId="62" borderId="0" xfId="35" applyFont="1" applyFill="1" applyBorder="1" applyAlignment="1">
      <alignment horizontal="center" vertical="center"/>
    </xf>
    <xf numFmtId="3" fontId="56" fillId="62" borderId="0" xfId="35" applyFont="1" applyFill="1" applyBorder="1" applyAlignment="1">
      <alignment horizontal="center" vertical="center"/>
    </xf>
    <xf numFmtId="3" fontId="56" fillId="62" borderId="8" xfId="35" applyFont="1" applyFill="1" applyBorder="1" applyAlignment="1">
      <alignment horizontal="center" vertical="center"/>
    </xf>
    <xf numFmtId="3" fontId="57" fillId="62" borderId="8" xfId="35" applyFont="1" applyFill="1" applyBorder="1" applyAlignment="1">
      <alignment horizontal="center" vertical="center"/>
    </xf>
    <xf numFmtId="3" fontId="6" fillId="62" borderId="6" xfId="35" applyFont="1" applyFill="1" applyBorder="1" applyAlignment="1">
      <alignment horizontal="center" vertical="center"/>
    </xf>
    <xf numFmtId="3" fontId="5" fillId="62" borderId="5" xfId="35" applyFont="1" applyFill="1" applyBorder="1" applyAlignment="1">
      <alignment horizontal="center" vertical="center"/>
    </xf>
    <xf numFmtId="3" fontId="5" fillId="62" borderId="6" xfId="35" applyFont="1" applyFill="1" applyBorder="1" applyAlignment="1">
      <alignment horizontal="center" vertical="center"/>
    </xf>
    <xf numFmtId="0" fontId="5" fillId="48" borderId="1" xfId="0" applyFont="1" applyFill="1" applyBorder="1" applyAlignment="1">
      <alignment horizontal="center"/>
    </xf>
    <xf numFmtId="0" fontId="5" fillId="48" borderId="5" xfId="0" applyFont="1" applyFill="1" applyBorder="1" applyAlignment="1">
      <alignment horizontal="center" vertical="center" wrapText="1"/>
    </xf>
    <xf numFmtId="0" fontId="5" fillId="48" borderId="2" xfId="0" applyFont="1" applyFill="1" applyBorder="1" applyAlignment="1">
      <alignment horizontal="center" vertical="center" wrapText="1"/>
    </xf>
    <xf numFmtId="0" fontId="5" fillId="48" borderId="6" xfId="0" applyFont="1" applyFill="1" applyBorder="1" applyAlignment="1">
      <alignment horizontal="center" vertical="center" wrapText="1"/>
    </xf>
    <xf numFmtId="0" fontId="5" fillId="48" borderId="1" xfId="0" applyFont="1" applyFill="1" applyBorder="1" applyAlignment="1">
      <alignment horizontal="center" wrapText="1"/>
    </xf>
    <xf numFmtId="0" fontId="5" fillId="48" borderId="3" xfId="0" applyFont="1" applyFill="1" applyBorder="1" applyAlignment="1">
      <alignment horizontal="center" wrapText="1"/>
    </xf>
    <xf numFmtId="0" fontId="5" fillId="48" borderId="9" xfId="0" applyFont="1" applyFill="1" applyBorder="1" applyAlignment="1">
      <alignment horizontal="center" wrapText="1"/>
    </xf>
    <xf numFmtId="0" fontId="5" fillId="48" borderId="11" xfId="0" applyFont="1" applyFill="1" applyBorder="1" applyAlignment="1">
      <alignment horizontal="center"/>
    </xf>
    <xf numFmtId="0" fontId="5" fillId="48" borderId="12" xfId="0" applyFont="1" applyFill="1" applyBorder="1" applyAlignment="1">
      <alignment horizontal="center"/>
    </xf>
    <xf numFmtId="0" fontId="5" fillId="48" borderId="13" xfId="0" applyFont="1" applyFill="1" applyBorder="1" applyAlignment="1">
      <alignment horizontal="center"/>
    </xf>
    <xf numFmtId="0" fontId="40" fillId="36" borderId="4" xfId="54" applyFont="1" applyFill="1" applyBorder="1" applyAlignment="1">
      <alignment horizontal="center" vertical="center"/>
    </xf>
    <xf numFmtId="0" fontId="40" fillId="36" borderId="14" xfId="54" applyFont="1" applyFill="1" applyBorder="1" applyAlignment="1">
      <alignment horizontal="center" vertical="center"/>
    </xf>
    <xf numFmtId="0" fontId="40" fillId="36" borderId="15" xfId="54" applyFont="1" applyFill="1" applyBorder="1" applyAlignment="1">
      <alignment horizontal="center" vertical="center"/>
    </xf>
    <xf numFmtId="0" fontId="40" fillId="45" borderId="4" xfId="54" applyFont="1" applyFill="1" applyBorder="1" applyAlignment="1">
      <alignment horizontal="center" vertical="center"/>
    </xf>
    <xf numFmtId="0" fontId="40" fillId="45" borderId="14" xfId="54" applyFont="1" applyFill="1" applyBorder="1" applyAlignment="1">
      <alignment horizontal="center" vertical="center"/>
    </xf>
    <xf numFmtId="0" fontId="40" fillId="45" borderId="15" xfId="54" applyFont="1" applyFill="1" applyBorder="1" applyAlignment="1">
      <alignment horizontal="center" vertical="center"/>
    </xf>
    <xf numFmtId="0" fontId="5" fillId="48" borderId="3" xfId="0" applyFont="1" applyFill="1" applyBorder="1" applyAlignment="1">
      <alignment horizontal="center"/>
    </xf>
    <xf numFmtId="0" fontId="5" fillId="48" borderId="9" xfId="0" applyFont="1" applyFill="1" applyBorder="1" applyAlignment="1">
      <alignment horizontal="center"/>
    </xf>
    <xf numFmtId="0" fontId="5" fillId="48" borderId="4" xfId="0" applyFont="1" applyFill="1" applyBorder="1" applyAlignment="1">
      <alignment horizontal="center"/>
    </xf>
    <xf numFmtId="0" fontId="5" fillId="48" borderId="14" xfId="0" applyFont="1" applyFill="1" applyBorder="1" applyAlignment="1">
      <alignment horizontal="center"/>
    </xf>
    <xf numFmtId="0" fontId="5" fillId="48" borderId="15" xfId="0" applyFont="1" applyFill="1" applyBorder="1" applyAlignment="1">
      <alignment horizontal="center"/>
    </xf>
    <xf numFmtId="0" fontId="5" fillId="48" borderId="5" xfId="0" applyFont="1" applyFill="1" applyBorder="1" applyAlignment="1">
      <alignment horizontal="center"/>
    </xf>
    <xf numFmtId="0" fontId="5" fillId="48" borderId="6" xfId="0" applyFont="1" applyFill="1" applyBorder="1" applyAlignment="1">
      <alignment horizontal="center"/>
    </xf>
    <xf numFmtId="0" fontId="5" fillId="48" borderId="6" xfId="0" applyFont="1" applyFill="1" applyBorder="1" applyAlignment="1">
      <alignment horizontal="center" wrapText="1"/>
    </xf>
    <xf numFmtId="0" fontId="5" fillId="48" borderId="13" xfId="0" applyFont="1" applyFill="1" applyBorder="1" applyAlignment="1">
      <alignment horizontal="center" wrapText="1"/>
    </xf>
    <xf numFmtId="0" fontId="6" fillId="48" borderId="4" xfId="0" applyFont="1" applyFill="1" applyBorder="1" applyAlignment="1">
      <alignment horizontal="left"/>
    </xf>
    <xf numFmtId="0" fontId="6" fillId="48" borderId="15" xfId="0" applyFont="1" applyFill="1" applyBorder="1" applyAlignment="1">
      <alignment horizontal="left"/>
    </xf>
    <xf numFmtId="0" fontId="5" fillId="48" borderId="7" xfId="0" applyFont="1" applyFill="1" applyBorder="1" applyAlignment="1">
      <alignment horizontal="center"/>
    </xf>
    <xf numFmtId="0" fontId="5" fillId="48" borderId="8" xfId="0" applyFont="1" applyFill="1" applyBorder="1" applyAlignment="1">
      <alignment horizontal="center"/>
    </xf>
    <xf numFmtId="0" fontId="5" fillId="48" borderId="2" xfId="0" applyFont="1" applyFill="1" applyBorder="1" applyAlignment="1">
      <alignment horizontal="center"/>
    </xf>
    <xf numFmtId="0" fontId="5" fillId="48" borderId="0" xfId="0" applyFont="1" applyFill="1" applyBorder="1" applyAlignment="1">
      <alignment horizontal="center"/>
    </xf>
    <xf numFmtId="0" fontId="5" fillId="48" borderId="4" xfId="0" applyFont="1" applyFill="1" applyBorder="1" applyAlignment="1">
      <alignment horizontal="center" wrapText="1"/>
    </xf>
    <xf numFmtId="0" fontId="5" fillId="48" borderId="14" xfId="0" applyFont="1" applyFill="1" applyBorder="1" applyAlignment="1">
      <alignment horizontal="center" wrapText="1"/>
    </xf>
    <xf numFmtId="0" fontId="5" fillId="48" borderId="15" xfId="0" applyFont="1" applyFill="1" applyBorder="1" applyAlignment="1">
      <alignment horizontal="center" wrapText="1"/>
    </xf>
    <xf numFmtId="0" fontId="5" fillId="48" borderId="10" xfId="0" applyFont="1" applyFill="1" applyBorder="1" applyAlignment="1">
      <alignment horizontal="center" wrapText="1"/>
    </xf>
    <xf numFmtId="0" fontId="6" fillId="48" borderId="4" xfId="0" applyFont="1" applyFill="1" applyBorder="1" applyAlignment="1">
      <alignment horizontal="center"/>
    </xf>
    <xf numFmtId="0" fontId="6" fillId="48" borderId="14" xfId="0" applyFont="1" applyFill="1" applyBorder="1" applyAlignment="1">
      <alignment horizontal="center"/>
    </xf>
    <xf numFmtId="0" fontId="6" fillId="48" borderId="15" xfId="0" applyFont="1" applyFill="1" applyBorder="1" applyAlignment="1">
      <alignment horizontal="center"/>
    </xf>
    <xf numFmtId="0" fontId="5" fillId="48" borderId="3" xfId="0" applyFont="1" applyFill="1" applyBorder="1" applyAlignment="1">
      <alignment horizontal="center" vertical="center" wrapText="1"/>
    </xf>
    <xf numFmtId="0" fontId="5" fillId="48" borderId="9" xfId="0" applyFont="1" applyFill="1" applyBorder="1" applyAlignment="1">
      <alignment horizontal="center" vertical="center" wrapText="1"/>
    </xf>
    <xf numFmtId="0" fontId="5" fillId="0" borderId="0" xfId="0" applyFont="1" applyAlignment="1">
      <alignment horizontal="center"/>
    </xf>
    <xf numFmtId="0" fontId="5" fillId="48" borderId="5" xfId="40" applyFont="1" applyFill="1" applyBorder="1" applyAlignment="1">
      <alignment horizontal="center"/>
    </xf>
    <xf numFmtId="0" fontId="5" fillId="48" borderId="6" xfId="40" applyFont="1" applyFill="1" applyBorder="1" applyAlignment="1">
      <alignment horizontal="center"/>
    </xf>
    <xf numFmtId="0" fontId="5" fillId="48" borderId="4" xfId="40" applyFont="1" applyFill="1" applyBorder="1" applyAlignment="1">
      <alignment horizontal="center"/>
    </xf>
    <xf numFmtId="0" fontId="5" fillId="48" borderId="14" xfId="40" applyFont="1" applyFill="1" applyBorder="1" applyAlignment="1">
      <alignment horizontal="center"/>
    </xf>
    <xf numFmtId="0" fontId="5" fillId="48" borderId="15" xfId="40" applyFont="1" applyFill="1" applyBorder="1" applyAlignment="1">
      <alignment horizontal="center"/>
    </xf>
    <xf numFmtId="0" fontId="76" fillId="0" borderId="0" xfId="34" applyFont="1" applyFill="1" applyBorder="1" applyAlignment="1" applyProtection="1">
      <alignment horizontal="center" vertical="center" wrapText="1"/>
    </xf>
    <xf numFmtId="0" fontId="76" fillId="0" borderId="8" xfId="34" applyFont="1" applyFill="1" applyBorder="1" applyAlignment="1" applyProtection="1">
      <alignment horizontal="center" vertical="center" wrapText="1"/>
    </xf>
    <xf numFmtId="0" fontId="76" fillId="0" borderId="2" xfId="34" applyFont="1" applyFill="1" applyBorder="1" applyAlignment="1" applyProtection="1">
      <alignment horizontal="center" vertical="center" wrapText="1"/>
    </xf>
    <xf numFmtId="0" fontId="76" fillId="0" borderId="6" xfId="34" applyFont="1" applyFill="1" applyBorder="1" applyAlignment="1" applyProtection="1">
      <alignment horizontal="center" vertical="center" wrapText="1"/>
    </xf>
    <xf numFmtId="0" fontId="5" fillId="0" borderId="2" xfId="0" applyFont="1" applyFill="1" applyBorder="1" applyAlignment="1">
      <alignment horizontal="center"/>
    </xf>
    <xf numFmtId="0" fontId="6" fillId="48" borderId="4" xfId="0" applyFont="1" applyFill="1" applyBorder="1" applyAlignment="1">
      <alignment horizontal="center" vertical="center"/>
    </xf>
    <xf numFmtId="0" fontId="6" fillId="48" borderId="14" xfId="0" applyFont="1" applyFill="1" applyBorder="1" applyAlignment="1">
      <alignment horizontal="center" vertical="center"/>
    </xf>
    <xf numFmtId="0" fontId="6" fillId="48" borderId="15" xfId="0" applyFont="1" applyFill="1" applyBorder="1" applyAlignment="1">
      <alignment horizontal="center" vertical="center"/>
    </xf>
    <xf numFmtId="0" fontId="6" fillId="48" borderId="5" xfId="0" applyFont="1" applyFill="1" applyBorder="1" applyAlignment="1">
      <alignment horizontal="center" vertical="center"/>
    </xf>
    <xf numFmtId="0" fontId="6" fillId="48" borderId="2" xfId="0" applyFont="1" applyFill="1" applyBorder="1" applyAlignment="1">
      <alignment horizontal="center" vertical="center"/>
    </xf>
    <xf numFmtId="0" fontId="6" fillId="48" borderId="6" xfId="0" applyFont="1" applyFill="1" applyBorder="1" applyAlignment="1">
      <alignment horizontal="center" vertical="center"/>
    </xf>
    <xf numFmtId="0" fontId="40" fillId="33" borderId="4" xfId="54" applyFont="1" applyFill="1" applyBorder="1" applyAlignment="1">
      <alignment horizontal="center" vertical="center"/>
    </xf>
    <xf numFmtId="0" fontId="40" fillId="33" borderId="14" xfId="54" applyFont="1" applyFill="1" applyBorder="1" applyAlignment="1">
      <alignment horizontal="center" vertical="center"/>
    </xf>
    <xf numFmtId="0" fontId="40" fillId="33" borderId="15" xfId="54" applyFont="1" applyFill="1" applyBorder="1" applyAlignment="1">
      <alignment horizontal="center" vertical="center"/>
    </xf>
    <xf numFmtId="0" fontId="6" fillId="50" borderId="4" xfId="0" applyFont="1" applyFill="1" applyBorder="1" applyAlignment="1">
      <alignment horizontal="center" vertical="center" wrapText="1"/>
    </xf>
    <xf numFmtId="0" fontId="6" fillId="50" borderId="15" xfId="0" applyFont="1" applyFill="1" applyBorder="1" applyAlignment="1">
      <alignment horizontal="center" vertical="center" wrapText="1"/>
    </xf>
    <xf numFmtId="0" fontId="5" fillId="51" borderId="4" xfId="0" applyFont="1" applyFill="1" applyBorder="1" applyAlignment="1">
      <alignment horizontal="center" vertical="center" wrapText="1"/>
    </xf>
    <xf numFmtId="0" fontId="5" fillId="51" borderId="15" xfId="0" applyFont="1" applyFill="1" applyBorder="1" applyAlignment="1">
      <alignment horizontal="center" vertical="center" wrapText="1"/>
    </xf>
    <xf numFmtId="0" fontId="6" fillId="50" borderId="1" xfId="0" applyFont="1" applyFill="1" applyBorder="1" applyAlignment="1">
      <alignment horizontal="center" vertical="center" wrapText="1"/>
    </xf>
    <xf numFmtId="0" fontId="34" fillId="51" borderId="4" xfId="34" applyFont="1" applyFill="1" applyBorder="1" applyAlignment="1" applyProtection="1">
      <alignment horizontal="center" vertical="center" wrapText="1"/>
    </xf>
    <xf numFmtId="0" fontId="34" fillId="51" borderId="15" xfId="34" applyFont="1" applyFill="1" applyBorder="1" applyAlignment="1" applyProtection="1">
      <alignment horizontal="center" vertical="center" wrapText="1"/>
    </xf>
    <xf numFmtId="0" fontId="6" fillId="48" borderId="5" xfId="0" applyFont="1" applyFill="1" applyBorder="1" applyAlignment="1">
      <alignment wrapText="1"/>
    </xf>
    <xf numFmtId="0" fontId="6" fillId="48" borderId="6" xfId="0" applyFont="1" applyFill="1" applyBorder="1" applyAlignment="1">
      <alignment wrapText="1"/>
    </xf>
    <xf numFmtId="0" fontId="5" fillId="51" borderId="1" xfId="0" applyFont="1" applyFill="1" applyBorder="1" applyAlignment="1">
      <alignment horizontal="center" vertical="center" wrapText="1"/>
    </xf>
    <xf numFmtId="0" fontId="6" fillId="42" borderId="4" xfId="0" applyFont="1" applyFill="1" applyBorder="1" applyAlignment="1">
      <alignment horizontal="center" vertical="center"/>
    </xf>
    <xf numFmtId="0" fontId="6" fillId="42" borderId="14" xfId="0" applyFont="1" applyFill="1" applyBorder="1" applyAlignment="1">
      <alignment horizontal="center" vertical="center"/>
    </xf>
    <xf numFmtId="0" fontId="6" fillId="42" borderId="15" xfId="0" applyFont="1" applyFill="1" applyBorder="1" applyAlignment="1">
      <alignment horizontal="center" vertical="center"/>
    </xf>
    <xf numFmtId="0" fontId="77" fillId="0" borderId="4" xfId="34" applyFont="1" applyFill="1" applyBorder="1" applyAlignment="1" applyProtection="1">
      <alignment horizontal="center" vertical="center"/>
    </xf>
    <xf numFmtId="0" fontId="77" fillId="0" borderId="14" xfId="34" applyFont="1" applyFill="1" applyBorder="1" applyAlignment="1" applyProtection="1">
      <alignment horizontal="center" vertical="center"/>
    </xf>
    <xf numFmtId="0" fontId="77" fillId="0" borderId="14" xfId="34" applyFont="1" applyFill="1" applyBorder="1" applyAlignment="1" applyProtection="1">
      <alignment horizontal="center" vertical="center" wrapText="1"/>
    </xf>
    <xf numFmtId="0" fontId="77" fillId="0" borderId="15" xfId="34" applyFont="1" applyFill="1" applyBorder="1" applyAlignment="1" applyProtection="1">
      <alignment horizontal="center" vertical="center" wrapText="1"/>
    </xf>
    <xf numFmtId="0" fontId="5" fillId="42" borderId="4" xfId="0" applyFont="1" applyFill="1" applyBorder="1" applyAlignment="1">
      <alignment horizontal="left" vertical="center"/>
    </xf>
    <xf numFmtId="0" fontId="5" fillId="42" borderId="15" xfId="0" applyFont="1" applyFill="1" applyBorder="1" applyAlignment="1">
      <alignment horizontal="left" vertical="center"/>
    </xf>
    <xf numFmtId="0" fontId="6" fillId="50" borderId="4" xfId="0" applyFont="1" applyFill="1" applyBorder="1" applyAlignment="1">
      <alignment horizontal="center" vertical="center"/>
    </xf>
    <xf numFmtId="0" fontId="6" fillId="50" borderId="15" xfId="0" applyFont="1" applyFill="1" applyBorder="1" applyAlignment="1">
      <alignment horizontal="center" vertical="center"/>
    </xf>
    <xf numFmtId="0" fontId="40" fillId="33" borderId="4" xfId="51" applyFont="1" applyBorder="1" applyAlignment="1">
      <alignment horizontal="center" vertical="center"/>
    </xf>
    <xf numFmtId="0" fontId="40" fillId="33" borderId="14" xfId="51" applyFont="1" applyBorder="1" applyAlignment="1">
      <alignment horizontal="center" vertical="center"/>
    </xf>
    <xf numFmtId="0" fontId="40" fillId="33" borderId="15" xfId="51" applyFont="1" applyBorder="1" applyAlignment="1">
      <alignment horizontal="center" vertical="center"/>
    </xf>
    <xf numFmtId="0" fontId="6" fillId="48" borderId="4" xfId="0" applyFont="1" applyFill="1" applyBorder="1" applyAlignment="1">
      <alignment horizontal="center" vertical="center" wrapText="1"/>
    </xf>
    <xf numFmtId="0" fontId="6" fillId="48" borderId="14" xfId="0" applyFont="1" applyFill="1" applyBorder="1" applyAlignment="1">
      <alignment horizontal="center" vertical="center" wrapText="1"/>
    </xf>
    <xf numFmtId="0" fontId="6" fillId="48" borderId="15" xfId="0" applyFont="1" applyFill="1" applyBorder="1" applyAlignment="1">
      <alignment horizontal="center" vertical="center" wrapText="1"/>
    </xf>
    <xf numFmtId="0" fontId="5" fillId="48" borderId="4" xfId="0" applyFont="1" applyFill="1" applyBorder="1" applyAlignment="1">
      <alignment horizontal="center" vertical="center"/>
    </xf>
    <xf numFmtId="0" fontId="5" fillId="48" borderId="15" xfId="0" applyFont="1" applyFill="1" applyBorder="1" applyAlignment="1">
      <alignment horizontal="center" vertical="center"/>
    </xf>
    <xf numFmtId="0" fontId="40" fillId="36" borderId="4" xfId="0" applyFont="1" applyFill="1" applyBorder="1" applyAlignment="1">
      <alignment horizontal="center" vertical="center"/>
    </xf>
    <xf numFmtId="0" fontId="40" fillId="36" borderId="14" xfId="0" applyFont="1" applyFill="1" applyBorder="1" applyAlignment="1">
      <alignment horizontal="center" vertical="center"/>
    </xf>
    <xf numFmtId="0" fontId="40" fillId="36" borderId="15" xfId="0" applyFont="1" applyFill="1" applyBorder="1" applyAlignment="1">
      <alignment horizontal="center" vertical="center"/>
    </xf>
    <xf numFmtId="0" fontId="5" fillId="48" borderId="10" xfId="0" applyFont="1" applyFill="1" applyBorder="1" applyAlignment="1">
      <alignment horizontal="center"/>
    </xf>
    <xf numFmtId="0" fontId="6" fillId="48" borderId="3" xfId="0" applyFont="1" applyFill="1" applyBorder="1" applyAlignment="1">
      <alignment horizontal="left" vertical="top" wrapText="1"/>
    </xf>
    <xf numFmtId="0" fontId="6" fillId="48" borderId="9" xfId="0" applyFont="1" applyFill="1" applyBorder="1" applyAlignment="1">
      <alignment horizontal="left" vertical="top" wrapText="1"/>
    </xf>
    <xf numFmtId="0" fontId="5" fillId="48" borderId="14" xfId="0" applyFont="1" applyFill="1" applyBorder="1" applyAlignment="1">
      <alignment horizontal="center" vertical="center"/>
    </xf>
    <xf numFmtId="0" fontId="6" fillId="50" borderId="14" xfId="0" applyFont="1" applyFill="1" applyBorder="1" applyAlignment="1">
      <alignment horizontal="center" vertical="center"/>
    </xf>
    <xf numFmtId="0" fontId="67" fillId="42" borderId="5" xfId="34" applyFont="1" applyFill="1" applyBorder="1" applyAlignment="1" applyProtection="1">
      <alignment horizontal="center" vertical="center"/>
    </xf>
    <xf numFmtId="0" fontId="67" fillId="42" borderId="2" xfId="34" applyFont="1" applyFill="1" applyBorder="1" applyAlignment="1" applyProtection="1">
      <alignment horizontal="center" vertical="center"/>
    </xf>
    <xf numFmtId="0" fontId="67" fillId="42" borderId="6" xfId="34" applyFont="1" applyFill="1" applyBorder="1" applyAlignment="1" applyProtection="1">
      <alignment horizontal="center" vertical="center"/>
    </xf>
    <xf numFmtId="0" fontId="67" fillId="42" borderId="11" xfId="34" applyFont="1" applyFill="1" applyBorder="1" applyAlignment="1" applyProtection="1">
      <alignment horizontal="center" vertical="center"/>
    </xf>
    <xf numFmtId="0" fontId="67" fillId="42" borderId="12" xfId="34" applyFont="1" applyFill="1" applyBorder="1" applyAlignment="1" applyProtection="1">
      <alignment horizontal="center" vertical="center"/>
    </xf>
    <xf numFmtId="0" fontId="67" fillId="42" borderId="13" xfId="34" applyFont="1" applyFill="1" applyBorder="1" applyAlignment="1" applyProtection="1">
      <alignment horizontal="center" vertical="center"/>
    </xf>
    <xf numFmtId="0" fontId="67" fillId="42" borderId="7" xfId="34" applyFont="1" applyFill="1" applyBorder="1" applyAlignment="1" applyProtection="1">
      <alignment horizontal="center" vertical="center"/>
    </xf>
    <xf numFmtId="0" fontId="67" fillId="42" borderId="0" xfId="34" applyFont="1" applyFill="1" applyBorder="1" applyAlignment="1" applyProtection="1">
      <alignment horizontal="center" vertical="center"/>
    </xf>
    <xf numFmtId="0" fontId="67" fillId="42" borderId="8" xfId="34" applyFont="1" applyFill="1" applyBorder="1" applyAlignment="1" applyProtection="1">
      <alignment horizontal="center" vertical="center"/>
    </xf>
    <xf numFmtId="0" fontId="6" fillId="50" borderId="3" xfId="0" applyFont="1" applyFill="1" applyBorder="1" applyAlignment="1">
      <alignment horizontal="center" vertical="center"/>
    </xf>
    <xf numFmtId="0" fontId="6" fillId="50" borderId="10" xfId="0" applyFont="1" applyFill="1" applyBorder="1" applyAlignment="1">
      <alignment horizontal="center" vertical="center"/>
    </xf>
    <xf numFmtId="0" fontId="6" fillId="50" borderId="9" xfId="0" applyFont="1" applyFill="1" applyBorder="1" applyAlignment="1">
      <alignment horizontal="center" vertical="center"/>
    </xf>
    <xf numFmtId="0" fontId="5" fillId="51" borderId="5" xfId="0" applyFont="1" applyFill="1" applyBorder="1" applyAlignment="1">
      <alignment horizontal="center" vertical="center" wrapText="1"/>
    </xf>
    <xf numFmtId="0" fontId="5" fillId="51" borderId="7" xfId="0" applyFont="1" applyFill="1" applyBorder="1" applyAlignment="1">
      <alignment horizontal="center" vertical="center" wrapText="1"/>
    </xf>
    <xf numFmtId="0" fontId="5" fillId="51" borderId="11" xfId="0" applyFont="1" applyFill="1" applyBorder="1" applyAlignment="1">
      <alignment horizontal="center" vertical="center" wrapText="1"/>
    </xf>
    <xf numFmtId="0" fontId="5" fillId="51" borderId="3" xfId="0" applyFont="1" applyFill="1" applyBorder="1" applyAlignment="1">
      <alignment horizontal="center" vertical="center" wrapText="1"/>
    </xf>
    <xf numFmtId="0" fontId="5" fillId="51" borderId="10" xfId="0" applyFont="1" applyFill="1" applyBorder="1" applyAlignment="1">
      <alignment horizontal="center" vertical="center" wrapText="1"/>
    </xf>
    <xf numFmtId="0" fontId="5" fillId="51" borderId="9" xfId="0" applyFont="1" applyFill="1" applyBorder="1" applyAlignment="1">
      <alignment horizontal="center" vertical="center" wrapText="1"/>
    </xf>
    <xf numFmtId="0" fontId="59" fillId="36" borderId="4" xfId="0" applyFont="1" applyFill="1" applyBorder="1" applyAlignment="1">
      <alignment horizontal="center" vertical="center"/>
    </xf>
    <xf numFmtId="0" fontId="59" fillId="36" borderId="15" xfId="0" applyFont="1" applyFill="1" applyBorder="1" applyAlignment="1">
      <alignment horizontal="center" vertical="center"/>
    </xf>
    <xf numFmtId="0" fontId="59" fillId="36" borderId="14" xfId="0" applyFont="1" applyFill="1" applyBorder="1" applyAlignment="1">
      <alignment horizontal="center" vertical="center"/>
    </xf>
    <xf numFmtId="0" fontId="40" fillId="33" borderId="4" xfId="51" applyBorder="1" applyAlignment="1">
      <alignment horizontal="center" vertical="center"/>
    </xf>
    <xf numFmtId="0" fontId="40" fillId="33" borderId="14" xfId="51" applyBorder="1" applyAlignment="1">
      <alignment horizontal="center" vertical="center"/>
    </xf>
    <xf numFmtId="0" fontId="40" fillId="33" borderId="15" xfId="51" applyBorder="1" applyAlignment="1">
      <alignment horizontal="center" vertical="center"/>
    </xf>
    <xf numFmtId="0" fontId="57" fillId="44" borderId="4" xfId="0" applyFont="1" applyFill="1" applyBorder="1" applyAlignment="1">
      <alignment horizontal="center" vertical="center"/>
    </xf>
    <xf numFmtId="0" fontId="57" fillId="44" borderId="14" xfId="0" applyFont="1" applyFill="1" applyBorder="1" applyAlignment="1">
      <alignment horizontal="center" vertical="center"/>
    </xf>
    <xf numFmtId="0" fontId="57" fillId="44" borderId="15" xfId="0" applyFont="1" applyFill="1" applyBorder="1" applyAlignment="1">
      <alignment horizontal="center" vertical="center"/>
    </xf>
    <xf numFmtId="0" fontId="59" fillId="36" borderId="3" xfId="0" applyFont="1" applyFill="1" applyBorder="1" applyAlignment="1">
      <alignment horizontal="center" vertical="center"/>
    </xf>
    <xf numFmtId="0" fontId="59" fillId="36" borderId="9" xfId="0" applyFont="1" applyFill="1" applyBorder="1" applyAlignment="1">
      <alignment horizontal="center" vertical="center"/>
    </xf>
    <xf numFmtId="0" fontId="40" fillId="38" borderId="4" xfId="0" applyFont="1" applyFill="1" applyBorder="1" applyAlignment="1">
      <alignment horizontal="center" vertical="center"/>
    </xf>
    <xf numFmtId="0" fontId="40" fillId="38" borderId="14" xfId="0" applyFont="1" applyFill="1" applyBorder="1" applyAlignment="1">
      <alignment horizontal="center" vertical="center"/>
    </xf>
    <xf numFmtId="0" fontId="40" fillId="38" borderId="15" xfId="0" applyFont="1" applyFill="1" applyBorder="1" applyAlignment="1">
      <alignment horizontal="center" vertical="center"/>
    </xf>
    <xf numFmtId="0" fontId="59" fillId="36" borderId="1" xfId="0" applyFont="1" applyFill="1" applyBorder="1" applyAlignment="1">
      <alignment horizontal="center" vertical="center"/>
    </xf>
    <xf numFmtId="0" fontId="71" fillId="61" borderId="3" xfId="0" applyFont="1" applyFill="1" applyBorder="1" applyAlignment="1">
      <alignment horizontal="center" vertical="center" wrapText="1"/>
    </xf>
    <xf numFmtId="0" fontId="71" fillId="61" borderId="10" xfId="0" applyFont="1" applyFill="1" applyBorder="1" applyAlignment="1">
      <alignment horizontal="center" vertical="center" wrapText="1"/>
    </xf>
    <xf numFmtId="0" fontId="71" fillId="61" borderId="9" xfId="0" applyFont="1" applyFill="1" applyBorder="1" applyAlignment="1">
      <alignment horizontal="center" vertical="center" wrapText="1"/>
    </xf>
    <xf numFmtId="3" fontId="71" fillId="52" borderId="4" xfId="0" applyNumberFormat="1" applyFont="1" applyFill="1" applyBorder="1" applyAlignment="1">
      <alignment horizontal="center" vertical="center"/>
    </xf>
    <xf numFmtId="3" fontId="71" fillId="52" borderId="15" xfId="0" applyNumberFormat="1" applyFont="1" applyFill="1" applyBorder="1" applyAlignment="1">
      <alignment horizontal="center" vertical="center"/>
    </xf>
    <xf numFmtId="3" fontId="6" fillId="56" borderId="4" xfId="0" applyNumberFormat="1" applyFont="1" applyFill="1" applyBorder="1" applyAlignment="1">
      <alignment horizontal="center" vertical="center" wrapText="1"/>
    </xf>
    <xf numFmtId="3" fontId="6" fillId="56" borderId="14" xfId="0" applyNumberFormat="1" applyFont="1" applyFill="1" applyBorder="1" applyAlignment="1">
      <alignment horizontal="center" vertical="center" wrapText="1"/>
    </xf>
    <xf numFmtId="3" fontId="6" fillId="56" borderId="15" xfId="0" applyNumberFormat="1" applyFont="1" applyFill="1" applyBorder="1" applyAlignment="1">
      <alignment horizontal="center" vertical="center" wrapText="1"/>
    </xf>
    <xf numFmtId="0" fontId="40" fillId="46" borderId="1" xfId="0" applyFont="1" applyFill="1" applyBorder="1" applyAlignment="1">
      <alignment horizontal="center" vertical="center"/>
    </xf>
    <xf numFmtId="0" fontId="71" fillId="68" borderId="1" xfId="0" applyFont="1" applyFill="1" applyBorder="1" applyAlignment="1">
      <alignment horizontal="center" vertical="center"/>
    </xf>
    <xf numFmtId="0" fontId="71" fillId="79" borderId="4" xfId="0" applyFont="1" applyFill="1" applyBorder="1" applyAlignment="1">
      <alignment horizontal="center" vertical="center"/>
    </xf>
    <xf numFmtId="0" fontId="71" fillId="79" borderId="15" xfId="0" applyFont="1" applyFill="1" applyBorder="1" applyAlignment="1">
      <alignment horizontal="center" vertical="center"/>
    </xf>
    <xf numFmtId="0" fontId="40" fillId="33" borderId="1" xfId="51" applyBorder="1" applyAlignment="1">
      <alignment horizontal="center" vertical="center"/>
    </xf>
    <xf numFmtId="0" fontId="40" fillId="34" borderId="4" xfId="0" applyFont="1" applyFill="1" applyBorder="1" applyAlignment="1">
      <alignment horizontal="center" vertical="center"/>
    </xf>
    <xf numFmtId="0" fontId="40" fillId="34" borderId="14" xfId="0" applyFont="1" applyFill="1" applyBorder="1" applyAlignment="1">
      <alignment horizontal="center" vertical="center"/>
    </xf>
    <xf numFmtId="0" fontId="40" fillId="34" borderId="15" xfId="0" applyFont="1" applyFill="1" applyBorder="1" applyAlignment="1">
      <alignment horizontal="center" vertical="center"/>
    </xf>
  </cellXfs>
  <cellStyles count="288">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Bilan GES" xfId="26" xr:uid="{00000000-0005-0000-0000-000012000000}"/>
    <cellStyle name="Bilan GES 2" xfId="27" xr:uid="{00000000-0005-0000-0000-000013000000}"/>
    <cellStyle name="Bilan GES 2 2" xfId="28" xr:uid="{00000000-0005-0000-0000-000014000000}"/>
    <cellStyle name="Calcolo" xfId="29" builtinId="22" customBuiltin="1"/>
    <cellStyle name="Cella collegata" xfId="30" builtinId="24" customBuiltin="1"/>
    <cellStyle name="Cella da controllare" xfId="80" builtinId="23" customBuiltin="1"/>
    <cellStyle name="Collegamento ipertestuale" xfId="34" builtinId="8"/>
    <cellStyle name="Collegamento ipertestuale visitato" xfId="81" builtinId="9" hidden="1"/>
    <cellStyle name="Collegamento ipertestuale visitato" xfId="82" builtinId="9" hidden="1"/>
    <cellStyle name="Collegamento ipertestuale visitato" xfId="83" builtinId="9" hidden="1"/>
    <cellStyle name="Collegamento ipertestuale visitato" xfId="84" builtinId="9" hidden="1"/>
    <cellStyle name="Collegamento ipertestuale visitato" xfId="85" builtinId="9" hidden="1"/>
    <cellStyle name="Collegamento ipertestuale visitato" xfId="86" builtinId="9" hidden="1"/>
    <cellStyle name="Collegamento ipertestuale visitato" xfId="87" builtinId="9" hidden="1"/>
    <cellStyle name="Collegamento ipertestuale visitato" xfId="88" builtinId="9" hidden="1"/>
    <cellStyle name="Collegamento ipertestuale visitato" xfId="89" builtinId="9" hidden="1"/>
    <cellStyle name="Collegamento ipertestuale visitato" xfId="90" builtinId="9" hidden="1"/>
    <cellStyle name="Collegamento ipertestuale visitato" xfId="91" builtinId="9" hidden="1"/>
    <cellStyle name="Collegamento ipertestuale visitato" xfId="92" builtinId="9" hidden="1"/>
    <cellStyle name="Collegamento ipertestuale visitato" xfId="93" builtinId="9" hidden="1"/>
    <cellStyle name="Collegamento ipertestuale visitato" xfId="94" builtinId="9" hidden="1"/>
    <cellStyle name="Collegamento ipertestuale visitato" xfId="95" builtinId="9" hidden="1"/>
    <cellStyle name="Collegamento ipertestuale visitato" xfId="96" builtinId="9" hidden="1"/>
    <cellStyle name="Collegamento ipertestuale visitato" xfId="97" builtinId="9" hidden="1"/>
    <cellStyle name="Collegamento ipertestuale visitato" xfId="98" builtinId="9" hidden="1"/>
    <cellStyle name="Collegamento ipertestuale visitato" xfId="99" builtinId="9" hidden="1"/>
    <cellStyle name="Collegamento ipertestuale visitato" xfId="100" builtinId="9" hidden="1"/>
    <cellStyle name="Collegamento ipertestuale visitato" xfId="101" builtinId="9" hidden="1"/>
    <cellStyle name="Collegamento ipertestuale visitato" xfId="102" builtinId="9" hidden="1"/>
    <cellStyle name="Collegamento ipertestuale visitato" xfId="103" builtinId="9" hidden="1"/>
    <cellStyle name="Collegamento ipertestuale visitato" xfId="104" builtinId="9" hidden="1"/>
    <cellStyle name="Collegamento ipertestuale visitato" xfId="105" builtinId="9" hidden="1"/>
    <cellStyle name="Collegamento ipertestuale visitato" xfId="106" builtinId="9" hidden="1"/>
    <cellStyle name="Collegamento ipertestuale visitato" xfId="107" builtinId="9" hidden="1"/>
    <cellStyle name="Collegamento ipertestuale visitato" xfId="108" builtinId="9" hidden="1"/>
    <cellStyle name="Collegamento ipertestuale visitato" xfId="109" builtinId="9" hidden="1"/>
    <cellStyle name="Collegamento ipertestuale visitato" xfId="110" builtinId="9" hidden="1"/>
    <cellStyle name="Collegamento ipertestuale visitato" xfId="111" builtinId="9" hidden="1"/>
    <cellStyle name="Collegamento ipertestuale visitato" xfId="112" builtinId="9" hidden="1"/>
    <cellStyle name="Collegamento ipertestuale visitato" xfId="113" builtinId="9" hidden="1"/>
    <cellStyle name="Collegamento ipertestuale visitato" xfId="114" builtinId="9" hidden="1"/>
    <cellStyle name="Collegamento ipertestuale visitato" xfId="115" builtinId="9" hidden="1"/>
    <cellStyle name="Collegamento ipertestuale visitato" xfId="116" builtinId="9" hidden="1"/>
    <cellStyle name="Collegamento ipertestuale visitato" xfId="117" builtinId="9" hidden="1"/>
    <cellStyle name="Collegamento ipertestuale visitato" xfId="118" builtinId="9" hidden="1"/>
    <cellStyle name="Collegamento ipertestuale visitato" xfId="119" builtinId="9" hidden="1"/>
    <cellStyle name="Collegamento ipertestuale visitato" xfId="120" builtinId="9" hidden="1"/>
    <cellStyle name="Collegamento ipertestuale visitato" xfId="121" builtinId="9" hidden="1"/>
    <cellStyle name="Collegamento ipertestuale visitato" xfId="122" builtinId="9" hidden="1"/>
    <cellStyle name="Collegamento ipertestuale visitato" xfId="123" builtinId="9" hidden="1"/>
    <cellStyle name="Collegamento ipertestuale visitato" xfId="124" builtinId="9" hidden="1"/>
    <cellStyle name="Collegamento ipertestuale visitato" xfId="125" builtinId="9" hidden="1"/>
    <cellStyle name="Collegamento ipertestuale visitato" xfId="126" builtinId="9" hidden="1"/>
    <cellStyle name="Collegamento ipertestuale visitato" xfId="127" builtinId="9" hidden="1"/>
    <cellStyle name="Collegamento ipertestuale visitato" xfId="128" builtinId="9" hidden="1"/>
    <cellStyle name="Collegamento ipertestuale visitato" xfId="129" builtinId="9" hidden="1"/>
    <cellStyle name="Collegamento ipertestuale visitato" xfId="130" builtinId="9" hidden="1"/>
    <cellStyle name="Collegamento ipertestuale visitato" xfId="131" builtinId="9" hidden="1"/>
    <cellStyle name="Collegamento ipertestuale visitato" xfId="132" builtinId="9" hidden="1"/>
    <cellStyle name="Collegamento ipertestuale visitato" xfId="133" builtinId="9" hidden="1"/>
    <cellStyle name="Collegamento ipertestuale visitato" xfId="134" builtinId="9" hidden="1"/>
    <cellStyle name="Collegamento ipertestuale visitato" xfId="135" builtinId="9" hidden="1"/>
    <cellStyle name="Collegamento ipertestuale visitato" xfId="136" builtinId="9" hidden="1"/>
    <cellStyle name="Collegamento ipertestuale visitato" xfId="137" builtinId="9" hidden="1"/>
    <cellStyle name="Collegamento ipertestuale visitato" xfId="138" builtinId="9" hidden="1"/>
    <cellStyle name="Collegamento ipertestuale visitato" xfId="139" builtinId="9" hidden="1"/>
    <cellStyle name="Collegamento ipertestuale visitato" xfId="140" builtinId="9" hidden="1"/>
    <cellStyle name="Collegamento ipertestuale visitato" xfId="141" builtinId="9" hidden="1"/>
    <cellStyle name="Collegamento ipertestuale visitato" xfId="142" builtinId="9" hidden="1"/>
    <cellStyle name="Collegamento ipertestuale visitato" xfId="143" builtinId="9" hidden="1"/>
    <cellStyle name="Collegamento ipertestuale visitato" xfId="144" builtinId="9" hidden="1"/>
    <cellStyle name="Collegamento ipertestuale visitato" xfId="145" builtinId="9" hidden="1"/>
    <cellStyle name="Collegamento ipertestuale visitato" xfId="146" builtinId="9" hidden="1"/>
    <cellStyle name="Collegamento ipertestuale visitato" xfId="147" builtinId="9" hidden="1"/>
    <cellStyle name="Collegamento ipertestuale visitato" xfId="148" builtinId="9" hidden="1"/>
    <cellStyle name="Collegamento ipertestuale visitato" xfId="149" builtinId="9" hidden="1"/>
    <cellStyle name="Collegamento ipertestuale visitato" xfId="150" builtinId="9" hidden="1"/>
    <cellStyle name="Collegamento ipertestuale visitato" xfId="151" builtinId="9" hidden="1"/>
    <cellStyle name="Collegamento ipertestuale visitato" xfId="152" builtinId="9" hidden="1"/>
    <cellStyle name="Collegamento ipertestuale visitato" xfId="153" builtinId="9" hidden="1"/>
    <cellStyle name="Collegamento ipertestuale visitato" xfId="154" builtinId="9" hidden="1"/>
    <cellStyle name="Collegamento ipertestuale visitato" xfId="155" builtinId="9" hidden="1"/>
    <cellStyle name="Collegamento ipertestuale visitato" xfId="156" builtinId="9" hidden="1"/>
    <cellStyle name="Collegamento ipertestuale visitato" xfId="157" builtinId="9" hidden="1"/>
    <cellStyle name="Collegamento ipertestuale visitato" xfId="158" builtinId="9" hidden="1"/>
    <cellStyle name="Collegamento ipertestuale visitato" xfId="159" builtinId="9" hidden="1"/>
    <cellStyle name="Collegamento ipertestuale visitato" xfId="160" builtinId="9" hidden="1"/>
    <cellStyle name="Collegamento ipertestuale visitato" xfId="161" builtinId="9" hidden="1"/>
    <cellStyle name="Collegamento ipertestuale visitato" xfId="162" builtinId="9" hidden="1"/>
    <cellStyle name="Collegamento ipertestuale visitato" xfId="163" builtinId="9" hidden="1"/>
    <cellStyle name="Collegamento ipertestuale visitato" xfId="164" builtinId="9" hidden="1"/>
    <cellStyle name="Collegamento ipertestuale visitato" xfId="165" builtinId="9" hidden="1"/>
    <cellStyle name="Collegamento ipertestuale visitato" xfId="166" builtinId="9" hidden="1"/>
    <cellStyle name="Collegamento ipertestuale visitato" xfId="167" builtinId="9" hidden="1"/>
    <cellStyle name="Collegamento ipertestuale visitato" xfId="168" builtinId="9" hidden="1"/>
    <cellStyle name="Collegamento ipertestuale visitato" xfId="169" builtinId="9" hidden="1"/>
    <cellStyle name="Collegamento ipertestuale visitato" xfId="170" builtinId="9" hidden="1"/>
    <cellStyle name="Collegamento ipertestuale visitato" xfId="171" builtinId="9" hidden="1"/>
    <cellStyle name="Collegamento ipertestuale visitato" xfId="172" builtinId="9" hidden="1"/>
    <cellStyle name="Collegamento ipertestuale visitato" xfId="173" builtinId="9" hidden="1"/>
    <cellStyle name="Collegamento ipertestuale visitato" xfId="174" builtinId="9" hidden="1"/>
    <cellStyle name="Collegamento ipertestuale visitato" xfId="175" builtinId="9" hidden="1"/>
    <cellStyle name="Collegamento ipertestuale visitato" xfId="176" builtinId="9" hidden="1"/>
    <cellStyle name="Collegamento ipertestuale visitato" xfId="177" builtinId="9" hidden="1"/>
    <cellStyle name="Collegamento ipertestuale visitato" xfId="178" builtinId="9" hidden="1"/>
    <cellStyle name="Collegamento ipertestuale visitato" xfId="179" builtinId="9" hidden="1"/>
    <cellStyle name="Collegamento ipertestuale visitato" xfId="180" builtinId="9" hidden="1"/>
    <cellStyle name="Collegamento ipertestuale visitato" xfId="181" builtinId="9" hidden="1"/>
    <cellStyle name="Collegamento ipertestuale visitato" xfId="182" builtinId="9" hidden="1"/>
    <cellStyle name="Collegamento ipertestuale visitato" xfId="183" builtinId="9" hidden="1"/>
    <cellStyle name="Collegamento ipertestuale visitato" xfId="184" builtinId="9" hidden="1"/>
    <cellStyle name="Collegamento ipertestuale visitato" xfId="185" builtinId="9" hidden="1"/>
    <cellStyle name="Collegamento ipertestuale visitato" xfId="186" builtinId="9" hidden="1"/>
    <cellStyle name="Collegamento ipertestuale visitato" xfId="187" builtinId="9" hidden="1"/>
    <cellStyle name="Collegamento ipertestuale visitato" xfId="188" builtinId="9" hidden="1"/>
    <cellStyle name="Collegamento ipertestuale visitato" xfId="189" builtinId="9" hidden="1"/>
    <cellStyle name="Collegamento ipertestuale visitato" xfId="190" builtinId="9" hidden="1"/>
    <cellStyle name="Collegamento ipertestuale visitato" xfId="191" builtinId="9" hidden="1"/>
    <cellStyle name="Collegamento ipertestuale visitato" xfId="192" builtinId="9" hidden="1"/>
    <cellStyle name="Collegamento ipertestuale visitato" xfId="193" builtinId="9" hidden="1"/>
    <cellStyle name="Collegamento ipertestuale visitato" xfId="194" builtinId="9" hidden="1"/>
    <cellStyle name="Collegamento ipertestuale visitato" xfId="195" builtinId="9" hidden="1"/>
    <cellStyle name="Collegamento ipertestuale visitato" xfId="196" builtinId="9" hidden="1"/>
    <cellStyle name="Collegamento ipertestuale visitato" xfId="197" builtinId="9" hidden="1"/>
    <cellStyle name="Collegamento ipertestuale visitato" xfId="198" builtinId="9" hidden="1"/>
    <cellStyle name="Collegamento ipertestuale visitato" xfId="199" builtinId="9" hidden="1"/>
    <cellStyle name="Collegamento ipertestuale visitato" xfId="200" builtinId="9" hidden="1"/>
    <cellStyle name="Collegamento ipertestuale visitato" xfId="201" builtinId="9" hidden="1"/>
    <cellStyle name="Collegamento ipertestuale visitato" xfId="202" builtinId="9" hidden="1"/>
    <cellStyle name="Collegamento ipertestuale visitato" xfId="203" builtinId="9" hidden="1"/>
    <cellStyle name="Collegamento ipertestuale visitato" xfId="204" builtinId="9" hidden="1"/>
    <cellStyle name="Collegamento ipertestuale visitato" xfId="205" builtinId="9" hidden="1"/>
    <cellStyle name="Collegamento ipertestuale visitato" xfId="206" builtinId="9" hidden="1"/>
    <cellStyle name="Collegamento ipertestuale visitato" xfId="207" builtinId="9" hidden="1"/>
    <cellStyle name="Collegamento ipertestuale visitato" xfId="208" builtinId="9" hidden="1"/>
    <cellStyle name="Collegamento ipertestuale visitato" xfId="209" builtinId="9" hidden="1"/>
    <cellStyle name="Collegamento ipertestuale visitato" xfId="210" builtinId="9" hidden="1"/>
    <cellStyle name="Collegamento ipertestuale visitato" xfId="211" builtinId="9" hidden="1"/>
    <cellStyle name="Collegamento ipertestuale visitato" xfId="212" builtinId="9" hidden="1"/>
    <cellStyle name="Collegamento ipertestuale visitato" xfId="213" builtinId="9" hidden="1"/>
    <cellStyle name="Collegamento ipertestuale visitato" xfId="214" builtinId="9" hidden="1"/>
    <cellStyle name="Collegamento ipertestuale visitato" xfId="215" builtinId="9" hidden="1"/>
    <cellStyle name="Collegamento ipertestuale visitato" xfId="216" builtinId="9" hidden="1"/>
    <cellStyle name="Collegamento ipertestuale visitato" xfId="217" builtinId="9" hidden="1"/>
    <cellStyle name="Collegamento ipertestuale visitato" xfId="218" builtinId="9" hidden="1"/>
    <cellStyle name="Collegamento ipertestuale visitato" xfId="219" builtinId="9" hidden="1"/>
    <cellStyle name="Collegamento ipertestuale visitato" xfId="220" builtinId="9" hidden="1"/>
    <cellStyle name="Collegamento ipertestuale visitato" xfId="221" builtinId="9" hidden="1"/>
    <cellStyle name="Collegamento ipertestuale visitato" xfId="222" builtinId="9" hidden="1"/>
    <cellStyle name="Collegamento ipertestuale visitato" xfId="223" builtinId="9" hidden="1"/>
    <cellStyle name="Collegamento ipertestuale visitato" xfId="224" builtinId="9" hidden="1"/>
    <cellStyle name="Collegamento ipertestuale visitato" xfId="225" builtinId="9" hidden="1"/>
    <cellStyle name="Collegamento ipertestuale visitato" xfId="226" builtinId="9" hidden="1"/>
    <cellStyle name="Collegamento ipertestuale visitato" xfId="227" builtinId="9" hidden="1"/>
    <cellStyle name="Collegamento ipertestuale visitato" xfId="228" builtinId="9" hidden="1"/>
    <cellStyle name="Collegamento ipertestuale visitato" xfId="229" builtinId="9" hidden="1"/>
    <cellStyle name="Collegamento ipertestuale visitato" xfId="230" builtinId="9" hidden="1"/>
    <cellStyle name="Collegamento ipertestuale visitato" xfId="231" builtinId="9" hidden="1"/>
    <cellStyle name="Collegamento ipertestuale visitato" xfId="232" builtinId="9" hidden="1"/>
    <cellStyle name="Collegamento ipertestuale visitato" xfId="233" builtinId="9" hidden="1"/>
    <cellStyle name="Collegamento ipertestuale visitato" xfId="234" builtinId="9" hidden="1"/>
    <cellStyle name="Collegamento ipertestuale visitato" xfId="235" builtinId="9" hidden="1"/>
    <cellStyle name="Collegamento ipertestuale visitato" xfId="236" builtinId="9" hidden="1"/>
    <cellStyle name="Collegamento ipertestuale visitato" xfId="237" builtinId="9" hidden="1"/>
    <cellStyle name="Collegamento ipertestuale visitato" xfId="238" builtinId="9" hidden="1"/>
    <cellStyle name="Collegamento ipertestuale visitato" xfId="239" builtinId="9" hidden="1"/>
    <cellStyle name="Collegamento ipertestuale visitato" xfId="240" builtinId="9" hidden="1"/>
    <cellStyle name="Collegamento ipertestuale visitato" xfId="241" builtinId="9" hidden="1"/>
    <cellStyle name="Collegamento ipertestuale visitato" xfId="242" builtinId="9" hidden="1"/>
    <cellStyle name="Collegamento ipertestuale visitato" xfId="243" builtinId="9" hidden="1"/>
    <cellStyle name="Collegamento ipertestuale visitato" xfId="244" builtinId="9" hidden="1"/>
    <cellStyle name="Collegamento ipertestuale visitato" xfId="245" builtinId="9" hidden="1"/>
    <cellStyle name="Collegamento ipertestuale visitato" xfId="246" builtinId="9" hidden="1"/>
    <cellStyle name="Collegamento ipertestuale visitato" xfId="247" builtinId="9" hidden="1"/>
    <cellStyle name="Collegamento ipertestuale visitato" xfId="248" builtinId="9" hidden="1"/>
    <cellStyle name="Collegamento ipertestuale visitato" xfId="249" builtinId="9" hidden="1"/>
    <cellStyle name="Collegamento ipertestuale visitato" xfId="250" builtinId="9" hidden="1"/>
    <cellStyle name="Collegamento ipertestuale visitato" xfId="251" builtinId="9" hidden="1"/>
    <cellStyle name="Collegamento ipertestuale visitato" xfId="252" builtinId="9" hidden="1"/>
    <cellStyle name="Collegamento ipertestuale visitato" xfId="253" builtinId="9" hidden="1"/>
    <cellStyle name="Collegamento ipertestuale visitato" xfId="254" builtinId="9" hidden="1"/>
    <cellStyle name="Collegamento ipertestuale visitato" xfId="255" builtinId="9" hidden="1"/>
    <cellStyle name="Collegamento ipertestuale visitato" xfId="256" builtinId="9" hidden="1"/>
    <cellStyle name="Collegamento ipertestuale visitato" xfId="257" builtinId="9" hidden="1"/>
    <cellStyle name="Collegamento ipertestuale visitato" xfId="258" builtinId="9" hidden="1"/>
    <cellStyle name="Collegamento ipertestuale visitato" xfId="259" builtinId="9" hidden="1"/>
    <cellStyle name="Collegamento ipertestuale visitato" xfId="260" builtinId="9" hidden="1"/>
    <cellStyle name="Collegamento ipertestuale visitato" xfId="261" builtinId="9" hidden="1"/>
    <cellStyle name="Collegamento ipertestuale visitato" xfId="262" builtinId="9" hidden="1"/>
    <cellStyle name="Collegamento ipertestuale visitato" xfId="263" builtinId="9" hidden="1"/>
    <cellStyle name="Collegamento ipertestuale visitato" xfId="264" builtinId="9" hidden="1"/>
    <cellStyle name="Collegamento ipertestuale visitato" xfId="265" builtinId="9" hidden="1"/>
    <cellStyle name="Collegamento ipertestuale visitato" xfId="266" builtinId="9" hidden="1"/>
    <cellStyle name="Collegamento ipertestuale visitato" xfId="267" builtinId="9" hidden="1"/>
    <cellStyle name="Collegamento ipertestuale visitato" xfId="268" builtinId="9" hidden="1"/>
    <cellStyle name="Collegamento ipertestuale visitato" xfId="269" builtinId="9" hidden="1"/>
    <cellStyle name="Collegamento ipertestuale visitato" xfId="270" builtinId="9" hidden="1"/>
    <cellStyle name="Collegamento ipertestuale visitato" xfId="271" builtinId="9" hidden="1"/>
    <cellStyle name="Collegamento ipertestuale visitato" xfId="272" builtinId="9" hidden="1"/>
    <cellStyle name="Collegamento ipertestuale visitato" xfId="273" builtinId="9" hidden="1"/>
    <cellStyle name="Collegamento ipertestuale visitato" xfId="274" builtinId="9" hidden="1"/>
    <cellStyle name="Collegamento ipertestuale visitato" xfId="275" builtinId="9" hidden="1"/>
    <cellStyle name="Collegamento ipertestuale visitato" xfId="276" builtinId="9" hidden="1"/>
    <cellStyle name="Collegamento ipertestuale visitato" xfId="277" builtinId="9" hidden="1"/>
    <cellStyle name="Collegamento ipertestuale visitato" xfId="278" builtinId="9" hidden="1"/>
    <cellStyle name="Collegamento ipertestuale visitato" xfId="279" builtinId="9" hidden="1"/>
    <cellStyle name="Collegamento ipertestuale visitato" xfId="280" builtinId="9" hidden="1"/>
    <cellStyle name="Collegamento ipertestuale visitato" xfId="281" builtinId="9" hidden="1"/>
    <cellStyle name="Collegamento ipertestuale visitato" xfId="282" builtinId="9" hidden="1"/>
    <cellStyle name="Collegamento ipertestuale visitato" xfId="283" builtinId="9" hidden="1"/>
    <cellStyle name="Collegamento ipertestuale visitato" xfId="284" builtinId="9" hidden="1"/>
    <cellStyle name="Collegamento ipertestuale visitato" xfId="285" builtinId="9" hidden="1"/>
    <cellStyle name="Collegamento ipertestuale visitato" xfId="286" builtinId="9" hidden="1"/>
    <cellStyle name="Collegamento ipertestuale visitato" xfId="287" builtinId="9" hidden="1"/>
    <cellStyle name="Colore 1" xfId="19" builtinId="29" customBuiltin="1"/>
    <cellStyle name="Colore 2" xfId="20" builtinId="33" customBuiltin="1"/>
    <cellStyle name="Colore 3" xfId="21" builtinId="37" customBuiltin="1"/>
    <cellStyle name="Colore 4" xfId="22" builtinId="41" customBuiltin="1"/>
    <cellStyle name="Colore 5" xfId="23" builtinId="45" customBuiltin="1"/>
    <cellStyle name="Colore 6" xfId="24" builtinId="49" customBuiltin="1"/>
    <cellStyle name="Commentaire 2" xfId="31" xr:uid="{00000000-0005-0000-0000-0000ED000000}"/>
    <cellStyle name="Input" xfId="32" builtinId="20" customBuiltin="1"/>
    <cellStyle name="Migliaia" xfId="35" builtinId="3"/>
    <cellStyle name="Milliers 2" xfId="36" xr:uid="{00000000-0005-0000-0000-0000F0000000}"/>
    <cellStyle name="Milliers 3" xfId="37" xr:uid="{00000000-0005-0000-0000-0000F1000000}"/>
    <cellStyle name="Milliers 4" xfId="38" xr:uid="{00000000-0005-0000-0000-0000F2000000}"/>
    <cellStyle name="Neutrale" xfId="39" builtinId="28" customBuiltin="1"/>
    <cellStyle name="Normal 2" xfId="40" xr:uid="{00000000-0005-0000-0000-0000F5000000}"/>
    <cellStyle name="Normal 3" xfId="41" xr:uid="{00000000-0005-0000-0000-0000F6000000}"/>
    <cellStyle name="Normal 4" xfId="42" xr:uid="{00000000-0005-0000-0000-0000F7000000}"/>
    <cellStyle name="Normal 4 2" xfId="43" xr:uid="{00000000-0005-0000-0000-0000F8000000}"/>
    <cellStyle name="Normal 4 2 2" xfId="44" xr:uid="{00000000-0005-0000-0000-0000F9000000}"/>
    <cellStyle name="Normal 4 3" xfId="45" xr:uid="{00000000-0005-0000-0000-0000FA000000}"/>
    <cellStyle name="Normal 5" xfId="46" xr:uid="{00000000-0005-0000-0000-0000FB000000}"/>
    <cellStyle name="Normal 6" xfId="47" xr:uid="{00000000-0005-0000-0000-0000FC000000}"/>
    <cellStyle name="Normal 6 2" xfId="48" xr:uid="{00000000-0005-0000-0000-0000FD000000}"/>
    <cellStyle name="Normal 7" xfId="49" xr:uid="{00000000-0005-0000-0000-0000FE000000}"/>
    <cellStyle name="Normal 8" xfId="50" xr:uid="{00000000-0005-0000-0000-0000FF000000}"/>
    <cellStyle name="Normale" xfId="0" builtinId="0"/>
    <cellStyle name="Onglet" xfId="51" xr:uid="{00000000-0005-0000-0000-000001010000}"/>
    <cellStyle name="Onglet 2" xfId="52" xr:uid="{00000000-0005-0000-0000-000002010000}"/>
    <cellStyle name="Onglet 2 2" xfId="53" xr:uid="{00000000-0005-0000-0000-000003010000}"/>
    <cellStyle name="Output" xfId="69" builtinId="21" customBuiltin="1"/>
    <cellStyle name="Percentuale" xfId="63" builtinId="5"/>
    <cellStyle name="Poste" xfId="54" xr:uid="{00000000-0005-0000-0000-000006010000}"/>
    <cellStyle name="Poste 2" xfId="55" xr:uid="{00000000-0005-0000-0000-000007010000}"/>
    <cellStyle name="Poste 2 2" xfId="56" xr:uid="{00000000-0005-0000-0000-000008010000}"/>
    <cellStyle name="Poste Ce" xfId="57" xr:uid="{00000000-0005-0000-0000-000009010000}"/>
    <cellStyle name="Poste Ce 2" xfId="58" xr:uid="{00000000-0005-0000-0000-00000A010000}"/>
    <cellStyle name="Poste Ce 2 2" xfId="59" xr:uid="{00000000-0005-0000-0000-00000B010000}"/>
    <cellStyle name="Poste CO2e" xfId="60" xr:uid="{00000000-0005-0000-0000-00000C010000}"/>
    <cellStyle name="Poste CO2e 2" xfId="61" xr:uid="{00000000-0005-0000-0000-00000D010000}"/>
    <cellStyle name="Poste CO2e 2 2" xfId="62" xr:uid="{00000000-0005-0000-0000-00000E010000}"/>
    <cellStyle name="Pourcentage 2" xfId="64" xr:uid="{00000000-0005-0000-0000-00000F010000}"/>
    <cellStyle name="Pourcentage 3" xfId="65" xr:uid="{00000000-0005-0000-0000-000010010000}"/>
    <cellStyle name="Pourcentage 4" xfId="66" xr:uid="{00000000-0005-0000-0000-000011010000}"/>
    <cellStyle name="Pourcentage 5" xfId="67" xr:uid="{00000000-0005-0000-0000-000012010000}"/>
    <cellStyle name="Sous-poste" xfId="70" xr:uid="{00000000-0005-0000-0000-000013010000}"/>
    <cellStyle name="Sous-poste 2" xfId="71" xr:uid="{00000000-0005-0000-0000-000014010000}"/>
    <cellStyle name="Sous-poste 2 2" xfId="72" xr:uid="{00000000-0005-0000-0000-000015010000}"/>
    <cellStyle name="Testo avviso" xfId="25" builtinId="11" customBuiltin="1"/>
    <cellStyle name="Testo descrittivo" xfId="73" builtinId="53" customBuiltin="1"/>
    <cellStyle name="Titolo" xfId="74" builtinId="15" customBuiltin="1"/>
    <cellStyle name="Titolo 1" xfId="75" builtinId="16" customBuiltin="1"/>
    <cellStyle name="Titolo 2" xfId="76" builtinId="17" customBuiltin="1"/>
    <cellStyle name="Titolo 3" xfId="77" builtinId="18" customBuiltin="1"/>
    <cellStyle name="Titolo 4" xfId="78" builtinId="19" customBuiltin="1"/>
    <cellStyle name="Totale" xfId="79" builtinId="25" customBuiltin="1"/>
    <cellStyle name="Valore non valido" xfId="33" builtinId="27" customBuiltin="1"/>
    <cellStyle name="Valore valido" xfId="68"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D9"/>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3.jpg"/></Relationships>
</file>

<file path=xl/charts/_rels/chart10.xml.rels><?xml version="1.0" encoding="UTF-8" standalone="yes"?>
<Relationships xmlns="http://schemas.openxmlformats.org/package/2006/relationships"><Relationship Id="rId1" Type="http://schemas.openxmlformats.org/officeDocument/2006/relationships/image" Target="../media/image3.jpg"/></Relationships>
</file>

<file path=xl/charts/_rels/chart11.xml.rels><?xml version="1.0" encoding="UTF-8" standalone="yes"?>
<Relationships xmlns="http://schemas.openxmlformats.org/package/2006/relationships"><Relationship Id="rId1" Type="http://schemas.openxmlformats.org/officeDocument/2006/relationships/image" Target="../media/image3.jpg"/></Relationships>
</file>

<file path=xl/charts/_rels/chart12.xml.rels><?xml version="1.0" encoding="UTF-8" standalone="yes"?>
<Relationships xmlns="http://schemas.openxmlformats.org/package/2006/relationships"><Relationship Id="rId1" Type="http://schemas.openxmlformats.org/officeDocument/2006/relationships/image" Target="../media/image3.jpg"/></Relationships>
</file>

<file path=xl/charts/_rels/chart13.xml.rels><?xml version="1.0" encoding="UTF-8" standalone="yes"?>
<Relationships xmlns="http://schemas.openxmlformats.org/package/2006/relationships"><Relationship Id="rId1" Type="http://schemas.openxmlformats.org/officeDocument/2006/relationships/image" Target="../media/image3.jpg"/></Relationships>
</file>

<file path=xl/charts/_rels/chart14.xml.rels><?xml version="1.0" encoding="UTF-8" standalone="yes"?>
<Relationships xmlns="http://schemas.openxmlformats.org/package/2006/relationships"><Relationship Id="rId1" Type="http://schemas.openxmlformats.org/officeDocument/2006/relationships/image" Target="../media/image3.jpg"/></Relationships>
</file>

<file path=xl/charts/_rels/chart15.xml.rels><?xml version="1.0" encoding="UTF-8" standalone="yes"?>
<Relationships xmlns="http://schemas.openxmlformats.org/package/2006/relationships"><Relationship Id="rId1" Type="http://schemas.openxmlformats.org/officeDocument/2006/relationships/image" Target="../media/image3.jpg"/></Relationships>
</file>

<file path=xl/charts/_rels/chart2.xml.rels><?xml version="1.0" encoding="UTF-8" standalone="yes"?>
<Relationships xmlns="http://schemas.openxmlformats.org/package/2006/relationships"><Relationship Id="rId1" Type="http://schemas.openxmlformats.org/officeDocument/2006/relationships/image" Target="../media/image3.jpg"/></Relationships>
</file>

<file path=xl/charts/_rels/chart3.xml.rels><?xml version="1.0" encoding="UTF-8" standalone="yes"?>
<Relationships xmlns="http://schemas.openxmlformats.org/package/2006/relationships"><Relationship Id="rId1" Type="http://schemas.openxmlformats.org/officeDocument/2006/relationships/image" Target="../media/image3.jpg"/></Relationships>
</file>

<file path=xl/charts/_rels/chart4.xml.rels><?xml version="1.0" encoding="UTF-8" standalone="yes"?>
<Relationships xmlns="http://schemas.openxmlformats.org/package/2006/relationships"><Relationship Id="rId1" Type="http://schemas.openxmlformats.org/officeDocument/2006/relationships/image" Target="../media/image3.jpg"/></Relationships>
</file>

<file path=xl/charts/_rels/chart5.xml.rels><?xml version="1.0" encoding="UTF-8" standalone="yes"?>
<Relationships xmlns="http://schemas.openxmlformats.org/package/2006/relationships"><Relationship Id="rId1" Type="http://schemas.openxmlformats.org/officeDocument/2006/relationships/image" Target="../media/image3.jpg"/></Relationships>
</file>

<file path=xl/charts/_rels/chart6.xml.rels><?xml version="1.0" encoding="UTF-8" standalone="yes"?>
<Relationships xmlns="http://schemas.openxmlformats.org/package/2006/relationships"><Relationship Id="rId1" Type="http://schemas.openxmlformats.org/officeDocument/2006/relationships/image" Target="../media/image3.jpg"/></Relationships>
</file>

<file path=xl/charts/_rels/chart7.xml.rels><?xml version="1.0" encoding="UTF-8" standalone="yes"?>
<Relationships xmlns="http://schemas.openxmlformats.org/package/2006/relationships"><Relationship Id="rId1" Type="http://schemas.openxmlformats.org/officeDocument/2006/relationships/image" Target="../media/image3.jpg"/></Relationships>
</file>

<file path=xl/charts/_rels/chart8.xml.rels><?xml version="1.0" encoding="UTF-8" standalone="yes"?>
<Relationships xmlns="http://schemas.openxmlformats.org/package/2006/relationships"><Relationship Id="rId1" Type="http://schemas.openxmlformats.org/officeDocument/2006/relationships/image" Target="../media/image3.jpg"/></Relationships>
</file>

<file path=xl/charts/_rels/chart9.xml.rels><?xml version="1.0" encoding="UTF-8" standalone="yes"?>
<Relationships xmlns="http://schemas.openxmlformats.org/package/2006/relationships"><Relationship Id="rId1" Type="http://schemas.openxmlformats.org/officeDocument/2006/relationships/image" Target="../media/image3.jp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Energy 1 :</a:t>
            </a:r>
            <a:r>
              <a:rPr lang="fr-FR" sz="1400" i="0" baseline="0">
                <a:solidFill>
                  <a:schemeClr val="tx2"/>
                </a:solidFill>
              </a:rPr>
              <a:t> </a:t>
            </a:r>
            <a:r>
              <a:rPr lang="fr-FR" sz="1400" b="1" i="0" u="none" strike="noStrike" baseline="0">
                <a:solidFill>
                  <a:srgbClr val="FF0000"/>
                </a:solidFill>
                <a:effectLst/>
              </a:rPr>
              <a:t>GHG</a:t>
            </a:r>
            <a:r>
              <a:rPr lang="fr-FR" sz="1400" b="1" i="0" u="none" strike="noStrike" baseline="0">
                <a:effectLst/>
              </a:rPr>
              <a:t> </a:t>
            </a:r>
            <a:r>
              <a:rPr lang="fr-FR" sz="1400" b="1" i="0" u="none" strike="noStrike" baseline="0">
                <a:solidFill>
                  <a:srgbClr val="C00000"/>
                </a:solidFill>
                <a:effectLst/>
              </a:rPr>
              <a:t>e</a:t>
            </a:r>
            <a:r>
              <a:rPr lang="fr-FR" sz="1400">
                <a:solidFill>
                  <a:srgbClr val="C00000"/>
                </a:solidFill>
              </a:rPr>
              <a:t>missions &amp; uncertainty</a:t>
            </a:r>
            <a:r>
              <a:rPr lang="fr-FR" sz="1400"/>
              <a:t> </a:t>
            </a:r>
            <a:r>
              <a:rPr lang="fr-FR" sz="1400">
                <a:solidFill>
                  <a:sysClr val="windowText" lastClr="000000"/>
                </a:solidFill>
              </a:rPr>
              <a:t>by source, </a:t>
            </a:r>
            <a:r>
              <a:rPr lang="fr-FR" sz="1400">
                <a:solidFill>
                  <a:schemeClr val="accent6">
                    <a:lumMod val="75000"/>
                  </a:schemeClr>
                </a:solidFill>
              </a:rPr>
              <a:t>in tCO2e</a:t>
            </a:r>
          </a:p>
        </c:rich>
      </c:tx>
      <c:overlay val="0"/>
      <c:spPr>
        <a:solidFill>
          <a:sysClr val="window" lastClr="FFFFFF"/>
        </a:solidFill>
      </c:spPr>
    </c:title>
    <c:autoTitleDeleted val="0"/>
    <c:plotArea>
      <c:layout>
        <c:manualLayout>
          <c:layoutTarget val="inner"/>
          <c:xMode val="edge"/>
          <c:yMode val="edge"/>
          <c:x val="9.7866358024691402E-2"/>
          <c:y val="0.110704139116787"/>
          <c:w val="0.85279367283950602"/>
          <c:h val="0.71232586571255796"/>
        </c:manualLayout>
      </c:layout>
      <c:barChart>
        <c:barDir val="col"/>
        <c:grouping val="clustered"/>
        <c:varyColors val="0"/>
        <c:ser>
          <c:idx val="0"/>
          <c:order val="0"/>
          <c:tx>
            <c:strRef>
              <c:f>Energia!$R$140</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Energia!$R$141:$R$145</c:f>
              <c:numCache>
                <c:formatCode>#,##0.0</c:formatCode>
                <c:ptCount val="5"/>
                <c:pt idx="0">
                  <c:v>0</c:v>
                </c:pt>
                <c:pt idx="1">
                  <c:v>0</c:v>
                </c:pt>
                <c:pt idx="2">
                  <c:v>0</c:v>
                </c:pt>
                <c:pt idx="3">
                  <c:v>0</c:v>
                </c:pt>
                <c:pt idx="4">
                  <c:v>0.21459946666666668</c:v>
                </c:pt>
              </c:numCache>
            </c:numRef>
          </c:val>
          <c:extLst>
            <c:ext xmlns:c16="http://schemas.microsoft.com/office/drawing/2014/chart" uri="{C3380CC4-5D6E-409C-BE32-E72D297353CC}">
              <c16:uniqueId val="{00000000-9551-45D4-9250-78C6925A2FE2}"/>
            </c:ext>
          </c:extLst>
        </c:ser>
        <c:dLbls>
          <c:showLegendKey val="0"/>
          <c:showVal val="0"/>
          <c:showCatName val="0"/>
          <c:showSerName val="0"/>
          <c:showPercent val="0"/>
          <c:showBubbleSize val="0"/>
        </c:dLbls>
        <c:gapWidth val="100"/>
        <c:axId val="-2105957992"/>
        <c:axId val="-2105961880"/>
      </c:barChart>
      <c:stockChart>
        <c:ser>
          <c:idx val="1"/>
          <c:order val="1"/>
          <c:tx>
            <c:strRef>
              <c:f>Energia!$R$140</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Energia!$R$141:$R$145</c:f>
              <c:numCache>
                <c:formatCode>#,##0.0</c:formatCode>
                <c:ptCount val="5"/>
                <c:pt idx="0">
                  <c:v>0</c:v>
                </c:pt>
                <c:pt idx="1">
                  <c:v>0</c:v>
                </c:pt>
                <c:pt idx="2">
                  <c:v>0</c:v>
                </c:pt>
                <c:pt idx="3">
                  <c:v>0</c:v>
                </c:pt>
                <c:pt idx="4">
                  <c:v>0.21459946666666668</c:v>
                </c:pt>
              </c:numCache>
            </c:numRef>
          </c:val>
          <c:smooth val="0"/>
          <c:extLst>
            <c:ext xmlns:c16="http://schemas.microsoft.com/office/drawing/2014/chart" uri="{C3380CC4-5D6E-409C-BE32-E72D297353CC}">
              <c16:uniqueId val="{00000001-9551-45D4-9250-78C6925A2FE2}"/>
            </c:ext>
          </c:extLst>
        </c:ser>
        <c:ser>
          <c:idx val="2"/>
          <c:order val="2"/>
          <c:tx>
            <c:strRef>
              <c:f>Energia!$Q$140</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Energia!$Q$141:$Q$145</c:f>
              <c:numCache>
                <c:formatCode>#,##0.0</c:formatCode>
                <c:ptCount val="5"/>
                <c:pt idx="0">
                  <c:v>0</c:v>
                </c:pt>
                <c:pt idx="1">
                  <c:v>0</c:v>
                </c:pt>
                <c:pt idx="2">
                  <c:v>0</c:v>
                </c:pt>
                <c:pt idx="3">
                  <c:v>0</c:v>
                </c:pt>
                <c:pt idx="4">
                  <c:v>0.21459946666666668</c:v>
                </c:pt>
              </c:numCache>
            </c:numRef>
          </c:val>
          <c:smooth val="0"/>
          <c:extLst>
            <c:ext xmlns:c16="http://schemas.microsoft.com/office/drawing/2014/chart" uri="{C3380CC4-5D6E-409C-BE32-E72D297353CC}">
              <c16:uniqueId val="{00000002-9551-45D4-9250-78C6925A2FE2}"/>
            </c:ext>
          </c:extLst>
        </c:ser>
        <c:ser>
          <c:idx val="3"/>
          <c:order val="3"/>
          <c:tx>
            <c:strRef>
              <c:f>Energia!$T$140</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Energia!$T$141:$T$145</c:f>
              <c:numCache>
                <c:formatCode>#,##0.0</c:formatCode>
                <c:ptCount val="5"/>
                <c:pt idx="0">
                  <c:v>0</c:v>
                </c:pt>
                <c:pt idx="1">
                  <c:v>0</c:v>
                </c:pt>
                <c:pt idx="2">
                  <c:v>0</c:v>
                </c:pt>
                <c:pt idx="3">
                  <c:v>0</c:v>
                </c:pt>
                <c:pt idx="4">
                  <c:v>0.21459946666666668</c:v>
                </c:pt>
              </c:numCache>
            </c:numRef>
          </c:val>
          <c:smooth val="0"/>
          <c:extLst>
            <c:ext xmlns:c16="http://schemas.microsoft.com/office/drawing/2014/chart" uri="{C3380CC4-5D6E-409C-BE32-E72D297353CC}">
              <c16:uniqueId val="{00000003-9551-45D4-9250-78C6925A2FE2}"/>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105950392"/>
        <c:axId val="-2105947480"/>
      </c:stockChart>
      <c:catAx>
        <c:axId val="-2105957992"/>
        <c:scaling>
          <c:orientation val="minMax"/>
        </c:scaling>
        <c:delete val="0"/>
        <c:axPos val="b"/>
        <c:numFmt formatCode="General" sourceLinked="1"/>
        <c:majorTickMark val="out"/>
        <c:minorTickMark val="none"/>
        <c:tickLblPos val="nextTo"/>
        <c:txPr>
          <a:bodyPr/>
          <a:lstStyle/>
          <a:p>
            <a:pPr>
              <a:defRPr sz="1200" b="1">
                <a:solidFill>
                  <a:sysClr val="windowText" lastClr="000000"/>
                </a:solidFill>
              </a:defRPr>
            </a:pPr>
            <a:endParaRPr lang="it-IT"/>
          </a:p>
        </c:txPr>
        <c:crossAx val="-2105961880"/>
        <c:crosses val="autoZero"/>
        <c:auto val="1"/>
        <c:lblAlgn val="ctr"/>
        <c:lblOffset val="100"/>
        <c:noMultiLvlLbl val="0"/>
      </c:catAx>
      <c:valAx>
        <c:axId val="-2105961880"/>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105957992"/>
        <c:crosses val="autoZero"/>
        <c:crossBetween val="between"/>
      </c:valAx>
      <c:catAx>
        <c:axId val="-2105950392"/>
        <c:scaling>
          <c:orientation val="minMax"/>
        </c:scaling>
        <c:delete val="1"/>
        <c:axPos val="b"/>
        <c:numFmt formatCode="General" sourceLinked="1"/>
        <c:majorTickMark val="out"/>
        <c:minorTickMark val="none"/>
        <c:tickLblPos val="nextTo"/>
        <c:crossAx val="-2105947480"/>
        <c:crosses val="autoZero"/>
        <c:auto val="1"/>
        <c:lblAlgn val="ctr"/>
        <c:lblOffset val="100"/>
        <c:noMultiLvlLbl val="0"/>
      </c:catAx>
      <c:valAx>
        <c:axId val="-2105947480"/>
        <c:scaling>
          <c:orientation val="minMax"/>
        </c:scaling>
        <c:delete val="1"/>
        <c:axPos val="r"/>
        <c:numFmt formatCode="#,##0.0" sourceLinked="1"/>
        <c:majorTickMark val="out"/>
        <c:minorTickMark val="none"/>
        <c:tickLblPos val="nextTo"/>
        <c:crossAx val="-2105950392"/>
        <c:crosses val="max"/>
        <c:crossBetween val="between"/>
      </c:valAx>
      <c:spPr>
        <a:noFill/>
        <a:ln w="25400">
          <a:noFill/>
        </a:ln>
      </c:spPr>
    </c:plotArea>
    <c:plotVisOnly val="1"/>
    <c:dispBlanksAs val="gap"/>
    <c:showDLblsOverMax val="0"/>
  </c:chart>
  <c:spPr>
    <a:blipFill dpi="0" rotWithShape="1">
      <a:blip xmlns:r="http://schemas.openxmlformats.org/officeDocument/2006/relationships" r:embed="rId1">
        <a:alphaModFix amt="25000"/>
      </a:blip>
      <a:srcRect/>
      <a:stretch>
        <a:fillRect/>
      </a:stretch>
    </a:blipFill>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End-of-Life:</a:t>
            </a:r>
            <a:r>
              <a:rPr lang="fr-FR" sz="1400" i="0" baseline="0">
                <a:solidFill>
                  <a:schemeClr val="tx2"/>
                </a:solidFill>
              </a:rPr>
              <a:t>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 </a:t>
            </a:r>
            <a:r>
              <a:rPr lang="fr-FR" sz="1400" b="1" i="0" u="none" strike="noStrike" baseline="0">
                <a:effectLst/>
              </a:rPr>
              <a:t>by poste, </a:t>
            </a:r>
            <a:r>
              <a:rPr lang="fr-FR" sz="1400" b="1" i="0" u="none" strike="noStrike" baseline="0">
                <a:solidFill>
                  <a:schemeClr val="accent6">
                    <a:lumMod val="75000"/>
                  </a:schemeClr>
                </a:solidFill>
                <a:effectLst/>
              </a:rPr>
              <a:t>in tCO2e</a:t>
            </a:r>
            <a:endParaRPr lang="fr-FR" sz="1400">
              <a:solidFill>
                <a:schemeClr val="accent6">
                  <a:lumMod val="75000"/>
                </a:schemeClr>
              </a:solidFill>
            </a:endParaRPr>
          </a:p>
        </c:rich>
      </c:tx>
      <c:overlay val="0"/>
    </c:title>
    <c:autoTitleDeleted val="0"/>
    <c:plotArea>
      <c:layout>
        <c:manualLayout>
          <c:layoutTarget val="inner"/>
          <c:xMode val="edge"/>
          <c:yMode val="edge"/>
          <c:x val="8.4016820987654298E-2"/>
          <c:y val="0.110704139116787"/>
          <c:w val="0.88244058641975298"/>
          <c:h val="0.71232586571255796"/>
        </c:manualLayout>
      </c:layout>
      <c:barChart>
        <c:barDir val="col"/>
        <c:grouping val="clustered"/>
        <c:varyColors val="0"/>
        <c:ser>
          <c:idx val="0"/>
          <c:order val="0"/>
          <c:tx>
            <c:strRef>
              <c:f>'Fine vita'!$R$132</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'Fine vita'!$B$133:$C$140</c:f>
              <c:strCache>
                <c:ptCount val="8"/>
                <c:pt idx="0">
                  <c:v>Combustibili</c:v>
                </c:pt>
                <c:pt idx="1">
                  <c:v>Metalli</c:v>
                </c:pt>
                <c:pt idx="2">
                  <c:v>Plastica</c:v>
                </c:pt>
                <c:pt idx="3">
                  <c:v>Vetro</c:v>
                </c:pt>
                <c:pt idx="4">
                  <c:v>Carta e cartone</c:v>
                </c:pt>
                <c:pt idx="5">
                  <c:v>Organico/ food e mix </c:v>
                </c:pt>
                <c:pt idx="6">
                  <c:v>Perdite e non energetici </c:v>
                </c:pt>
                <c:pt idx="7">
                  <c:v>Rifiuti pericolosi</c:v>
                </c:pt>
              </c:strCache>
            </c:strRef>
          </c:cat>
          <c:val>
            <c:numRef>
              <c:f>'Fine vita'!$R$133:$R$140</c:f>
              <c:numCache>
                <c:formatCode>#,##0.0</c:formatCode>
                <c:ptCount val="8"/>
                <c:pt idx="0">
                  <c:v>0</c:v>
                </c:pt>
                <c:pt idx="1">
                  <c:v>0</c:v>
                </c:pt>
                <c:pt idx="2">
                  <c:v>0</c:v>
                </c:pt>
                <c:pt idx="3">
                  <c:v>0</c:v>
                </c:pt>
                <c:pt idx="4">
                  <c:v>0</c:v>
                </c:pt>
                <c:pt idx="5">
                  <c:v>0.14299999999999999</c:v>
                </c:pt>
                <c:pt idx="6">
                  <c:v>0</c:v>
                </c:pt>
                <c:pt idx="7">
                  <c:v>0</c:v>
                </c:pt>
              </c:numCache>
            </c:numRef>
          </c:val>
          <c:extLst>
            <c:ext xmlns:c16="http://schemas.microsoft.com/office/drawing/2014/chart" uri="{C3380CC4-5D6E-409C-BE32-E72D297353CC}">
              <c16:uniqueId val="{00000000-3285-4A16-9D8E-5B8068E3DBBA}"/>
            </c:ext>
          </c:extLst>
        </c:ser>
        <c:dLbls>
          <c:showLegendKey val="0"/>
          <c:showVal val="0"/>
          <c:showCatName val="0"/>
          <c:showSerName val="0"/>
          <c:showPercent val="0"/>
          <c:showBubbleSize val="0"/>
        </c:dLbls>
        <c:gapWidth val="100"/>
        <c:axId val="-2086423976"/>
        <c:axId val="-2086420968"/>
      </c:barChart>
      <c:stockChart>
        <c:ser>
          <c:idx val="1"/>
          <c:order val="1"/>
          <c:tx>
            <c:strRef>
              <c:f>'Fine vita'!$R$132</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'Fine vita'!$R$133:$R$140</c:f>
              <c:numCache>
                <c:formatCode>#,##0.0</c:formatCode>
                <c:ptCount val="8"/>
                <c:pt idx="0">
                  <c:v>0</c:v>
                </c:pt>
                <c:pt idx="1">
                  <c:v>0</c:v>
                </c:pt>
                <c:pt idx="2">
                  <c:v>0</c:v>
                </c:pt>
                <c:pt idx="3">
                  <c:v>0</c:v>
                </c:pt>
                <c:pt idx="4">
                  <c:v>0</c:v>
                </c:pt>
                <c:pt idx="5">
                  <c:v>0.14299999999999999</c:v>
                </c:pt>
                <c:pt idx="6">
                  <c:v>0</c:v>
                </c:pt>
                <c:pt idx="7">
                  <c:v>0</c:v>
                </c:pt>
              </c:numCache>
            </c:numRef>
          </c:val>
          <c:smooth val="0"/>
          <c:extLst>
            <c:ext xmlns:c16="http://schemas.microsoft.com/office/drawing/2014/chart" uri="{C3380CC4-5D6E-409C-BE32-E72D297353CC}">
              <c16:uniqueId val="{00000001-3285-4A16-9D8E-5B8068E3DBBA}"/>
            </c:ext>
          </c:extLst>
        </c:ser>
        <c:ser>
          <c:idx val="2"/>
          <c:order val="2"/>
          <c:tx>
            <c:strRef>
              <c:f>'Fine vita'!$Q$132</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'Fine vita'!$Q$133:$Q$140</c:f>
              <c:numCache>
                <c:formatCode>#,##0.0</c:formatCode>
                <c:ptCount val="8"/>
                <c:pt idx="0">
                  <c:v>0</c:v>
                </c:pt>
                <c:pt idx="1">
                  <c:v>0</c:v>
                </c:pt>
                <c:pt idx="2">
                  <c:v>0</c:v>
                </c:pt>
                <c:pt idx="3">
                  <c:v>0</c:v>
                </c:pt>
                <c:pt idx="4">
                  <c:v>0</c:v>
                </c:pt>
                <c:pt idx="5">
                  <c:v>7.1499999999999994E-2</c:v>
                </c:pt>
                <c:pt idx="6">
                  <c:v>0</c:v>
                </c:pt>
                <c:pt idx="7">
                  <c:v>0</c:v>
                </c:pt>
              </c:numCache>
            </c:numRef>
          </c:val>
          <c:smooth val="0"/>
          <c:extLst>
            <c:ext xmlns:c16="http://schemas.microsoft.com/office/drawing/2014/chart" uri="{C3380CC4-5D6E-409C-BE32-E72D297353CC}">
              <c16:uniqueId val="{00000002-3285-4A16-9D8E-5B8068E3DBBA}"/>
            </c:ext>
          </c:extLst>
        </c:ser>
        <c:ser>
          <c:idx val="3"/>
          <c:order val="3"/>
          <c:tx>
            <c:strRef>
              <c:f>'Fine vita'!$T$132</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'Fine vita'!$T$133:$T$140</c:f>
              <c:numCache>
                <c:formatCode>#,##0.0</c:formatCode>
                <c:ptCount val="8"/>
                <c:pt idx="0">
                  <c:v>0</c:v>
                </c:pt>
                <c:pt idx="1">
                  <c:v>0</c:v>
                </c:pt>
                <c:pt idx="2">
                  <c:v>0</c:v>
                </c:pt>
                <c:pt idx="3">
                  <c:v>0</c:v>
                </c:pt>
                <c:pt idx="4">
                  <c:v>0</c:v>
                </c:pt>
                <c:pt idx="5">
                  <c:v>0.2145</c:v>
                </c:pt>
                <c:pt idx="6">
                  <c:v>0</c:v>
                </c:pt>
                <c:pt idx="7">
                  <c:v>0</c:v>
                </c:pt>
              </c:numCache>
            </c:numRef>
          </c:val>
          <c:smooth val="0"/>
          <c:extLst>
            <c:ext xmlns:c16="http://schemas.microsoft.com/office/drawing/2014/chart" uri="{C3380CC4-5D6E-409C-BE32-E72D297353CC}">
              <c16:uniqueId val="{00000003-3285-4A16-9D8E-5B8068E3DBBA}"/>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086417912"/>
        <c:axId val="-2086414952"/>
      </c:stockChart>
      <c:catAx>
        <c:axId val="-2086423976"/>
        <c:scaling>
          <c:orientation val="minMax"/>
        </c:scaling>
        <c:delete val="0"/>
        <c:axPos val="b"/>
        <c:numFmt formatCode="General" sourceLinked="1"/>
        <c:majorTickMark val="out"/>
        <c:minorTickMark val="none"/>
        <c:tickLblPos val="nextTo"/>
        <c:txPr>
          <a:bodyPr/>
          <a:lstStyle/>
          <a:p>
            <a:pPr>
              <a:defRPr sz="1000" b="1">
                <a:solidFill>
                  <a:sysClr val="windowText" lastClr="000000"/>
                </a:solidFill>
              </a:defRPr>
            </a:pPr>
            <a:endParaRPr lang="it-IT"/>
          </a:p>
        </c:txPr>
        <c:crossAx val="-2086420968"/>
        <c:crosses val="autoZero"/>
        <c:auto val="1"/>
        <c:lblAlgn val="ctr"/>
        <c:lblOffset val="100"/>
        <c:noMultiLvlLbl val="0"/>
      </c:catAx>
      <c:valAx>
        <c:axId val="-2086420968"/>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086423976"/>
        <c:crosses val="autoZero"/>
        <c:crossBetween val="between"/>
      </c:valAx>
      <c:catAx>
        <c:axId val="-2086417912"/>
        <c:scaling>
          <c:orientation val="minMax"/>
        </c:scaling>
        <c:delete val="1"/>
        <c:axPos val="b"/>
        <c:numFmt formatCode="General" sourceLinked="1"/>
        <c:majorTickMark val="out"/>
        <c:minorTickMark val="none"/>
        <c:tickLblPos val="nextTo"/>
        <c:crossAx val="-2086414952"/>
        <c:crosses val="autoZero"/>
        <c:auto val="1"/>
        <c:lblAlgn val="ctr"/>
        <c:lblOffset val="100"/>
        <c:noMultiLvlLbl val="0"/>
      </c:catAx>
      <c:valAx>
        <c:axId val="-2086414952"/>
        <c:scaling>
          <c:orientation val="minMax"/>
        </c:scaling>
        <c:delete val="1"/>
        <c:axPos val="r"/>
        <c:numFmt formatCode="#,##0.0" sourceLinked="1"/>
        <c:majorTickMark val="out"/>
        <c:minorTickMark val="none"/>
        <c:tickLblPos val="nextTo"/>
        <c:crossAx val="-2086417912"/>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400"/>
            </a:pPr>
            <a:r>
              <a:rPr lang="fr-FR" sz="2000">
                <a:solidFill>
                  <a:sysClr val="windowText" lastClr="000000"/>
                </a:solidFill>
              </a:rPr>
              <a:t>BILAN CARBONE®</a:t>
            </a:r>
            <a:r>
              <a:rPr lang="fr-FR" sz="1400">
                <a:solidFill>
                  <a:schemeClr val="accent6">
                    <a:lumMod val="75000"/>
                  </a:schemeClr>
                </a:solidFill>
              </a:rPr>
              <a:t>
GHG emissions by category, in tCO2e</a:t>
            </a:r>
          </a:p>
        </c:rich>
      </c:tx>
      <c:layout>
        <c:manualLayout>
          <c:xMode val="edge"/>
          <c:yMode val="edge"/>
          <c:x val="0.275632174781476"/>
          <c:y val="1.2159903302917E-2"/>
        </c:manualLayout>
      </c:layout>
      <c:overlay val="0"/>
    </c:title>
    <c:autoTitleDeleted val="0"/>
    <c:plotArea>
      <c:layout>
        <c:manualLayout>
          <c:layoutTarget val="inner"/>
          <c:xMode val="edge"/>
          <c:yMode val="edge"/>
          <c:x val="7.8427450980392194E-2"/>
          <c:y val="0.15286248139128"/>
          <c:w val="0.87591895424836597"/>
          <c:h val="0.63136295619979999"/>
        </c:manualLayout>
      </c:layout>
      <c:barChart>
        <c:barDir val="col"/>
        <c:grouping val="clustered"/>
        <c:varyColors val="0"/>
        <c:ser>
          <c:idx val="0"/>
          <c:order val="0"/>
          <c:spPr>
            <a:solidFill>
              <a:schemeClr val="tx1">
                <a:lumMod val="75000"/>
                <a:lumOff val="25000"/>
              </a:schemeClr>
            </a:solidFill>
            <a:ln w="19050">
              <a:solidFill>
                <a:schemeClr val="bg1"/>
              </a:solidFill>
              <a:prstDash val="solid"/>
            </a:ln>
            <a:effectLst/>
          </c:spPr>
          <c:invertIfNegative val="0"/>
          <c:dPt>
            <c:idx val="0"/>
            <c:invertIfNegative val="0"/>
            <c:bubble3D val="0"/>
            <c:spPr>
              <a:solidFill>
                <a:schemeClr val="accent2"/>
              </a:solidFill>
              <a:ln w="19050">
                <a:solidFill>
                  <a:schemeClr val="bg1"/>
                </a:solidFill>
                <a:prstDash val="solid"/>
              </a:ln>
              <a:effectLst/>
            </c:spPr>
            <c:extLst>
              <c:ext xmlns:c16="http://schemas.microsoft.com/office/drawing/2014/chart" uri="{C3380CC4-5D6E-409C-BE32-E72D297353CC}">
                <c16:uniqueId val="{00000001-E4C5-4355-975F-0B5D505B314A}"/>
              </c:ext>
            </c:extLst>
          </c:dPt>
          <c:dPt>
            <c:idx val="1"/>
            <c:invertIfNegative val="0"/>
            <c:bubble3D val="0"/>
            <c:spPr>
              <a:solidFill>
                <a:schemeClr val="accent2">
                  <a:lumMod val="60000"/>
                  <a:lumOff val="40000"/>
                </a:schemeClr>
              </a:solidFill>
              <a:ln w="19050">
                <a:solidFill>
                  <a:schemeClr val="bg1"/>
                </a:solidFill>
                <a:prstDash val="solid"/>
              </a:ln>
              <a:effectLst/>
            </c:spPr>
            <c:extLst>
              <c:ext xmlns:c16="http://schemas.microsoft.com/office/drawing/2014/chart" uri="{C3380CC4-5D6E-409C-BE32-E72D297353CC}">
                <c16:uniqueId val="{00000003-E4C5-4355-975F-0B5D505B314A}"/>
              </c:ext>
            </c:extLst>
          </c:dPt>
          <c:dPt>
            <c:idx val="2"/>
            <c:invertIfNegative val="0"/>
            <c:bubble3D val="0"/>
            <c:spPr>
              <a:solidFill>
                <a:srgbClr val="92D050"/>
              </a:solidFill>
              <a:ln w="19050">
                <a:solidFill>
                  <a:schemeClr val="bg1"/>
                </a:solidFill>
                <a:prstDash val="solid"/>
              </a:ln>
              <a:effectLst/>
            </c:spPr>
            <c:extLst>
              <c:ext xmlns:c16="http://schemas.microsoft.com/office/drawing/2014/chart" uri="{C3380CC4-5D6E-409C-BE32-E72D297353CC}">
                <c16:uniqueId val="{00000005-E4C5-4355-975F-0B5D505B314A}"/>
              </c:ext>
            </c:extLst>
          </c:dPt>
          <c:dPt>
            <c:idx val="3"/>
            <c:invertIfNegative val="0"/>
            <c:bubble3D val="0"/>
            <c:spPr>
              <a:solidFill>
                <a:schemeClr val="accent3">
                  <a:lumMod val="60000"/>
                  <a:lumOff val="40000"/>
                </a:schemeClr>
              </a:solidFill>
              <a:ln w="19050">
                <a:solidFill>
                  <a:schemeClr val="bg1"/>
                </a:solidFill>
                <a:prstDash val="solid"/>
              </a:ln>
              <a:effectLst/>
            </c:spPr>
            <c:extLst>
              <c:ext xmlns:c16="http://schemas.microsoft.com/office/drawing/2014/chart" uri="{C3380CC4-5D6E-409C-BE32-E72D297353CC}">
                <c16:uniqueId val="{00000007-E4C5-4355-975F-0B5D505B314A}"/>
              </c:ext>
            </c:extLst>
          </c:dPt>
          <c:dPt>
            <c:idx val="4"/>
            <c:invertIfNegative val="0"/>
            <c:bubble3D val="0"/>
            <c:spPr>
              <a:solidFill>
                <a:schemeClr val="tx1">
                  <a:lumMod val="50000"/>
                  <a:lumOff val="50000"/>
                </a:schemeClr>
              </a:solidFill>
              <a:ln w="19050">
                <a:solidFill>
                  <a:schemeClr val="bg1"/>
                </a:solidFill>
                <a:prstDash val="solid"/>
              </a:ln>
              <a:effectLst/>
            </c:spPr>
            <c:extLst>
              <c:ext xmlns:c16="http://schemas.microsoft.com/office/drawing/2014/chart" uri="{C3380CC4-5D6E-409C-BE32-E72D297353CC}">
                <c16:uniqueId val="{00000009-E4C5-4355-975F-0B5D505B314A}"/>
              </c:ext>
            </c:extLst>
          </c:dPt>
          <c:dPt>
            <c:idx val="5"/>
            <c:invertIfNegative val="0"/>
            <c:bubble3D val="0"/>
            <c:spPr>
              <a:solidFill>
                <a:schemeClr val="bg1">
                  <a:lumMod val="65000"/>
                </a:schemeClr>
              </a:solidFill>
              <a:ln w="19050">
                <a:solidFill>
                  <a:schemeClr val="bg1"/>
                </a:solidFill>
                <a:prstDash val="solid"/>
              </a:ln>
              <a:effectLst/>
            </c:spPr>
            <c:extLst>
              <c:ext xmlns:c16="http://schemas.microsoft.com/office/drawing/2014/chart" uri="{C3380CC4-5D6E-409C-BE32-E72D297353CC}">
                <c16:uniqueId val="{0000000B-E4C5-4355-975F-0B5D505B314A}"/>
              </c:ext>
            </c:extLst>
          </c:dPt>
          <c:dPt>
            <c:idx val="6"/>
            <c:invertIfNegative val="0"/>
            <c:bubble3D val="0"/>
            <c:spPr>
              <a:solidFill>
                <a:srgbClr val="FFD833"/>
              </a:solidFill>
              <a:ln w="19050">
                <a:solidFill>
                  <a:schemeClr val="bg1"/>
                </a:solidFill>
                <a:prstDash val="solid"/>
              </a:ln>
              <a:effectLst/>
            </c:spPr>
            <c:extLst>
              <c:ext xmlns:c16="http://schemas.microsoft.com/office/drawing/2014/chart" uri="{C3380CC4-5D6E-409C-BE32-E72D297353CC}">
                <c16:uniqueId val="{0000000D-E4C5-4355-975F-0B5D505B314A}"/>
              </c:ext>
            </c:extLst>
          </c:dPt>
          <c:dPt>
            <c:idx val="7"/>
            <c:invertIfNegative val="0"/>
            <c:bubble3D val="0"/>
            <c:spPr>
              <a:solidFill>
                <a:schemeClr val="accent1"/>
              </a:solidFill>
              <a:ln w="19050">
                <a:solidFill>
                  <a:schemeClr val="bg1"/>
                </a:solidFill>
                <a:prstDash val="solid"/>
              </a:ln>
              <a:effectLst/>
            </c:spPr>
            <c:extLst>
              <c:ext xmlns:c16="http://schemas.microsoft.com/office/drawing/2014/chart" uri="{C3380CC4-5D6E-409C-BE32-E72D297353CC}">
                <c16:uniqueId val="{0000000F-E4C5-4355-975F-0B5D505B314A}"/>
              </c:ext>
            </c:extLst>
          </c:dPt>
          <c:dPt>
            <c:idx val="8"/>
            <c:invertIfNegative val="0"/>
            <c:bubble3D val="0"/>
            <c:spPr>
              <a:solidFill>
                <a:schemeClr val="accent6"/>
              </a:solidFill>
              <a:ln w="19050">
                <a:solidFill>
                  <a:schemeClr val="bg1"/>
                </a:solidFill>
                <a:prstDash val="solid"/>
              </a:ln>
              <a:effectLst/>
            </c:spPr>
            <c:extLst>
              <c:ext xmlns:c16="http://schemas.microsoft.com/office/drawing/2014/chart" uri="{C3380CC4-5D6E-409C-BE32-E72D297353CC}">
                <c16:uniqueId val="{00000011-E4C5-4355-975F-0B5D505B314A}"/>
              </c:ext>
            </c:extLst>
          </c:dPt>
          <c:dPt>
            <c:idx val="9"/>
            <c:invertIfNegative val="0"/>
            <c:bubble3D val="0"/>
            <c:spPr>
              <a:solidFill>
                <a:schemeClr val="accent4"/>
              </a:solidFill>
              <a:ln w="19050">
                <a:solidFill>
                  <a:schemeClr val="bg1"/>
                </a:solidFill>
                <a:prstDash val="solid"/>
              </a:ln>
              <a:effectLst/>
            </c:spPr>
            <c:extLst>
              <c:ext xmlns:c16="http://schemas.microsoft.com/office/drawing/2014/chart" uri="{C3380CC4-5D6E-409C-BE32-E72D297353CC}">
                <c16:uniqueId val="{00000013-E4C5-4355-975F-0B5D505B314A}"/>
              </c:ext>
            </c:extLst>
          </c:dPt>
          <c:dPt>
            <c:idx val="10"/>
            <c:invertIfNegative val="0"/>
            <c:bubble3D val="0"/>
            <c:spPr>
              <a:solidFill>
                <a:srgbClr val="00B050"/>
              </a:solidFill>
              <a:ln w="19050">
                <a:solidFill>
                  <a:schemeClr val="bg1"/>
                </a:solidFill>
                <a:prstDash val="solid"/>
              </a:ln>
              <a:effectLst/>
            </c:spPr>
            <c:extLst>
              <c:ext xmlns:c16="http://schemas.microsoft.com/office/drawing/2014/chart" uri="{C3380CC4-5D6E-409C-BE32-E72D297353CC}">
                <c16:uniqueId val="{00000015-E4C5-4355-975F-0B5D505B314A}"/>
              </c:ext>
            </c:extLst>
          </c:dPt>
          <c:dPt>
            <c:idx val="11"/>
            <c:invertIfNegative val="0"/>
            <c:bubble3D val="0"/>
            <c:spPr>
              <a:solidFill>
                <a:schemeClr val="accent5"/>
              </a:solidFill>
              <a:ln w="19050">
                <a:solidFill>
                  <a:schemeClr val="bg1"/>
                </a:solidFill>
                <a:prstDash val="solid"/>
              </a:ln>
              <a:effectLst/>
            </c:spPr>
            <c:extLst>
              <c:ext xmlns:c16="http://schemas.microsoft.com/office/drawing/2014/chart" uri="{C3380CC4-5D6E-409C-BE32-E72D297353CC}">
                <c16:uniqueId val="{00000017-E4C5-4355-975F-0B5D505B314A}"/>
              </c:ext>
            </c:extLst>
          </c:dPt>
          <c:dLbls>
            <c:spPr>
              <a:noFill/>
              <a:ln>
                <a:noFill/>
              </a:ln>
              <a:effectLst/>
            </c:spPr>
            <c:txPr>
              <a:bodyPr/>
              <a:lstStyle/>
              <a:p>
                <a:pPr>
                  <a:defRPr sz="1200" b="1">
                    <a:solidFill>
                      <a:sysClr val="windowText" lastClr="000000"/>
                    </a:solidFill>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'CO2e overview'!$B$95:$B$104</c:f>
              <c:strCache>
                <c:ptCount val="10"/>
                <c:pt idx="0">
                  <c:v>Energia</c:v>
                </c:pt>
                <c:pt idx="1">
                  <c:v>Non-energetici</c:v>
                </c:pt>
                <c:pt idx="2">
                  <c:v>Input</c:v>
                </c:pt>
                <c:pt idx="3">
                  <c:v>Imballaggi </c:v>
                </c:pt>
                <c:pt idx="4">
                  <c:v>Trasporto merci</c:v>
                </c:pt>
                <c:pt idx="5">
                  <c:v>Trasporto persone</c:v>
                </c:pt>
                <c:pt idx="6">
                  <c:v>Rifiuti di processo</c:v>
                </c:pt>
                <c:pt idx="7">
                  <c:v>Beni di durevoli</c:v>
                </c:pt>
                <c:pt idx="8">
                  <c:v>Fase d'uso</c:v>
                </c:pt>
                <c:pt idx="9">
                  <c:v>Fine vita</c:v>
                </c:pt>
              </c:strCache>
            </c:strRef>
          </c:cat>
          <c:val>
            <c:numRef>
              <c:f>'CO2e overview'!$C$95:$C$104</c:f>
              <c:numCache>
                <c:formatCode>#,##0</c:formatCode>
                <c:ptCount val="10"/>
                <c:pt idx="0">
                  <c:v>0.21459946666666668</c:v>
                </c:pt>
                <c:pt idx="1">
                  <c:v>278000</c:v>
                </c:pt>
                <c:pt idx="2">
                  <c:v>96.800000000000011</c:v>
                </c:pt>
                <c:pt idx="3">
                  <c:v>0</c:v>
                </c:pt>
                <c:pt idx="4">
                  <c:v>0</c:v>
                </c:pt>
                <c:pt idx="5">
                  <c:v>1.4771836708156971</c:v>
                </c:pt>
                <c:pt idx="6">
                  <c:v>0</c:v>
                </c:pt>
                <c:pt idx="7">
                  <c:v>9.6800000000000015</c:v>
                </c:pt>
                <c:pt idx="8">
                  <c:v>0</c:v>
                </c:pt>
                <c:pt idx="9">
                  <c:v>0.14299999999999999</c:v>
                </c:pt>
              </c:numCache>
            </c:numRef>
          </c:val>
          <c:extLst>
            <c:ext xmlns:c16="http://schemas.microsoft.com/office/drawing/2014/chart" uri="{C3380CC4-5D6E-409C-BE32-E72D297353CC}">
              <c16:uniqueId val="{00000018-E4C5-4355-975F-0B5D505B314A}"/>
            </c:ext>
          </c:extLst>
        </c:ser>
        <c:dLbls>
          <c:showLegendKey val="0"/>
          <c:showVal val="0"/>
          <c:showCatName val="0"/>
          <c:showSerName val="0"/>
          <c:showPercent val="0"/>
          <c:showBubbleSize val="0"/>
        </c:dLbls>
        <c:gapWidth val="50"/>
        <c:axId val="-2087592728"/>
        <c:axId val="-2087589736"/>
      </c:barChart>
      <c:catAx>
        <c:axId val="-2087592728"/>
        <c:scaling>
          <c:orientation val="minMax"/>
        </c:scaling>
        <c:delete val="0"/>
        <c:axPos val="b"/>
        <c:numFmt formatCode="General" sourceLinked="1"/>
        <c:majorTickMark val="out"/>
        <c:minorTickMark val="none"/>
        <c:tickLblPos val="nextTo"/>
        <c:txPr>
          <a:bodyPr/>
          <a:lstStyle/>
          <a:p>
            <a:pPr>
              <a:defRPr sz="1200" b="1"/>
            </a:pPr>
            <a:endParaRPr lang="it-IT"/>
          </a:p>
        </c:txPr>
        <c:crossAx val="-2087589736"/>
        <c:crosses val="autoZero"/>
        <c:auto val="1"/>
        <c:lblAlgn val="ctr"/>
        <c:lblOffset val="100"/>
        <c:noMultiLvlLbl val="0"/>
      </c:catAx>
      <c:valAx>
        <c:axId val="-2087589736"/>
        <c:scaling>
          <c:orientation val="minMax"/>
        </c:scaling>
        <c:delete val="0"/>
        <c:axPos val="l"/>
        <c:majorGridlines/>
        <c:numFmt formatCode="#,##0" sourceLinked="1"/>
        <c:majorTickMark val="out"/>
        <c:minorTickMark val="none"/>
        <c:tickLblPos val="nextTo"/>
        <c:txPr>
          <a:bodyPr/>
          <a:lstStyle/>
          <a:p>
            <a:pPr>
              <a:defRPr sz="1200"/>
            </a:pPr>
            <a:endParaRPr lang="it-IT"/>
          </a:p>
        </c:txPr>
        <c:crossAx val="-2087592728"/>
        <c:crosses val="autoZero"/>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a:ln w="19050">
      <a:solidFill>
        <a:schemeClr val="accent2"/>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400"/>
            </a:pPr>
            <a:r>
              <a:rPr lang="fr-FR" sz="1400">
                <a:solidFill>
                  <a:schemeClr val="tx2"/>
                </a:solidFill>
              </a:rPr>
              <a:t>Fret : </a:t>
            </a:r>
            <a:r>
              <a:rPr lang="fr-FR" sz="1400">
                <a:solidFill>
                  <a:srgbClr val="C00000"/>
                </a:solidFill>
              </a:rPr>
              <a:t>émissions de GES </a:t>
            </a:r>
            <a:r>
              <a:rPr lang="fr-FR" sz="1400"/>
              <a:t>par flux et par mode, </a:t>
            </a:r>
          </a:p>
          <a:p>
            <a:pPr>
              <a:defRPr sz="1400"/>
            </a:pPr>
            <a:r>
              <a:rPr lang="fr-FR" sz="1400">
                <a:solidFill>
                  <a:schemeClr val="accent6">
                    <a:lumMod val="75000"/>
                  </a:schemeClr>
                </a:solidFill>
              </a:rPr>
              <a:t>en tCO2e</a:t>
            </a:r>
            <a:r>
              <a:rPr lang="fr-FR" sz="1400"/>
              <a:t> </a:t>
            </a:r>
          </a:p>
        </c:rich>
      </c:tx>
      <c:overlay val="0"/>
    </c:title>
    <c:autoTitleDeleted val="0"/>
    <c:plotArea>
      <c:layout>
        <c:manualLayout>
          <c:layoutTarget val="inner"/>
          <c:xMode val="edge"/>
          <c:yMode val="edge"/>
          <c:x val="7.0327136752136796E-2"/>
          <c:y val="0.18141604938271599"/>
          <c:w val="0.65267400793650798"/>
          <c:h val="0.70582530864197501"/>
        </c:manualLayout>
      </c:layout>
      <c:barChart>
        <c:barDir val="col"/>
        <c:grouping val="stacked"/>
        <c:varyColors val="0"/>
        <c:ser>
          <c:idx val="1"/>
          <c:order val="0"/>
          <c:tx>
            <c:strRef>
              <c:f>'Trasporti merci'!$B$636</c:f>
              <c:strCache>
                <c:ptCount val="1"/>
                <c:pt idx="0">
                  <c:v>Strada</c:v>
                </c:pt>
              </c:strCache>
            </c:strRef>
          </c:tx>
          <c:spPr>
            <a:solidFill>
              <a:schemeClr val="accent4"/>
            </a:solidFill>
            <a:effectLst/>
          </c:spPr>
          <c:invertIfNegative val="0"/>
          <c:cat>
            <c:strRef>
              <c:f>'Trasporti merci'!$D$635:$F$635</c:f>
              <c:strCache>
                <c:ptCount val="3"/>
                <c:pt idx="0">
                  <c:v>Upstream</c:v>
                </c:pt>
                <c:pt idx="1">
                  <c:v>Internal</c:v>
                </c:pt>
                <c:pt idx="2">
                  <c:v>Downstream</c:v>
                </c:pt>
              </c:strCache>
            </c:strRef>
          </c:cat>
          <c:val>
            <c:numRef>
              <c:f>'Trasporti merci'!$D$636:$F$636</c:f>
              <c:numCache>
                <c:formatCode>#,##0</c:formatCode>
                <c:ptCount val="3"/>
                <c:pt idx="0">
                  <c:v>0</c:v>
                </c:pt>
                <c:pt idx="1">
                  <c:v>0</c:v>
                </c:pt>
                <c:pt idx="2">
                  <c:v>0</c:v>
                </c:pt>
              </c:numCache>
            </c:numRef>
          </c:val>
          <c:extLst>
            <c:ext xmlns:c16="http://schemas.microsoft.com/office/drawing/2014/chart" uri="{C3380CC4-5D6E-409C-BE32-E72D297353CC}">
              <c16:uniqueId val="{00000000-6AB6-4BAB-A764-731A8E1B73EE}"/>
            </c:ext>
          </c:extLst>
        </c:ser>
        <c:ser>
          <c:idx val="2"/>
          <c:order val="1"/>
          <c:tx>
            <c:strRef>
              <c:f>'Trasporti merci'!$B$637</c:f>
              <c:strCache>
                <c:ptCount val="1"/>
                <c:pt idx="0">
                  <c:v>Aereo</c:v>
                </c:pt>
              </c:strCache>
            </c:strRef>
          </c:tx>
          <c:spPr>
            <a:solidFill>
              <a:schemeClr val="accent5"/>
            </a:solidFill>
          </c:spPr>
          <c:invertIfNegative val="0"/>
          <c:cat>
            <c:strRef>
              <c:f>'Trasporti merci'!$D$635:$F$635</c:f>
              <c:strCache>
                <c:ptCount val="3"/>
                <c:pt idx="0">
                  <c:v>Upstream</c:v>
                </c:pt>
                <c:pt idx="1">
                  <c:v>Internal</c:v>
                </c:pt>
                <c:pt idx="2">
                  <c:v>Downstream</c:v>
                </c:pt>
              </c:strCache>
            </c:strRef>
          </c:cat>
          <c:val>
            <c:numRef>
              <c:f>'Trasporti merci'!$D$637:$F$637</c:f>
              <c:numCache>
                <c:formatCode>#,##0</c:formatCode>
                <c:ptCount val="3"/>
                <c:pt idx="0">
                  <c:v>0</c:v>
                </c:pt>
                <c:pt idx="1">
                  <c:v>0</c:v>
                </c:pt>
                <c:pt idx="2">
                  <c:v>0</c:v>
                </c:pt>
              </c:numCache>
            </c:numRef>
          </c:val>
          <c:extLst>
            <c:ext xmlns:c16="http://schemas.microsoft.com/office/drawing/2014/chart" uri="{C3380CC4-5D6E-409C-BE32-E72D297353CC}">
              <c16:uniqueId val="{00000001-6AB6-4BAB-A764-731A8E1B73EE}"/>
            </c:ext>
          </c:extLst>
        </c:ser>
        <c:ser>
          <c:idx val="3"/>
          <c:order val="2"/>
          <c:tx>
            <c:strRef>
              <c:f>'Trasporti merci'!$B$638</c:f>
              <c:strCache>
                <c:ptCount val="1"/>
                <c:pt idx="0">
                  <c:v>Treno</c:v>
                </c:pt>
              </c:strCache>
            </c:strRef>
          </c:tx>
          <c:spPr>
            <a:solidFill>
              <a:schemeClr val="accent3"/>
            </a:solidFill>
          </c:spPr>
          <c:invertIfNegative val="0"/>
          <c:cat>
            <c:strRef>
              <c:f>'Trasporti merci'!$D$635:$F$635</c:f>
              <c:strCache>
                <c:ptCount val="3"/>
                <c:pt idx="0">
                  <c:v>Upstream</c:v>
                </c:pt>
                <c:pt idx="1">
                  <c:v>Internal</c:v>
                </c:pt>
                <c:pt idx="2">
                  <c:v>Downstream</c:v>
                </c:pt>
              </c:strCache>
            </c:strRef>
          </c:cat>
          <c:val>
            <c:numRef>
              <c:f>'Trasporti merci'!$D$638:$F$638</c:f>
              <c:numCache>
                <c:formatCode>#,##0</c:formatCode>
                <c:ptCount val="3"/>
                <c:pt idx="0">
                  <c:v>0</c:v>
                </c:pt>
                <c:pt idx="1">
                  <c:v>0</c:v>
                </c:pt>
                <c:pt idx="2">
                  <c:v>0</c:v>
                </c:pt>
              </c:numCache>
            </c:numRef>
          </c:val>
          <c:extLst>
            <c:ext xmlns:c16="http://schemas.microsoft.com/office/drawing/2014/chart" uri="{C3380CC4-5D6E-409C-BE32-E72D297353CC}">
              <c16:uniqueId val="{00000002-6AB6-4BAB-A764-731A8E1B73EE}"/>
            </c:ext>
          </c:extLst>
        </c:ser>
        <c:ser>
          <c:idx val="0"/>
          <c:order val="3"/>
          <c:tx>
            <c:strRef>
              <c:f>'Trasporti merci'!$B$639</c:f>
              <c:strCache>
                <c:ptCount val="1"/>
                <c:pt idx="0">
                  <c:v>Mare e fiume</c:v>
                </c:pt>
              </c:strCache>
            </c:strRef>
          </c:tx>
          <c:spPr>
            <a:solidFill>
              <a:schemeClr val="accent6"/>
            </a:solidFill>
          </c:spPr>
          <c:invertIfNegative val="0"/>
          <c:cat>
            <c:strRef>
              <c:f>'Trasporti merci'!$D$635:$F$635</c:f>
              <c:strCache>
                <c:ptCount val="3"/>
                <c:pt idx="0">
                  <c:v>Upstream</c:v>
                </c:pt>
                <c:pt idx="1">
                  <c:v>Internal</c:v>
                </c:pt>
                <c:pt idx="2">
                  <c:v>Downstream</c:v>
                </c:pt>
              </c:strCache>
            </c:strRef>
          </c:cat>
          <c:val>
            <c:numRef>
              <c:f>'Trasporti merci'!$D$639:$F$639</c:f>
              <c:numCache>
                <c:formatCode>#,##0</c:formatCode>
                <c:ptCount val="3"/>
                <c:pt idx="0">
                  <c:v>0</c:v>
                </c:pt>
                <c:pt idx="1">
                  <c:v>0</c:v>
                </c:pt>
                <c:pt idx="2">
                  <c:v>0</c:v>
                </c:pt>
              </c:numCache>
            </c:numRef>
          </c:val>
          <c:extLst>
            <c:ext xmlns:c16="http://schemas.microsoft.com/office/drawing/2014/chart" uri="{C3380CC4-5D6E-409C-BE32-E72D297353CC}">
              <c16:uniqueId val="{00000003-6AB6-4BAB-A764-731A8E1B73EE}"/>
            </c:ext>
          </c:extLst>
        </c:ser>
        <c:dLbls>
          <c:showLegendKey val="0"/>
          <c:showVal val="0"/>
          <c:showCatName val="0"/>
          <c:showSerName val="0"/>
          <c:showPercent val="0"/>
          <c:showBubbleSize val="0"/>
        </c:dLbls>
        <c:gapWidth val="100"/>
        <c:overlap val="100"/>
        <c:axId val="-2087527784"/>
        <c:axId val="-2087524600"/>
      </c:barChart>
      <c:catAx>
        <c:axId val="-2087527784"/>
        <c:scaling>
          <c:orientation val="minMax"/>
        </c:scaling>
        <c:delete val="0"/>
        <c:axPos val="b"/>
        <c:numFmt formatCode="General" sourceLinked="1"/>
        <c:majorTickMark val="out"/>
        <c:minorTickMark val="none"/>
        <c:tickLblPos val="nextTo"/>
        <c:txPr>
          <a:bodyPr/>
          <a:lstStyle/>
          <a:p>
            <a:pPr>
              <a:defRPr sz="1200" b="1"/>
            </a:pPr>
            <a:endParaRPr lang="it-IT"/>
          </a:p>
        </c:txPr>
        <c:crossAx val="-2087524600"/>
        <c:crosses val="autoZero"/>
        <c:auto val="1"/>
        <c:lblAlgn val="ctr"/>
        <c:lblOffset val="100"/>
        <c:noMultiLvlLbl val="0"/>
      </c:catAx>
      <c:valAx>
        <c:axId val="-2087524600"/>
        <c:scaling>
          <c:orientation val="minMax"/>
        </c:scaling>
        <c:delete val="0"/>
        <c:axPos val="l"/>
        <c:majorGridlines/>
        <c:numFmt formatCode="#,##0" sourceLinked="1"/>
        <c:majorTickMark val="out"/>
        <c:minorTickMark val="none"/>
        <c:tickLblPos val="nextTo"/>
        <c:txPr>
          <a:bodyPr/>
          <a:lstStyle/>
          <a:p>
            <a:pPr>
              <a:defRPr sz="1200"/>
            </a:pPr>
            <a:endParaRPr lang="it-IT"/>
          </a:p>
        </c:txPr>
        <c:crossAx val="-2087527784"/>
        <c:crosses val="autoZero"/>
        <c:crossBetween val="between"/>
      </c:valAx>
      <c:spPr>
        <a:noFill/>
        <a:ln w="25400">
          <a:noFill/>
        </a:ln>
      </c:spPr>
    </c:plotArea>
    <c:legend>
      <c:legendPos val="r"/>
      <c:layout>
        <c:manualLayout>
          <c:xMode val="edge"/>
          <c:yMode val="edge"/>
          <c:x val="0.78834028031016701"/>
          <c:y val="0.372043206087873"/>
          <c:w val="0.15842851292406901"/>
          <c:h val="0.32043027576354399"/>
        </c:manualLayout>
      </c:layout>
      <c:overlay val="0"/>
      <c:txPr>
        <a:bodyPr/>
        <a:lstStyle/>
        <a:p>
          <a:pPr>
            <a:defRPr sz="1200" b="1"/>
          </a:pPr>
          <a:endParaRPr lang="it-IT"/>
        </a:p>
      </c:txPr>
    </c:legend>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400"/>
            </a:pPr>
            <a:r>
              <a:rPr lang="fr-FR" sz="1400">
                <a:solidFill>
                  <a:schemeClr val="tx2"/>
                </a:solidFill>
              </a:rPr>
              <a:t>Déplacements : </a:t>
            </a:r>
            <a:r>
              <a:rPr lang="fr-FR" sz="1400">
                <a:solidFill>
                  <a:srgbClr val="C00000"/>
                </a:solidFill>
              </a:rPr>
              <a:t>émissions de GES </a:t>
            </a:r>
            <a:r>
              <a:rPr lang="fr-FR" sz="1400"/>
              <a:t>par type et par mode, </a:t>
            </a:r>
            <a:r>
              <a:rPr lang="fr-FR" sz="1400">
                <a:solidFill>
                  <a:schemeClr val="accent6">
                    <a:lumMod val="75000"/>
                  </a:schemeClr>
                </a:solidFill>
              </a:rPr>
              <a:t>en tCO2e</a:t>
            </a:r>
            <a:r>
              <a:rPr lang="fr-FR" sz="1400"/>
              <a:t> </a:t>
            </a:r>
          </a:p>
        </c:rich>
      </c:tx>
      <c:overlay val="0"/>
    </c:title>
    <c:autoTitleDeleted val="0"/>
    <c:plotArea>
      <c:layout>
        <c:manualLayout>
          <c:layoutTarget val="inner"/>
          <c:xMode val="edge"/>
          <c:yMode val="edge"/>
          <c:x val="7.0327136752136796E-2"/>
          <c:y val="0.18141604938271599"/>
          <c:w val="0.65015416666666703"/>
          <c:h val="0.70582530864197501"/>
        </c:manualLayout>
      </c:layout>
      <c:barChart>
        <c:barDir val="col"/>
        <c:grouping val="stacked"/>
        <c:varyColors val="0"/>
        <c:ser>
          <c:idx val="2"/>
          <c:order val="0"/>
          <c:tx>
            <c:strRef>
              <c:f>'Trasporto persone'!$B$404</c:f>
              <c:strCache>
                <c:ptCount val="1"/>
                <c:pt idx="0">
                  <c:v>Road</c:v>
                </c:pt>
              </c:strCache>
            </c:strRef>
          </c:tx>
          <c:spPr>
            <a:solidFill>
              <a:schemeClr val="accent4"/>
            </a:solidFill>
            <a:effectLst/>
          </c:spPr>
          <c:invertIfNegative val="0"/>
          <c:cat>
            <c:strRef>
              <c:f>'Trasporto persone'!$D$403:$F$403</c:f>
              <c:strCache>
                <c:ptCount val="3"/>
                <c:pt idx="0">
                  <c:v>Commuting</c:v>
                </c:pt>
                <c:pt idx="1">
                  <c:v>Employees</c:v>
                </c:pt>
                <c:pt idx="2">
                  <c:v>Visitors</c:v>
                </c:pt>
              </c:strCache>
            </c:strRef>
          </c:cat>
          <c:val>
            <c:numRef>
              <c:f>'Trasporto persone'!$D$404:$F$404</c:f>
              <c:numCache>
                <c:formatCode>#,##0</c:formatCode>
                <c:ptCount val="3"/>
                <c:pt idx="0">
                  <c:v>1.0951491958156971</c:v>
                </c:pt>
                <c:pt idx="1">
                  <c:v>0.38203447499999998</c:v>
                </c:pt>
                <c:pt idx="2">
                  <c:v>0</c:v>
                </c:pt>
              </c:numCache>
            </c:numRef>
          </c:val>
          <c:extLst>
            <c:ext xmlns:c16="http://schemas.microsoft.com/office/drawing/2014/chart" uri="{C3380CC4-5D6E-409C-BE32-E72D297353CC}">
              <c16:uniqueId val="{00000000-2DC7-4B46-8A0C-D9C2D2D5774B}"/>
            </c:ext>
          </c:extLst>
        </c:ser>
        <c:ser>
          <c:idx val="3"/>
          <c:order val="1"/>
          <c:tx>
            <c:strRef>
              <c:f>'Trasporto persone'!$B$405</c:f>
              <c:strCache>
                <c:ptCount val="1"/>
                <c:pt idx="0">
                  <c:v>Air</c:v>
                </c:pt>
              </c:strCache>
            </c:strRef>
          </c:tx>
          <c:spPr>
            <a:solidFill>
              <a:schemeClr val="accent5"/>
            </a:solidFill>
          </c:spPr>
          <c:invertIfNegative val="0"/>
          <c:cat>
            <c:strRef>
              <c:f>'Trasporto persone'!$D$403:$F$403</c:f>
              <c:strCache>
                <c:ptCount val="3"/>
                <c:pt idx="0">
                  <c:v>Commuting</c:v>
                </c:pt>
                <c:pt idx="1">
                  <c:v>Employees</c:v>
                </c:pt>
                <c:pt idx="2">
                  <c:v>Visitors</c:v>
                </c:pt>
              </c:strCache>
            </c:strRef>
          </c:cat>
          <c:val>
            <c:numRef>
              <c:f>'Trasporto persone'!$D$405:$F$405</c:f>
              <c:numCache>
                <c:formatCode>#,##0</c:formatCode>
                <c:ptCount val="3"/>
                <c:pt idx="1">
                  <c:v>0</c:v>
                </c:pt>
                <c:pt idx="2">
                  <c:v>0</c:v>
                </c:pt>
              </c:numCache>
            </c:numRef>
          </c:val>
          <c:extLst>
            <c:ext xmlns:c16="http://schemas.microsoft.com/office/drawing/2014/chart" uri="{C3380CC4-5D6E-409C-BE32-E72D297353CC}">
              <c16:uniqueId val="{00000001-2DC7-4B46-8A0C-D9C2D2D5774B}"/>
            </c:ext>
          </c:extLst>
        </c:ser>
        <c:ser>
          <c:idx val="0"/>
          <c:order val="2"/>
          <c:tx>
            <c:strRef>
              <c:f>'Trasporto persone'!$B$406</c:f>
              <c:strCache>
                <c:ptCount val="1"/>
                <c:pt idx="0">
                  <c:v>Rail</c:v>
                </c:pt>
              </c:strCache>
            </c:strRef>
          </c:tx>
          <c:spPr>
            <a:solidFill>
              <a:schemeClr val="accent3"/>
            </a:solidFill>
          </c:spPr>
          <c:invertIfNegative val="0"/>
          <c:cat>
            <c:strRef>
              <c:f>'Trasporto persone'!$D$403:$F$403</c:f>
              <c:strCache>
                <c:ptCount val="3"/>
                <c:pt idx="0">
                  <c:v>Commuting</c:v>
                </c:pt>
                <c:pt idx="1">
                  <c:v>Employees</c:v>
                </c:pt>
                <c:pt idx="2">
                  <c:v>Visitors</c:v>
                </c:pt>
              </c:strCache>
            </c:strRef>
          </c:cat>
          <c:val>
            <c:numRef>
              <c:f>'Trasporto persone'!$D$406:$F$406</c:f>
              <c:numCache>
                <c:formatCode>#,##0</c:formatCode>
                <c:ptCount val="3"/>
                <c:pt idx="0">
                  <c:v>0</c:v>
                </c:pt>
                <c:pt idx="1">
                  <c:v>0</c:v>
                </c:pt>
                <c:pt idx="2">
                  <c:v>0</c:v>
                </c:pt>
              </c:numCache>
            </c:numRef>
          </c:val>
          <c:extLst>
            <c:ext xmlns:c16="http://schemas.microsoft.com/office/drawing/2014/chart" uri="{C3380CC4-5D6E-409C-BE32-E72D297353CC}">
              <c16:uniqueId val="{00000002-2DC7-4B46-8A0C-D9C2D2D5774B}"/>
            </c:ext>
          </c:extLst>
        </c:ser>
        <c:ser>
          <c:idx val="1"/>
          <c:order val="3"/>
          <c:tx>
            <c:strRef>
              <c:f>'Trasporto persone'!$B$407</c:f>
              <c:strCache>
                <c:ptCount val="1"/>
                <c:pt idx="0">
                  <c:v>Sea and Waterway</c:v>
                </c:pt>
              </c:strCache>
            </c:strRef>
          </c:tx>
          <c:spPr>
            <a:solidFill>
              <a:schemeClr val="accent6"/>
            </a:solidFill>
          </c:spPr>
          <c:invertIfNegative val="0"/>
          <c:cat>
            <c:strRef>
              <c:f>'Trasporto persone'!$D$403:$F$403</c:f>
              <c:strCache>
                <c:ptCount val="3"/>
                <c:pt idx="0">
                  <c:v>Commuting</c:v>
                </c:pt>
                <c:pt idx="1">
                  <c:v>Employees</c:v>
                </c:pt>
                <c:pt idx="2">
                  <c:v>Visitors</c:v>
                </c:pt>
              </c:strCache>
            </c:strRef>
          </c:cat>
          <c:val>
            <c:numRef>
              <c:f>'Trasporto persone'!$D$407:$F$407</c:f>
              <c:numCache>
                <c:formatCode>#,##0</c:formatCode>
                <c:ptCount val="3"/>
                <c:pt idx="1">
                  <c:v>0</c:v>
                </c:pt>
                <c:pt idx="2">
                  <c:v>0</c:v>
                </c:pt>
              </c:numCache>
            </c:numRef>
          </c:val>
          <c:extLst>
            <c:ext xmlns:c16="http://schemas.microsoft.com/office/drawing/2014/chart" uri="{C3380CC4-5D6E-409C-BE32-E72D297353CC}">
              <c16:uniqueId val="{00000003-2DC7-4B46-8A0C-D9C2D2D5774B}"/>
            </c:ext>
          </c:extLst>
        </c:ser>
        <c:dLbls>
          <c:showLegendKey val="0"/>
          <c:showVal val="0"/>
          <c:showCatName val="0"/>
          <c:showSerName val="0"/>
          <c:showPercent val="0"/>
          <c:showBubbleSize val="0"/>
        </c:dLbls>
        <c:gapWidth val="100"/>
        <c:overlap val="100"/>
        <c:axId val="-2087480312"/>
        <c:axId val="-2087477128"/>
      </c:barChart>
      <c:catAx>
        <c:axId val="-2087480312"/>
        <c:scaling>
          <c:orientation val="minMax"/>
        </c:scaling>
        <c:delete val="0"/>
        <c:axPos val="b"/>
        <c:numFmt formatCode="General" sourceLinked="1"/>
        <c:majorTickMark val="out"/>
        <c:minorTickMark val="none"/>
        <c:tickLblPos val="nextTo"/>
        <c:txPr>
          <a:bodyPr/>
          <a:lstStyle/>
          <a:p>
            <a:pPr>
              <a:defRPr sz="1200" b="1"/>
            </a:pPr>
            <a:endParaRPr lang="it-IT"/>
          </a:p>
        </c:txPr>
        <c:crossAx val="-2087477128"/>
        <c:crosses val="autoZero"/>
        <c:auto val="1"/>
        <c:lblAlgn val="ctr"/>
        <c:lblOffset val="100"/>
        <c:noMultiLvlLbl val="0"/>
      </c:catAx>
      <c:valAx>
        <c:axId val="-2087477128"/>
        <c:scaling>
          <c:orientation val="minMax"/>
        </c:scaling>
        <c:delete val="0"/>
        <c:axPos val="l"/>
        <c:majorGridlines/>
        <c:numFmt formatCode="#,##0" sourceLinked="1"/>
        <c:majorTickMark val="out"/>
        <c:minorTickMark val="none"/>
        <c:tickLblPos val="nextTo"/>
        <c:txPr>
          <a:bodyPr/>
          <a:lstStyle/>
          <a:p>
            <a:pPr>
              <a:defRPr sz="1200"/>
            </a:pPr>
            <a:endParaRPr lang="it-IT"/>
          </a:p>
        </c:txPr>
        <c:crossAx val="-2087480312"/>
        <c:crosses val="autoZero"/>
        <c:crossBetween val="between"/>
      </c:valAx>
      <c:spPr>
        <a:noFill/>
        <a:ln w="25400">
          <a:noFill/>
        </a:ln>
      </c:spPr>
    </c:plotArea>
    <c:legend>
      <c:legendPos val="r"/>
      <c:layout>
        <c:manualLayout>
          <c:xMode val="edge"/>
          <c:yMode val="edge"/>
          <c:x val="0.79087513651695196"/>
          <c:y val="0.39784967125003801"/>
          <c:w val="0.15842851292406901"/>
          <c:h val="0.32043027576354399"/>
        </c:manualLayout>
      </c:layout>
      <c:overlay val="0"/>
      <c:txPr>
        <a:bodyPr/>
        <a:lstStyle/>
        <a:p>
          <a:pPr>
            <a:defRPr sz="1200" b="1"/>
          </a:pPr>
          <a:endParaRPr lang="it-IT"/>
        </a:p>
      </c:txPr>
    </c:legend>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a:solidFill>
                  <a:schemeClr val="tx2"/>
                </a:solidFill>
              </a:rPr>
              <a:t>GHG Protocol : </a:t>
            </a:r>
            <a:r>
              <a:rPr lang="fr-FR" sz="1400">
                <a:solidFill>
                  <a:srgbClr val="C00000"/>
                </a:solidFill>
              </a:rPr>
              <a:t>GHG</a:t>
            </a:r>
            <a:r>
              <a:rPr lang="fr-FR" sz="1400" baseline="0">
                <a:solidFill>
                  <a:srgbClr val="C00000"/>
                </a:solidFill>
              </a:rPr>
              <a:t> emissions</a:t>
            </a:r>
            <a:r>
              <a:rPr lang="fr-FR" sz="1400"/>
              <a:t> &amp; </a:t>
            </a:r>
            <a:r>
              <a:rPr lang="fr-FR" sz="1400">
                <a:solidFill>
                  <a:srgbClr val="C00000"/>
                </a:solidFill>
              </a:rPr>
              <a:t>uncertainty</a:t>
            </a:r>
            <a:r>
              <a:rPr lang="fr-FR" sz="1400"/>
              <a:t> by source, </a:t>
            </a:r>
            <a:r>
              <a:rPr lang="fr-FR" sz="1400">
                <a:solidFill>
                  <a:schemeClr val="accent6">
                    <a:lumMod val="75000"/>
                  </a:schemeClr>
                </a:solidFill>
              </a:rPr>
              <a:t>in tCO2e</a:t>
            </a:r>
          </a:p>
        </c:rich>
      </c:tx>
      <c:overlay val="0"/>
    </c:title>
    <c:autoTitleDeleted val="0"/>
    <c:plotArea>
      <c:layout>
        <c:manualLayout>
          <c:layoutTarget val="inner"/>
          <c:xMode val="edge"/>
          <c:yMode val="edge"/>
          <c:x val="0.160265608465608"/>
          <c:y val="7.9717483660130706E-2"/>
          <c:w val="0.80109682539682503"/>
          <c:h val="0.53896013071895399"/>
        </c:manualLayout>
      </c:layout>
      <c:barChart>
        <c:barDir val="col"/>
        <c:grouping val="clustered"/>
        <c:varyColors val="0"/>
        <c:ser>
          <c:idx val="0"/>
          <c:order val="0"/>
          <c:tx>
            <c:strRef>
              <c:f>'GHG Protocol'!$F$41</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'GHG Protocol'!$D$42:$D$64</c:f>
              <c:strCache>
                <c:ptCount val="23"/>
                <c:pt idx="0">
                  <c:v>Stationary combustion sources</c:v>
                </c:pt>
                <c:pt idx="1">
                  <c:v>Mobile combustion sources</c:v>
                </c:pt>
                <c:pt idx="2">
                  <c:v>Direct emissions from processes</c:v>
                </c:pt>
                <c:pt idx="3">
                  <c:v>Direct fugitive emissions</c:v>
                </c:pt>
                <c:pt idx="4">
                  <c:v>Electricity consumption</c:v>
                </c:pt>
                <c:pt idx="5">
                  <c:v>Steam, heat and cooling consumption</c:v>
                </c:pt>
                <c:pt idx="6">
                  <c:v>Purchased goods or services</c:v>
                </c:pt>
                <c:pt idx="7">
                  <c:v>Capital goods</c:v>
                </c:pt>
                <c:pt idx="8">
                  <c:v>Related to energy (not covered by scope 1 or 2)</c:v>
                </c:pt>
                <c:pt idx="9">
                  <c:v>Upstream transport and distribution</c:v>
                </c:pt>
                <c:pt idx="10">
                  <c:v>Waste generated</c:v>
                </c:pt>
                <c:pt idx="11">
                  <c:v>Business travels</c:v>
                </c:pt>
                <c:pt idx="12">
                  <c:v>Employee commuting</c:v>
                </c:pt>
                <c:pt idx="13">
                  <c:v>Upstream leased assets</c:v>
                </c:pt>
                <c:pt idx="14">
                  <c:v>Other indirect emissions upstream</c:v>
                </c:pt>
                <c:pt idx="15">
                  <c:v>Downstream transportation of goods and distribution</c:v>
                </c:pt>
                <c:pt idx="16">
                  <c:v>Processing of sold products </c:v>
                </c:pt>
                <c:pt idx="17">
                  <c:v>Use of sold products </c:v>
                </c:pt>
                <c:pt idx="18">
                  <c:v>End-of-life of sold products </c:v>
                </c:pt>
                <c:pt idx="19">
                  <c:v>Downstream leased assets</c:v>
                </c:pt>
                <c:pt idx="20">
                  <c:v>Franchises</c:v>
                </c:pt>
                <c:pt idx="21">
                  <c:v>Investments</c:v>
                </c:pt>
                <c:pt idx="22">
                  <c:v>Other indirect emissions downstream</c:v>
                </c:pt>
              </c:strCache>
            </c:strRef>
          </c:cat>
          <c:val>
            <c:numRef>
              <c:f>'GHG Protocol'!$F$42:$F$64</c:f>
              <c:numCache>
                <c:formatCode>#,##0</c:formatCode>
                <c:ptCount val="23"/>
                <c:pt idx="0">
                  <c:v>0</c:v>
                </c:pt>
                <c:pt idx="1">
                  <c:v>0.39700000000000002</c:v>
                </c:pt>
                <c:pt idx="2">
                  <c:v>278000</c:v>
                </c:pt>
                <c:pt idx="3">
                  <c:v>0</c:v>
                </c:pt>
                <c:pt idx="4">
                  <c:v>0.18240000000000001</c:v>
                </c:pt>
                <c:pt idx="5">
                  <c:v>0</c:v>
                </c:pt>
                <c:pt idx="6">
                  <c:v>96.800000000000011</c:v>
                </c:pt>
                <c:pt idx="7">
                  <c:v>96.800000000000011</c:v>
                </c:pt>
                <c:pt idx="8">
                  <c:v>0.11451624760240926</c:v>
                </c:pt>
                <c:pt idx="9">
                  <c:v>0</c:v>
                </c:pt>
                <c:pt idx="10">
                  <c:v>0</c:v>
                </c:pt>
                <c:pt idx="11">
                  <c:v>0</c:v>
                </c:pt>
                <c:pt idx="12">
                  <c:v>0.22002000000000002</c:v>
                </c:pt>
                <c:pt idx="13">
                  <c:v>0.31555459790784857</c:v>
                </c:pt>
                <c:pt idx="14">
                  <c:v>0</c:v>
                </c:pt>
                <c:pt idx="15">
                  <c:v>0</c:v>
                </c:pt>
                <c:pt idx="16">
                  <c:v>0</c:v>
                </c:pt>
                <c:pt idx="17">
                  <c:v>0</c:v>
                </c:pt>
                <c:pt idx="18">
                  <c:v>0.14299999999999999</c:v>
                </c:pt>
                <c:pt idx="19">
                  <c:v>0</c:v>
                </c:pt>
                <c:pt idx="20">
                  <c:v>0</c:v>
                </c:pt>
                <c:pt idx="21">
                  <c:v>0</c:v>
                </c:pt>
                <c:pt idx="22">
                  <c:v>0</c:v>
                </c:pt>
              </c:numCache>
            </c:numRef>
          </c:val>
          <c:extLst>
            <c:ext xmlns:c16="http://schemas.microsoft.com/office/drawing/2014/chart" uri="{C3380CC4-5D6E-409C-BE32-E72D297353CC}">
              <c16:uniqueId val="{00000000-DE4D-452D-B8B9-B3B4B13C736B}"/>
            </c:ext>
          </c:extLst>
        </c:ser>
        <c:dLbls>
          <c:showLegendKey val="0"/>
          <c:showVal val="0"/>
          <c:showCatName val="0"/>
          <c:showSerName val="0"/>
          <c:showPercent val="0"/>
          <c:showBubbleSize val="0"/>
        </c:dLbls>
        <c:gapWidth val="100"/>
        <c:axId val="-2087419800"/>
        <c:axId val="-2087416872"/>
      </c:barChart>
      <c:stockChart>
        <c:ser>
          <c:idx val="1"/>
          <c:order val="1"/>
          <c:tx>
            <c:strRef>
              <c:f>'GHG Protocol'!$F$41</c:f>
              <c:strCache>
                <c:ptCount val="1"/>
                <c:pt idx="0">
                  <c:v>Median</c:v>
                </c:pt>
              </c:strCache>
            </c:strRef>
          </c:tx>
          <c:spPr>
            <a:ln w="47625">
              <a:noFill/>
            </a:ln>
          </c:spPr>
          <c:marker>
            <c:symbol val="none"/>
          </c:marker>
          <c:cat>
            <c:multiLvlStrRef>
              <c:f>#REF!</c:f>
            </c:multiLvlStrRef>
          </c:cat>
          <c:val>
            <c:numRef>
              <c:f>'GHG Protocol'!$F$42:$F$64</c:f>
              <c:numCache>
                <c:formatCode>#,##0</c:formatCode>
                <c:ptCount val="23"/>
                <c:pt idx="0">
                  <c:v>0</c:v>
                </c:pt>
                <c:pt idx="1">
                  <c:v>0.39700000000000002</c:v>
                </c:pt>
                <c:pt idx="2">
                  <c:v>278000</c:v>
                </c:pt>
                <c:pt idx="3">
                  <c:v>0</c:v>
                </c:pt>
                <c:pt idx="4">
                  <c:v>0.18240000000000001</c:v>
                </c:pt>
                <c:pt idx="5">
                  <c:v>0</c:v>
                </c:pt>
                <c:pt idx="6">
                  <c:v>96.800000000000011</c:v>
                </c:pt>
                <c:pt idx="7">
                  <c:v>96.800000000000011</c:v>
                </c:pt>
                <c:pt idx="8">
                  <c:v>0.11451624760240926</c:v>
                </c:pt>
                <c:pt idx="9">
                  <c:v>0</c:v>
                </c:pt>
                <c:pt idx="10">
                  <c:v>0</c:v>
                </c:pt>
                <c:pt idx="11">
                  <c:v>0</c:v>
                </c:pt>
                <c:pt idx="12">
                  <c:v>0.22002000000000002</c:v>
                </c:pt>
                <c:pt idx="13">
                  <c:v>0.31555459790784857</c:v>
                </c:pt>
                <c:pt idx="14">
                  <c:v>0</c:v>
                </c:pt>
                <c:pt idx="15">
                  <c:v>0</c:v>
                </c:pt>
                <c:pt idx="16">
                  <c:v>0</c:v>
                </c:pt>
                <c:pt idx="17">
                  <c:v>0</c:v>
                </c:pt>
                <c:pt idx="18">
                  <c:v>0.14299999999999999</c:v>
                </c:pt>
                <c:pt idx="19">
                  <c:v>0</c:v>
                </c:pt>
                <c:pt idx="20">
                  <c:v>0</c:v>
                </c:pt>
                <c:pt idx="21">
                  <c:v>0</c:v>
                </c:pt>
                <c:pt idx="22">
                  <c:v>0</c:v>
                </c:pt>
              </c:numCache>
            </c:numRef>
          </c:val>
          <c:smooth val="0"/>
          <c:extLst>
            <c:ext xmlns:c16="http://schemas.microsoft.com/office/drawing/2014/chart" uri="{C3380CC4-5D6E-409C-BE32-E72D297353CC}">
              <c16:uniqueId val="{00000001-DE4D-452D-B8B9-B3B4B13C736B}"/>
            </c:ext>
          </c:extLst>
        </c:ser>
        <c:ser>
          <c:idx val="2"/>
          <c:order val="2"/>
          <c:tx>
            <c:strRef>
              <c:f>'GHG Protocol'!$E$41</c:f>
              <c:strCache>
                <c:ptCount val="1"/>
                <c:pt idx="0">
                  <c:v>Low</c:v>
                </c:pt>
              </c:strCache>
            </c:strRef>
          </c:tx>
          <c:spPr>
            <a:ln w="47625">
              <a:noFill/>
            </a:ln>
          </c:spPr>
          <c:marker>
            <c:symbol val="none"/>
          </c:marker>
          <c:cat>
            <c:multiLvlStrRef>
              <c:f>#REF!</c:f>
            </c:multiLvlStrRef>
          </c:cat>
          <c:val>
            <c:numRef>
              <c:f>'GHG Protocol'!$E$42:$E$64</c:f>
              <c:numCache>
                <c:formatCode>#,##0</c:formatCode>
                <c:ptCount val="23"/>
                <c:pt idx="0">
                  <c:v>0</c:v>
                </c:pt>
                <c:pt idx="1">
                  <c:v>0.39700000000000002</c:v>
                </c:pt>
                <c:pt idx="2">
                  <c:v>198492.64184995202</c:v>
                </c:pt>
                <c:pt idx="3">
                  <c:v>0</c:v>
                </c:pt>
                <c:pt idx="4">
                  <c:v>0.18240000000000001</c:v>
                </c:pt>
                <c:pt idx="5">
                  <c:v>0</c:v>
                </c:pt>
                <c:pt idx="6">
                  <c:v>77.440000000000012</c:v>
                </c:pt>
                <c:pt idx="7">
                  <c:v>77.440000000000012</c:v>
                </c:pt>
                <c:pt idx="8">
                  <c:v>0.11451624760240926</c:v>
                </c:pt>
                <c:pt idx="9">
                  <c:v>0</c:v>
                </c:pt>
                <c:pt idx="10">
                  <c:v>0</c:v>
                </c:pt>
                <c:pt idx="11">
                  <c:v>0</c:v>
                </c:pt>
                <c:pt idx="12">
                  <c:v>0.22002000000000002</c:v>
                </c:pt>
                <c:pt idx="13">
                  <c:v>0.31555459790784857</c:v>
                </c:pt>
                <c:pt idx="14">
                  <c:v>0</c:v>
                </c:pt>
                <c:pt idx="15">
                  <c:v>0</c:v>
                </c:pt>
                <c:pt idx="16">
                  <c:v>0</c:v>
                </c:pt>
                <c:pt idx="17">
                  <c:v>0</c:v>
                </c:pt>
                <c:pt idx="18">
                  <c:v>7.1499999999999994E-2</c:v>
                </c:pt>
                <c:pt idx="19">
                  <c:v>0</c:v>
                </c:pt>
                <c:pt idx="20">
                  <c:v>0</c:v>
                </c:pt>
                <c:pt idx="21">
                  <c:v>0</c:v>
                </c:pt>
                <c:pt idx="22">
                  <c:v>0</c:v>
                </c:pt>
              </c:numCache>
            </c:numRef>
          </c:val>
          <c:smooth val="0"/>
          <c:extLst>
            <c:ext xmlns:c16="http://schemas.microsoft.com/office/drawing/2014/chart" uri="{C3380CC4-5D6E-409C-BE32-E72D297353CC}">
              <c16:uniqueId val="{00000002-DE4D-452D-B8B9-B3B4B13C736B}"/>
            </c:ext>
          </c:extLst>
        </c:ser>
        <c:ser>
          <c:idx val="3"/>
          <c:order val="3"/>
          <c:tx>
            <c:strRef>
              <c:f>'GHG Protocol'!$H$41</c:f>
              <c:strCache>
                <c:ptCount val="1"/>
                <c:pt idx="0">
                  <c:v>High</c:v>
                </c:pt>
              </c:strCache>
            </c:strRef>
          </c:tx>
          <c:spPr>
            <a:ln w="47625">
              <a:noFill/>
            </a:ln>
          </c:spPr>
          <c:marker>
            <c:symbol val="none"/>
          </c:marker>
          <c:cat>
            <c:multiLvlStrRef>
              <c:f>#REF!</c:f>
            </c:multiLvlStrRef>
          </c:cat>
          <c:val>
            <c:numRef>
              <c:f>'GHG Protocol'!$H$42:$H$64</c:f>
              <c:numCache>
                <c:formatCode>#,##0</c:formatCode>
                <c:ptCount val="23"/>
                <c:pt idx="0">
                  <c:v>0</c:v>
                </c:pt>
                <c:pt idx="1">
                  <c:v>0.39700000000000002</c:v>
                </c:pt>
                <c:pt idx="2">
                  <c:v>357507.35815004795</c:v>
                </c:pt>
                <c:pt idx="3">
                  <c:v>0</c:v>
                </c:pt>
                <c:pt idx="4">
                  <c:v>0.18240000000000001</c:v>
                </c:pt>
                <c:pt idx="5">
                  <c:v>0</c:v>
                </c:pt>
                <c:pt idx="6">
                  <c:v>116.16000000000001</c:v>
                </c:pt>
                <c:pt idx="7">
                  <c:v>116.16000000000001</c:v>
                </c:pt>
                <c:pt idx="8">
                  <c:v>0.11451624760240926</c:v>
                </c:pt>
                <c:pt idx="9">
                  <c:v>0</c:v>
                </c:pt>
                <c:pt idx="10">
                  <c:v>0</c:v>
                </c:pt>
                <c:pt idx="11">
                  <c:v>0</c:v>
                </c:pt>
                <c:pt idx="12">
                  <c:v>0.22002000000000002</c:v>
                </c:pt>
                <c:pt idx="13">
                  <c:v>0.31555459790784857</c:v>
                </c:pt>
                <c:pt idx="14">
                  <c:v>0</c:v>
                </c:pt>
                <c:pt idx="15">
                  <c:v>0</c:v>
                </c:pt>
                <c:pt idx="16">
                  <c:v>0</c:v>
                </c:pt>
                <c:pt idx="17">
                  <c:v>0</c:v>
                </c:pt>
                <c:pt idx="18">
                  <c:v>0.21449999999999997</c:v>
                </c:pt>
                <c:pt idx="19">
                  <c:v>0</c:v>
                </c:pt>
                <c:pt idx="20">
                  <c:v>0</c:v>
                </c:pt>
                <c:pt idx="21">
                  <c:v>0</c:v>
                </c:pt>
                <c:pt idx="22">
                  <c:v>0</c:v>
                </c:pt>
              </c:numCache>
            </c:numRef>
          </c:val>
          <c:smooth val="0"/>
          <c:extLst>
            <c:ext xmlns:c16="http://schemas.microsoft.com/office/drawing/2014/chart" uri="{C3380CC4-5D6E-409C-BE32-E72D297353CC}">
              <c16:uniqueId val="{00000003-DE4D-452D-B8B9-B3B4B13C736B}"/>
            </c:ext>
          </c:extLst>
        </c:ser>
        <c:dLbls>
          <c:showLegendKey val="0"/>
          <c:showVal val="0"/>
          <c:showCatName val="0"/>
          <c:showSerName val="0"/>
          <c:showPercent val="0"/>
          <c:showBubbleSize val="0"/>
        </c:dLbls>
        <c:hiLowLines>
          <c:spPr>
            <a:ln w="25400" cap="flat" cmpd="sng" algn="ctr">
              <a:solidFill>
                <a:schemeClr val="tx1">
                  <a:lumMod val="85000"/>
                  <a:lumOff val="15000"/>
                </a:schemeClr>
              </a:solidFill>
              <a:prstDash val="solid"/>
            </a:ln>
            <a:effectLst>
              <a:outerShdw blurRad="40000" dist="20000" dir="5400000" rotWithShape="0">
                <a:srgbClr val="000000">
                  <a:alpha val="38000"/>
                </a:srgbClr>
              </a:outerShdw>
            </a:effectLst>
          </c:spPr>
        </c:hiLowLines>
        <c:axId val="-2087413800"/>
        <c:axId val="-2087410808"/>
      </c:stockChart>
      <c:catAx>
        <c:axId val="-2087419800"/>
        <c:scaling>
          <c:orientation val="minMax"/>
        </c:scaling>
        <c:delete val="0"/>
        <c:axPos val="b"/>
        <c:numFmt formatCode="General" sourceLinked="1"/>
        <c:majorTickMark val="out"/>
        <c:minorTickMark val="none"/>
        <c:tickLblPos val="nextTo"/>
        <c:txPr>
          <a:bodyPr/>
          <a:lstStyle/>
          <a:p>
            <a:pPr>
              <a:defRPr sz="1100" b="1"/>
            </a:pPr>
            <a:endParaRPr lang="it-IT"/>
          </a:p>
        </c:txPr>
        <c:crossAx val="-2087416872"/>
        <c:crosses val="autoZero"/>
        <c:auto val="1"/>
        <c:lblAlgn val="ctr"/>
        <c:lblOffset val="100"/>
        <c:noMultiLvlLbl val="0"/>
      </c:catAx>
      <c:valAx>
        <c:axId val="-2087416872"/>
        <c:scaling>
          <c:orientation val="minMax"/>
        </c:scaling>
        <c:delete val="0"/>
        <c:axPos val="l"/>
        <c:majorGridlines/>
        <c:numFmt formatCode="#,##0" sourceLinked="1"/>
        <c:majorTickMark val="out"/>
        <c:minorTickMark val="none"/>
        <c:tickLblPos val="nextTo"/>
        <c:txPr>
          <a:bodyPr/>
          <a:lstStyle/>
          <a:p>
            <a:pPr>
              <a:defRPr sz="1200"/>
            </a:pPr>
            <a:endParaRPr lang="it-IT"/>
          </a:p>
        </c:txPr>
        <c:crossAx val="-2087419800"/>
        <c:crosses val="autoZero"/>
        <c:crossBetween val="between"/>
      </c:valAx>
      <c:catAx>
        <c:axId val="-2087413800"/>
        <c:scaling>
          <c:orientation val="minMax"/>
        </c:scaling>
        <c:delete val="1"/>
        <c:axPos val="b"/>
        <c:numFmt formatCode="General" sourceLinked="1"/>
        <c:majorTickMark val="out"/>
        <c:minorTickMark val="none"/>
        <c:tickLblPos val="nextTo"/>
        <c:crossAx val="-2087410808"/>
        <c:crosses val="autoZero"/>
        <c:auto val="1"/>
        <c:lblAlgn val="ctr"/>
        <c:lblOffset val="100"/>
        <c:noMultiLvlLbl val="0"/>
      </c:catAx>
      <c:valAx>
        <c:axId val="-2087410808"/>
        <c:scaling>
          <c:orientation val="minMax"/>
        </c:scaling>
        <c:delete val="1"/>
        <c:axPos val="r"/>
        <c:numFmt formatCode="#,##0" sourceLinked="1"/>
        <c:majorTickMark val="out"/>
        <c:minorTickMark val="none"/>
        <c:tickLblPos val="nextTo"/>
        <c:crossAx val="-2087413800"/>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a:solidFill>
                  <a:schemeClr val="tx2"/>
                </a:solidFill>
              </a:rPr>
              <a:t>ISO 14069 :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a:t>
            </a:r>
            <a:r>
              <a:rPr lang="fr-FR" sz="1400" b="1" i="0" u="none" strike="noStrike" baseline="0">
                <a:effectLst/>
              </a:rPr>
              <a:t> by source, </a:t>
            </a:r>
            <a:r>
              <a:rPr lang="fr-FR" sz="1400" b="1" i="0" u="none" strike="noStrike" baseline="0">
                <a:solidFill>
                  <a:schemeClr val="accent6">
                    <a:lumMod val="75000"/>
                  </a:schemeClr>
                </a:solidFill>
                <a:effectLst/>
              </a:rPr>
              <a:t>in tCO2e</a:t>
            </a:r>
            <a:endParaRPr lang="fr-FR" sz="1400">
              <a:solidFill>
                <a:schemeClr val="accent6">
                  <a:lumMod val="75000"/>
                </a:schemeClr>
              </a:solidFill>
            </a:endParaRPr>
          </a:p>
        </c:rich>
      </c:tx>
      <c:overlay val="0"/>
    </c:title>
    <c:autoTitleDeleted val="0"/>
    <c:plotArea>
      <c:layout>
        <c:manualLayout>
          <c:layoutTarget val="inner"/>
          <c:xMode val="edge"/>
          <c:yMode val="edge"/>
          <c:x val="0.26526243386243398"/>
          <c:y val="7.9717496685865502E-2"/>
          <c:w val="0.71361787467434301"/>
          <c:h val="0.45611902877761901"/>
        </c:manualLayout>
      </c:layout>
      <c:barChart>
        <c:barDir val="col"/>
        <c:grouping val="clustered"/>
        <c:varyColors val="0"/>
        <c:ser>
          <c:idx val="0"/>
          <c:order val="0"/>
          <c:tx>
            <c:strRef>
              <c:f>'GHG Protocol'!$F$41</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'ISO 14069'!$D$40:$D$62</c:f>
              <c:strCache>
                <c:ptCount val="23"/>
                <c:pt idx="0">
                  <c:v>Direct emissions from stationary combustion sources</c:v>
                </c:pt>
                <c:pt idx="1">
                  <c:v>Direct emissions from mobile combustion sources</c:v>
                </c:pt>
                <c:pt idx="2">
                  <c:v>Direct emissions from processes</c:v>
                </c:pt>
                <c:pt idx="3">
                  <c:v>Direct fugitive emissions</c:v>
                </c:pt>
                <c:pt idx="4">
                  <c:v>Direct emissions from LULUCF</c:v>
                </c:pt>
                <c:pt idx="5">
                  <c:v>Indirect emissions from electricity consumption</c:v>
                </c:pt>
                <c:pt idx="6">
                  <c:v>Indirect emissions from network energy consumption (excluding electricity) </c:v>
                </c:pt>
                <c:pt idx="7">
                  <c:v>Emissions due to energy not covered by sources from 1 to 7</c:v>
                </c:pt>
                <c:pt idx="8">
                  <c:v>Purchased goods</c:v>
                </c:pt>
                <c:pt idx="9">
                  <c:v>Capital goods</c:v>
                </c:pt>
                <c:pt idx="10">
                  <c:v>Waste generated</c:v>
                </c:pt>
                <c:pt idx="11">
                  <c:v>Upstream transport and distribution</c:v>
                </c:pt>
                <c:pt idx="12">
                  <c:v>Business travels</c:v>
                </c:pt>
                <c:pt idx="13">
                  <c:v>Upstream leased assets</c:v>
                </c:pt>
                <c:pt idx="14">
                  <c:v>Investments</c:v>
                </c:pt>
                <c:pt idx="15">
                  <c:v>Transportation of clients and visitors</c:v>
                </c:pt>
                <c:pt idx="16">
                  <c:v>Downstream transportation of goods and distribution</c:v>
                </c:pt>
                <c:pt idx="17">
                  <c:v>Use of sold products </c:v>
                </c:pt>
                <c:pt idx="18">
                  <c:v>End-of-life of sold products </c:v>
                </c:pt>
                <c:pt idx="19">
                  <c:v>Downstream franchises </c:v>
                </c:pt>
                <c:pt idx="20">
                  <c:v>Downstream leased assets</c:v>
                </c:pt>
                <c:pt idx="21">
                  <c:v>Employee commuting</c:v>
                </c:pt>
                <c:pt idx="22">
                  <c:v>Other indirect emissions</c:v>
                </c:pt>
              </c:strCache>
            </c:strRef>
          </c:cat>
          <c:val>
            <c:numRef>
              <c:f>'ISO 14069'!$F$40:$F$62</c:f>
              <c:numCache>
                <c:formatCode>#,##0</c:formatCode>
                <c:ptCount val="23"/>
                <c:pt idx="0">
                  <c:v>0</c:v>
                </c:pt>
                <c:pt idx="1">
                  <c:v>0.39700000000000002</c:v>
                </c:pt>
                <c:pt idx="2">
                  <c:v>278000</c:v>
                </c:pt>
                <c:pt idx="3">
                  <c:v>0</c:v>
                </c:pt>
                <c:pt idx="4">
                  <c:v>0</c:v>
                </c:pt>
                <c:pt idx="5">
                  <c:v>0.18240000000000001</c:v>
                </c:pt>
                <c:pt idx="6">
                  <c:v>0</c:v>
                </c:pt>
                <c:pt idx="7">
                  <c:v>0.11451624760240926</c:v>
                </c:pt>
                <c:pt idx="8">
                  <c:v>96.800000000000011</c:v>
                </c:pt>
                <c:pt idx="9">
                  <c:v>9.760257816972107</c:v>
                </c:pt>
                <c:pt idx="10">
                  <c:v>0</c:v>
                </c:pt>
                <c:pt idx="11">
                  <c:v>0</c:v>
                </c:pt>
                <c:pt idx="12">
                  <c:v>0</c:v>
                </c:pt>
                <c:pt idx="13">
                  <c:v>0.31555459790784857</c:v>
                </c:pt>
                <c:pt idx="14">
                  <c:v>0</c:v>
                </c:pt>
                <c:pt idx="15">
                  <c:v>0</c:v>
                </c:pt>
                <c:pt idx="16">
                  <c:v>0</c:v>
                </c:pt>
                <c:pt idx="17">
                  <c:v>0</c:v>
                </c:pt>
                <c:pt idx="18">
                  <c:v>0.14299999999999999</c:v>
                </c:pt>
                <c:pt idx="19">
                  <c:v>0</c:v>
                </c:pt>
                <c:pt idx="20">
                  <c:v>0</c:v>
                </c:pt>
                <c:pt idx="21">
                  <c:v>0.22002000000000002</c:v>
                </c:pt>
                <c:pt idx="22">
                  <c:v>0</c:v>
                </c:pt>
              </c:numCache>
            </c:numRef>
          </c:val>
          <c:extLst>
            <c:ext xmlns:c16="http://schemas.microsoft.com/office/drawing/2014/chart" uri="{C3380CC4-5D6E-409C-BE32-E72D297353CC}">
              <c16:uniqueId val="{00000000-28E7-47A4-A1E4-D9C6C3CA1AE3}"/>
            </c:ext>
          </c:extLst>
        </c:ser>
        <c:dLbls>
          <c:showLegendKey val="0"/>
          <c:showVal val="0"/>
          <c:showCatName val="0"/>
          <c:showSerName val="0"/>
          <c:showPercent val="0"/>
          <c:showBubbleSize val="0"/>
        </c:dLbls>
        <c:gapWidth val="100"/>
        <c:axId val="-2087356264"/>
        <c:axId val="-2087353336"/>
      </c:barChart>
      <c:stockChart>
        <c:ser>
          <c:idx val="1"/>
          <c:order val="1"/>
          <c:tx>
            <c:strRef>
              <c:f>'ISO 14069'!$G$39</c:f>
              <c:strCache>
                <c:ptCount val="1"/>
                <c:pt idx="0">
                  <c:v>Median</c:v>
                </c:pt>
              </c:strCache>
            </c:strRef>
          </c:tx>
          <c:spPr>
            <a:ln w="47625">
              <a:noFill/>
            </a:ln>
          </c:spPr>
          <c:marker>
            <c:symbol val="none"/>
          </c:marker>
          <c:cat>
            <c:multiLvlStrRef>
              <c:f>#REF!</c:f>
            </c:multiLvlStrRef>
          </c:cat>
          <c:val>
            <c:numRef>
              <c:f>'ISO 14069'!$G$40:$G$62</c:f>
              <c:numCache>
                <c:formatCode>#,##0</c:formatCode>
                <c:ptCount val="23"/>
                <c:pt idx="0">
                  <c:v>0</c:v>
                </c:pt>
                <c:pt idx="1">
                  <c:v>0.39700000000000002</c:v>
                </c:pt>
                <c:pt idx="2">
                  <c:v>278000</c:v>
                </c:pt>
                <c:pt idx="3">
                  <c:v>0</c:v>
                </c:pt>
                <c:pt idx="4">
                  <c:v>0</c:v>
                </c:pt>
                <c:pt idx="5">
                  <c:v>0.18240000000000001</c:v>
                </c:pt>
                <c:pt idx="6">
                  <c:v>0</c:v>
                </c:pt>
                <c:pt idx="7">
                  <c:v>0.11451624760240926</c:v>
                </c:pt>
                <c:pt idx="8">
                  <c:v>96.800000000000011</c:v>
                </c:pt>
                <c:pt idx="9">
                  <c:v>9.760257816972107</c:v>
                </c:pt>
                <c:pt idx="10">
                  <c:v>0</c:v>
                </c:pt>
                <c:pt idx="11">
                  <c:v>0</c:v>
                </c:pt>
                <c:pt idx="12">
                  <c:v>0</c:v>
                </c:pt>
                <c:pt idx="13">
                  <c:v>0.31555459790784857</c:v>
                </c:pt>
                <c:pt idx="14">
                  <c:v>0</c:v>
                </c:pt>
                <c:pt idx="15">
                  <c:v>0</c:v>
                </c:pt>
                <c:pt idx="16">
                  <c:v>0</c:v>
                </c:pt>
                <c:pt idx="17">
                  <c:v>0</c:v>
                </c:pt>
                <c:pt idx="18">
                  <c:v>0.14299999999999999</c:v>
                </c:pt>
                <c:pt idx="19">
                  <c:v>0</c:v>
                </c:pt>
                <c:pt idx="20">
                  <c:v>0</c:v>
                </c:pt>
                <c:pt idx="21">
                  <c:v>0.22002000000000002</c:v>
                </c:pt>
                <c:pt idx="22">
                  <c:v>0</c:v>
                </c:pt>
              </c:numCache>
            </c:numRef>
          </c:val>
          <c:smooth val="0"/>
          <c:extLst>
            <c:ext xmlns:c16="http://schemas.microsoft.com/office/drawing/2014/chart" uri="{C3380CC4-5D6E-409C-BE32-E72D297353CC}">
              <c16:uniqueId val="{00000001-28E7-47A4-A1E4-D9C6C3CA1AE3}"/>
            </c:ext>
          </c:extLst>
        </c:ser>
        <c:ser>
          <c:idx val="2"/>
          <c:order val="2"/>
          <c:tx>
            <c:strRef>
              <c:f>'ISO 14069'!$E$39</c:f>
              <c:strCache>
                <c:ptCount val="1"/>
                <c:pt idx="0">
                  <c:v>Low</c:v>
                </c:pt>
              </c:strCache>
            </c:strRef>
          </c:tx>
          <c:spPr>
            <a:ln w="47625">
              <a:noFill/>
            </a:ln>
          </c:spPr>
          <c:marker>
            <c:symbol val="none"/>
          </c:marker>
          <c:cat>
            <c:multiLvlStrRef>
              <c:f>#REF!</c:f>
            </c:multiLvlStrRef>
          </c:cat>
          <c:val>
            <c:numRef>
              <c:f>'ISO 14069'!$E$40:$E$62</c:f>
              <c:numCache>
                <c:formatCode>#,##0</c:formatCode>
                <c:ptCount val="23"/>
                <c:pt idx="0">
                  <c:v>0</c:v>
                </c:pt>
                <c:pt idx="1">
                  <c:v>0.39700000000000002</c:v>
                </c:pt>
                <c:pt idx="2">
                  <c:v>198492.64184995202</c:v>
                </c:pt>
                <c:pt idx="3">
                  <c:v>0</c:v>
                </c:pt>
                <c:pt idx="4">
                  <c:v>0</c:v>
                </c:pt>
                <c:pt idx="5">
                  <c:v>0.18240000000000001</c:v>
                </c:pt>
                <c:pt idx="6">
                  <c:v>0</c:v>
                </c:pt>
                <c:pt idx="7">
                  <c:v>0.11451624760240926</c:v>
                </c:pt>
                <c:pt idx="8">
                  <c:v>77.440000000000012</c:v>
                </c:pt>
                <c:pt idx="9">
                  <c:v>7.8242578169721071</c:v>
                </c:pt>
                <c:pt idx="10">
                  <c:v>0</c:v>
                </c:pt>
                <c:pt idx="11">
                  <c:v>0</c:v>
                </c:pt>
                <c:pt idx="12">
                  <c:v>0</c:v>
                </c:pt>
                <c:pt idx="13">
                  <c:v>0.31555459790784857</c:v>
                </c:pt>
                <c:pt idx="14">
                  <c:v>0</c:v>
                </c:pt>
                <c:pt idx="15">
                  <c:v>0</c:v>
                </c:pt>
                <c:pt idx="16">
                  <c:v>0</c:v>
                </c:pt>
                <c:pt idx="17">
                  <c:v>0</c:v>
                </c:pt>
                <c:pt idx="18">
                  <c:v>7.1499999999999994E-2</c:v>
                </c:pt>
                <c:pt idx="19">
                  <c:v>0</c:v>
                </c:pt>
                <c:pt idx="20">
                  <c:v>0</c:v>
                </c:pt>
                <c:pt idx="21">
                  <c:v>0.22002000000000002</c:v>
                </c:pt>
                <c:pt idx="22">
                  <c:v>0</c:v>
                </c:pt>
              </c:numCache>
            </c:numRef>
          </c:val>
          <c:smooth val="0"/>
          <c:extLst>
            <c:ext xmlns:c16="http://schemas.microsoft.com/office/drawing/2014/chart" uri="{C3380CC4-5D6E-409C-BE32-E72D297353CC}">
              <c16:uniqueId val="{00000002-28E7-47A4-A1E4-D9C6C3CA1AE3}"/>
            </c:ext>
          </c:extLst>
        </c:ser>
        <c:ser>
          <c:idx val="3"/>
          <c:order val="3"/>
          <c:tx>
            <c:strRef>
              <c:f>'ISO 14069'!$H$39</c:f>
              <c:strCache>
                <c:ptCount val="1"/>
                <c:pt idx="0">
                  <c:v>High</c:v>
                </c:pt>
              </c:strCache>
            </c:strRef>
          </c:tx>
          <c:spPr>
            <a:ln w="47625">
              <a:noFill/>
            </a:ln>
          </c:spPr>
          <c:marker>
            <c:symbol val="none"/>
          </c:marker>
          <c:cat>
            <c:multiLvlStrRef>
              <c:f>#REF!</c:f>
            </c:multiLvlStrRef>
          </c:cat>
          <c:val>
            <c:numRef>
              <c:f>'ISO 14069'!$H$40:$H$62</c:f>
              <c:numCache>
                <c:formatCode>#,##0</c:formatCode>
                <c:ptCount val="23"/>
                <c:pt idx="0">
                  <c:v>0</c:v>
                </c:pt>
                <c:pt idx="1">
                  <c:v>0.39700000000000002</c:v>
                </c:pt>
                <c:pt idx="2">
                  <c:v>357507.35815004795</c:v>
                </c:pt>
                <c:pt idx="3">
                  <c:v>0</c:v>
                </c:pt>
                <c:pt idx="4">
                  <c:v>0</c:v>
                </c:pt>
                <c:pt idx="5">
                  <c:v>0.18240000000000001</c:v>
                </c:pt>
                <c:pt idx="6">
                  <c:v>0</c:v>
                </c:pt>
                <c:pt idx="7">
                  <c:v>0.11451624760240926</c:v>
                </c:pt>
                <c:pt idx="8">
                  <c:v>116.16000000000001</c:v>
                </c:pt>
                <c:pt idx="9">
                  <c:v>11.696257816972107</c:v>
                </c:pt>
                <c:pt idx="10">
                  <c:v>0</c:v>
                </c:pt>
                <c:pt idx="11">
                  <c:v>0</c:v>
                </c:pt>
                <c:pt idx="12">
                  <c:v>0</c:v>
                </c:pt>
                <c:pt idx="13">
                  <c:v>0.31555459790784857</c:v>
                </c:pt>
                <c:pt idx="14">
                  <c:v>0</c:v>
                </c:pt>
                <c:pt idx="15">
                  <c:v>0</c:v>
                </c:pt>
                <c:pt idx="16">
                  <c:v>0</c:v>
                </c:pt>
                <c:pt idx="17">
                  <c:v>0</c:v>
                </c:pt>
                <c:pt idx="18">
                  <c:v>0.21449999999999997</c:v>
                </c:pt>
                <c:pt idx="19">
                  <c:v>0</c:v>
                </c:pt>
                <c:pt idx="20">
                  <c:v>0</c:v>
                </c:pt>
                <c:pt idx="21">
                  <c:v>0.22002000000000002</c:v>
                </c:pt>
                <c:pt idx="22">
                  <c:v>0</c:v>
                </c:pt>
              </c:numCache>
            </c:numRef>
          </c:val>
          <c:smooth val="0"/>
          <c:extLst>
            <c:ext xmlns:c16="http://schemas.microsoft.com/office/drawing/2014/chart" uri="{C3380CC4-5D6E-409C-BE32-E72D297353CC}">
              <c16:uniqueId val="{00000003-28E7-47A4-A1E4-D9C6C3CA1AE3}"/>
            </c:ext>
          </c:extLst>
        </c:ser>
        <c:dLbls>
          <c:showLegendKey val="0"/>
          <c:showVal val="0"/>
          <c:showCatName val="0"/>
          <c:showSerName val="0"/>
          <c:showPercent val="0"/>
          <c:showBubbleSize val="0"/>
        </c:dLbls>
        <c:hiLowLines>
          <c:spPr>
            <a:ln w="25400" cap="flat" cmpd="sng" algn="ctr">
              <a:solidFill>
                <a:schemeClr val="tx1">
                  <a:lumMod val="85000"/>
                  <a:lumOff val="15000"/>
                </a:schemeClr>
              </a:solidFill>
              <a:prstDash val="solid"/>
            </a:ln>
            <a:effectLst>
              <a:outerShdw blurRad="40000" dist="20000" dir="5400000" rotWithShape="0">
                <a:srgbClr val="000000">
                  <a:alpha val="38000"/>
                </a:srgbClr>
              </a:outerShdw>
            </a:effectLst>
          </c:spPr>
        </c:hiLowLines>
        <c:axId val="-2087350264"/>
        <c:axId val="-2087347272"/>
      </c:stockChart>
      <c:catAx>
        <c:axId val="-2087356264"/>
        <c:scaling>
          <c:orientation val="minMax"/>
        </c:scaling>
        <c:delete val="0"/>
        <c:axPos val="b"/>
        <c:numFmt formatCode="General" sourceLinked="1"/>
        <c:majorTickMark val="out"/>
        <c:minorTickMark val="none"/>
        <c:tickLblPos val="nextTo"/>
        <c:txPr>
          <a:bodyPr/>
          <a:lstStyle/>
          <a:p>
            <a:pPr>
              <a:defRPr sz="1100" b="1"/>
            </a:pPr>
            <a:endParaRPr lang="it-IT"/>
          </a:p>
        </c:txPr>
        <c:crossAx val="-2087353336"/>
        <c:crosses val="autoZero"/>
        <c:auto val="1"/>
        <c:lblAlgn val="ctr"/>
        <c:lblOffset val="100"/>
        <c:noMultiLvlLbl val="0"/>
      </c:catAx>
      <c:valAx>
        <c:axId val="-2087353336"/>
        <c:scaling>
          <c:orientation val="minMax"/>
        </c:scaling>
        <c:delete val="0"/>
        <c:axPos val="l"/>
        <c:majorGridlines/>
        <c:numFmt formatCode="#,##0" sourceLinked="1"/>
        <c:majorTickMark val="out"/>
        <c:minorTickMark val="none"/>
        <c:tickLblPos val="nextTo"/>
        <c:txPr>
          <a:bodyPr/>
          <a:lstStyle/>
          <a:p>
            <a:pPr>
              <a:defRPr sz="1200"/>
            </a:pPr>
            <a:endParaRPr lang="it-IT"/>
          </a:p>
        </c:txPr>
        <c:crossAx val="-2087356264"/>
        <c:crosses val="autoZero"/>
        <c:crossBetween val="between"/>
      </c:valAx>
      <c:catAx>
        <c:axId val="-2087350264"/>
        <c:scaling>
          <c:orientation val="minMax"/>
        </c:scaling>
        <c:delete val="1"/>
        <c:axPos val="b"/>
        <c:numFmt formatCode="General" sourceLinked="1"/>
        <c:majorTickMark val="out"/>
        <c:minorTickMark val="none"/>
        <c:tickLblPos val="nextTo"/>
        <c:crossAx val="-2087347272"/>
        <c:crosses val="autoZero"/>
        <c:auto val="1"/>
        <c:lblAlgn val="ctr"/>
        <c:lblOffset val="100"/>
        <c:noMultiLvlLbl val="0"/>
      </c:catAx>
      <c:valAx>
        <c:axId val="-2087347272"/>
        <c:scaling>
          <c:orientation val="minMax"/>
        </c:scaling>
        <c:delete val="1"/>
        <c:axPos val="r"/>
        <c:numFmt formatCode="#,##0" sourceLinked="1"/>
        <c:majorTickMark val="out"/>
        <c:minorTickMark val="none"/>
        <c:tickLblPos val="nextTo"/>
        <c:crossAx val="-2087350264"/>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Non energy 1 :</a:t>
            </a:r>
            <a:r>
              <a:rPr lang="fr-FR" sz="1400" i="0" baseline="0">
                <a:solidFill>
                  <a:schemeClr val="tx2"/>
                </a:solidFill>
              </a:rPr>
              <a:t>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a:t>
            </a:r>
            <a:r>
              <a:rPr lang="fr-FR" sz="1400" b="1" i="0" u="none" strike="noStrike" baseline="0">
                <a:effectLst/>
              </a:rPr>
              <a:t> by poste, </a:t>
            </a:r>
            <a:r>
              <a:rPr lang="fr-FR" sz="1400" b="1" i="0" u="none" strike="noStrike" baseline="0">
                <a:solidFill>
                  <a:schemeClr val="accent6">
                    <a:lumMod val="75000"/>
                  </a:schemeClr>
                </a:solidFill>
                <a:effectLst/>
              </a:rPr>
              <a:t>in tCO2e</a:t>
            </a:r>
            <a:endParaRPr lang="fr-FR" sz="1400">
              <a:solidFill>
                <a:schemeClr val="accent6">
                  <a:lumMod val="75000"/>
                </a:schemeClr>
              </a:solidFill>
            </a:endParaRPr>
          </a:p>
        </c:rich>
      </c:tx>
      <c:overlay val="0"/>
    </c:title>
    <c:autoTitleDeleted val="0"/>
    <c:plotArea>
      <c:layout>
        <c:manualLayout>
          <c:layoutTarget val="inner"/>
          <c:xMode val="edge"/>
          <c:yMode val="edge"/>
          <c:x val="9.1699537037036996E-2"/>
          <c:y val="0.110704139116787"/>
          <c:w val="0.85108256172839503"/>
          <c:h val="0.71232586571255796"/>
        </c:manualLayout>
      </c:layout>
      <c:barChart>
        <c:barDir val="col"/>
        <c:grouping val="clustered"/>
        <c:varyColors val="0"/>
        <c:ser>
          <c:idx val="0"/>
          <c:order val="0"/>
          <c:tx>
            <c:strRef>
              <c:f>'Non-energetici'!$R$106</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'Non-energetici'!$B$107:$C$111</c:f>
              <c:strCache>
                <c:ptCount val="5"/>
                <c:pt idx="0">
                  <c:v>Emissioni di CO2 escluse quelle dovute all'energia</c:v>
                </c:pt>
                <c:pt idx="1">
                  <c:v>Ossido di diazoto (N2O)</c:v>
                </c:pt>
                <c:pt idx="2">
                  <c:v>Metano (CH4)</c:v>
                </c:pt>
                <c:pt idx="3">
                  <c:v>Idrocarburi alogenati</c:v>
                </c:pt>
                <c:pt idx="4">
                  <c:v>Gas non coperti da Kyoto</c:v>
                </c:pt>
              </c:strCache>
            </c:strRef>
          </c:cat>
          <c:val>
            <c:numRef>
              <c:f>'Non-energetici'!$R$107:$R$111</c:f>
              <c:numCache>
                <c:formatCode>#,##0.0</c:formatCode>
                <c:ptCount val="5"/>
                <c:pt idx="0">
                  <c:v>10000</c:v>
                </c:pt>
                <c:pt idx="1">
                  <c:v>265000</c:v>
                </c:pt>
                <c:pt idx="2">
                  <c:v>3000</c:v>
                </c:pt>
                <c:pt idx="3">
                  <c:v>0</c:v>
                </c:pt>
                <c:pt idx="4">
                  <c:v>0</c:v>
                </c:pt>
              </c:numCache>
            </c:numRef>
          </c:val>
          <c:extLst>
            <c:ext xmlns:c16="http://schemas.microsoft.com/office/drawing/2014/chart" uri="{C3380CC4-5D6E-409C-BE32-E72D297353CC}">
              <c16:uniqueId val="{00000000-1915-4173-AAEB-75405B470B1F}"/>
            </c:ext>
          </c:extLst>
        </c:ser>
        <c:dLbls>
          <c:showLegendKey val="0"/>
          <c:showVal val="0"/>
          <c:showCatName val="0"/>
          <c:showSerName val="0"/>
          <c:showPercent val="0"/>
          <c:showBubbleSize val="0"/>
        </c:dLbls>
        <c:gapWidth val="100"/>
        <c:axId val="-2105830920"/>
        <c:axId val="-2105827912"/>
      </c:barChart>
      <c:stockChart>
        <c:ser>
          <c:idx val="1"/>
          <c:order val="1"/>
          <c:tx>
            <c:strRef>
              <c:f>'Non-energetici'!$R$106</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'Non-energetici'!$R$107:$R$111</c:f>
              <c:numCache>
                <c:formatCode>#,##0.0</c:formatCode>
                <c:ptCount val="5"/>
                <c:pt idx="0">
                  <c:v>10000</c:v>
                </c:pt>
                <c:pt idx="1">
                  <c:v>265000</c:v>
                </c:pt>
                <c:pt idx="2">
                  <c:v>3000</c:v>
                </c:pt>
                <c:pt idx="3">
                  <c:v>0</c:v>
                </c:pt>
                <c:pt idx="4">
                  <c:v>0</c:v>
                </c:pt>
              </c:numCache>
            </c:numRef>
          </c:val>
          <c:smooth val="0"/>
          <c:extLst>
            <c:ext xmlns:c16="http://schemas.microsoft.com/office/drawing/2014/chart" uri="{C3380CC4-5D6E-409C-BE32-E72D297353CC}">
              <c16:uniqueId val="{00000001-1915-4173-AAEB-75405B470B1F}"/>
            </c:ext>
          </c:extLst>
        </c:ser>
        <c:ser>
          <c:idx val="2"/>
          <c:order val="2"/>
          <c:tx>
            <c:strRef>
              <c:f>'Non-energetici'!$Q$106</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'Non-energetici'!$Q$107:$Q$111</c:f>
              <c:numCache>
                <c:formatCode>#,##0.0</c:formatCode>
                <c:ptCount val="5"/>
                <c:pt idx="0">
                  <c:v>10000</c:v>
                </c:pt>
                <c:pt idx="1">
                  <c:v>185500</c:v>
                </c:pt>
                <c:pt idx="2">
                  <c:v>1918.3346173608031</c:v>
                </c:pt>
                <c:pt idx="3">
                  <c:v>0</c:v>
                </c:pt>
                <c:pt idx="4">
                  <c:v>0</c:v>
                </c:pt>
              </c:numCache>
            </c:numRef>
          </c:val>
          <c:smooth val="0"/>
          <c:extLst>
            <c:ext xmlns:c16="http://schemas.microsoft.com/office/drawing/2014/chart" uri="{C3380CC4-5D6E-409C-BE32-E72D297353CC}">
              <c16:uniqueId val="{00000002-1915-4173-AAEB-75405B470B1F}"/>
            </c:ext>
          </c:extLst>
        </c:ser>
        <c:ser>
          <c:idx val="3"/>
          <c:order val="3"/>
          <c:tx>
            <c:strRef>
              <c:f>'Non-energetici'!$T$106</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'Non-energetici'!$T$107:$T$111</c:f>
              <c:numCache>
                <c:formatCode>#,##0.0</c:formatCode>
                <c:ptCount val="5"/>
                <c:pt idx="0">
                  <c:v>10000</c:v>
                </c:pt>
                <c:pt idx="1">
                  <c:v>344500</c:v>
                </c:pt>
                <c:pt idx="2">
                  <c:v>4081.6653826391967</c:v>
                </c:pt>
                <c:pt idx="3">
                  <c:v>0</c:v>
                </c:pt>
                <c:pt idx="4">
                  <c:v>0</c:v>
                </c:pt>
              </c:numCache>
            </c:numRef>
          </c:val>
          <c:smooth val="0"/>
          <c:extLst>
            <c:ext xmlns:c16="http://schemas.microsoft.com/office/drawing/2014/chart" uri="{C3380CC4-5D6E-409C-BE32-E72D297353CC}">
              <c16:uniqueId val="{00000003-1915-4173-AAEB-75405B470B1F}"/>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105824856"/>
        <c:axId val="-2105821896"/>
      </c:stockChart>
      <c:catAx>
        <c:axId val="-2105830920"/>
        <c:scaling>
          <c:orientation val="minMax"/>
        </c:scaling>
        <c:delete val="0"/>
        <c:axPos val="b"/>
        <c:numFmt formatCode="General" sourceLinked="1"/>
        <c:majorTickMark val="out"/>
        <c:minorTickMark val="none"/>
        <c:tickLblPos val="nextTo"/>
        <c:txPr>
          <a:bodyPr/>
          <a:lstStyle/>
          <a:p>
            <a:pPr>
              <a:defRPr sz="1200" b="1">
                <a:solidFill>
                  <a:sysClr val="windowText" lastClr="000000"/>
                </a:solidFill>
              </a:defRPr>
            </a:pPr>
            <a:endParaRPr lang="it-IT"/>
          </a:p>
        </c:txPr>
        <c:crossAx val="-2105827912"/>
        <c:crosses val="autoZero"/>
        <c:auto val="1"/>
        <c:lblAlgn val="ctr"/>
        <c:lblOffset val="100"/>
        <c:noMultiLvlLbl val="0"/>
      </c:catAx>
      <c:valAx>
        <c:axId val="-2105827912"/>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105830920"/>
        <c:crosses val="autoZero"/>
        <c:crossBetween val="between"/>
      </c:valAx>
      <c:catAx>
        <c:axId val="-2105824856"/>
        <c:scaling>
          <c:orientation val="minMax"/>
        </c:scaling>
        <c:delete val="1"/>
        <c:axPos val="b"/>
        <c:numFmt formatCode="General" sourceLinked="1"/>
        <c:majorTickMark val="out"/>
        <c:minorTickMark val="none"/>
        <c:tickLblPos val="nextTo"/>
        <c:crossAx val="-2105821896"/>
        <c:crosses val="autoZero"/>
        <c:auto val="1"/>
        <c:lblAlgn val="ctr"/>
        <c:lblOffset val="100"/>
        <c:noMultiLvlLbl val="0"/>
      </c:catAx>
      <c:valAx>
        <c:axId val="-2105821896"/>
        <c:scaling>
          <c:orientation val="minMax"/>
        </c:scaling>
        <c:delete val="1"/>
        <c:axPos val="r"/>
        <c:numFmt formatCode="#,##0.0" sourceLinked="1"/>
        <c:majorTickMark val="out"/>
        <c:minorTickMark val="none"/>
        <c:tickLblPos val="nextTo"/>
        <c:crossAx val="-2105824856"/>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Future packaging:</a:t>
            </a:r>
            <a:r>
              <a:rPr lang="fr-FR" sz="1400" i="0" baseline="0">
                <a:solidFill>
                  <a:schemeClr val="tx2"/>
                </a:solidFill>
              </a:rPr>
              <a:t>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a:t>
            </a:r>
            <a:r>
              <a:rPr lang="fr-FR" sz="1400" b="1" i="0" u="none" strike="noStrike" baseline="0">
                <a:effectLst/>
              </a:rPr>
              <a:t> by poste, </a:t>
            </a:r>
            <a:r>
              <a:rPr lang="fr-FR" sz="1400" b="1" i="0" u="none" strike="noStrike" baseline="0">
                <a:solidFill>
                  <a:schemeClr val="accent6">
                    <a:lumMod val="75000"/>
                  </a:schemeClr>
                </a:solidFill>
                <a:effectLst/>
              </a:rPr>
              <a:t>in tCO2e</a:t>
            </a:r>
            <a:endParaRPr lang="fr-FR" sz="1400">
              <a:solidFill>
                <a:schemeClr val="accent6">
                  <a:lumMod val="75000"/>
                </a:schemeClr>
              </a:solidFill>
            </a:endParaRPr>
          </a:p>
        </c:rich>
      </c:tx>
      <c:layout>
        <c:manualLayout>
          <c:xMode val="edge"/>
          <c:yMode val="edge"/>
          <c:x val="0.22014842230742701"/>
          <c:y val="1.1454753722795001E-2"/>
        </c:manualLayout>
      </c:layout>
      <c:overlay val="0"/>
    </c:title>
    <c:autoTitleDeleted val="0"/>
    <c:plotArea>
      <c:layout>
        <c:manualLayout>
          <c:layoutTarget val="inner"/>
          <c:xMode val="edge"/>
          <c:yMode val="edge"/>
          <c:x val="7.9940277777777805E-2"/>
          <c:y val="0.15624124522587801"/>
          <c:w val="0.86506003086419803"/>
          <c:h val="0.700566504498494"/>
        </c:manualLayout>
      </c:layout>
      <c:barChart>
        <c:barDir val="col"/>
        <c:grouping val="clustered"/>
        <c:varyColors val="0"/>
        <c:ser>
          <c:idx val="0"/>
          <c:order val="0"/>
          <c:tx>
            <c:strRef>
              <c:f>Imballaggi!$T$93</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Imballaggi!$B$94:$C$100</c:f>
              <c:strCache>
                <c:ptCount val="6"/>
                <c:pt idx="0">
                  <c:v>Metalli</c:v>
                </c:pt>
                <c:pt idx="1">
                  <c:v>Plastica</c:v>
                </c:pt>
                <c:pt idx="2">
                  <c:v>Vetro</c:v>
                </c:pt>
                <c:pt idx="3">
                  <c:v>Carta, Cartone</c:v>
                </c:pt>
                <c:pt idx="4">
                  <c:v>Prodotti chimici e tessuti sintetici</c:v>
                </c:pt>
                <c:pt idx="5">
                  <c:v>Protoddi agricoli</c:v>
                </c:pt>
              </c:strCache>
            </c:strRef>
          </c:cat>
          <c:val>
            <c:numRef>
              <c:f>Imballaggi!$T$94:$T$100</c:f>
              <c:numCache>
                <c:formatCode>#,##0.0</c:formatCode>
                <c:ptCount val="7"/>
                <c:pt idx="0">
                  <c:v>0</c:v>
                </c:pt>
                <c:pt idx="1">
                  <c:v>0</c:v>
                </c:pt>
                <c:pt idx="2">
                  <c:v>0</c:v>
                </c:pt>
                <c:pt idx="3">
                  <c:v>0</c:v>
                </c:pt>
                <c:pt idx="4">
                  <c:v>0</c:v>
                </c:pt>
                <c:pt idx="5">
                  <c:v>0</c:v>
                </c:pt>
              </c:numCache>
            </c:numRef>
          </c:val>
          <c:extLst>
            <c:ext xmlns:c16="http://schemas.microsoft.com/office/drawing/2014/chart" uri="{C3380CC4-5D6E-409C-BE32-E72D297353CC}">
              <c16:uniqueId val="{00000000-2293-4F95-87F1-573D94358423}"/>
            </c:ext>
          </c:extLst>
        </c:ser>
        <c:dLbls>
          <c:showLegendKey val="0"/>
          <c:showVal val="0"/>
          <c:showCatName val="0"/>
          <c:showSerName val="0"/>
          <c:showPercent val="0"/>
          <c:showBubbleSize val="0"/>
        </c:dLbls>
        <c:gapWidth val="100"/>
        <c:axId val="-2105766936"/>
        <c:axId val="-2105763928"/>
      </c:barChart>
      <c:stockChart>
        <c:ser>
          <c:idx val="1"/>
          <c:order val="1"/>
          <c:tx>
            <c:strRef>
              <c:f>Imballaggi!$T$93</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Imballaggi!$T$94:$T$100</c:f>
              <c:numCache>
                <c:formatCode>#,##0.0</c:formatCode>
                <c:ptCount val="7"/>
                <c:pt idx="0">
                  <c:v>0</c:v>
                </c:pt>
                <c:pt idx="1">
                  <c:v>0</c:v>
                </c:pt>
                <c:pt idx="2">
                  <c:v>0</c:v>
                </c:pt>
                <c:pt idx="3">
                  <c:v>0</c:v>
                </c:pt>
                <c:pt idx="4">
                  <c:v>0</c:v>
                </c:pt>
                <c:pt idx="5">
                  <c:v>0</c:v>
                </c:pt>
              </c:numCache>
            </c:numRef>
          </c:val>
          <c:smooth val="0"/>
          <c:extLst>
            <c:ext xmlns:c16="http://schemas.microsoft.com/office/drawing/2014/chart" uri="{C3380CC4-5D6E-409C-BE32-E72D297353CC}">
              <c16:uniqueId val="{00000001-2293-4F95-87F1-573D94358423}"/>
            </c:ext>
          </c:extLst>
        </c:ser>
        <c:ser>
          <c:idx val="2"/>
          <c:order val="2"/>
          <c:tx>
            <c:strRef>
              <c:f>Imballaggi!$S$93</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Imballaggi!$S$94:$S$100</c:f>
              <c:numCache>
                <c:formatCode>#,##0.0</c:formatCode>
                <c:ptCount val="7"/>
                <c:pt idx="0">
                  <c:v>0</c:v>
                </c:pt>
                <c:pt idx="1">
                  <c:v>0</c:v>
                </c:pt>
                <c:pt idx="2">
                  <c:v>0</c:v>
                </c:pt>
                <c:pt idx="3">
                  <c:v>0</c:v>
                </c:pt>
                <c:pt idx="4">
                  <c:v>0</c:v>
                </c:pt>
                <c:pt idx="5">
                  <c:v>0</c:v>
                </c:pt>
              </c:numCache>
            </c:numRef>
          </c:val>
          <c:smooth val="0"/>
          <c:extLst>
            <c:ext xmlns:c16="http://schemas.microsoft.com/office/drawing/2014/chart" uri="{C3380CC4-5D6E-409C-BE32-E72D297353CC}">
              <c16:uniqueId val="{00000002-2293-4F95-87F1-573D94358423}"/>
            </c:ext>
          </c:extLst>
        </c:ser>
        <c:ser>
          <c:idx val="3"/>
          <c:order val="3"/>
          <c:tx>
            <c:strRef>
              <c:f>Imballaggi!$V$93</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Imballaggi!$V$94:$V$100</c:f>
              <c:numCache>
                <c:formatCode>#,##0.0</c:formatCode>
                <c:ptCount val="7"/>
                <c:pt idx="0">
                  <c:v>0</c:v>
                </c:pt>
                <c:pt idx="1">
                  <c:v>0</c:v>
                </c:pt>
                <c:pt idx="2">
                  <c:v>0</c:v>
                </c:pt>
                <c:pt idx="3">
                  <c:v>0</c:v>
                </c:pt>
                <c:pt idx="4">
                  <c:v>0</c:v>
                </c:pt>
                <c:pt idx="5">
                  <c:v>0</c:v>
                </c:pt>
              </c:numCache>
            </c:numRef>
          </c:val>
          <c:smooth val="0"/>
          <c:extLst>
            <c:ext xmlns:c16="http://schemas.microsoft.com/office/drawing/2014/chart" uri="{C3380CC4-5D6E-409C-BE32-E72D297353CC}">
              <c16:uniqueId val="{00000003-2293-4F95-87F1-573D94358423}"/>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105760872"/>
        <c:axId val="-2105757912"/>
      </c:stockChart>
      <c:catAx>
        <c:axId val="-2105766936"/>
        <c:scaling>
          <c:orientation val="minMax"/>
        </c:scaling>
        <c:delete val="0"/>
        <c:axPos val="b"/>
        <c:numFmt formatCode="General" sourceLinked="1"/>
        <c:majorTickMark val="out"/>
        <c:minorTickMark val="none"/>
        <c:tickLblPos val="nextTo"/>
        <c:txPr>
          <a:bodyPr/>
          <a:lstStyle/>
          <a:p>
            <a:pPr>
              <a:defRPr sz="1000" b="1">
                <a:solidFill>
                  <a:sysClr val="windowText" lastClr="000000"/>
                </a:solidFill>
              </a:defRPr>
            </a:pPr>
            <a:endParaRPr lang="it-IT"/>
          </a:p>
        </c:txPr>
        <c:crossAx val="-2105763928"/>
        <c:crosses val="autoZero"/>
        <c:auto val="1"/>
        <c:lblAlgn val="ctr"/>
        <c:lblOffset val="100"/>
        <c:noMultiLvlLbl val="0"/>
      </c:catAx>
      <c:valAx>
        <c:axId val="-2105763928"/>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105766936"/>
        <c:crosses val="autoZero"/>
        <c:crossBetween val="between"/>
      </c:valAx>
      <c:catAx>
        <c:axId val="-2105760872"/>
        <c:scaling>
          <c:orientation val="minMax"/>
        </c:scaling>
        <c:delete val="1"/>
        <c:axPos val="b"/>
        <c:numFmt formatCode="General" sourceLinked="1"/>
        <c:majorTickMark val="out"/>
        <c:minorTickMark val="none"/>
        <c:tickLblPos val="nextTo"/>
        <c:crossAx val="-2105757912"/>
        <c:crosses val="autoZero"/>
        <c:auto val="1"/>
        <c:lblAlgn val="ctr"/>
        <c:lblOffset val="100"/>
        <c:noMultiLvlLbl val="0"/>
      </c:catAx>
      <c:valAx>
        <c:axId val="-2105757912"/>
        <c:scaling>
          <c:orientation val="minMax"/>
        </c:scaling>
        <c:delete val="1"/>
        <c:axPos val="r"/>
        <c:numFmt formatCode="#,##0.0" sourceLinked="1"/>
        <c:majorTickMark val="out"/>
        <c:minorTickMark val="none"/>
        <c:tickLblPos val="nextTo"/>
        <c:crossAx val="-2105760872"/>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Inputs :</a:t>
            </a:r>
            <a:r>
              <a:rPr lang="fr-FR" sz="1400" i="0" baseline="0">
                <a:solidFill>
                  <a:schemeClr val="tx2"/>
                </a:solidFill>
              </a:rPr>
              <a:t>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a:t>
            </a:r>
            <a:r>
              <a:rPr lang="fr-FR" sz="1400" b="1" i="0" u="none" strike="noStrike" baseline="0">
                <a:effectLst/>
              </a:rPr>
              <a:t> by poste, </a:t>
            </a:r>
            <a:r>
              <a:rPr lang="fr-FR" sz="1400" b="1" i="0" u="none" strike="noStrike" baseline="0">
                <a:solidFill>
                  <a:schemeClr val="accent6">
                    <a:lumMod val="75000"/>
                  </a:schemeClr>
                </a:solidFill>
                <a:effectLst/>
              </a:rPr>
              <a:t>in tCO2e</a:t>
            </a:r>
            <a:endParaRPr lang="fr-FR" sz="1400">
              <a:solidFill>
                <a:schemeClr val="accent6">
                  <a:lumMod val="75000"/>
                </a:schemeClr>
              </a:solidFill>
            </a:endParaRPr>
          </a:p>
        </c:rich>
      </c:tx>
      <c:overlay val="0"/>
    </c:title>
    <c:autoTitleDeleted val="0"/>
    <c:plotArea>
      <c:layout>
        <c:manualLayout>
          <c:layoutTarget val="inner"/>
          <c:xMode val="edge"/>
          <c:yMode val="edge"/>
          <c:x val="8.5976697530864205E-2"/>
          <c:y val="0.110704139116787"/>
          <c:w val="0.85529691358024695"/>
          <c:h val="0.61943661809503203"/>
        </c:manualLayout>
      </c:layout>
      <c:barChart>
        <c:barDir val="col"/>
        <c:grouping val="clustered"/>
        <c:varyColors val="0"/>
        <c:ser>
          <c:idx val="0"/>
          <c:order val="0"/>
          <c:tx>
            <c:strRef>
              <c:f>Input!$R$198</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Input!$B$199:$C$207</c:f>
              <c:strCache>
                <c:ptCount val="9"/>
                <c:pt idx="0">
                  <c:v>Metalli</c:v>
                </c:pt>
                <c:pt idx="1">
                  <c:v>Plastica</c:v>
                </c:pt>
                <c:pt idx="2">
                  <c:v>Vetro</c:v>
                </c:pt>
                <c:pt idx="3">
                  <c:v>Carta, Cartone</c:v>
                </c:pt>
                <c:pt idx="4">
                  <c:v>Materiali da costruzione</c:v>
                </c:pt>
                <c:pt idx="5">
                  <c:v>Prodotti chimici e tessuti sintetici</c:v>
                </c:pt>
                <c:pt idx="6">
                  <c:v>Prodotti agricoli</c:v>
                </c:pt>
                <c:pt idx="7">
                  <c:v>Altri input</c:v>
                </c:pt>
                <c:pt idx="8">
                  <c:v>Uso del valore monetario</c:v>
                </c:pt>
              </c:strCache>
            </c:strRef>
          </c:cat>
          <c:val>
            <c:numRef>
              <c:f>Input!$R$199:$R$207</c:f>
              <c:numCache>
                <c:formatCode>#,##0.0</c:formatCode>
                <c:ptCount val="9"/>
                <c:pt idx="0">
                  <c:v>0</c:v>
                </c:pt>
                <c:pt idx="1">
                  <c:v>0</c:v>
                </c:pt>
                <c:pt idx="2">
                  <c:v>0</c:v>
                </c:pt>
                <c:pt idx="3">
                  <c:v>0</c:v>
                </c:pt>
                <c:pt idx="4">
                  <c:v>96.800000000000011</c:v>
                </c:pt>
                <c:pt idx="5">
                  <c:v>0</c:v>
                </c:pt>
                <c:pt idx="6">
                  <c:v>0</c:v>
                </c:pt>
                <c:pt idx="7">
                  <c:v>0</c:v>
                </c:pt>
                <c:pt idx="8">
                  <c:v>0</c:v>
                </c:pt>
              </c:numCache>
            </c:numRef>
          </c:val>
          <c:extLst>
            <c:ext xmlns:c16="http://schemas.microsoft.com/office/drawing/2014/chart" uri="{C3380CC4-5D6E-409C-BE32-E72D297353CC}">
              <c16:uniqueId val="{00000000-BC8F-4CDA-8170-5174E207B289}"/>
            </c:ext>
          </c:extLst>
        </c:ser>
        <c:dLbls>
          <c:showLegendKey val="0"/>
          <c:showVal val="0"/>
          <c:showCatName val="0"/>
          <c:showSerName val="0"/>
          <c:showPercent val="0"/>
          <c:showBubbleSize val="0"/>
        </c:dLbls>
        <c:gapWidth val="100"/>
        <c:axId val="-2105702936"/>
        <c:axId val="-2105699928"/>
      </c:barChart>
      <c:stockChart>
        <c:ser>
          <c:idx val="1"/>
          <c:order val="1"/>
          <c:tx>
            <c:strRef>
              <c:f>Input!$R$198</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Input!$R$199:$R$207</c:f>
              <c:numCache>
                <c:formatCode>#,##0.0</c:formatCode>
                <c:ptCount val="9"/>
                <c:pt idx="0">
                  <c:v>0</c:v>
                </c:pt>
                <c:pt idx="1">
                  <c:v>0</c:v>
                </c:pt>
                <c:pt idx="2">
                  <c:v>0</c:v>
                </c:pt>
                <c:pt idx="3">
                  <c:v>0</c:v>
                </c:pt>
                <c:pt idx="4">
                  <c:v>96.800000000000011</c:v>
                </c:pt>
                <c:pt idx="5">
                  <c:v>0</c:v>
                </c:pt>
                <c:pt idx="6">
                  <c:v>0</c:v>
                </c:pt>
                <c:pt idx="7">
                  <c:v>0</c:v>
                </c:pt>
                <c:pt idx="8">
                  <c:v>0</c:v>
                </c:pt>
              </c:numCache>
            </c:numRef>
          </c:val>
          <c:smooth val="0"/>
          <c:extLst>
            <c:ext xmlns:c16="http://schemas.microsoft.com/office/drawing/2014/chart" uri="{C3380CC4-5D6E-409C-BE32-E72D297353CC}">
              <c16:uniqueId val="{00000001-BC8F-4CDA-8170-5174E207B289}"/>
            </c:ext>
          </c:extLst>
        </c:ser>
        <c:ser>
          <c:idx val="2"/>
          <c:order val="2"/>
          <c:tx>
            <c:strRef>
              <c:f>Input!$Q$198</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Input!$Q$199:$Q$207</c:f>
              <c:numCache>
                <c:formatCode>#,##0.0</c:formatCode>
                <c:ptCount val="9"/>
                <c:pt idx="0">
                  <c:v>0</c:v>
                </c:pt>
                <c:pt idx="1">
                  <c:v>0</c:v>
                </c:pt>
                <c:pt idx="2">
                  <c:v>0</c:v>
                </c:pt>
                <c:pt idx="3">
                  <c:v>0</c:v>
                </c:pt>
                <c:pt idx="4">
                  <c:v>77.440000000000012</c:v>
                </c:pt>
                <c:pt idx="5">
                  <c:v>0</c:v>
                </c:pt>
                <c:pt idx="6">
                  <c:v>0</c:v>
                </c:pt>
                <c:pt idx="7">
                  <c:v>0</c:v>
                </c:pt>
                <c:pt idx="8">
                  <c:v>0</c:v>
                </c:pt>
              </c:numCache>
            </c:numRef>
          </c:val>
          <c:smooth val="0"/>
          <c:extLst>
            <c:ext xmlns:c16="http://schemas.microsoft.com/office/drawing/2014/chart" uri="{C3380CC4-5D6E-409C-BE32-E72D297353CC}">
              <c16:uniqueId val="{00000002-BC8F-4CDA-8170-5174E207B289}"/>
            </c:ext>
          </c:extLst>
        </c:ser>
        <c:ser>
          <c:idx val="3"/>
          <c:order val="3"/>
          <c:tx>
            <c:strRef>
              <c:f>Input!$T$198</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Input!$T$199:$T$207</c:f>
              <c:numCache>
                <c:formatCode>#,##0.0</c:formatCode>
                <c:ptCount val="9"/>
                <c:pt idx="0">
                  <c:v>0</c:v>
                </c:pt>
                <c:pt idx="1">
                  <c:v>0</c:v>
                </c:pt>
                <c:pt idx="2">
                  <c:v>0</c:v>
                </c:pt>
                <c:pt idx="3">
                  <c:v>0</c:v>
                </c:pt>
                <c:pt idx="4">
                  <c:v>116.16000000000001</c:v>
                </c:pt>
                <c:pt idx="5">
                  <c:v>0</c:v>
                </c:pt>
                <c:pt idx="6">
                  <c:v>0</c:v>
                </c:pt>
                <c:pt idx="7">
                  <c:v>0</c:v>
                </c:pt>
                <c:pt idx="8">
                  <c:v>0</c:v>
                </c:pt>
              </c:numCache>
            </c:numRef>
          </c:val>
          <c:smooth val="0"/>
          <c:extLst>
            <c:ext xmlns:c16="http://schemas.microsoft.com/office/drawing/2014/chart" uri="{C3380CC4-5D6E-409C-BE32-E72D297353CC}">
              <c16:uniqueId val="{00000003-BC8F-4CDA-8170-5174E207B289}"/>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105696872"/>
        <c:axId val="-2105693912"/>
      </c:stockChart>
      <c:catAx>
        <c:axId val="-2105702936"/>
        <c:scaling>
          <c:orientation val="minMax"/>
        </c:scaling>
        <c:delete val="0"/>
        <c:axPos val="b"/>
        <c:numFmt formatCode="General" sourceLinked="1"/>
        <c:majorTickMark val="out"/>
        <c:minorTickMark val="none"/>
        <c:tickLblPos val="nextTo"/>
        <c:txPr>
          <a:bodyPr/>
          <a:lstStyle/>
          <a:p>
            <a:pPr>
              <a:defRPr sz="1000" b="1">
                <a:solidFill>
                  <a:sysClr val="windowText" lastClr="000000"/>
                </a:solidFill>
              </a:defRPr>
            </a:pPr>
            <a:endParaRPr lang="it-IT"/>
          </a:p>
        </c:txPr>
        <c:crossAx val="-2105699928"/>
        <c:crosses val="autoZero"/>
        <c:auto val="1"/>
        <c:lblAlgn val="ctr"/>
        <c:lblOffset val="100"/>
        <c:noMultiLvlLbl val="0"/>
      </c:catAx>
      <c:valAx>
        <c:axId val="-2105699928"/>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105702936"/>
        <c:crosses val="autoZero"/>
        <c:crossBetween val="between"/>
      </c:valAx>
      <c:catAx>
        <c:axId val="-2105696872"/>
        <c:scaling>
          <c:orientation val="minMax"/>
        </c:scaling>
        <c:delete val="1"/>
        <c:axPos val="b"/>
        <c:numFmt formatCode="General" sourceLinked="1"/>
        <c:majorTickMark val="out"/>
        <c:minorTickMark val="none"/>
        <c:tickLblPos val="nextTo"/>
        <c:crossAx val="-2105693912"/>
        <c:crosses val="autoZero"/>
        <c:auto val="1"/>
        <c:lblAlgn val="ctr"/>
        <c:lblOffset val="100"/>
        <c:noMultiLvlLbl val="0"/>
      </c:catAx>
      <c:valAx>
        <c:axId val="-2105693912"/>
        <c:scaling>
          <c:orientation val="minMax"/>
        </c:scaling>
        <c:delete val="1"/>
        <c:axPos val="r"/>
        <c:numFmt formatCode="#,##0.0" sourceLinked="1"/>
        <c:majorTickMark val="out"/>
        <c:minorTickMark val="none"/>
        <c:tickLblPos val="nextTo"/>
        <c:crossAx val="-2105696872"/>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Freight :</a:t>
            </a:r>
            <a:r>
              <a:rPr lang="fr-FR" sz="1400" i="0" baseline="0">
                <a:solidFill>
                  <a:schemeClr val="tx2"/>
                </a:solidFill>
              </a:rPr>
              <a:t>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a:t>
            </a:r>
            <a:r>
              <a:rPr lang="fr-FR" sz="1400" b="1" i="0" u="none" strike="noStrike" baseline="0">
                <a:effectLst/>
              </a:rPr>
              <a:t> by poste, </a:t>
            </a:r>
            <a:r>
              <a:rPr lang="fr-FR" sz="1400" b="1" i="0" u="none" strike="noStrike" baseline="0">
                <a:solidFill>
                  <a:schemeClr val="accent6">
                    <a:lumMod val="75000"/>
                  </a:schemeClr>
                </a:solidFill>
                <a:effectLst/>
              </a:rPr>
              <a:t>in tCO2e</a:t>
            </a:r>
            <a:endParaRPr lang="fr-FR" sz="1400">
              <a:solidFill>
                <a:schemeClr val="accent6">
                  <a:lumMod val="75000"/>
                </a:schemeClr>
              </a:solidFill>
            </a:endParaRPr>
          </a:p>
        </c:rich>
      </c:tx>
      <c:overlay val="0"/>
    </c:title>
    <c:autoTitleDeleted val="0"/>
    <c:plotArea>
      <c:layout>
        <c:manualLayout>
          <c:layoutTarget val="inner"/>
          <c:xMode val="edge"/>
          <c:yMode val="edge"/>
          <c:x val="8.9249228395061705E-2"/>
          <c:y val="0.110704139116787"/>
          <c:w val="0.85637314814814802"/>
          <c:h val="0.60204311007595501"/>
        </c:manualLayout>
      </c:layout>
      <c:barChart>
        <c:barDir val="col"/>
        <c:grouping val="clustered"/>
        <c:varyColors val="0"/>
        <c:ser>
          <c:idx val="0"/>
          <c:order val="0"/>
          <c:tx>
            <c:strRef>
              <c:f>'Trasporti merci'!$R$619</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'Trasporti merci'!$B$620:$C$631</c:f>
              <c:strCache>
                <c:ptCount val="12"/>
                <c:pt idx="0">
                  <c:v>Upstream trasporto su strada</c:v>
                </c:pt>
                <c:pt idx="1">
                  <c:v>Upstream trasporto aereo merci</c:v>
                </c:pt>
                <c:pt idx="2">
                  <c:v>Upstream  trasporto ferroviario merci</c:v>
                </c:pt>
                <c:pt idx="3">
                  <c:v>Upstream trasporto merci via mare e fiume</c:v>
                </c:pt>
                <c:pt idx="4">
                  <c:v>Trasporto su strada uso interno merci</c:v>
                </c:pt>
                <c:pt idx="5">
                  <c:v>Trasporto aereo uso interno merci</c:v>
                </c:pt>
                <c:pt idx="6">
                  <c:v> Trasporto treno uso interno merci</c:v>
                </c:pt>
                <c:pt idx="7">
                  <c:v>Trasporto merci via mare e fiume  uso interno</c:v>
                </c:pt>
                <c:pt idx="8">
                  <c:v>Downstream trasporto su strada </c:v>
                </c:pt>
                <c:pt idx="9">
                  <c:v>Downstream trasporto aereo merci</c:v>
                </c:pt>
                <c:pt idx="10">
                  <c:v>Downstream  trasporto treno merci</c:v>
                </c:pt>
                <c:pt idx="11">
                  <c:v>Downstream trasporto merci via mare e fiume</c:v>
                </c:pt>
              </c:strCache>
            </c:strRef>
          </c:cat>
          <c:val>
            <c:numRef>
              <c:f>'Trasporti merci'!$R$620:$R$631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4B0-491C-86EE-80DC09330D98}"/>
            </c:ext>
          </c:extLst>
        </c:ser>
        <c:dLbls>
          <c:showLegendKey val="0"/>
          <c:showVal val="0"/>
          <c:showCatName val="0"/>
          <c:showSerName val="0"/>
          <c:showPercent val="0"/>
          <c:showBubbleSize val="0"/>
        </c:dLbls>
        <c:gapWidth val="100"/>
        <c:axId val="-2105637160"/>
        <c:axId val="-2105634152"/>
      </c:barChart>
      <c:stockChart>
        <c:ser>
          <c:idx val="1"/>
          <c:order val="1"/>
          <c:tx>
            <c:strRef>
              <c:f>'Trasporti merci'!$R$619</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'Trasporti merci'!$R$620:$R$631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4B0-491C-86EE-80DC09330D98}"/>
            </c:ext>
          </c:extLst>
        </c:ser>
        <c:ser>
          <c:idx val="2"/>
          <c:order val="2"/>
          <c:tx>
            <c:strRef>
              <c:f>'Trasporti merci'!$Q$619</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'Trasporti merci'!$Q$620:$Q$631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C4B0-491C-86EE-80DC09330D98}"/>
            </c:ext>
          </c:extLst>
        </c:ser>
        <c:ser>
          <c:idx val="3"/>
          <c:order val="3"/>
          <c:tx>
            <c:strRef>
              <c:f>'Trasporti merci'!$T$619</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'Trasporti merci'!$T$620:$T$631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C4B0-491C-86EE-80DC09330D98}"/>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105631096"/>
        <c:axId val="-2105628136"/>
      </c:stockChart>
      <c:catAx>
        <c:axId val="-2105637160"/>
        <c:scaling>
          <c:orientation val="minMax"/>
        </c:scaling>
        <c:delete val="0"/>
        <c:axPos val="b"/>
        <c:numFmt formatCode="General" sourceLinked="1"/>
        <c:majorTickMark val="out"/>
        <c:minorTickMark val="none"/>
        <c:tickLblPos val="nextTo"/>
        <c:txPr>
          <a:bodyPr/>
          <a:lstStyle/>
          <a:p>
            <a:pPr>
              <a:defRPr sz="1000" b="1">
                <a:solidFill>
                  <a:sysClr val="windowText" lastClr="000000"/>
                </a:solidFill>
              </a:defRPr>
            </a:pPr>
            <a:endParaRPr lang="it-IT"/>
          </a:p>
        </c:txPr>
        <c:crossAx val="-2105634152"/>
        <c:crosses val="autoZero"/>
        <c:auto val="1"/>
        <c:lblAlgn val="ctr"/>
        <c:lblOffset val="100"/>
        <c:noMultiLvlLbl val="0"/>
      </c:catAx>
      <c:valAx>
        <c:axId val="-2105634152"/>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105637160"/>
        <c:crosses val="autoZero"/>
        <c:crossBetween val="between"/>
      </c:valAx>
      <c:catAx>
        <c:axId val="-2105631096"/>
        <c:scaling>
          <c:orientation val="minMax"/>
        </c:scaling>
        <c:delete val="1"/>
        <c:axPos val="b"/>
        <c:numFmt formatCode="General" sourceLinked="1"/>
        <c:majorTickMark val="out"/>
        <c:minorTickMark val="none"/>
        <c:tickLblPos val="nextTo"/>
        <c:crossAx val="-2105628136"/>
        <c:crosses val="autoZero"/>
        <c:auto val="1"/>
        <c:lblAlgn val="ctr"/>
        <c:lblOffset val="100"/>
        <c:noMultiLvlLbl val="0"/>
      </c:catAx>
      <c:valAx>
        <c:axId val="-2105628136"/>
        <c:scaling>
          <c:orientation val="minMax"/>
        </c:scaling>
        <c:delete val="1"/>
        <c:axPos val="r"/>
        <c:numFmt formatCode="#,##0.0" sourceLinked="1"/>
        <c:majorTickMark val="out"/>
        <c:minorTickMark val="none"/>
        <c:tickLblPos val="nextTo"/>
        <c:crossAx val="-2105631096"/>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Transporting people:</a:t>
            </a:r>
            <a:r>
              <a:rPr lang="fr-FR" sz="1400" i="0" baseline="0">
                <a:solidFill>
                  <a:schemeClr val="tx2"/>
                </a:solidFill>
              </a:rPr>
              <a:t>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a:t>
            </a:r>
            <a:r>
              <a:rPr lang="fr-FR" sz="1400" b="1" i="0" u="none" strike="noStrike" baseline="0">
                <a:effectLst/>
              </a:rPr>
              <a:t> by poste, </a:t>
            </a:r>
            <a:r>
              <a:rPr lang="fr-FR" sz="1400" b="1" i="0" u="none" strike="noStrike" baseline="0">
                <a:solidFill>
                  <a:schemeClr val="accent6">
                    <a:lumMod val="75000"/>
                  </a:schemeClr>
                </a:solidFill>
                <a:effectLst/>
              </a:rPr>
              <a:t>in tCO2</a:t>
            </a:r>
            <a:r>
              <a:rPr lang="fr-FR" sz="1400" b="1" i="0" u="none" strike="noStrike" baseline="0">
                <a:effectLst/>
              </a:rPr>
              <a:t>e</a:t>
            </a:r>
            <a:endParaRPr lang="fr-FR" sz="1400">
              <a:solidFill>
                <a:schemeClr val="accent6">
                  <a:lumMod val="75000"/>
                </a:schemeClr>
              </a:solidFill>
            </a:endParaRPr>
          </a:p>
        </c:rich>
      </c:tx>
      <c:overlay val="0"/>
    </c:title>
    <c:autoTitleDeleted val="0"/>
    <c:plotArea>
      <c:layout>
        <c:manualLayout>
          <c:layoutTarget val="inner"/>
          <c:xMode val="edge"/>
          <c:yMode val="edge"/>
          <c:x val="8.3860030864197493E-2"/>
          <c:y val="0.110704139116787"/>
          <c:w val="0.86488148148148203"/>
          <c:h val="0.65321453141789199"/>
        </c:manualLayout>
      </c:layout>
      <c:barChart>
        <c:barDir val="col"/>
        <c:grouping val="clustered"/>
        <c:varyColors val="0"/>
        <c:ser>
          <c:idx val="0"/>
          <c:order val="0"/>
          <c:tx>
            <c:strRef>
              <c:f>'Trasporto persone'!$R$392</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'Trasporto persone'!$B$393:$C$399</c:f>
              <c:strCache>
                <c:ptCount val="7"/>
                <c:pt idx="0">
                  <c:v>Dipendenti viaggi casa-lavoro</c:v>
                </c:pt>
                <c:pt idx="1">
                  <c:v>Dipendenti viaggi di lavoro - macchina </c:v>
                </c:pt>
                <c:pt idx="2">
                  <c:v>Dipendenti viaggi di lavoro, altri veicoli su strada </c:v>
                </c:pt>
                <c:pt idx="3">
                  <c:v>Dipendenti viaggi di lavoro - treno</c:v>
                </c:pt>
                <c:pt idx="4">
                  <c:v>Dipendenti viaggi di lavoro - aereo</c:v>
                </c:pt>
                <c:pt idx="5">
                  <c:v>Dipendenti viaggi di lavoro - nave</c:v>
                </c:pt>
                <c:pt idx="6">
                  <c:v>Viaggi dei visitatori - ogni mezzo </c:v>
                </c:pt>
              </c:strCache>
            </c:strRef>
          </c:cat>
          <c:val>
            <c:numRef>
              <c:f>'Trasporto persone'!$R$393:$R$399</c:f>
              <c:numCache>
                <c:formatCode>#,##0.0</c:formatCode>
                <c:ptCount val="7"/>
                <c:pt idx="0">
                  <c:v>1.0951491958156971</c:v>
                </c:pt>
                <c:pt idx="1">
                  <c:v>0.38203447499999998</c:v>
                </c:pt>
                <c:pt idx="2">
                  <c:v>0</c:v>
                </c:pt>
                <c:pt idx="3">
                  <c:v>0</c:v>
                </c:pt>
                <c:pt idx="4">
                  <c:v>0</c:v>
                </c:pt>
                <c:pt idx="5">
                  <c:v>0</c:v>
                </c:pt>
                <c:pt idx="6">
                  <c:v>0</c:v>
                </c:pt>
              </c:numCache>
            </c:numRef>
          </c:val>
          <c:extLst>
            <c:ext xmlns:c16="http://schemas.microsoft.com/office/drawing/2014/chart" uri="{C3380CC4-5D6E-409C-BE32-E72D297353CC}">
              <c16:uniqueId val="{00000000-4CAB-428F-B927-A8FA1CF9A744}"/>
            </c:ext>
          </c:extLst>
        </c:ser>
        <c:dLbls>
          <c:showLegendKey val="0"/>
          <c:showVal val="0"/>
          <c:showCatName val="0"/>
          <c:showSerName val="0"/>
          <c:showPercent val="0"/>
          <c:showBubbleSize val="0"/>
        </c:dLbls>
        <c:gapWidth val="100"/>
        <c:axId val="-2105572232"/>
        <c:axId val="-2105569224"/>
      </c:barChart>
      <c:stockChart>
        <c:ser>
          <c:idx val="1"/>
          <c:order val="1"/>
          <c:tx>
            <c:strRef>
              <c:f>'Trasporto persone'!$R$392</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'Trasporto persone'!$R$393:$R$399</c:f>
              <c:numCache>
                <c:formatCode>#,##0.0</c:formatCode>
                <c:ptCount val="7"/>
                <c:pt idx="0">
                  <c:v>1.0951491958156971</c:v>
                </c:pt>
                <c:pt idx="1">
                  <c:v>0.38203447499999998</c:v>
                </c:pt>
                <c:pt idx="2">
                  <c:v>0</c:v>
                </c:pt>
                <c:pt idx="3">
                  <c:v>0</c:v>
                </c:pt>
                <c:pt idx="4">
                  <c:v>0</c:v>
                </c:pt>
                <c:pt idx="5">
                  <c:v>0</c:v>
                </c:pt>
                <c:pt idx="6">
                  <c:v>0</c:v>
                </c:pt>
              </c:numCache>
            </c:numRef>
          </c:val>
          <c:smooth val="0"/>
          <c:extLst>
            <c:ext xmlns:c16="http://schemas.microsoft.com/office/drawing/2014/chart" uri="{C3380CC4-5D6E-409C-BE32-E72D297353CC}">
              <c16:uniqueId val="{00000001-4CAB-428F-B927-A8FA1CF9A744}"/>
            </c:ext>
          </c:extLst>
        </c:ser>
        <c:ser>
          <c:idx val="2"/>
          <c:order val="2"/>
          <c:tx>
            <c:strRef>
              <c:f>'Trasporto persone'!$Q$392</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'Trasporto persone'!$Q$393:$Q$399</c:f>
              <c:numCache>
                <c:formatCode>#,##0.0</c:formatCode>
                <c:ptCount val="7"/>
                <c:pt idx="0">
                  <c:v>1.0951491958156971</c:v>
                </c:pt>
                <c:pt idx="1">
                  <c:v>0.38203447499999998</c:v>
                </c:pt>
                <c:pt idx="2">
                  <c:v>0</c:v>
                </c:pt>
                <c:pt idx="3">
                  <c:v>0</c:v>
                </c:pt>
                <c:pt idx="4">
                  <c:v>0</c:v>
                </c:pt>
                <c:pt idx="5">
                  <c:v>0</c:v>
                </c:pt>
                <c:pt idx="6">
                  <c:v>0</c:v>
                </c:pt>
              </c:numCache>
            </c:numRef>
          </c:val>
          <c:smooth val="0"/>
          <c:extLst>
            <c:ext xmlns:c16="http://schemas.microsoft.com/office/drawing/2014/chart" uri="{C3380CC4-5D6E-409C-BE32-E72D297353CC}">
              <c16:uniqueId val="{00000002-4CAB-428F-B927-A8FA1CF9A744}"/>
            </c:ext>
          </c:extLst>
        </c:ser>
        <c:ser>
          <c:idx val="3"/>
          <c:order val="3"/>
          <c:tx>
            <c:strRef>
              <c:f>'Trasporto persone'!$T$392</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'Trasporto persone'!$T$393:$T$399</c:f>
              <c:numCache>
                <c:formatCode>#,##0.0</c:formatCode>
                <c:ptCount val="7"/>
                <c:pt idx="0">
                  <c:v>1.0951491958156971</c:v>
                </c:pt>
                <c:pt idx="1">
                  <c:v>0.38203447499999998</c:v>
                </c:pt>
                <c:pt idx="2">
                  <c:v>0</c:v>
                </c:pt>
                <c:pt idx="3">
                  <c:v>0</c:v>
                </c:pt>
                <c:pt idx="4">
                  <c:v>0</c:v>
                </c:pt>
                <c:pt idx="5">
                  <c:v>0</c:v>
                </c:pt>
                <c:pt idx="6">
                  <c:v>0</c:v>
                </c:pt>
              </c:numCache>
            </c:numRef>
          </c:val>
          <c:smooth val="0"/>
          <c:extLst>
            <c:ext xmlns:c16="http://schemas.microsoft.com/office/drawing/2014/chart" uri="{C3380CC4-5D6E-409C-BE32-E72D297353CC}">
              <c16:uniqueId val="{00000003-4CAB-428F-B927-A8FA1CF9A744}"/>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105566168"/>
        <c:axId val="-2105563208"/>
      </c:stockChart>
      <c:catAx>
        <c:axId val="-2105572232"/>
        <c:scaling>
          <c:orientation val="minMax"/>
        </c:scaling>
        <c:delete val="0"/>
        <c:axPos val="b"/>
        <c:numFmt formatCode="General" sourceLinked="1"/>
        <c:majorTickMark val="out"/>
        <c:minorTickMark val="none"/>
        <c:tickLblPos val="nextTo"/>
        <c:txPr>
          <a:bodyPr/>
          <a:lstStyle/>
          <a:p>
            <a:pPr>
              <a:defRPr sz="1000" b="1">
                <a:solidFill>
                  <a:sysClr val="windowText" lastClr="000000"/>
                </a:solidFill>
              </a:defRPr>
            </a:pPr>
            <a:endParaRPr lang="it-IT"/>
          </a:p>
        </c:txPr>
        <c:crossAx val="-2105569224"/>
        <c:crosses val="autoZero"/>
        <c:auto val="1"/>
        <c:lblAlgn val="ctr"/>
        <c:lblOffset val="100"/>
        <c:noMultiLvlLbl val="0"/>
      </c:catAx>
      <c:valAx>
        <c:axId val="-2105569224"/>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105572232"/>
        <c:crosses val="autoZero"/>
        <c:crossBetween val="between"/>
      </c:valAx>
      <c:catAx>
        <c:axId val="-2105566168"/>
        <c:scaling>
          <c:orientation val="minMax"/>
        </c:scaling>
        <c:delete val="1"/>
        <c:axPos val="b"/>
        <c:numFmt formatCode="General" sourceLinked="1"/>
        <c:majorTickMark val="out"/>
        <c:minorTickMark val="none"/>
        <c:tickLblPos val="nextTo"/>
        <c:crossAx val="-2105563208"/>
        <c:crosses val="autoZero"/>
        <c:auto val="1"/>
        <c:lblAlgn val="ctr"/>
        <c:lblOffset val="100"/>
        <c:noMultiLvlLbl val="0"/>
      </c:catAx>
      <c:valAx>
        <c:axId val="-2105563208"/>
        <c:scaling>
          <c:orientation val="minMax"/>
        </c:scaling>
        <c:delete val="1"/>
        <c:axPos val="r"/>
        <c:numFmt formatCode="#,##0.0" sourceLinked="1"/>
        <c:majorTickMark val="out"/>
        <c:minorTickMark val="none"/>
        <c:tickLblPos val="nextTo"/>
        <c:crossAx val="-2105566168"/>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Direct waste:</a:t>
            </a:r>
            <a:r>
              <a:rPr lang="fr-FR" sz="1400" i="0" baseline="0">
                <a:solidFill>
                  <a:schemeClr val="tx2"/>
                </a:solidFill>
              </a:rPr>
              <a:t>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a:t>
            </a:r>
            <a:r>
              <a:rPr lang="fr-FR" sz="1400" b="1" i="0" u="none" strike="noStrike" baseline="0">
                <a:effectLst/>
              </a:rPr>
              <a:t> by poste, </a:t>
            </a:r>
            <a:r>
              <a:rPr lang="fr-FR" sz="1400" b="1" i="0" u="none" strike="noStrike" baseline="0">
                <a:solidFill>
                  <a:schemeClr val="accent6">
                    <a:lumMod val="75000"/>
                  </a:schemeClr>
                </a:solidFill>
                <a:effectLst/>
              </a:rPr>
              <a:t>in tCO2e</a:t>
            </a:r>
            <a:endParaRPr lang="fr-FR" sz="1400">
              <a:solidFill>
                <a:schemeClr val="accent6">
                  <a:lumMod val="75000"/>
                </a:schemeClr>
              </a:solidFill>
            </a:endParaRPr>
          </a:p>
        </c:rich>
      </c:tx>
      <c:overlay val="0"/>
    </c:title>
    <c:autoTitleDeleted val="0"/>
    <c:plotArea>
      <c:layout>
        <c:manualLayout>
          <c:layoutTarget val="inner"/>
          <c:xMode val="edge"/>
          <c:yMode val="edge"/>
          <c:x val="8.19001543209876E-2"/>
          <c:y val="0.136412457578133"/>
          <c:w val="0.87264120370370402"/>
          <c:h val="0.68661743011252196"/>
        </c:manualLayout>
      </c:layout>
      <c:barChart>
        <c:barDir val="col"/>
        <c:grouping val="clustered"/>
        <c:varyColors val="0"/>
        <c:ser>
          <c:idx val="0"/>
          <c:order val="0"/>
          <c:tx>
            <c:strRef>
              <c:f>'Rifiuti di processo'!$R$166</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'Rifiuti di processo'!$B$167:$C$172</c:f>
              <c:strCache>
                <c:ptCount val="6"/>
                <c:pt idx="0">
                  <c:v>Discarica</c:v>
                </c:pt>
                <c:pt idx="1">
                  <c:v>Inceneritore</c:v>
                </c:pt>
                <c:pt idx="2">
                  <c:v>Rifiuti riusati o riciclati</c:v>
                </c:pt>
                <c:pt idx="3">
                  <c:v>Rifiuti di processo - suddivisione per tipo/trattamento di rifiuto</c:v>
                </c:pt>
                <c:pt idx="4">
                  <c:v>Rifiuti pericolosi</c:v>
                </c:pt>
                <c:pt idx="5">
                  <c:v>Trattamento reflui</c:v>
                </c:pt>
              </c:strCache>
            </c:strRef>
          </c:cat>
          <c:val>
            <c:numRef>
              <c:f>'Rifiuti di processo'!$R$167:$R$172</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5F0-4673-87C4-7EA70C3B382D}"/>
            </c:ext>
          </c:extLst>
        </c:ser>
        <c:dLbls>
          <c:showLegendKey val="0"/>
          <c:showVal val="0"/>
          <c:showCatName val="0"/>
          <c:showSerName val="0"/>
          <c:showPercent val="0"/>
          <c:showBubbleSize val="0"/>
        </c:dLbls>
        <c:gapWidth val="100"/>
        <c:axId val="-2106565304"/>
        <c:axId val="-2106568328"/>
      </c:barChart>
      <c:stockChart>
        <c:ser>
          <c:idx val="1"/>
          <c:order val="1"/>
          <c:tx>
            <c:strRef>
              <c:f>'Rifiuti di processo'!$R$166</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'Rifiuti di processo'!$R$167:$R$172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65F0-4673-87C4-7EA70C3B382D}"/>
            </c:ext>
          </c:extLst>
        </c:ser>
        <c:ser>
          <c:idx val="2"/>
          <c:order val="2"/>
          <c:tx>
            <c:strRef>
              <c:f>'Rifiuti di processo'!$Q$166</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'Rifiuti di processo'!$Q$167:$Q$172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65F0-4673-87C4-7EA70C3B382D}"/>
            </c:ext>
          </c:extLst>
        </c:ser>
        <c:ser>
          <c:idx val="3"/>
          <c:order val="3"/>
          <c:tx>
            <c:strRef>
              <c:f>'Rifiuti di processo'!$T$166</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'Rifiuti di processo'!$T$167:$T$172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65F0-4673-87C4-7EA70C3B382D}"/>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106571368"/>
        <c:axId val="-2106574344"/>
      </c:stockChart>
      <c:catAx>
        <c:axId val="-2106565304"/>
        <c:scaling>
          <c:orientation val="minMax"/>
        </c:scaling>
        <c:delete val="0"/>
        <c:axPos val="b"/>
        <c:numFmt formatCode="General" sourceLinked="1"/>
        <c:majorTickMark val="out"/>
        <c:minorTickMark val="none"/>
        <c:tickLblPos val="nextTo"/>
        <c:txPr>
          <a:bodyPr/>
          <a:lstStyle/>
          <a:p>
            <a:pPr>
              <a:defRPr sz="1200" b="1">
                <a:solidFill>
                  <a:sysClr val="windowText" lastClr="000000"/>
                </a:solidFill>
              </a:defRPr>
            </a:pPr>
            <a:endParaRPr lang="it-IT"/>
          </a:p>
        </c:txPr>
        <c:crossAx val="-2106568328"/>
        <c:crosses val="autoZero"/>
        <c:auto val="1"/>
        <c:lblAlgn val="ctr"/>
        <c:lblOffset val="100"/>
        <c:noMultiLvlLbl val="0"/>
      </c:catAx>
      <c:valAx>
        <c:axId val="-2106568328"/>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106565304"/>
        <c:crosses val="autoZero"/>
        <c:crossBetween val="between"/>
      </c:valAx>
      <c:catAx>
        <c:axId val="-2106571368"/>
        <c:scaling>
          <c:orientation val="minMax"/>
        </c:scaling>
        <c:delete val="1"/>
        <c:axPos val="b"/>
        <c:numFmt formatCode="General" sourceLinked="1"/>
        <c:majorTickMark val="out"/>
        <c:minorTickMark val="none"/>
        <c:tickLblPos val="nextTo"/>
        <c:crossAx val="-2106574344"/>
        <c:crosses val="autoZero"/>
        <c:auto val="1"/>
        <c:lblAlgn val="ctr"/>
        <c:lblOffset val="100"/>
        <c:noMultiLvlLbl val="0"/>
      </c:catAx>
      <c:valAx>
        <c:axId val="-2106574344"/>
        <c:scaling>
          <c:orientation val="minMax"/>
        </c:scaling>
        <c:delete val="1"/>
        <c:axPos val="r"/>
        <c:numFmt formatCode="#,##0.0" sourceLinked="1"/>
        <c:majorTickMark val="out"/>
        <c:minorTickMark val="none"/>
        <c:tickLblPos val="nextTo"/>
        <c:crossAx val="-2106571368"/>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Capital goods:</a:t>
            </a:r>
            <a:r>
              <a:rPr lang="fr-FR" sz="1400" i="0" baseline="0">
                <a:solidFill>
                  <a:schemeClr val="tx2"/>
                </a:solidFill>
              </a:rPr>
              <a:t>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a:t>
            </a:r>
            <a:r>
              <a:rPr lang="fr-FR" sz="1400" b="1" i="0" u="none" strike="noStrike" baseline="0">
                <a:effectLst/>
              </a:rPr>
              <a:t> by poste, </a:t>
            </a:r>
            <a:r>
              <a:rPr lang="fr-FR" sz="1400" b="1" i="0" u="none" strike="noStrike" baseline="0">
                <a:solidFill>
                  <a:schemeClr val="accent6">
                    <a:lumMod val="75000"/>
                  </a:schemeClr>
                </a:solidFill>
                <a:effectLst/>
              </a:rPr>
              <a:t>in tCO2e</a:t>
            </a:r>
            <a:endParaRPr lang="fr-FR" sz="1400">
              <a:solidFill>
                <a:schemeClr val="accent6">
                  <a:lumMod val="75000"/>
                </a:schemeClr>
              </a:solidFill>
            </a:endParaRPr>
          </a:p>
        </c:rich>
      </c:tx>
      <c:overlay val="0"/>
    </c:title>
    <c:autoTitleDeleted val="0"/>
    <c:plotArea>
      <c:layout>
        <c:manualLayout>
          <c:layoutTarget val="inner"/>
          <c:xMode val="edge"/>
          <c:yMode val="edge"/>
          <c:x val="8.4016820987654298E-2"/>
          <c:y val="0.139102469621495"/>
          <c:w val="0.86676157407407395"/>
          <c:h val="0.68392745729278104"/>
        </c:manualLayout>
      </c:layout>
      <c:barChart>
        <c:barDir val="col"/>
        <c:grouping val="clustered"/>
        <c:varyColors val="0"/>
        <c:ser>
          <c:idx val="0"/>
          <c:order val="0"/>
          <c:tx>
            <c:strRef>
              <c:f>'Beni durevoli'!$R$258</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'Beni durevoli'!$B$259:$C$262</c:f>
              <c:strCache>
                <c:ptCount val="4"/>
                <c:pt idx="0">
                  <c:v>Edifici</c:v>
                </c:pt>
                <c:pt idx="1">
                  <c:v>Infrastrutture esclusi gli edifici</c:v>
                </c:pt>
                <c:pt idx="2">
                  <c:v>Veicoli, macchinari e strumentazioni</c:v>
                </c:pt>
                <c:pt idx="3">
                  <c:v>IT</c:v>
                </c:pt>
              </c:strCache>
            </c:strRef>
          </c:cat>
          <c:val>
            <c:numRef>
              <c:f>'Beni durevoli'!$R$259:$R$262</c:f>
              <c:numCache>
                <c:formatCode>#,##0.0</c:formatCode>
                <c:ptCount val="4"/>
                <c:pt idx="0">
                  <c:v>9.6800000000000015</c:v>
                </c:pt>
                <c:pt idx="1">
                  <c:v>0</c:v>
                </c:pt>
                <c:pt idx="2">
                  <c:v>0</c:v>
                </c:pt>
                <c:pt idx="3">
                  <c:v>0</c:v>
                </c:pt>
              </c:numCache>
            </c:numRef>
          </c:val>
          <c:extLst>
            <c:ext xmlns:c16="http://schemas.microsoft.com/office/drawing/2014/chart" uri="{C3380CC4-5D6E-409C-BE32-E72D297353CC}">
              <c16:uniqueId val="{00000000-F643-49C7-A436-A57389A76B56}"/>
            </c:ext>
          </c:extLst>
        </c:ser>
        <c:dLbls>
          <c:showLegendKey val="0"/>
          <c:showVal val="0"/>
          <c:showCatName val="0"/>
          <c:showSerName val="0"/>
          <c:showPercent val="0"/>
          <c:showBubbleSize val="0"/>
        </c:dLbls>
        <c:gapWidth val="100"/>
        <c:axId val="-2086553240"/>
        <c:axId val="-2086550232"/>
      </c:barChart>
      <c:stockChart>
        <c:ser>
          <c:idx val="1"/>
          <c:order val="1"/>
          <c:tx>
            <c:strRef>
              <c:f>'Beni durevoli'!$R$258</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'Beni durevoli'!$R$259:$R$262</c:f>
              <c:numCache>
                <c:formatCode>#,##0.0</c:formatCode>
                <c:ptCount val="4"/>
                <c:pt idx="0">
                  <c:v>9.6800000000000015</c:v>
                </c:pt>
                <c:pt idx="1">
                  <c:v>0</c:v>
                </c:pt>
                <c:pt idx="2">
                  <c:v>0</c:v>
                </c:pt>
                <c:pt idx="3">
                  <c:v>0</c:v>
                </c:pt>
              </c:numCache>
            </c:numRef>
          </c:val>
          <c:smooth val="0"/>
          <c:extLst>
            <c:ext xmlns:c16="http://schemas.microsoft.com/office/drawing/2014/chart" uri="{C3380CC4-5D6E-409C-BE32-E72D297353CC}">
              <c16:uniqueId val="{00000001-F643-49C7-A436-A57389A76B56}"/>
            </c:ext>
          </c:extLst>
        </c:ser>
        <c:ser>
          <c:idx val="2"/>
          <c:order val="2"/>
          <c:tx>
            <c:strRef>
              <c:f>'Beni durevoli'!$Q$258</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'Beni durevoli'!$Q$259:$Q$262</c:f>
              <c:numCache>
                <c:formatCode>#,##0.0</c:formatCode>
                <c:ptCount val="4"/>
                <c:pt idx="0">
                  <c:v>7.7440000000000015</c:v>
                </c:pt>
                <c:pt idx="1">
                  <c:v>0</c:v>
                </c:pt>
                <c:pt idx="2">
                  <c:v>0</c:v>
                </c:pt>
                <c:pt idx="3">
                  <c:v>0</c:v>
                </c:pt>
              </c:numCache>
            </c:numRef>
          </c:val>
          <c:smooth val="0"/>
          <c:extLst>
            <c:ext xmlns:c16="http://schemas.microsoft.com/office/drawing/2014/chart" uri="{C3380CC4-5D6E-409C-BE32-E72D297353CC}">
              <c16:uniqueId val="{00000002-F643-49C7-A436-A57389A76B56}"/>
            </c:ext>
          </c:extLst>
        </c:ser>
        <c:ser>
          <c:idx val="3"/>
          <c:order val="3"/>
          <c:tx>
            <c:strRef>
              <c:f>'Beni durevoli'!$T$258</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'Beni durevoli'!$T$259:$T$262</c:f>
              <c:numCache>
                <c:formatCode>#,##0.0</c:formatCode>
                <c:ptCount val="4"/>
                <c:pt idx="0">
                  <c:v>11.616000000000001</c:v>
                </c:pt>
                <c:pt idx="1">
                  <c:v>0</c:v>
                </c:pt>
                <c:pt idx="2">
                  <c:v>0</c:v>
                </c:pt>
                <c:pt idx="3">
                  <c:v>0</c:v>
                </c:pt>
              </c:numCache>
            </c:numRef>
          </c:val>
          <c:smooth val="0"/>
          <c:extLst>
            <c:ext xmlns:c16="http://schemas.microsoft.com/office/drawing/2014/chart" uri="{C3380CC4-5D6E-409C-BE32-E72D297353CC}">
              <c16:uniqueId val="{00000003-F643-49C7-A436-A57389A76B56}"/>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086547176"/>
        <c:axId val="-2086544216"/>
      </c:stockChart>
      <c:catAx>
        <c:axId val="-2086553240"/>
        <c:scaling>
          <c:orientation val="minMax"/>
        </c:scaling>
        <c:delete val="0"/>
        <c:axPos val="b"/>
        <c:numFmt formatCode="General" sourceLinked="1"/>
        <c:majorTickMark val="out"/>
        <c:minorTickMark val="none"/>
        <c:tickLblPos val="nextTo"/>
        <c:txPr>
          <a:bodyPr/>
          <a:lstStyle/>
          <a:p>
            <a:pPr>
              <a:defRPr sz="1200" b="1">
                <a:solidFill>
                  <a:sysClr val="windowText" lastClr="000000"/>
                </a:solidFill>
              </a:defRPr>
            </a:pPr>
            <a:endParaRPr lang="it-IT"/>
          </a:p>
        </c:txPr>
        <c:crossAx val="-2086550232"/>
        <c:crosses val="autoZero"/>
        <c:auto val="1"/>
        <c:lblAlgn val="ctr"/>
        <c:lblOffset val="100"/>
        <c:noMultiLvlLbl val="0"/>
      </c:catAx>
      <c:valAx>
        <c:axId val="-2086550232"/>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086553240"/>
        <c:crosses val="autoZero"/>
        <c:crossBetween val="between"/>
      </c:valAx>
      <c:catAx>
        <c:axId val="-2086547176"/>
        <c:scaling>
          <c:orientation val="minMax"/>
        </c:scaling>
        <c:delete val="1"/>
        <c:axPos val="b"/>
        <c:numFmt formatCode="General" sourceLinked="1"/>
        <c:majorTickMark val="out"/>
        <c:minorTickMark val="none"/>
        <c:tickLblPos val="nextTo"/>
        <c:crossAx val="-2086544216"/>
        <c:crosses val="autoZero"/>
        <c:auto val="1"/>
        <c:lblAlgn val="ctr"/>
        <c:lblOffset val="100"/>
        <c:noMultiLvlLbl val="0"/>
      </c:catAx>
      <c:valAx>
        <c:axId val="-2086544216"/>
        <c:scaling>
          <c:orientation val="minMax"/>
        </c:scaling>
        <c:delete val="1"/>
        <c:axPos val="r"/>
        <c:numFmt formatCode="#,##0.0" sourceLinked="1"/>
        <c:majorTickMark val="out"/>
        <c:minorTickMark val="none"/>
        <c:tickLblPos val="nextTo"/>
        <c:crossAx val="-2086547176"/>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fr-FR" sz="1400" i="0">
                <a:solidFill>
                  <a:schemeClr val="tx2"/>
                </a:solidFill>
              </a:rPr>
              <a:t>Use stages</a:t>
            </a:r>
            <a:r>
              <a:rPr lang="fr-FR" sz="1400" i="0" baseline="0">
                <a:solidFill>
                  <a:schemeClr val="tx2"/>
                </a:solidFill>
              </a:rPr>
              <a:t> </a:t>
            </a:r>
            <a:r>
              <a:rPr lang="fr-FR" sz="1400" i="0">
                <a:solidFill>
                  <a:schemeClr val="tx2"/>
                </a:solidFill>
              </a:rPr>
              <a:t>:</a:t>
            </a:r>
            <a:r>
              <a:rPr lang="fr-FR" sz="1400" i="0" baseline="0">
                <a:solidFill>
                  <a:schemeClr val="tx2"/>
                </a:solidFill>
              </a:rPr>
              <a:t> </a:t>
            </a:r>
            <a:r>
              <a:rPr lang="fr-FR" sz="1400" b="1" i="0" u="none" strike="noStrike" baseline="0">
                <a:solidFill>
                  <a:srgbClr val="C00000"/>
                </a:solidFill>
                <a:effectLst/>
              </a:rPr>
              <a:t>GHG emissions </a:t>
            </a:r>
            <a:r>
              <a:rPr lang="fr-FR" sz="1400" b="1" i="0" u="none" strike="noStrike" baseline="0">
                <a:effectLst/>
              </a:rPr>
              <a:t>&amp; </a:t>
            </a:r>
            <a:r>
              <a:rPr lang="fr-FR" sz="1400" b="1" i="0" u="none" strike="noStrike" baseline="0">
                <a:solidFill>
                  <a:srgbClr val="C00000"/>
                </a:solidFill>
                <a:effectLst/>
              </a:rPr>
              <a:t>uncertainty</a:t>
            </a:r>
            <a:r>
              <a:rPr lang="fr-FR" sz="1400" b="1" i="0" u="none" strike="noStrike" baseline="0">
                <a:effectLst/>
              </a:rPr>
              <a:t> by poste, </a:t>
            </a:r>
            <a:r>
              <a:rPr lang="fr-FR" sz="1400" b="1" i="0" u="none" strike="noStrike" baseline="0">
                <a:solidFill>
                  <a:schemeClr val="accent6">
                    <a:lumMod val="75000"/>
                  </a:schemeClr>
                </a:solidFill>
                <a:effectLst/>
              </a:rPr>
              <a:t>in tCO2e</a:t>
            </a:r>
            <a:endParaRPr lang="fr-FR" sz="1400">
              <a:solidFill>
                <a:schemeClr val="accent6">
                  <a:lumMod val="75000"/>
                </a:schemeClr>
              </a:solidFill>
            </a:endParaRPr>
          </a:p>
        </c:rich>
      </c:tx>
      <c:overlay val="0"/>
    </c:title>
    <c:autoTitleDeleted val="0"/>
    <c:plotArea>
      <c:layout>
        <c:manualLayout>
          <c:layoutTarget val="inner"/>
          <c:xMode val="edge"/>
          <c:yMode val="edge"/>
          <c:x val="7.9940277777777805E-2"/>
          <c:y val="0.110704139116787"/>
          <c:w val="0.86872145061728401"/>
          <c:h val="0.71232586571255796"/>
        </c:manualLayout>
      </c:layout>
      <c:barChart>
        <c:barDir val="col"/>
        <c:grouping val="clustered"/>
        <c:varyColors val="0"/>
        <c:ser>
          <c:idx val="0"/>
          <c:order val="0"/>
          <c:tx>
            <c:strRef>
              <c:f>'Fase d''uso'!$R$111</c:f>
              <c:strCache>
                <c:ptCount val="1"/>
                <c:pt idx="0">
                  <c:v>Median</c:v>
                </c:pt>
              </c:strCache>
            </c:strRef>
          </c:tx>
          <c:spPr>
            <a:effectLst/>
          </c:spPr>
          <c:invertIfNegative val="0"/>
          <c:dLbls>
            <c:spPr>
              <a:noFill/>
              <a:ln>
                <a:noFill/>
              </a:ln>
              <a:effectLst/>
            </c:spPr>
            <c:txPr>
              <a:bodyPr/>
              <a:lstStyle/>
              <a:p>
                <a:pPr>
                  <a:defRPr sz="1200" b="1"/>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'Fase d''uso'!$B$112:$C$115</c:f>
              <c:strCache>
                <c:ptCount val="4"/>
                <c:pt idx="0">
                  <c:v>Combustibili</c:v>
                </c:pt>
                <c:pt idx="1">
                  <c:v>Calore e raffrescamento</c:v>
                </c:pt>
                <c:pt idx="2">
                  <c:v>Eletricità</c:v>
                </c:pt>
                <c:pt idx="3">
                  <c:v>Emissioni non energetiche</c:v>
                </c:pt>
              </c:strCache>
            </c:strRef>
          </c:cat>
          <c:val>
            <c:numRef>
              <c:f>'Fase d''uso'!$R$112:$R$115</c:f>
              <c:numCache>
                <c:formatCode>#,##0.0</c:formatCode>
                <c:ptCount val="4"/>
                <c:pt idx="0">
                  <c:v>0</c:v>
                </c:pt>
                <c:pt idx="1">
                  <c:v>0</c:v>
                </c:pt>
                <c:pt idx="2">
                  <c:v>0</c:v>
                </c:pt>
                <c:pt idx="3">
                  <c:v>0</c:v>
                </c:pt>
              </c:numCache>
            </c:numRef>
          </c:val>
          <c:extLst>
            <c:ext xmlns:c16="http://schemas.microsoft.com/office/drawing/2014/chart" uri="{C3380CC4-5D6E-409C-BE32-E72D297353CC}">
              <c16:uniqueId val="{00000000-5D29-4E1F-BDE7-195EC64A7BE8}"/>
            </c:ext>
          </c:extLst>
        </c:ser>
        <c:dLbls>
          <c:showLegendKey val="0"/>
          <c:showVal val="0"/>
          <c:showCatName val="0"/>
          <c:showSerName val="0"/>
          <c:showPercent val="0"/>
          <c:showBubbleSize val="0"/>
        </c:dLbls>
        <c:gapWidth val="100"/>
        <c:axId val="-2086488312"/>
        <c:axId val="-2086485304"/>
      </c:barChart>
      <c:stockChart>
        <c:ser>
          <c:idx val="1"/>
          <c:order val="1"/>
          <c:tx>
            <c:strRef>
              <c:f>'Fase d''uso'!$R$111</c:f>
              <c:strCache>
                <c:ptCount val="1"/>
                <c:pt idx="0">
                  <c:v>Median</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'Fase d''uso'!$R$112:$R$115</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1-5D29-4E1F-BDE7-195EC64A7BE8}"/>
            </c:ext>
          </c:extLst>
        </c:ser>
        <c:ser>
          <c:idx val="2"/>
          <c:order val="2"/>
          <c:tx>
            <c:strRef>
              <c:f>'Fase d''uso'!$Q$111</c:f>
              <c:strCache>
                <c:ptCount val="1"/>
                <c:pt idx="0">
                  <c:v>Low</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'Fase d''uso'!$Q$112:$Q$115</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2-5D29-4E1F-BDE7-195EC64A7BE8}"/>
            </c:ext>
          </c:extLst>
        </c:ser>
        <c:ser>
          <c:idx val="3"/>
          <c:order val="3"/>
          <c:tx>
            <c:strRef>
              <c:f>'Fase d''uso'!$T$111</c:f>
              <c:strCache>
                <c:ptCount val="1"/>
                <c:pt idx="0">
                  <c:v>High</c:v>
                </c:pt>
              </c:strCache>
            </c:strRef>
          </c:tx>
          <c:spPr>
            <a:ln w="47625">
              <a:noFill/>
            </a:ln>
          </c:spPr>
          <c:marker>
            <c:symbol val="none"/>
          </c:marker>
          <c:cat>
            <c:strRef>
              <c:f>Energia!$B$141:$C$145</c:f>
              <c:strCache>
                <c:ptCount val="5"/>
                <c:pt idx="0">
                  <c:v>Consumi da combustione diretta di carburante</c:v>
                </c:pt>
                <c:pt idx="1">
                  <c:v>Stima del riscaldamento da combustibili fossii</c:v>
                </c:pt>
                <c:pt idx="2">
                  <c:v>Calore acquistato</c:v>
                </c:pt>
                <c:pt idx="3">
                  <c:v>Raffreddamento acquistato</c:v>
                </c:pt>
                <c:pt idx="4">
                  <c:v>Elettricità acquistata</c:v>
                </c:pt>
              </c:strCache>
            </c:strRef>
          </c:cat>
          <c:val>
            <c:numRef>
              <c:f>'Fase d''uso'!$T$112:$T$115</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3-5D29-4E1F-BDE7-195EC64A7BE8}"/>
            </c:ext>
          </c:extLst>
        </c:ser>
        <c:dLbls>
          <c:showLegendKey val="0"/>
          <c:showVal val="0"/>
          <c:showCatName val="0"/>
          <c:showSerName val="0"/>
          <c:showPercent val="0"/>
          <c:showBubbleSize val="0"/>
        </c:dLbls>
        <c:hiLowLines>
          <c:spPr>
            <a:ln w="38100" cap="flat" cmpd="sng" algn="ctr">
              <a:solidFill>
                <a:schemeClr val="tx1">
                  <a:lumMod val="85000"/>
                  <a:lumOff val="15000"/>
                </a:schemeClr>
              </a:solidFill>
              <a:prstDash val="solid"/>
            </a:ln>
            <a:effectLst>
              <a:outerShdw blurRad="40000" dist="23000" dir="5400000" rotWithShape="0">
                <a:srgbClr val="000000">
                  <a:alpha val="35000"/>
                </a:srgbClr>
              </a:outerShdw>
            </a:effectLst>
          </c:spPr>
        </c:hiLowLines>
        <c:axId val="-2086482248"/>
        <c:axId val="-2086479288"/>
      </c:stockChart>
      <c:catAx>
        <c:axId val="-2086488312"/>
        <c:scaling>
          <c:orientation val="minMax"/>
        </c:scaling>
        <c:delete val="0"/>
        <c:axPos val="b"/>
        <c:numFmt formatCode="General" sourceLinked="1"/>
        <c:majorTickMark val="out"/>
        <c:minorTickMark val="none"/>
        <c:tickLblPos val="nextTo"/>
        <c:txPr>
          <a:bodyPr/>
          <a:lstStyle/>
          <a:p>
            <a:pPr>
              <a:defRPr sz="1200" b="1">
                <a:solidFill>
                  <a:sysClr val="windowText" lastClr="000000"/>
                </a:solidFill>
              </a:defRPr>
            </a:pPr>
            <a:endParaRPr lang="it-IT"/>
          </a:p>
        </c:txPr>
        <c:crossAx val="-2086485304"/>
        <c:crosses val="autoZero"/>
        <c:auto val="1"/>
        <c:lblAlgn val="ctr"/>
        <c:lblOffset val="100"/>
        <c:noMultiLvlLbl val="0"/>
      </c:catAx>
      <c:valAx>
        <c:axId val="-2086485304"/>
        <c:scaling>
          <c:orientation val="minMax"/>
        </c:scaling>
        <c:delete val="0"/>
        <c:axPos val="l"/>
        <c:majorGridlines/>
        <c:numFmt formatCode="#,##0.0" sourceLinked="1"/>
        <c:majorTickMark val="out"/>
        <c:minorTickMark val="none"/>
        <c:tickLblPos val="nextTo"/>
        <c:txPr>
          <a:bodyPr/>
          <a:lstStyle/>
          <a:p>
            <a:pPr>
              <a:defRPr sz="1200">
                <a:solidFill>
                  <a:sysClr val="windowText" lastClr="000000"/>
                </a:solidFill>
              </a:defRPr>
            </a:pPr>
            <a:endParaRPr lang="it-IT"/>
          </a:p>
        </c:txPr>
        <c:crossAx val="-2086488312"/>
        <c:crosses val="autoZero"/>
        <c:crossBetween val="between"/>
      </c:valAx>
      <c:catAx>
        <c:axId val="-2086482248"/>
        <c:scaling>
          <c:orientation val="minMax"/>
        </c:scaling>
        <c:delete val="1"/>
        <c:axPos val="b"/>
        <c:numFmt formatCode="General" sourceLinked="1"/>
        <c:majorTickMark val="out"/>
        <c:minorTickMark val="none"/>
        <c:tickLblPos val="nextTo"/>
        <c:crossAx val="-2086479288"/>
        <c:crosses val="autoZero"/>
        <c:auto val="1"/>
        <c:lblAlgn val="ctr"/>
        <c:lblOffset val="100"/>
        <c:noMultiLvlLbl val="0"/>
      </c:catAx>
      <c:valAx>
        <c:axId val="-2086479288"/>
        <c:scaling>
          <c:orientation val="minMax"/>
        </c:scaling>
        <c:delete val="1"/>
        <c:axPos val="r"/>
        <c:numFmt formatCode="#,##0.0" sourceLinked="1"/>
        <c:majorTickMark val="out"/>
        <c:minorTickMark val="none"/>
        <c:tickLblPos val="nextTo"/>
        <c:crossAx val="-2086482248"/>
        <c:crosses val="max"/>
        <c:crossBetween val="between"/>
      </c:valAx>
      <c:spPr>
        <a:noFill/>
        <a:ln w="25400">
          <a:noFill/>
        </a:ln>
      </c:spPr>
    </c:plotArea>
    <c:plotVisOnly val="1"/>
    <c:dispBlanksAs val="gap"/>
    <c:showDLblsOverMax val="0"/>
  </c:chart>
  <c:spPr>
    <a:blipFill>
      <a:blip xmlns:r="http://schemas.openxmlformats.org/officeDocument/2006/relationships" r:embed="rId1">
        <a:alphaModFix amt="25000"/>
      </a:blip>
      <a:stretch>
        <a:fillRect/>
      </a:stretch>
    </a:blip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5</xdr:col>
      <xdr:colOff>559595</xdr:colOff>
      <xdr:row>2</xdr:row>
      <xdr:rowOff>119062</xdr:rowOff>
    </xdr:from>
    <xdr:to>
      <xdr:col>5</xdr:col>
      <xdr:colOff>4167188</xdr:colOff>
      <xdr:row>7</xdr:row>
      <xdr:rowOff>168375</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39251" y="666750"/>
          <a:ext cx="3607593" cy="942281"/>
        </a:xfrm>
        <a:prstGeom prst="rect">
          <a:avLst/>
        </a:prstGeom>
      </xdr:spPr>
    </xdr:pic>
    <xdr:clientData/>
  </xdr:twoCellAnchor>
  <xdr:twoCellAnchor>
    <xdr:from>
      <xdr:col>2</xdr:col>
      <xdr:colOff>2155032</xdr:colOff>
      <xdr:row>34</xdr:row>
      <xdr:rowOff>130968</xdr:rowOff>
    </xdr:from>
    <xdr:to>
      <xdr:col>5</xdr:col>
      <xdr:colOff>2917032</xdr:colOff>
      <xdr:row>41</xdr:row>
      <xdr:rowOff>23812</xdr:rowOff>
    </xdr:to>
    <xdr:sp macro="" textlink="">
      <xdr:nvSpPr>
        <xdr:cNvPr id="3" name="Rectangle 2">
          <a:extLst>
            <a:ext uri="{FF2B5EF4-FFF2-40B4-BE49-F238E27FC236}">
              <a16:creationId xmlns:a16="http://schemas.microsoft.com/office/drawing/2014/main" id="{00000000-0008-0000-0000-000003000000}"/>
            </a:ext>
          </a:extLst>
        </xdr:cNvPr>
        <xdr:cNvSpPr/>
      </xdr:nvSpPr>
      <xdr:spPr bwMode="auto">
        <a:xfrm>
          <a:off x="2583657" y="9060656"/>
          <a:ext cx="9013031" cy="1059656"/>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endParaRPr lang="fr-FR" sz="1100"/>
        </a:p>
      </xdr:txBody>
    </xdr:sp>
    <xdr:clientData/>
  </xdr:twoCellAnchor>
  <xdr:twoCellAnchor editAs="oneCell">
    <xdr:from>
      <xdr:col>2</xdr:col>
      <xdr:colOff>2333625</xdr:colOff>
      <xdr:row>35</xdr:row>
      <xdr:rowOff>71437</xdr:rowOff>
    </xdr:from>
    <xdr:to>
      <xdr:col>3</xdr:col>
      <xdr:colOff>1482576</xdr:colOff>
      <xdr:row>39</xdr:row>
      <xdr:rowOff>47624</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62250" y="9167812"/>
          <a:ext cx="3173264" cy="8096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164307</xdr:colOff>
      <xdr:row>185</xdr:row>
      <xdr:rowOff>142874</xdr:rowOff>
    </xdr:from>
    <xdr:to>
      <xdr:col>2</xdr:col>
      <xdr:colOff>142875</xdr:colOff>
      <xdr:row>191</xdr:row>
      <xdr:rowOff>35718</xdr:rowOff>
    </xdr:to>
    <xdr:sp macro="" textlink="">
      <xdr:nvSpPr>
        <xdr:cNvPr id="2" name="Rectangle 1">
          <a:extLst>
            <a:ext uri="{FF2B5EF4-FFF2-40B4-BE49-F238E27FC236}">
              <a16:creationId xmlns:a16="http://schemas.microsoft.com/office/drawing/2014/main" id="{00000000-0008-0000-09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164307</xdr:colOff>
      <xdr:row>217</xdr:row>
      <xdr:rowOff>142874</xdr:rowOff>
    </xdr:from>
    <xdr:to>
      <xdr:col>2</xdr:col>
      <xdr:colOff>142875</xdr:colOff>
      <xdr:row>223</xdr:row>
      <xdr:rowOff>35718</xdr:rowOff>
    </xdr:to>
    <xdr:sp macro="" textlink="">
      <xdr:nvSpPr>
        <xdr:cNvPr id="2" name="Rectangle 1">
          <a:extLst>
            <a:ext uri="{FF2B5EF4-FFF2-40B4-BE49-F238E27FC236}">
              <a16:creationId xmlns:a16="http://schemas.microsoft.com/office/drawing/2014/main" id="{00000000-0008-0000-0A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164307</xdr:colOff>
      <xdr:row>2418</xdr:row>
      <xdr:rowOff>142874</xdr:rowOff>
    </xdr:from>
    <xdr:to>
      <xdr:col>2</xdr:col>
      <xdr:colOff>142875</xdr:colOff>
      <xdr:row>2424</xdr:row>
      <xdr:rowOff>35718</xdr:rowOff>
    </xdr:to>
    <xdr:sp macro="" textlink="">
      <xdr:nvSpPr>
        <xdr:cNvPr id="2" name="Rectangle 1">
          <a:extLst>
            <a:ext uri="{FF2B5EF4-FFF2-40B4-BE49-F238E27FC236}">
              <a16:creationId xmlns:a16="http://schemas.microsoft.com/office/drawing/2014/main" id="{00000000-0008-0000-0B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164307</xdr:colOff>
      <xdr:row>559</xdr:row>
      <xdr:rowOff>142874</xdr:rowOff>
    </xdr:from>
    <xdr:to>
      <xdr:col>2</xdr:col>
      <xdr:colOff>142875</xdr:colOff>
      <xdr:row>565</xdr:row>
      <xdr:rowOff>35718</xdr:rowOff>
    </xdr:to>
    <xdr:sp macro="" textlink="">
      <xdr:nvSpPr>
        <xdr:cNvPr id="4" name="Rectangle 3">
          <a:extLst>
            <a:ext uri="{FF2B5EF4-FFF2-40B4-BE49-F238E27FC236}">
              <a16:creationId xmlns:a16="http://schemas.microsoft.com/office/drawing/2014/main" id="{00000000-0008-0000-0C00-000004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164307</xdr:colOff>
      <xdr:row>117</xdr:row>
      <xdr:rowOff>142874</xdr:rowOff>
    </xdr:from>
    <xdr:to>
      <xdr:col>2</xdr:col>
      <xdr:colOff>142875</xdr:colOff>
      <xdr:row>123</xdr:row>
      <xdr:rowOff>35718</xdr:rowOff>
    </xdr:to>
    <xdr:sp macro="" textlink="">
      <xdr:nvSpPr>
        <xdr:cNvPr id="2" name="Rectangle 1">
          <a:extLst>
            <a:ext uri="{FF2B5EF4-FFF2-40B4-BE49-F238E27FC236}">
              <a16:creationId xmlns:a16="http://schemas.microsoft.com/office/drawing/2014/main" id="{00000000-0008-0000-0D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164307</xdr:colOff>
      <xdr:row>64</xdr:row>
      <xdr:rowOff>142874</xdr:rowOff>
    </xdr:from>
    <xdr:to>
      <xdr:col>4</xdr:col>
      <xdr:colOff>142875</xdr:colOff>
      <xdr:row>70</xdr:row>
      <xdr:rowOff>35718</xdr:rowOff>
    </xdr:to>
    <xdr:sp macro="" textlink="">
      <xdr:nvSpPr>
        <xdr:cNvPr id="4" name="Rectangle 3">
          <a:extLst>
            <a:ext uri="{FF2B5EF4-FFF2-40B4-BE49-F238E27FC236}">
              <a16:creationId xmlns:a16="http://schemas.microsoft.com/office/drawing/2014/main" id="{00000000-0008-0000-0E00-000004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164307</xdr:colOff>
      <xdr:row>62</xdr:row>
      <xdr:rowOff>142874</xdr:rowOff>
    </xdr:from>
    <xdr:to>
      <xdr:col>4</xdr:col>
      <xdr:colOff>142875</xdr:colOff>
      <xdr:row>68</xdr:row>
      <xdr:rowOff>35718</xdr:rowOff>
    </xdr:to>
    <xdr:sp macro="" textlink="">
      <xdr:nvSpPr>
        <xdr:cNvPr id="2" name="Rectangle 1">
          <a:extLst>
            <a:ext uri="{FF2B5EF4-FFF2-40B4-BE49-F238E27FC236}">
              <a16:creationId xmlns:a16="http://schemas.microsoft.com/office/drawing/2014/main" id="{00000000-0008-0000-0F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9</xdr:row>
      <xdr:rowOff>0</xdr:rowOff>
    </xdr:from>
    <xdr:to>
      <xdr:col>9</xdr:col>
      <xdr:colOff>640080</xdr:colOff>
      <xdr:row>38</xdr:row>
      <xdr:rowOff>7620</xdr:rowOff>
    </xdr:to>
    <xdr:graphicFrame macro="">
      <xdr:nvGraphicFramePr>
        <xdr:cNvPr id="148522" name="Graphique 16">
          <a:extLst>
            <a:ext uri="{FF2B5EF4-FFF2-40B4-BE49-F238E27FC236}">
              <a16:creationId xmlns:a16="http://schemas.microsoft.com/office/drawing/2014/main" id="{00000000-0008-0000-1000-00002A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43</xdr:row>
      <xdr:rowOff>0</xdr:rowOff>
    </xdr:from>
    <xdr:to>
      <xdr:col>9</xdr:col>
      <xdr:colOff>640080</xdr:colOff>
      <xdr:row>72</xdr:row>
      <xdr:rowOff>15240</xdr:rowOff>
    </xdr:to>
    <xdr:graphicFrame macro="">
      <xdr:nvGraphicFramePr>
        <xdr:cNvPr id="148525" name="Graphique 27">
          <a:extLst>
            <a:ext uri="{FF2B5EF4-FFF2-40B4-BE49-F238E27FC236}">
              <a16:creationId xmlns:a16="http://schemas.microsoft.com/office/drawing/2014/main" id="{00000000-0008-0000-1000-00002D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109</xdr:row>
      <xdr:rowOff>0</xdr:rowOff>
    </xdr:from>
    <xdr:to>
      <xdr:col>9</xdr:col>
      <xdr:colOff>640080</xdr:colOff>
      <xdr:row>138</xdr:row>
      <xdr:rowOff>15240</xdr:rowOff>
    </xdr:to>
    <xdr:graphicFrame macro="">
      <xdr:nvGraphicFramePr>
        <xdr:cNvPr id="148527" name="Graphique 31">
          <a:extLst>
            <a:ext uri="{FF2B5EF4-FFF2-40B4-BE49-F238E27FC236}">
              <a16:creationId xmlns:a16="http://schemas.microsoft.com/office/drawing/2014/main" id="{00000000-0008-0000-1000-00002F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76</xdr:row>
      <xdr:rowOff>0</xdr:rowOff>
    </xdr:from>
    <xdr:to>
      <xdr:col>9</xdr:col>
      <xdr:colOff>640080</xdr:colOff>
      <xdr:row>105</xdr:row>
      <xdr:rowOff>15240</xdr:rowOff>
    </xdr:to>
    <xdr:graphicFrame macro="">
      <xdr:nvGraphicFramePr>
        <xdr:cNvPr id="148531" name="Graphique 35">
          <a:extLst>
            <a:ext uri="{FF2B5EF4-FFF2-40B4-BE49-F238E27FC236}">
              <a16:creationId xmlns:a16="http://schemas.microsoft.com/office/drawing/2014/main" id="{00000000-0008-0000-1000-000033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142</xdr:row>
      <xdr:rowOff>0</xdr:rowOff>
    </xdr:from>
    <xdr:to>
      <xdr:col>9</xdr:col>
      <xdr:colOff>640080</xdr:colOff>
      <xdr:row>174</xdr:row>
      <xdr:rowOff>15240</xdr:rowOff>
    </xdr:to>
    <xdr:graphicFrame macro="">
      <xdr:nvGraphicFramePr>
        <xdr:cNvPr id="148533" name="Graphique 37">
          <a:extLst>
            <a:ext uri="{FF2B5EF4-FFF2-40B4-BE49-F238E27FC236}">
              <a16:creationId xmlns:a16="http://schemas.microsoft.com/office/drawing/2014/main" id="{00000000-0008-0000-1000-000035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178</xdr:row>
      <xdr:rowOff>0</xdr:rowOff>
    </xdr:from>
    <xdr:to>
      <xdr:col>9</xdr:col>
      <xdr:colOff>640080</xdr:colOff>
      <xdr:row>207</xdr:row>
      <xdr:rowOff>15240</xdr:rowOff>
    </xdr:to>
    <xdr:graphicFrame macro="">
      <xdr:nvGraphicFramePr>
        <xdr:cNvPr id="148535" name="Graphique 39">
          <a:extLst>
            <a:ext uri="{FF2B5EF4-FFF2-40B4-BE49-F238E27FC236}">
              <a16:creationId xmlns:a16="http://schemas.microsoft.com/office/drawing/2014/main" id="{00000000-0008-0000-1000-000037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211</xdr:row>
      <xdr:rowOff>0</xdr:rowOff>
    </xdr:from>
    <xdr:to>
      <xdr:col>9</xdr:col>
      <xdr:colOff>640080</xdr:colOff>
      <xdr:row>240</xdr:row>
      <xdr:rowOff>15240</xdr:rowOff>
    </xdr:to>
    <xdr:graphicFrame macro="">
      <xdr:nvGraphicFramePr>
        <xdr:cNvPr id="148537" name="Graphique 41">
          <a:extLst>
            <a:ext uri="{FF2B5EF4-FFF2-40B4-BE49-F238E27FC236}">
              <a16:creationId xmlns:a16="http://schemas.microsoft.com/office/drawing/2014/main" id="{00000000-0008-0000-1000-000039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244</xdr:row>
      <xdr:rowOff>0</xdr:rowOff>
    </xdr:from>
    <xdr:to>
      <xdr:col>9</xdr:col>
      <xdr:colOff>640080</xdr:colOff>
      <xdr:row>273</xdr:row>
      <xdr:rowOff>15240</xdr:rowOff>
    </xdr:to>
    <xdr:graphicFrame macro="">
      <xdr:nvGraphicFramePr>
        <xdr:cNvPr id="148539" name="Graphique 43">
          <a:extLst>
            <a:ext uri="{FF2B5EF4-FFF2-40B4-BE49-F238E27FC236}">
              <a16:creationId xmlns:a16="http://schemas.microsoft.com/office/drawing/2014/main" id="{00000000-0008-0000-1000-00003B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0</xdr:colOff>
      <xdr:row>277</xdr:row>
      <xdr:rowOff>0</xdr:rowOff>
    </xdr:from>
    <xdr:to>
      <xdr:col>9</xdr:col>
      <xdr:colOff>640080</xdr:colOff>
      <xdr:row>306</xdr:row>
      <xdr:rowOff>15240</xdr:rowOff>
    </xdr:to>
    <xdr:graphicFrame macro="">
      <xdr:nvGraphicFramePr>
        <xdr:cNvPr id="148541" name="Graphique 45">
          <a:extLst>
            <a:ext uri="{FF2B5EF4-FFF2-40B4-BE49-F238E27FC236}">
              <a16:creationId xmlns:a16="http://schemas.microsoft.com/office/drawing/2014/main" id="{00000000-0008-0000-1000-00003D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310</xdr:row>
      <xdr:rowOff>0</xdr:rowOff>
    </xdr:from>
    <xdr:to>
      <xdr:col>9</xdr:col>
      <xdr:colOff>640080</xdr:colOff>
      <xdr:row>339</xdr:row>
      <xdr:rowOff>15240</xdr:rowOff>
    </xdr:to>
    <xdr:graphicFrame macro="">
      <xdr:nvGraphicFramePr>
        <xdr:cNvPr id="148543" name="Graphique 47">
          <a:extLst>
            <a:ext uri="{FF2B5EF4-FFF2-40B4-BE49-F238E27FC236}">
              <a16:creationId xmlns:a16="http://schemas.microsoft.com/office/drawing/2014/main" id="{00000000-0008-0000-1000-00003F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0</xdr:colOff>
      <xdr:row>345</xdr:row>
      <xdr:rowOff>0</xdr:rowOff>
    </xdr:from>
    <xdr:to>
      <xdr:col>9</xdr:col>
      <xdr:colOff>228600</xdr:colOff>
      <xdr:row>378</xdr:row>
      <xdr:rowOff>114300</xdr:rowOff>
    </xdr:to>
    <xdr:graphicFrame macro="">
      <xdr:nvGraphicFramePr>
        <xdr:cNvPr id="148545" name="Graphique 49">
          <a:extLst>
            <a:ext uri="{FF2B5EF4-FFF2-40B4-BE49-F238E27FC236}">
              <a16:creationId xmlns:a16="http://schemas.microsoft.com/office/drawing/2014/main" id="{00000000-0008-0000-1000-000041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142875</xdr:colOff>
      <xdr:row>144</xdr:row>
      <xdr:rowOff>83343</xdr:rowOff>
    </xdr:from>
    <xdr:to>
      <xdr:col>16</xdr:col>
      <xdr:colOff>356235</xdr:colOff>
      <xdr:row>167</xdr:row>
      <xdr:rowOff>121443</xdr:rowOff>
    </xdr:to>
    <xdr:graphicFrame macro="">
      <xdr:nvGraphicFramePr>
        <xdr:cNvPr id="148551" name="Graphique 67">
          <a:extLst>
            <a:ext uri="{FF2B5EF4-FFF2-40B4-BE49-F238E27FC236}">
              <a16:creationId xmlns:a16="http://schemas.microsoft.com/office/drawing/2014/main" id="{00000000-0008-0000-1000-000047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107157</xdr:colOff>
      <xdr:row>180</xdr:row>
      <xdr:rowOff>33337</xdr:rowOff>
    </xdr:from>
    <xdr:to>
      <xdr:col>16</xdr:col>
      <xdr:colOff>320517</xdr:colOff>
      <xdr:row>203</xdr:row>
      <xdr:rowOff>73818</xdr:rowOff>
    </xdr:to>
    <xdr:graphicFrame macro="">
      <xdr:nvGraphicFramePr>
        <xdr:cNvPr id="148552" name="Graphique 68">
          <a:extLst>
            <a:ext uri="{FF2B5EF4-FFF2-40B4-BE49-F238E27FC236}">
              <a16:creationId xmlns:a16="http://schemas.microsoft.com/office/drawing/2014/main" id="{00000000-0008-0000-1000-000048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47624</xdr:colOff>
      <xdr:row>383</xdr:row>
      <xdr:rowOff>119063</xdr:rowOff>
    </xdr:from>
    <xdr:to>
      <xdr:col>13</xdr:col>
      <xdr:colOff>962024</xdr:colOff>
      <xdr:row>423</xdr:row>
      <xdr:rowOff>48102</xdr:rowOff>
    </xdr:to>
    <xdr:graphicFrame macro="">
      <xdr:nvGraphicFramePr>
        <xdr:cNvPr id="148556" name="Graphique 53">
          <a:extLst>
            <a:ext uri="{FF2B5EF4-FFF2-40B4-BE49-F238E27FC236}">
              <a16:creationId xmlns:a16="http://schemas.microsoft.com/office/drawing/2014/main" id="{00000000-0008-0000-1000-00004C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23812</xdr:colOff>
      <xdr:row>427</xdr:row>
      <xdr:rowOff>47625</xdr:rowOff>
    </xdr:from>
    <xdr:to>
      <xdr:col>14</xdr:col>
      <xdr:colOff>298133</xdr:colOff>
      <xdr:row>466</xdr:row>
      <xdr:rowOff>131445</xdr:rowOff>
    </xdr:to>
    <xdr:graphicFrame macro="">
      <xdr:nvGraphicFramePr>
        <xdr:cNvPr id="148558" name="Graphique 59">
          <a:extLst>
            <a:ext uri="{FF2B5EF4-FFF2-40B4-BE49-F238E27FC236}">
              <a16:creationId xmlns:a16="http://schemas.microsoft.com/office/drawing/2014/main" id="{00000000-0008-0000-1000-00004E4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164307</xdr:colOff>
      <xdr:row>215</xdr:row>
      <xdr:rowOff>142874</xdr:rowOff>
    </xdr:from>
    <xdr:to>
      <xdr:col>2</xdr:col>
      <xdr:colOff>142875</xdr:colOff>
      <xdr:row>221</xdr:row>
      <xdr:rowOff>35718</xdr:rowOff>
    </xdr:to>
    <xdr:sp macro="" textlink="">
      <xdr:nvSpPr>
        <xdr:cNvPr id="2" name="Rectangle 1">
          <a:extLst>
            <a:ext uri="{FF2B5EF4-FFF2-40B4-BE49-F238E27FC236}">
              <a16:creationId xmlns:a16="http://schemas.microsoft.com/office/drawing/2014/main" id="{00000000-0008-0000-01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164307</xdr:colOff>
      <xdr:row>181</xdr:row>
      <xdr:rowOff>142874</xdr:rowOff>
    </xdr:from>
    <xdr:to>
      <xdr:col>2</xdr:col>
      <xdr:colOff>142875</xdr:colOff>
      <xdr:row>187</xdr:row>
      <xdr:rowOff>35718</xdr:rowOff>
    </xdr:to>
    <xdr:sp macro="" textlink="">
      <xdr:nvSpPr>
        <xdr:cNvPr id="2" name="Rectangle 1">
          <a:extLst>
            <a:ext uri="{FF2B5EF4-FFF2-40B4-BE49-F238E27FC236}">
              <a16:creationId xmlns:a16="http://schemas.microsoft.com/office/drawing/2014/main" id="{00000000-0008-0000-02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164307</xdr:colOff>
      <xdr:row>280</xdr:row>
      <xdr:rowOff>142874</xdr:rowOff>
    </xdr:from>
    <xdr:to>
      <xdr:col>2</xdr:col>
      <xdr:colOff>142875</xdr:colOff>
      <xdr:row>286</xdr:row>
      <xdr:rowOff>35718</xdr:rowOff>
    </xdr:to>
    <xdr:sp macro="" textlink="">
      <xdr:nvSpPr>
        <xdr:cNvPr id="2" name="Rectangle 1">
          <a:extLst>
            <a:ext uri="{FF2B5EF4-FFF2-40B4-BE49-F238E27FC236}">
              <a16:creationId xmlns:a16="http://schemas.microsoft.com/office/drawing/2014/main" id="{00000000-0008-0000-03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164307</xdr:colOff>
      <xdr:row>178</xdr:row>
      <xdr:rowOff>142874</xdr:rowOff>
    </xdr:from>
    <xdr:to>
      <xdr:col>2</xdr:col>
      <xdr:colOff>142875</xdr:colOff>
      <xdr:row>184</xdr:row>
      <xdr:rowOff>35718</xdr:rowOff>
    </xdr:to>
    <xdr:sp macro="" textlink="">
      <xdr:nvSpPr>
        <xdr:cNvPr id="2" name="Rectangle 1">
          <a:extLst>
            <a:ext uri="{FF2B5EF4-FFF2-40B4-BE49-F238E27FC236}">
              <a16:creationId xmlns:a16="http://schemas.microsoft.com/office/drawing/2014/main" id="{00000000-0008-0000-04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164307</xdr:colOff>
      <xdr:row>715</xdr:row>
      <xdr:rowOff>142874</xdr:rowOff>
    </xdr:from>
    <xdr:to>
      <xdr:col>2</xdr:col>
      <xdr:colOff>142875</xdr:colOff>
      <xdr:row>721</xdr:row>
      <xdr:rowOff>35718</xdr:rowOff>
    </xdr:to>
    <xdr:sp macro="" textlink="">
      <xdr:nvSpPr>
        <xdr:cNvPr id="2" name="Rectangle 1">
          <a:extLst>
            <a:ext uri="{FF2B5EF4-FFF2-40B4-BE49-F238E27FC236}">
              <a16:creationId xmlns:a16="http://schemas.microsoft.com/office/drawing/2014/main" id="{00000000-0008-0000-05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640080</xdr:colOff>
      <xdr:row>122</xdr:row>
      <xdr:rowOff>114300</xdr:rowOff>
    </xdr:from>
    <xdr:to>
      <xdr:col>7</xdr:col>
      <xdr:colOff>407670</xdr:colOff>
      <xdr:row>129</xdr:row>
      <xdr:rowOff>25717</xdr:rowOff>
    </xdr:to>
    <xdr:sp macro="" textlink="">
      <xdr:nvSpPr>
        <xdr:cNvPr id="28330" name="Text Box 188" hidden="1">
          <a:extLst>
            <a:ext uri="{FF2B5EF4-FFF2-40B4-BE49-F238E27FC236}">
              <a16:creationId xmlns:a16="http://schemas.microsoft.com/office/drawing/2014/main" id="{00000000-0008-0000-0600-0000AA6E0000}"/>
            </a:ext>
          </a:extLst>
        </xdr:cNvPr>
        <xdr:cNvSpPr txBox="1">
          <a:spLocks noChangeArrowheads="1"/>
        </xdr:cNvSpPr>
      </xdr:nvSpPr>
      <xdr:spPr bwMode="auto">
        <a:xfrm>
          <a:off x="5981700" y="21450300"/>
          <a:ext cx="2933700" cy="1066800"/>
        </a:xfrm>
        <a:prstGeom prst="rect">
          <a:avLst/>
        </a:prstGeom>
        <a:solidFill>
          <a:srgbClr xmlns:mc="http://schemas.openxmlformats.org/markup-compatibility/2006" xmlns:a14="http://schemas.microsoft.com/office/drawing/2010/main" val="FFFFE1" mc:Ignorable="a14" a14:legacySpreadsheetColorIndex="80"/>
        </a:solidFill>
        <a:ln w="9525">
          <a:solidFill>
            <a:srgbClr val="000000"/>
          </a:solidFill>
          <a:miter lim="800000"/>
          <a:headEnd/>
          <a:tailEnd/>
        </a:ln>
        <a:effectLst>
          <a:outerShdw dist="35921" dir="2700000" algn="ctr" rotWithShape="0">
            <a:srgbClr val="808080"/>
          </a:outerShdw>
        </a:effectLst>
        <a:extLst>
          <a:ext uri="{53640926-AAD7-44d8-BBD7-CCE9431645EC}">
            <a14:shadowObscured xmlns:a14="http://schemas.microsoft.com/office/drawing/2010/main" xmlns="" val="1"/>
          </a:ext>
        </a:extLst>
      </xdr:spPr>
    </xdr:sp>
    <xdr:clientData/>
  </xdr:twoCellAnchor>
  <xdr:twoCellAnchor>
    <xdr:from>
      <xdr:col>0</xdr:col>
      <xdr:colOff>164307</xdr:colOff>
      <xdr:row>475</xdr:row>
      <xdr:rowOff>142874</xdr:rowOff>
    </xdr:from>
    <xdr:to>
      <xdr:col>2</xdr:col>
      <xdr:colOff>142875</xdr:colOff>
      <xdr:row>481</xdr:row>
      <xdr:rowOff>35718</xdr:rowOff>
    </xdr:to>
    <xdr:sp macro="" textlink="">
      <xdr:nvSpPr>
        <xdr:cNvPr id="3" name="Rectangle 2">
          <a:extLst>
            <a:ext uri="{FF2B5EF4-FFF2-40B4-BE49-F238E27FC236}">
              <a16:creationId xmlns:a16="http://schemas.microsoft.com/office/drawing/2014/main" id="{00000000-0008-0000-0600-000003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164307</xdr:colOff>
      <xdr:row>249</xdr:row>
      <xdr:rowOff>142874</xdr:rowOff>
    </xdr:from>
    <xdr:to>
      <xdr:col>2</xdr:col>
      <xdr:colOff>142875</xdr:colOff>
      <xdr:row>255</xdr:row>
      <xdr:rowOff>35718</xdr:rowOff>
    </xdr:to>
    <xdr:sp macro="" textlink="">
      <xdr:nvSpPr>
        <xdr:cNvPr id="2" name="Rectangle 1">
          <a:extLst>
            <a:ext uri="{FF2B5EF4-FFF2-40B4-BE49-F238E27FC236}">
              <a16:creationId xmlns:a16="http://schemas.microsoft.com/office/drawing/2014/main" id="{00000000-0008-0000-07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164307</xdr:colOff>
      <xdr:row>335</xdr:row>
      <xdr:rowOff>142874</xdr:rowOff>
    </xdr:from>
    <xdr:to>
      <xdr:col>2</xdr:col>
      <xdr:colOff>142875</xdr:colOff>
      <xdr:row>341</xdr:row>
      <xdr:rowOff>35718</xdr:rowOff>
    </xdr:to>
    <xdr:sp macro="" textlink="">
      <xdr:nvSpPr>
        <xdr:cNvPr id="2" name="Rectangle 1">
          <a:extLst>
            <a:ext uri="{FF2B5EF4-FFF2-40B4-BE49-F238E27FC236}">
              <a16:creationId xmlns:a16="http://schemas.microsoft.com/office/drawing/2014/main" id="{00000000-0008-0000-0800-000002000000}"/>
            </a:ext>
          </a:extLst>
        </xdr:cNvPr>
        <xdr:cNvSpPr/>
      </xdr:nvSpPr>
      <xdr:spPr bwMode="auto">
        <a:xfrm>
          <a:off x="164307" y="26088974"/>
          <a:ext cx="4207668" cy="1045369"/>
        </a:xfrm>
        <a:prstGeom prst="rect">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ctr"/>
          <a:endParaRPr lang="fr-F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E%20des%20combusti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 des combustibles.xls"/>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www.pwc.fr/etudes_facteur_carbone_europeen.html" TargetMode="External"/><Relationship Id="rId7" Type="http://schemas.openxmlformats.org/officeDocument/2006/relationships/vmlDrawing" Target="../drawings/vmlDrawing11.vml"/><Relationship Id="rId2" Type="http://schemas.openxmlformats.org/officeDocument/2006/relationships/hyperlink" Target="http://fr.edf.com/edf-en-france-51250.html" TargetMode="External"/><Relationship Id="rId1" Type="http://schemas.openxmlformats.org/officeDocument/2006/relationships/hyperlink" Target="http://www.basecarbone.fr/documentation/generale/n:54" TargetMode="External"/><Relationship Id="rId6" Type="http://schemas.openxmlformats.org/officeDocument/2006/relationships/drawing" Target="../drawings/drawing12.xml"/><Relationship Id="rId5" Type="http://schemas.openxmlformats.org/officeDocument/2006/relationships/hyperlink" Target="mailto:contact@associationbilancarbone.fr" TargetMode="External"/><Relationship Id="rId4" Type="http://schemas.openxmlformats.org/officeDocument/2006/relationships/hyperlink" Target="http://www.associationbilancarbone.fr/" TargetMode="External"/></Relationships>
</file>

<file path=xl/worksheets/_rels/sheet13.xml.rels><?xml version="1.0" encoding="UTF-8" standalone="yes"?>
<Relationships xmlns="http://schemas.openxmlformats.org/package/2006/relationships"><Relationship Id="rId8" Type="http://schemas.openxmlformats.org/officeDocument/2006/relationships/vmlDrawing" Target="../drawings/vmlDrawing12.vml"/><Relationship Id="rId3" Type="http://schemas.openxmlformats.org/officeDocument/2006/relationships/hyperlink" Target="http://www.associationbilancarbone.fr/download-file/485/field_fichier/479" TargetMode="External"/><Relationship Id="rId7" Type="http://schemas.openxmlformats.org/officeDocument/2006/relationships/drawing" Target="../drawings/drawing13.xml"/><Relationship Id="rId2" Type="http://schemas.openxmlformats.org/officeDocument/2006/relationships/hyperlink" Target="http://www.basecarbone.fr/documentation/generale/n:54" TargetMode="External"/><Relationship Id="rId1" Type="http://schemas.openxmlformats.org/officeDocument/2006/relationships/hyperlink" Target="http://www.basecarbone.fr/" TargetMode="External"/><Relationship Id="rId6" Type="http://schemas.openxmlformats.org/officeDocument/2006/relationships/hyperlink" Target="mailto:contact@associationbilancarbone.fr" TargetMode="External"/><Relationship Id="rId5" Type="http://schemas.openxmlformats.org/officeDocument/2006/relationships/hyperlink" Target="http://www.associationbilancarbone.fr/" TargetMode="External"/><Relationship Id="rId4" Type="http://schemas.openxmlformats.org/officeDocument/2006/relationships/hyperlink" Target="http://www.associationbilancarbone.fr/download-file/525/field_fichier/520" TargetMode="External"/><Relationship Id="rId9"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14.xml"/><Relationship Id="rId4" Type="http://schemas.openxmlformats.org/officeDocument/2006/relationships/vmlDrawing" Target="../drawings/vmlDrawing14.v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mailto:contact@associationbilancarbone.fr" TargetMode="External"/><Relationship Id="rId1" Type="http://schemas.openxmlformats.org/officeDocument/2006/relationships/hyperlink" Target="http://www.associationbilancarbone.fr/"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dimension ref="A1:J40"/>
  <sheetViews>
    <sheetView showGridLines="0" workbookViewId="0">
      <selection activeCell="D7" sqref="D7"/>
    </sheetView>
  </sheetViews>
  <sheetFormatPr baseColWidth="10" defaultColWidth="0" defaultRowHeight="13" x14ac:dyDescent="0.2"/>
  <cols>
    <col min="1" max="2" width="2.6640625" style="40" customWidth="1"/>
    <col min="3" max="3" width="52.6640625" style="40" bestFit="1" customWidth="1"/>
    <col min="4" max="4" width="33.6640625" style="40" customWidth="1"/>
    <col min="5" max="5" width="21.6640625" style="40" customWidth="1"/>
    <col min="6" max="6" width="71.6640625" style="40" customWidth="1"/>
    <col min="7" max="8" width="2.6640625" style="40" customWidth="1"/>
    <col min="9" max="10" width="0" style="40" hidden="1" customWidth="1"/>
    <col min="11" max="16384" width="10.83203125" style="40" hidden="1"/>
  </cols>
  <sheetData>
    <row r="1" spans="1:10" x14ac:dyDescent="0.2">
      <c r="A1" s="42"/>
    </row>
    <row r="2" spans="1:10" ht="30" customHeight="1" x14ac:dyDescent="0.2">
      <c r="C2" s="1726" t="s">
        <v>3026</v>
      </c>
      <c r="D2" s="1726"/>
      <c r="E2" s="1726"/>
      <c r="F2" s="1726"/>
      <c r="G2" s="121"/>
      <c r="H2" s="121"/>
      <c r="I2" s="121"/>
      <c r="J2" s="121"/>
    </row>
    <row r="3" spans="1:10" s="121" customFormat="1" ht="14" x14ac:dyDescent="0.2"/>
    <row r="4" spans="1:10" s="121" customFormat="1" ht="14" x14ac:dyDescent="0.2">
      <c r="C4" s="137" t="s">
        <v>2026</v>
      </c>
      <c r="D4" s="122"/>
    </row>
    <row r="5" spans="1:10" s="121" customFormat="1" ht="14" x14ac:dyDescent="0.2">
      <c r="C5" s="137" t="s">
        <v>3027</v>
      </c>
      <c r="D5" s="122"/>
    </row>
    <row r="6" spans="1:10" s="121" customFormat="1" ht="14" x14ac:dyDescent="0.2">
      <c r="C6" s="137" t="s">
        <v>3028</v>
      </c>
      <c r="D6" s="122"/>
    </row>
    <row r="7" spans="1:10" s="121" customFormat="1" ht="14" x14ac:dyDescent="0.2">
      <c r="C7" s="137" t="s">
        <v>3029</v>
      </c>
      <c r="D7" s="122" t="s">
        <v>2033</v>
      </c>
    </row>
    <row r="8" spans="1:10" s="121" customFormat="1" ht="14" x14ac:dyDescent="0.2">
      <c r="F8" s="1204"/>
    </row>
    <row r="9" spans="1:10" s="121" customFormat="1" ht="14" x14ac:dyDescent="0.2">
      <c r="C9" s="124"/>
      <c r="D9" s="125"/>
    </row>
    <row r="10" spans="1:10" s="121" customFormat="1" ht="14" hidden="1" x14ac:dyDescent="0.2">
      <c r="C10" s="137" t="s">
        <v>2028</v>
      </c>
      <c r="D10" s="123"/>
      <c r="E10" s="121" t="s">
        <v>2027</v>
      </c>
      <c r="F10" s="134" t="s">
        <v>2032</v>
      </c>
    </row>
    <row r="11" spans="1:10" s="121" customFormat="1" ht="14" hidden="1" x14ac:dyDescent="0.2">
      <c r="C11" s="137" t="s">
        <v>2029</v>
      </c>
      <c r="D11" s="123"/>
      <c r="E11" s="126" t="s">
        <v>2774</v>
      </c>
      <c r="F11" s="135">
        <f>D11*IF(E11="Md€",1000,1)*IF(E11="M€",1,1)*IF(E11="k€",0.001,1)*IF(E11="€",0.000001,1)</f>
        <v>0</v>
      </c>
    </row>
    <row r="12" spans="1:10" s="121" customFormat="1" ht="14" hidden="1" x14ac:dyDescent="0.2">
      <c r="C12" s="137" t="s">
        <v>2030</v>
      </c>
      <c r="D12" s="123"/>
      <c r="E12" s="126" t="s">
        <v>7</v>
      </c>
      <c r="F12" s="135">
        <f>D12*IF(E12="Md€",1000,1)*IF(E12="M€",1,1)*IF(E12="k€",0.001,1)*IF(E12="€",0.000001,1)</f>
        <v>0</v>
      </c>
    </row>
    <row r="13" spans="1:10" s="121" customFormat="1" ht="14" hidden="1" x14ac:dyDescent="0.2">
      <c r="C13" s="137" t="s">
        <v>2031</v>
      </c>
      <c r="D13" s="123"/>
      <c r="E13" s="126" t="s">
        <v>2</v>
      </c>
      <c r="F13" s="136">
        <f>D13*IF(E13="Md€",1000,1)*IF(E13="M€",1,1)*IF(E13="k€",0.001,1)*IF(E13="€",0.000001,1)</f>
        <v>0</v>
      </c>
    </row>
    <row r="14" spans="1:10" s="121" customFormat="1" ht="14" x14ac:dyDescent="0.2"/>
    <row r="15" spans="1:10" s="127" customFormat="1" ht="30" x14ac:dyDescent="0.2">
      <c r="C15" s="128" t="s">
        <v>2036</v>
      </c>
      <c r="D15" s="129" t="s">
        <v>2037</v>
      </c>
      <c r="E15" s="128" t="s">
        <v>2038</v>
      </c>
      <c r="F15" s="129" t="s">
        <v>2039</v>
      </c>
    </row>
    <row r="16" spans="1:10" s="121" customFormat="1" ht="14" x14ac:dyDescent="0.2">
      <c r="B16" s="1724"/>
      <c r="C16" s="130" t="s">
        <v>2787</v>
      </c>
      <c r="D16" s="297" t="str">
        <f>C16</f>
        <v>Energia</v>
      </c>
      <c r="E16" s="298" t="s">
        <v>2040</v>
      </c>
      <c r="F16" s="299" t="s">
        <v>2791</v>
      </c>
      <c r="G16" s="1724"/>
    </row>
    <row r="17" spans="2:7" s="121" customFormat="1" ht="14" x14ac:dyDescent="0.2">
      <c r="B17" s="1724"/>
      <c r="C17" s="131" t="s">
        <v>2788</v>
      </c>
      <c r="D17" s="300" t="str">
        <f t="shared" ref="D17:D28" si="0">C17</f>
        <v>Non-energetici</v>
      </c>
      <c r="E17" s="301" t="s">
        <v>2041</v>
      </c>
      <c r="F17" s="302" t="s">
        <v>2793</v>
      </c>
      <c r="G17" s="1724"/>
    </row>
    <row r="18" spans="2:7" s="121" customFormat="1" ht="14" x14ac:dyDescent="0.2">
      <c r="B18" s="1724"/>
      <c r="C18" s="131" t="s">
        <v>3050</v>
      </c>
      <c r="D18" s="300" t="str">
        <f t="shared" si="0"/>
        <v>Input</v>
      </c>
      <c r="E18" s="301" t="s">
        <v>715</v>
      </c>
      <c r="F18" s="302" t="s">
        <v>2794</v>
      </c>
      <c r="G18" s="1724"/>
    </row>
    <row r="19" spans="2:7" s="121" customFormat="1" ht="14" x14ac:dyDescent="0.2">
      <c r="B19" s="1724"/>
      <c r="C19" s="131" t="s">
        <v>2789</v>
      </c>
      <c r="D19" s="300" t="str">
        <f t="shared" si="0"/>
        <v xml:space="preserve">Imballaggi </v>
      </c>
      <c r="E19" s="301" t="s">
        <v>2042</v>
      </c>
      <c r="F19" s="302" t="s">
        <v>2795</v>
      </c>
      <c r="G19" s="1724"/>
    </row>
    <row r="20" spans="2:7" s="121" customFormat="1" ht="14" x14ac:dyDescent="0.2">
      <c r="B20" s="1724"/>
      <c r="C20" s="131" t="s">
        <v>2790</v>
      </c>
      <c r="D20" s="300" t="str">
        <f t="shared" si="0"/>
        <v>Trasporto merci</v>
      </c>
      <c r="E20" s="301" t="s">
        <v>719</v>
      </c>
      <c r="F20" s="302" t="s">
        <v>2797</v>
      </c>
      <c r="G20" s="1724"/>
    </row>
    <row r="21" spans="2:7" s="121" customFormat="1" ht="14" x14ac:dyDescent="0.2">
      <c r="B21" s="1724"/>
      <c r="C21" s="131" t="s">
        <v>2792</v>
      </c>
      <c r="D21" s="300" t="str">
        <f t="shared" si="0"/>
        <v>Trasporto persone</v>
      </c>
      <c r="E21" s="301" t="s">
        <v>1408</v>
      </c>
      <c r="F21" s="302" t="s">
        <v>2796</v>
      </c>
      <c r="G21" s="1724"/>
    </row>
    <row r="22" spans="2:7" s="121" customFormat="1" ht="14" x14ac:dyDescent="0.2">
      <c r="B22" s="1724"/>
      <c r="C22" s="131" t="s">
        <v>3024</v>
      </c>
      <c r="D22" s="300" t="str">
        <f t="shared" si="0"/>
        <v>Rifiuti di processo</v>
      </c>
      <c r="E22" s="301" t="s">
        <v>2043</v>
      </c>
      <c r="F22" s="302" t="s">
        <v>2798</v>
      </c>
      <c r="G22" s="1724"/>
    </row>
    <row r="23" spans="2:7" s="121" customFormat="1" ht="14" x14ac:dyDescent="0.2">
      <c r="B23" s="1724"/>
      <c r="C23" s="131" t="s">
        <v>2999</v>
      </c>
      <c r="D23" s="300" t="str">
        <f t="shared" si="0"/>
        <v>Beni di durevoli</v>
      </c>
      <c r="E23" s="301" t="s">
        <v>720</v>
      </c>
      <c r="F23" s="302" t="s">
        <v>2800</v>
      </c>
      <c r="G23" s="1724"/>
    </row>
    <row r="24" spans="2:7" s="121" customFormat="1" ht="14" x14ac:dyDescent="0.2">
      <c r="B24" s="1724"/>
      <c r="C24" s="131" t="s">
        <v>2801</v>
      </c>
      <c r="D24" s="300" t="str">
        <f t="shared" si="0"/>
        <v>Fase d'uso</v>
      </c>
      <c r="E24" s="301" t="s">
        <v>2044</v>
      </c>
      <c r="F24" s="302" t="s">
        <v>2802</v>
      </c>
      <c r="G24" s="1724"/>
    </row>
    <row r="25" spans="2:7" s="121" customFormat="1" ht="14" x14ac:dyDescent="0.2">
      <c r="B25" s="1724"/>
      <c r="C25" s="131" t="s">
        <v>2803</v>
      </c>
      <c r="D25" s="300" t="str">
        <f t="shared" si="0"/>
        <v>Fine vita</v>
      </c>
      <c r="E25" s="301" t="s">
        <v>2045</v>
      </c>
      <c r="F25" s="302" t="s">
        <v>2804</v>
      </c>
      <c r="G25" s="1724"/>
    </row>
    <row r="26" spans="2:7" s="121" customFormat="1" ht="14" x14ac:dyDescent="0.2">
      <c r="B26" s="1725"/>
      <c r="C26" s="299" t="s">
        <v>2805</v>
      </c>
      <c r="D26" s="297" t="str">
        <f>C26</f>
        <v>Fattori di Emissione</v>
      </c>
      <c r="E26" s="303" t="s">
        <v>711</v>
      </c>
      <c r="F26" s="299" t="s">
        <v>2806</v>
      </c>
      <c r="G26" s="1725"/>
    </row>
    <row r="27" spans="2:7" s="121" customFormat="1" ht="14" x14ac:dyDescent="0.2">
      <c r="B27" s="1725"/>
      <c r="C27" s="306" t="s">
        <v>3030</v>
      </c>
      <c r="D27" s="304" t="str">
        <f>C27</f>
        <v>Info utili</v>
      </c>
      <c r="E27" s="305" t="s">
        <v>2046</v>
      </c>
      <c r="F27" s="306" t="s">
        <v>2046</v>
      </c>
      <c r="G27" s="1725"/>
    </row>
    <row r="28" spans="2:7" s="121" customFormat="1" ht="14" x14ac:dyDescent="0.2">
      <c r="B28" s="1727"/>
      <c r="C28" s="299" t="s">
        <v>3031</v>
      </c>
      <c r="D28" s="307" t="str">
        <f t="shared" si="0"/>
        <v>CO2e panoramica</v>
      </c>
      <c r="E28" s="298" t="s">
        <v>2048</v>
      </c>
      <c r="F28" s="299" t="s">
        <v>2809</v>
      </c>
      <c r="G28" s="1727"/>
    </row>
    <row r="29" spans="2:7" ht="14" x14ac:dyDescent="0.2">
      <c r="B29" s="1728"/>
      <c r="C29" s="302" t="s">
        <v>121</v>
      </c>
      <c r="D29" s="300" t="str">
        <f t="shared" ref="D29:D31" si="1">C29</f>
        <v>GHG Protocol</v>
      </c>
      <c r="E29" s="301" t="s">
        <v>121</v>
      </c>
      <c r="F29" s="302" t="s">
        <v>2810</v>
      </c>
      <c r="G29" s="1728"/>
    </row>
    <row r="30" spans="2:7" ht="14" x14ac:dyDescent="0.2">
      <c r="B30" s="1729"/>
      <c r="C30" s="302" t="s">
        <v>132</v>
      </c>
      <c r="D30" s="1616" t="str">
        <f t="shared" si="1"/>
        <v>ISO 14069</v>
      </c>
      <c r="E30" s="301" t="s">
        <v>132</v>
      </c>
      <c r="F30" s="302" t="s">
        <v>2811</v>
      </c>
      <c r="G30" s="1729"/>
    </row>
    <row r="31" spans="2:7" ht="14" x14ac:dyDescent="0.2">
      <c r="B31" s="133"/>
      <c r="C31" s="309" t="s">
        <v>2807</v>
      </c>
      <c r="D31" s="1647" t="str">
        <f t="shared" si="1"/>
        <v>Grafici</v>
      </c>
      <c r="E31" s="308" t="s">
        <v>2047</v>
      </c>
      <c r="F31" s="309" t="s">
        <v>2808</v>
      </c>
      <c r="G31" s="132"/>
    </row>
    <row r="33" spans="5:8" x14ac:dyDescent="0.2">
      <c r="H33" s="1339" t="s">
        <v>2784</v>
      </c>
    </row>
    <row r="36" spans="5:8" ht="17" x14ac:dyDescent="0.2">
      <c r="E36" s="1642" t="s">
        <v>2767</v>
      </c>
      <c r="F36" s="1643" t="s">
        <v>2768</v>
      </c>
    </row>
    <row r="37" spans="5:8" ht="17" x14ac:dyDescent="0.2">
      <c r="E37" s="1643"/>
      <c r="F37" s="1643" t="s">
        <v>2769</v>
      </c>
    </row>
    <row r="38" spans="5:8" ht="17" x14ac:dyDescent="0.2">
      <c r="E38" s="1643"/>
      <c r="F38" s="1644" t="s">
        <v>2770</v>
      </c>
    </row>
    <row r="39" spans="5:8" ht="16" x14ac:dyDescent="0.2">
      <c r="E39" s="1645"/>
      <c r="F39" s="1646" t="s">
        <v>2771</v>
      </c>
    </row>
    <row r="40" spans="5:8" ht="17" x14ac:dyDescent="0.2">
      <c r="F40" s="1645" t="s">
        <v>2772</v>
      </c>
    </row>
  </sheetData>
  <mergeCells count="7">
    <mergeCell ref="B16:B25"/>
    <mergeCell ref="B26:B27"/>
    <mergeCell ref="C2:F2"/>
    <mergeCell ref="B28:B30"/>
    <mergeCell ref="G28:G30"/>
    <mergeCell ref="G16:G25"/>
    <mergeCell ref="G26:G27"/>
  </mergeCells>
  <phoneticPr fontId="9" type="noConversion"/>
  <dataValidations count="2">
    <dataValidation type="list" allowBlank="1" showInputMessage="1" showErrorMessage="1" sqref="E11:E13" xr:uid="{00000000-0002-0000-0000-000000000000}">
      <formula1>"€,k€,M€,Md€"</formula1>
    </dataValidation>
    <dataValidation type="list" allowBlank="1" showInputMessage="1" showErrorMessage="1" sqref="D7" xr:uid="{00000000-0002-0000-0000-000001000000}">
      <formula1>Approche_retenue</formula1>
    </dataValidation>
  </dataValidations>
  <hyperlinks>
    <hyperlink ref="D16" location="energie1_combustibles" display="Energie 1" xr:uid="{00000000-0004-0000-0000-000000000000}"/>
    <hyperlink ref="D17" location="procedes1_haut" display="procedes1_haut" xr:uid="{00000000-0004-0000-0000-000001000000}"/>
    <hyperlink ref="D18" location="intrants_metaux" display="intrants_metaux" xr:uid="{00000000-0004-0000-0000-000002000000}"/>
    <hyperlink ref="D19" location="emballages_metaux" display="emballages_metaux" xr:uid="{00000000-0004-0000-0000-000003000000}"/>
    <hyperlink ref="D20" location="fret_routier_interne" display="fret_routier_interne" xr:uid="{00000000-0004-0000-0000-000004000000}"/>
    <hyperlink ref="D21" location="deplacements_domicile_travail" display="deplacements_domicile_travail" xr:uid="{00000000-0004-0000-0000-000005000000}"/>
    <hyperlink ref="D22" location="dechets_haut" display="dechets_haut" xr:uid="{00000000-0004-0000-0000-000006000000}"/>
    <hyperlink ref="D23" location="immos_batiments" display="immos_batiments" xr:uid="{00000000-0004-0000-0000-000007000000}"/>
    <hyperlink ref="D24" location="utilisation_haut" display="utilisation_haut" xr:uid="{00000000-0004-0000-0000-000008000000}"/>
    <hyperlink ref="D25" location="fin_de_vie_haut" display="fin_de_vie_haut" xr:uid="{00000000-0004-0000-0000-000009000000}"/>
    <hyperlink ref="D28" location="recap_C_haut" display="recap_C_haut" xr:uid="{00000000-0004-0000-0000-00000A000000}"/>
    <hyperlink ref="D26" location="FE" display="FE" xr:uid="{00000000-0004-0000-0000-00000B000000}"/>
    <hyperlink ref="D27" location="Convertisseurs" display="Convertisseurs" xr:uid="{00000000-0004-0000-0000-00000C000000}"/>
    <hyperlink ref="D29" location="GHG_Protocol" display="GHG Protocol" xr:uid="{00000000-0004-0000-0000-00000D000000}"/>
    <hyperlink ref="D30:D31" location="GHG_Protocol" display="GHG Protocol" xr:uid="{00000000-0004-0000-0000-00000E000000}"/>
    <hyperlink ref="F39" r:id="rId1" xr:uid="{00000000-0004-0000-0000-00000F000000}"/>
    <hyperlink ref="F38" r:id="rId2" xr:uid="{00000000-0004-0000-0000-000010000000}"/>
  </hyperlinks>
  <pageMargins left="0.78740157499999996" right="0.78740157499999996" top="0.984251969" bottom="0.984251969" header="0.5" footer="0.5"/>
  <pageSetup paperSize="9" orientation="portrait" horizontalDpi="4294967292" verticalDpi="4294967292"/>
  <headerFooter alignWithMargins="0"/>
  <drawing r:id="rId3"/>
  <legacy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4">
    <tabColor theme="5"/>
    <outlinePr summaryBelow="0"/>
  </sheetPr>
  <dimension ref="A2:AY191"/>
  <sheetViews>
    <sheetView showGridLines="0" workbookViewId="0">
      <pane xSplit="3" ySplit="6" topLeftCell="D7" activePane="bottomRight" state="frozenSplit"/>
      <selection activeCell="E9" sqref="E9"/>
      <selection pane="topRight" activeCell="E9" sqref="E9"/>
      <selection pane="bottomLeft" activeCell="E9" sqref="E9"/>
      <selection pane="bottomRight" activeCell="B115" sqref="B115:C115"/>
    </sheetView>
  </sheetViews>
  <sheetFormatPr baseColWidth="10" defaultColWidth="10.83203125" defaultRowHeight="12" outlineLevelRow="1" x14ac:dyDescent="0.2"/>
  <cols>
    <col min="1" max="1" width="2.6640625" style="39" customWidth="1"/>
    <col min="2" max="2" width="52.6640625" style="39" customWidth="1"/>
    <col min="3" max="3" width="2.5" style="39" customWidth="1"/>
    <col min="4" max="5" width="12.33203125" style="39" customWidth="1"/>
    <col min="6" max="6" width="15.6640625" style="39" customWidth="1"/>
    <col min="7" max="36" width="12.33203125" style="39" customWidth="1"/>
    <col min="37" max="48" width="12.33203125" style="729" customWidth="1"/>
    <col min="49" max="54" width="12.33203125" style="39" customWidth="1"/>
    <col min="55" max="16384" width="10.83203125" style="39"/>
  </cols>
  <sheetData>
    <row r="2" spans="2:48" ht="30" customHeight="1" x14ac:dyDescent="0.2">
      <c r="B2" s="1726" t="str">
        <f>Description!C24</f>
        <v>Fase d'uso</v>
      </c>
      <c r="C2" s="1726"/>
      <c r="D2" s="1726"/>
      <c r="E2" s="1726"/>
      <c r="F2" s="1726"/>
      <c r="G2" s="1726"/>
      <c r="H2" s="1726"/>
      <c r="I2" s="1726"/>
      <c r="J2" s="1726"/>
      <c r="K2" s="1726"/>
      <c r="L2" s="1726"/>
      <c r="M2" s="1726"/>
      <c r="N2" s="1726"/>
      <c r="O2" s="1726"/>
    </row>
    <row r="3" spans="2:48" s="40" customFormat="1" ht="13" x14ac:dyDescent="0.2">
      <c r="AK3" s="602"/>
      <c r="AL3" s="602"/>
      <c r="AM3" s="602"/>
      <c r="AN3" s="602"/>
      <c r="AO3" s="602"/>
      <c r="AP3" s="602"/>
      <c r="AQ3" s="602"/>
      <c r="AR3" s="602"/>
      <c r="AS3" s="602"/>
      <c r="AT3" s="602"/>
      <c r="AU3" s="602"/>
      <c r="AV3" s="602"/>
    </row>
    <row r="4" spans="2:48" s="40" customFormat="1" ht="14" x14ac:dyDescent="0.2">
      <c r="B4" s="119" t="s">
        <v>2531</v>
      </c>
      <c r="C4" s="120"/>
      <c r="D4" s="1797" t="s">
        <v>2049</v>
      </c>
      <c r="E4" s="1797"/>
      <c r="F4" s="1797" t="s">
        <v>2532</v>
      </c>
      <c r="G4" s="1797"/>
      <c r="H4" s="1797" t="s">
        <v>2051</v>
      </c>
      <c r="I4" s="1797"/>
      <c r="J4" s="1797" t="s">
        <v>2738</v>
      </c>
      <c r="K4" s="1797"/>
      <c r="L4" s="104"/>
      <c r="M4" s="104"/>
      <c r="N4" s="104"/>
      <c r="O4" s="105"/>
      <c r="AK4" s="602"/>
      <c r="AL4" s="602"/>
      <c r="AM4" s="602"/>
      <c r="AN4" s="602"/>
      <c r="AO4" s="602"/>
      <c r="AP4" s="602"/>
      <c r="AQ4" s="602"/>
      <c r="AR4" s="602"/>
      <c r="AS4" s="602"/>
      <c r="AT4" s="602"/>
      <c r="AU4" s="602"/>
      <c r="AV4" s="602"/>
    </row>
    <row r="5" spans="2:48" s="40" customFormat="1" ht="14" x14ac:dyDescent="0.2">
      <c r="B5" s="106" t="s">
        <v>71</v>
      </c>
      <c r="C5" s="107"/>
      <c r="D5" s="1798" t="s">
        <v>44</v>
      </c>
      <c r="E5" s="1798"/>
      <c r="F5" s="1798" t="s">
        <v>121</v>
      </c>
      <c r="G5" s="1798"/>
      <c r="H5" s="1798" t="s">
        <v>132</v>
      </c>
      <c r="I5" s="1798"/>
      <c r="J5" s="108"/>
      <c r="K5" s="108"/>
      <c r="L5" s="108"/>
      <c r="M5" s="108"/>
      <c r="N5" s="108"/>
      <c r="O5" s="109"/>
      <c r="AK5" s="602"/>
      <c r="AL5" s="602"/>
      <c r="AM5" s="602"/>
      <c r="AN5" s="602"/>
      <c r="AO5" s="602"/>
      <c r="AP5" s="602"/>
      <c r="AQ5" s="602"/>
      <c r="AR5" s="602"/>
      <c r="AS5" s="602"/>
      <c r="AT5" s="602"/>
      <c r="AU5" s="602"/>
      <c r="AV5" s="602"/>
    </row>
    <row r="6" spans="2:48" s="40" customFormat="1" ht="14" x14ac:dyDescent="0.2">
      <c r="B6" s="41"/>
      <c r="C6" s="41"/>
      <c r="D6" s="41"/>
      <c r="E6" s="41"/>
      <c r="F6" s="41"/>
      <c r="G6" s="41"/>
      <c r="H6" s="32"/>
      <c r="I6" s="32"/>
      <c r="J6" s="32"/>
      <c r="AK6" s="602"/>
      <c r="AL6" s="602"/>
      <c r="AM6" s="602"/>
      <c r="AN6" s="602"/>
      <c r="AO6" s="602"/>
      <c r="AP6" s="602"/>
      <c r="AQ6" s="602"/>
      <c r="AR6" s="602"/>
      <c r="AS6" s="602"/>
      <c r="AT6" s="602"/>
      <c r="AU6" s="602"/>
      <c r="AV6" s="602"/>
    </row>
    <row r="7" spans="2:48" s="40" customFormat="1" ht="16" x14ac:dyDescent="0.2">
      <c r="B7" s="1795" t="s">
        <v>3087</v>
      </c>
      <c r="C7" s="1795"/>
      <c r="D7" s="1795"/>
      <c r="E7" s="1795"/>
      <c r="F7" s="1795"/>
      <c r="G7" s="1795"/>
      <c r="H7" s="1795"/>
      <c r="I7" s="1795"/>
      <c r="J7" s="1795"/>
      <c r="K7" s="1795"/>
      <c r="L7" s="1795"/>
      <c r="M7" s="1795"/>
      <c r="N7" s="1795"/>
      <c r="O7" s="1795"/>
      <c r="AK7" s="602"/>
      <c r="AL7" s="602"/>
      <c r="AM7" s="602"/>
      <c r="AN7" s="602"/>
      <c r="AO7" s="602"/>
      <c r="AP7" s="602"/>
      <c r="AQ7" s="602"/>
      <c r="AR7" s="602"/>
      <c r="AS7" s="602"/>
      <c r="AT7" s="602"/>
      <c r="AU7" s="602"/>
      <c r="AV7" s="602"/>
    </row>
    <row r="8" spans="2:48" s="40" customFormat="1" ht="13" outlineLevel="1" x14ac:dyDescent="0.2">
      <c r="AE8" s="328"/>
      <c r="AF8" s="328"/>
      <c r="AG8" s="328"/>
      <c r="AK8" s="602"/>
      <c r="AL8" s="602"/>
      <c r="AM8" s="602"/>
      <c r="AN8" s="602"/>
      <c r="AO8" s="602"/>
      <c r="AP8" s="602"/>
      <c r="AQ8" s="602"/>
      <c r="AR8" s="602"/>
      <c r="AS8" s="602"/>
      <c r="AT8" s="602"/>
      <c r="AU8" s="602"/>
      <c r="AV8" s="602"/>
    </row>
    <row r="9" spans="2:48" s="42" customFormat="1" ht="13" outlineLevel="1" x14ac:dyDescent="0.2">
      <c r="B9" s="195" t="s">
        <v>3088</v>
      </c>
      <c r="C9" s="196"/>
      <c r="D9" s="421"/>
      <c r="E9" s="421"/>
      <c r="F9" s="421"/>
      <c r="G9" s="198"/>
      <c r="H9" s="198"/>
      <c r="I9" s="198"/>
      <c r="J9" s="198"/>
      <c r="K9" s="198"/>
      <c r="L9" s="198"/>
      <c r="M9" s="198"/>
      <c r="N9" s="198"/>
      <c r="O9" s="198"/>
      <c r="P9" s="198"/>
      <c r="Q9" s="198"/>
      <c r="R9" s="198"/>
      <c r="S9" s="198"/>
      <c r="T9" s="199"/>
      <c r="U9" s="40"/>
      <c r="V9" s="1746" t="s">
        <v>723</v>
      </c>
      <c r="W9" s="1747"/>
      <c r="X9" s="1747"/>
      <c r="Y9" s="1747"/>
      <c r="Z9" s="1748"/>
      <c r="AB9" s="1746" t="s">
        <v>2066</v>
      </c>
      <c r="AC9" s="1747"/>
      <c r="AD9" s="1747"/>
      <c r="AE9" s="1747"/>
      <c r="AF9" s="1747"/>
      <c r="AG9" s="1747"/>
      <c r="AH9" s="1747"/>
      <c r="AI9" s="1748"/>
      <c r="AK9" s="1755" t="s">
        <v>2073</v>
      </c>
      <c r="AL9" s="1756"/>
      <c r="AM9" s="1756"/>
      <c r="AN9" s="1756"/>
      <c r="AO9" s="1756"/>
      <c r="AP9" s="1756"/>
      <c r="AQ9" s="1756"/>
      <c r="AR9" s="1756"/>
      <c r="AS9" s="1756"/>
      <c r="AT9" s="1756"/>
      <c r="AU9" s="1756"/>
      <c r="AV9" s="1757"/>
    </row>
    <row r="10" spans="2:48" s="40" customFormat="1" ht="13" outlineLevel="1" x14ac:dyDescent="0.2">
      <c r="B10" s="200"/>
      <c r="C10" s="201"/>
      <c r="D10" s="424"/>
      <c r="E10" s="424"/>
      <c r="F10" s="423"/>
      <c r="G10" s="201"/>
      <c r="H10" s="201"/>
      <c r="I10" s="201"/>
      <c r="J10" s="201"/>
      <c r="K10" s="201"/>
      <c r="L10" s="201"/>
      <c r="M10" s="201"/>
      <c r="N10" s="201"/>
      <c r="O10" s="201"/>
      <c r="P10" s="201"/>
      <c r="Q10" s="201"/>
      <c r="R10" s="201"/>
      <c r="S10" s="201"/>
      <c r="T10" s="203"/>
      <c r="V10" s="216"/>
      <c r="W10" s="217"/>
      <c r="X10" s="217"/>
      <c r="Y10" s="217"/>
      <c r="Z10" s="218"/>
      <c r="AB10" s="216"/>
      <c r="AC10" s="217"/>
      <c r="AD10" s="217"/>
      <c r="AE10" s="217"/>
      <c r="AF10" s="217"/>
      <c r="AG10" s="217"/>
      <c r="AH10" s="198"/>
      <c r="AI10" s="199"/>
      <c r="AK10" s="1758" t="s">
        <v>61</v>
      </c>
      <c r="AL10" s="1759"/>
      <c r="AM10" s="1759"/>
      <c r="AN10" s="1759"/>
      <c r="AO10" s="1759"/>
      <c r="AP10" s="1759"/>
      <c r="AQ10" s="1759"/>
      <c r="AR10" s="1759"/>
      <c r="AS10" s="1759" t="s">
        <v>61</v>
      </c>
      <c r="AT10" s="1760"/>
      <c r="AU10" s="730"/>
      <c r="AV10" s="731"/>
    </row>
    <row r="11" spans="2:48" s="32" customFormat="1" ht="13" outlineLevel="1" x14ac:dyDescent="0.2">
      <c r="B11" s="461" t="s">
        <v>766</v>
      </c>
      <c r="C11" s="423"/>
      <c r="D11" s="423" t="s">
        <v>56</v>
      </c>
      <c r="E11" s="423" t="s">
        <v>56</v>
      </c>
      <c r="F11" s="205" t="s">
        <v>2739</v>
      </c>
      <c r="G11" s="205" t="s">
        <v>2053</v>
      </c>
      <c r="H11" s="1745" t="s">
        <v>767</v>
      </c>
      <c r="I11" s="1745"/>
      <c r="J11" s="205" t="s">
        <v>2053</v>
      </c>
      <c r="K11" s="1745" t="s">
        <v>769</v>
      </c>
      <c r="L11" s="1745"/>
      <c r="M11" s="205" t="s">
        <v>2053</v>
      </c>
      <c r="N11" s="1745" t="s">
        <v>771</v>
      </c>
      <c r="O11" s="1745"/>
      <c r="P11" s="205" t="s">
        <v>2053</v>
      </c>
      <c r="Q11" s="1745" t="s">
        <v>770</v>
      </c>
      <c r="R11" s="1745"/>
      <c r="S11" s="424" t="s">
        <v>61</v>
      </c>
      <c r="T11" s="481" t="s">
        <v>61</v>
      </c>
      <c r="U11" s="40"/>
      <c r="V11" s="1621" t="s">
        <v>2557</v>
      </c>
      <c r="W11" s="423" t="s">
        <v>2110</v>
      </c>
      <c r="X11" s="423" t="s">
        <v>61</v>
      </c>
      <c r="Y11" s="423" t="s">
        <v>61</v>
      </c>
      <c r="Z11" s="481" t="s">
        <v>61</v>
      </c>
      <c r="AB11" s="461" t="s">
        <v>2065</v>
      </c>
      <c r="AC11" s="423" t="s">
        <v>61</v>
      </c>
      <c r="AD11" s="423" t="s">
        <v>61</v>
      </c>
      <c r="AE11" s="424" t="s">
        <v>61</v>
      </c>
      <c r="AF11" s="423" t="s">
        <v>2558</v>
      </c>
      <c r="AG11" s="423" t="s">
        <v>61</v>
      </c>
      <c r="AH11" s="423" t="s">
        <v>61</v>
      </c>
      <c r="AI11" s="481" t="s">
        <v>61</v>
      </c>
      <c r="AK11" s="1764" t="s">
        <v>14</v>
      </c>
      <c r="AL11" s="1761"/>
      <c r="AM11" s="1761" t="s">
        <v>60</v>
      </c>
      <c r="AN11" s="1761"/>
      <c r="AO11" s="1761" t="s">
        <v>27</v>
      </c>
      <c r="AP11" s="1761"/>
      <c r="AQ11" s="1761" t="s">
        <v>2074</v>
      </c>
      <c r="AR11" s="1761"/>
      <c r="AS11" s="1762" t="s">
        <v>41</v>
      </c>
      <c r="AT11" s="1763"/>
      <c r="AU11" s="1764" t="s">
        <v>85</v>
      </c>
      <c r="AV11" s="1765"/>
    </row>
    <row r="12" spans="2:48" s="32" customFormat="1" ht="13" outlineLevel="1" x14ac:dyDescent="0.2">
      <c r="B12" s="461"/>
      <c r="C12" s="423"/>
      <c r="D12" s="423" t="s">
        <v>61</v>
      </c>
      <c r="E12" s="423" t="s">
        <v>63</v>
      </c>
      <c r="F12" s="208" t="s">
        <v>2054</v>
      </c>
      <c r="G12" s="208" t="s">
        <v>34</v>
      </c>
      <c r="H12" s="431" t="s">
        <v>768</v>
      </c>
      <c r="I12" s="431" t="s">
        <v>24</v>
      </c>
      <c r="J12" s="208" t="s">
        <v>2061</v>
      </c>
      <c r="K12" s="431" t="s">
        <v>768</v>
      </c>
      <c r="L12" s="431" t="s">
        <v>24</v>
      </c>
      <c r="M12" s="208" t="s">
        <v>2059</v>
      </c>
      <c r="N12" s="431" t="s">
        <v>768</v>
      </c>
      <c r="O12" s="431" t="s">
        <v>24</v>
      </c>
      <c r="P12" s="208" t="s">
        <v>15</v>
      </c>
      <c r="Q12" s="431" t="s">
        <v>768</v>
      </c>
      <c r="R12" s="431" t="s">
        <v>24</v>
      </c>
      <c r="S12" s="422" t="s">
        <v>768</v>
      </c>
      <c r="T12" s="274" t="s">
        <v>24</v>
      </c>
      <c r="U12" s="40"/>
      <c r="V12" s="1621" t="s">
        <v>2109</v>
      </c>
      <c r="W12" s="423"/>
      <c r="X12" s="431" t="s">
        <v>768</v>
      </c>
      <c r="Y12" s="431" t="s">
        <v>24</v>
      </c>
      <c r="Z12" s="219" t="s">
        <v>41</v>
      </c>
      <c r="AB12" s="461"/>
      <c r="AC12" s="431" t="s">
        <v>768</v>
      </c>
      <c r="AD12" s="431" t="s">
        <v>24</v>
      </c>
      <c r="AE12" s="223" t="s">
        <v>41</v>
      </c>
      <c r="AF12" s="423"/>
      <c r="AG12" s="431" t="s">
        <v>768</v>
      </c>
      <c r="AH12" s="431" t="s">
        <v>24</v>
      </c>
      <c r="AI12" s="219" t="s">
        <v>41</v>
      </c>
      <c r="AK12" s="732" t="s">
        <v>768</v>
      </c>
      <c r="AL12" s="733" t="s">
        <v>24</v>
      </c>
      <c r="AM12" s="733" t="s">
        <v>768</v>
      </c>
      <c r="AN12" s="733" t="s">
        <v>24</v>
      </c>
      <c r="AO12" s="733" t="s">
        <v>768</v>
      </c>
      <c r="AP12" s="733" t="s">
        <v>24</v>
      </c>
      <c r="AQ12" s="733" t="s">
        <v>768</v>
      </c>
      <c r="AR12" s="733" t="s">
        <v>24</v>
      </c>
      <c r="AS12" s="734" t="s">
        <v>768</v>
      </c>
      <c r="AT12" s="735" t="s">
        <v>24</v>
      </c>
      <c r="AU12" s="732" t="s">
        <v>768</v>
      </c>
      <c r="AV12" s="736" t="s">
        <v>24</v>
      </c>
    </row>
    <row r="13" spans="2:48" s="40" customFormat="1" ht="13" outlineLevel="1" x14ac:dyDescent="0.2">
      <c r="B13" s="200" t="s">
        <v>785</v>
      </c>
      <c r="C13" s="201"/>
      <c r="D13" s="262">
        <f t="shared" ref="D13:D18" si="0">S13+T13</f>
        <v>0</v>
      </c>
      <c r="E13" s="265">
        <f t="shared" ref="E13:E18" si="1">D13*12/44</f>
        <v>0</v>
      </c>
      <c r="F13" s="388"/>
      <c r="G13" s="182"/>
      <c r="H13" s="271">
        <f>VLOOKUP($B13,'Emissions factors'!$B$84:$K$147,2,FALSE)</f>
        <v>0</v>
      </c>
      <c r="I13" s="271">
        <f>VLOOKUP($B13,'Emissions factors'!$B$84:$K$147,3,FALSE)</f>
        <v>0</v>
      </c>
      <c r="J13" s="182"/>
      <c r="K13" s="277">
        <f>VLOOKUP($B13,'Emissions factors'!$B$84:$K$147,4,FALSE)</f>
        <v>3.8899999999999997E-2</v>
      </c>
      <c r="L13" s="277">
        <f>VLOOKUP($B13,'Emissions factors'!$B$84:$K$147,5,FALSE)</f>
        <v>0.20393000000000003</v>
      </c>
      <c r="M13" s="182"/>
      <c r="N13" s="271">
        <f>VLOOKUP($B13,'Emissions factors'!$B$84:$K$147,6,FALSE)</f>
        <v>368</v>
      </c>
      <c r="O13" s="271">
        <f>VLOOKUP($B13,'Emissions factors'!$B$84:$K$147,7,FALSE)</f>
        <v>2374.1000000000004</v>
      </c>
      <c r="P13" s="182"/>
      <c r="Q13" s="277">
        <f>VLOOKUP($B13,'Emissions factors'!$B$84:$K$147,8,FALSE)</f>
        <v>0</v>
      </c>
      <c r="R13" s="277">
        <f>VLOOKUP($B13,'Emissions factors'!$B$84:$K$147,9,FALSE)</f>
        <v>0</v>
      </c>
      <c r="S13" s="210">
        <f t="shared" ref="S13:S18" si="2">G13*H13+J13*K13+M13*N13+P13*Q13</f>
        <v>0</v>
      </c>
      <c r="T13" s="211">
        <f t="shared" ref="T13:T18" si="3">G13*I13+J13*L13+M13*O13+P13*R13</f>
        <v>0</v>
      </c>
      <c r="V13" s="282">
        <f>VLOOKUP($B13,'Emissions factors'!$B$84:$K$147,10,FALSE)</f>
        <v>0.05</v>
      </c>
      <c r="W13" s="183"/>
      <c r="X13" s="221">
        <f t="shared" ref="X13:X18" si="4">S13*SQRT(V13^2+W13^2)</f>
        <v>0</v>
      </c>
      <c r="Y13" s="221">
        <f t="shared" ref="Y13:Y18" si="5">T13*SQRT(V13^2+W13^2)</f>
        <v>0</v>
      </c>
      <c r="Z13" s="211">
        <f t="shared" ref="Z13:Z18" si="6">SQRT(X13^2+Y13^2)</f>
        <v>0</v>
      </c>
      <c r="AB13" s="184"/>
      <c r="AC13" s="221">
        <f t="shared" ref="AC13:AC18" si="7">S13*AB13</f>
        <v>0</v>
      </c>
      <c r="AD13" s="224">
        <f t="shared" ref="AD13:AD18" si="8">T13*AB13</f>
        <v>0</v>
      </c>
      <c r="AE13" s="210">
        <f t="shared" ref="AE13:AE18" si="9">AC13+AD13</f>
        <v>0</v>
      </c>
      <c r="AF13" s="184"/>
      <c r="AG13" s="221">
        <f t="shared" ref="AG13:AG18" si="10">S13*AF13</f>
        <v>0</v>
      </c>
      <c r="AH13" s="224">
        <f t="shared" ref="AH13:AH18" si="11">T13*AF13</f>
        <v>0</v>
      </c>
      <c r="AI13" s="211">
        <f t="shared" ref="AI13:AI18" si="12">AG13+AH13</f>
        <v>0</v>
      </c>
      <c r="AK13" s="717">
        <f>G13*VLOOKUP($B13,'Emissions factors'!$B$84:$AQ$147,11,FALSE)+J13*VLOOKUP($B13,'Emissions factors'!$B$84:$AQ$147,13,FALSE)+M13*VLOOKUP($B13,'Emissions factors'!$B$84:$AQ$147,15,FALSE)+P13*VLOOKUP($B13,'Emissions factors'!$B$84:$AQ$147,17,FALSE)</f>
        <v>0</v>
      </c>
      <c r="AL13" s="718">
        <f>G13*VLOOKUP($B13,'Emissions factors'!$B$84:$AQ$147,12,FALSE)+J13*VLOOKUP($B13,'Emissions factors'!$B$84:$AQ$147,14,FALSE)+M13*VLOOKUP($B13,'Emissions factors'!$B$84:$AQ$147,16,FALSE)+P13*VLOOKUP($B13,'Emissions factors'!$B$84:$AQ$147,18,FALSE)</f>
        <v>0</v>
      </c>
      <c r="AM13" s="718">
        <f>G13*VLOOKUP($B13,'Emissions factors'!$B$84:$AQ$147,19,FALSE)+J13*VLOOKUP($B13,'Emissions factors'!$B$84:$AQ$147,21,FALSE)+M13*VLOOKUP($B13,'Emissions factors'!$B$84:$AQ$147,23,FALSE)+P13*VLOOKUP($B13,'Emissions factors'!$B$84:$AQ$147,25,FALSE)</f>
        <v>0</v>
      </c>
      <c r="AN13" s="718">
        <f>G13*VLOOKUP($B13,'Emissions factors'!$B$84:$AQ$147,20,FALSE)+J13*VLOOKUP($B13,'Emissions factors'!$B$84:$AQ$147,22,FALSE)+M13*VLOOKUP($B13,'Emissions factors'!$B$84:$AQ$147,24,FALSE)+P13*VLOOKUP($B13,'Emissions factors'!$B$84:$AQ$147,26,FALSE)</f>
        <v>0</v>
      </c>
      <c r="AO13" s="718">
        <f>G13*VLOOKUP($B13,'Emissions factors'!$B$84:$AQ$147,27,FALSE)+J13*VLOOKUP($B13,'Emissions factors'!$B$84:$AQ$147,29,FALSE)+M13*VLOOKUP($B13,'Emissions factors'!$B$84:$AQ$147,31,FALSE)+P13*VLOOKUP($B13,'Emissions factors'!$B$84:$AQ$147,33,FALSE)</f>
        <v>0</v>
      </c>
      <c r="AP13" s="718">
        <f>G13*VLOOKUP($B13,'Emissions factors'!$B$84:$AQ$147,28,FALSE)+J13*VLOOKUP($B13,'Emissions factors'!$B$84:$AQ$147,30,FALSE)+M13*VLOOKUP($B13,'Emissions factors'!$B$84:$AQ$147,32,FALSE)+P13*VLOOKUP($B13,'Emissions factors'!$B$84:$AQ$147,34,FALSE)</f>
        <v>0</v>
      </c>
      <c r="AQ13" s="718">
        <v>0</v>
      </c>
      <c r="AR13" s="718">
        <v>0</v>
      </c>
      <c r="AS13" s="719">
        <f>S13</f>
        <v>0</v>
      </c>
      <c r="AT13" s="720">
        <f>T13</f>
        <v>0</v>
      </c>
      <c r="AU13" s="718">
        <f>G13*VLOOKUP($B13,'Emissions factors'!$B$84:$AQ$147,35,FALSE)+J13*VLOOKUP($B13,'Emissions factors'!$B$84:$AQ$147,37,FALSE)+M13*VLOOKUP($B13,'Emissions factors'!$B$84:$AQ$147,39,FALSE)+P13*VLOOKUP($B13,'Emissions factors'!$B$84:$AQ$147,41,FALSE)</f>
        <v>0</v>
      </c>
      <c r="AV13" s="721">
        <f>G13*VLOOKUP($B13,'Emissions factors'!$B$84:$AQ$147,36,FALSE)+J13*VLOOKUP($B13,'Emissions factors'!$B$84:$AQ$147,38,FALSE)+M13*VLOOKUP($B13,'Emissions factors'!$B$84:$AQ$147,40,FALSE)+P13*VLOOKUP($B13,'Emissions factors'!$B$84:$AQ$147,42,FALSE)</f>
        <v>0</v>
      </c>
    </row>
    <row r="14" spans="2:48" s="40" customFormat="1" ht="13" outlineLevel="1" x14ac:dyDescent="0.2">
      <c r="B14" s="200" t="s">
        <v>796</v>
      </c>
      <c r="C14" s="201"/>
      <c r="D14" s="262">
        <f t="shared" si="0"/>
        <v>0</v>
      </c>
      <c r="E14" s="265">
        <f t="shared" si="1"/>
        <v>0</v>
      </c>
      <c r="F14" s="389"/>
      <c r="G14" s="185"/>
      <c r="H14" s="271">
        <f>VLOOKUP($B14,'Emissions factors'!$B$84:$K$147,2,FALSE)</f>
        <v>707.3</v>
      </c>
      <c r="I14" s="271">
        <f>VLOOKUP($B14,'Emissions factors'!$B$84:$K$147,3,FALSE)</f>
        <v>3008.5</v>
      </c>
      <c r="J14" s="185"/>
      <c r="K14" s="277">
        <f>VLOOKUP($B14,'Emissions factors'!$B$84:$K$147,4,FALSE)</f>
        <v>6.0859999999999997E-2</v>
      </c>
      <c r="L14" s="277">
        <f>VLOOKUP($B14,'Emissions factors'!$B$84:$K$147,5,FALSE)</f>
        <v>0.25307999999999997</v>
      </c>
      <c r="M14" s="185"/>
      <c r="N14" s="271">
        <f>VLOOKUP($B14,'Emissions factors'!$B$84:$K$147,6,FALSE)</f>
        <v>694.7</v>
      </c>
      <c r="O14" s="271">
        <f>VLOOKUP($B14,'Emissions factors'!$B$84:$K$147,7,FALSE)</f>
        <v>2957.6</v>
      </c>
      <c r="P14" s="185"/>
      <c r="Q14" s="277">
        <f>VLOOKUP($B14,'Emissions factors'!$B$84:$K$147,8,FALSE)</f>
        <v>0.53329999999999989</v>
      </c>
      <c r="R14" s="277">
        <f>VLOOKUP($B14,'Emissions factors'!$B$84:$K$147,9,FALSE)</f>
        <v>2.2637</v>
      </c>
      <c r="S14" s="210">
        <f t="shared" si="2"/>
        <v>0</v>
      </c>
      <c r="T14" s="211">
        <f t="shared" si="3"/>
        <v>0</v>
      </c>
      <c r="V14" s="282">
        <f>VLOOKUP($B14,'Emissions factors'!$B$84:$K$147,10,FALSE)</f>
        <v>0.05</v>
      </c>
      <c r="W14" s="186"/>
      <c r="X14" s="221">
        <f t="shared" si="4"/>
        <v>0</v>
      </c>
      <c r="Y14" s="221">
        <f t="shared" si="5"/>
        <v>0</v>
      </c>
      <c r="Z14" s="211">
        <f t="shared" si="6"/>
        <v>0</v>
      </c>
      <c r="AB14" s="187"/>
      <c r="AC14" s="221">
        <f t="shared" si="7"/>
        <v>0</v>
      </c>
      <c r="AD14" s="224">
        <f t="shared" si="8"/>
        <v>0</v>
      </c>
      <c r="AE14" s="210">
        <f t="shared" si="9"/>
        <v>0</v>
      </c>
      <c r="AF14" s="187"/>
      <c r="AG14" s="221">
        <f t="shared" si="10"/>
        <v>0</v>
      </c>
      <c r="AH14" s="224">
        <f t="shared" si="11"/>
        <v>0</v>
      </c>
      <c r="AI14" s="211">
        <f t="shared" si="12"/>
        <v>0</v>
      </c>
      <c r="AK14" s="717">
        <f>G14*VLOOKUP($B14,'Emissions factors'!$B$84:$AQ$147,11,FALSE)+J14*VLOOKUP($B14,'Emissions factors'!$B$84:$AQ$147,13,FALSE)+M14*VLOOKUP($B14,'Emissions factors'!$B$84:$AQ$147,15,FALSE)+P14*VLOOKUP($B14,'Emissions factors'!$B$84:$AQ$147,17,FALSE)</f>
        <v>0</v>
      </c>
      <c r="AL14" s="718">
        <f>G14*VLOOKUP($B14,'Emissions factors'!$B$84:$AQ$147,12,FALSE)+J14*VLOOKUP($B14,'Emissions factors'!$B$84:$AQ$147,14,FALSE)+M14*VLOOKUP($B14,'Emissions factors'!$B$84:$AQ$147,16,FALSE)+P14*VLOOKUP($B14,'Emissions factors'!$B$84:$AQ$147,18,FALSE)</f>
        <v>0</v>
      </c>
      <c r="AM14" s="718">
        <f>G14*VLOOKUP($B14,'Emissions factors'!$B$84:$AQ$147,19,FALSE)+J14*VLOOKUP($B14,'Emissions factors'!$B$84:$AQ$147,21,FALSE)+M14*VLOOKUP($B14,'Emissions factors'!$B$84:$AQ$147,23,FALSE)+P14*VLOOKUP($B14,'Emissions factors'!$B$84:$AQ$147,25,FALSE)</f>
        <v>0</v>
      </c>
      <c r="AN14" s="718">
        <f>G14*VLOOKUP($B14,'Emissions factors'!$B$84:$AQ$147,20,FALSE)+J14*VLOOKUP($B14,'Emissions factors'!$B$84:$AQ$147,22,FALSE)+M14*VLOOKUP($B14,'Emissions factors'!$B$84:$AQ$147,24,FALSE)+P14*VLOOKUP($B14,'Emissions factors'!$B$84:$AQ$147,26,FALSE)</f>
        <v>0</v>
      </c>
      <c r="AO14" s="718">
        <f>G14*VLOOKUP($B14,'Emissions factors'!$B$84:$AQ$147,27,FALSE)+J14*VLOOKUP($B14,'Emissions factors'!$B$84:$AQ$147,29,FALSE)+M14*VLOOKUP($B14,'Emissions factors'!$B$84:$AQ$147,31,FALSE)+P14*VLOOKUP($B14,'Emissions factors'!$B$84:$AQ$147,33,FALSE)</f>
        <v>0</v>
      </c>
      <c r="AP14" s="718">
        <f>G14*VLOOKUP($B14,'Emissions factors'!$B$84:$AQ$147,28,FALSE)+J14*VLOOKUP($B14,'Emissions factors'!$B$84:$AQ$147,30,FALSE)+M14*VLOOKUP($B14,'Emissions factors'!$B$84:$AQ$147,32,FALSE)+P14*VLOOKUP($B14,'Emissions factors'!$B$84:$AQ$147,34,FALSE)</f>
        <v>0</v>
      </c>
      <c r="AQ14" s="718">
        <v>0</v>
      </c>
      <c r="AR14" s="718">
        <v>0</v>
      </c>
      <c r="AS14" s="719">
        <f t="shared" ref="AS14:AT18" si="13">S14</f>
        <v>0</v>
      </c>
      <c r="AT14" s="720">
        <f t="shared" si="13"/>
        <v>0</v>
      </c>
      <c r="AU14" s="718">
        <f>G14*VLOOKUP($B14,'Emissions factors'!$B$84:$AQ$147,35,FALSE)+J14*VLOOKUP($B14,'Emissions factors'!$B$84:$AQ$147,37,FALSE)+M14*VLOOKUP($B14,'Emissions factors'!$B$84:$AQ$147,39,FALSE)+P14*VLOOKUP($B14,'Emissions factors'!$B$84:$AQ$147,41,FALSE)</f>
        <v>0</v>
      </c>
      <c r="AV14" s="721">
        <f>G14*VLOOKUP($B14,'Emissions factors'!$B$84:$AQ$147,36,FALSE)+J14*VLOOKUP($B14,'Emissions factors'!$B$84:$AQ$147,38,FALSE)+M14*VLOOKUP($B14,'Emissions factors'!$B$84:$AQ$147,40,FALSE)+P14*VLOOKUP($B14,'Emissions factors'!$B$84:$AQ$147,42,FALSE)</f>
        <v>0</v>
      </c>
    </row>
    <row r="15" spans="2:48" s="40" customFormat="1" ht="13" outlineLevel="1" x14ac:dyDescent="0.2">
      <c r="B15" s="200" t="s">
        <v>800</v>
      </c>
      <c r="C15" s="201"/>
      <c r="D15" s="262">
        <f t="shared" si="0"/>
        <v>0</v>
      </c>
      <c r="E15" s="265">
        <f t="shared" si="1"/>
        <v>0</v>
      </c>
      <c r="F15" s="389"/>
      <c r="G15" s="185"/>
      <c r="H15" s="271">
        <f>VLOOKUP($B15,'Emissions factors'!$B$84:$K$147,2,FALSE)</f>
        <v>676.2</v>
      </c>
      <c r="I15" s="271">
        <f>VLOOKUP($B15,'Emissions factors'!$B$84:$K$147,3,FALSE)</f>
        <v>3169.22</v>
      </c>
      <c r="J15" s="185"/>
      <c r="K15" s="277">
        <f>VLOOKUP($B15,'Emissions factors'!$B$84:$K$147,4,FALSE)</f>
        <v>5.2699999999999997E-2</v>
      </c>
      <c r="L15" s="277">
        <f>VLOOKUP($B15,'Emissions factors'!$B$84:$K$147,5,FALSE)</f>
        <v>0.271646</v>
      </c>
      <c r="M15" s="185"/>
      <c r="N15" s="271">
        <f>VLOOKUP($B15,'Emissions factors'!$B$84:$K$147,6,FALSE)</f>
        <v>528.5</v>
      </c>
      <c r="O15" s="271">
        <f>VLOOKUP($B15,'Emissions factors'!$B$84:$K$147,7,FALSE)</f>
        <v>3169.7</v>
      </c>
      <c r="P15" s="185"/>
      <c r="Q15" s="277">
        <f>VLOOKUP($B15,'Emissions factors'!$B$84:$K$147,8,FALSE)</f>
        <v>0.5706</v>
      </c>
      <c r="R15" s="277">
        <f>VLOOKUP($B15,'Emissions factors'!$B$84:$K$147,9,FALSE)</f>
        <v>2.6762300000000003</v>
      </c>
      <c r="S15" s="210">
        <f t="shared" si="2"/>
        <v>0</v>
      </c>
      <c r="T15" s="211">
        <f t="shared" si="3"/>
        <v>0</v>
      </c>
      <c r="V15" s="282">
        <f>VLOOKUP($B15,'Emissions factors'!$B$84:$K$147,10,FALSE)</f>
        <v>0.05</v>
      </c>
      <c r="W15" s="186"/>
      <c r="X15" s="221">
        <f t="shared" si="4"/>
        <v>0</v>
      </c>
      <c r="Y15" s="221">
        <f t="shared" si="5"/>
        <v>0</v>
      </c>
      <c r="Z15" s="211">
        <f t="shared" si="6"/>
        <v>0</v>
      </c>
      <c r="AB15" s="187"/>
      <c r="AC15" s="221">
        <f t="shared" si="7"/>
        <v>0</v>
      </c>
      <c r="AD15" s="224">
        <f t="shared" si="8"/>
        <v>0</v>
      </c>
      <c r="AE15" s="210">
        <f t="shared" si="9"/>
        <v>0</v>
      </c>
      <c r="AF15" s="187"/>
      <c r="AG15" s="221">
        <f t="shared" si="10"/>
        <v>0</v>
      </c>
      <c r="AH15" s="224">
        <f t="shared" si="11"/>
        <v>0</v>
      </c>
      <c r="AI15" s="211">
        <f t="shared" si="12"/>
        <v>0</v>
      </c>
      <c r="AK15" s="717">
        <f>G15*VLOOKUP($B15,'Emissions factors'!$B$84:$AQ$147,11,FALSE)+J15*VLOOKUP($B15,'Emissions factors'!$B$84:$AQ$147,13,FALSE)+M15*VLOOKUP($B15,'Emissions factors'!$B$84:$AQ$147,15,FALSE)+P15*VLOOKUP($B15,'Emissions factors'!$B$84:$AQ$147,17,FALSE)</f>
        <v>0</v>
      </c>
      <c r="AL15" s="718">
        <f>G15*VLOOKUP($B15,'Emissions factors'!$B$84:$AQ$147,12,FALSE)+J15*VLOOKUP($B15,'Emissions factors'!$B$84:$AQ$147,14,FALSE)+M15*VLOOKUP($B15,'Emissions factors'!$B$84:$AQ$147,16,FALSE)+P15*VLOOKUP($B15,'Emissions factors'!$B$84:$AQ$147,18,FALSE)</f>
        <v>0</v>
      </c>
      <c r="AM15" s="718">
        <f>G15*VLOOKUP($B15,'Emissions factors'!$B$84:$AQ$147,19,FALSE)+J15*VLOOKUP($B15,'Emissions factors'!$B$84:$AQ$147,21,FALSE)+M15*VLOOKUP($B15,'Emissions factors'!$B$84:$AQ$147,23,FALSE)+P15*VLOOKUP($B15,'Emissions factors'!$B$84:$AQ$147,25,FALSE)</f>
        <v>0</v>
      </c>
      <c r="AN15" s="718">
        <f>G15*VLOOKUP($B15,'Emissions factors'!$B$84:$AQ$147,20,FALSE)+J15*VLOOKUP($B15,'Emissions factors'!$B$84:$AQ$147,22,FALSE)+M15*VLOOKUP($B15,'Emissions factors'!$B$84:$AQ$147,24,FALSE)+P15*VLOOKUP($B15,'Emissions factors'!$B$84:$AQ$147,26,FALSE)</f>
        <v>0</v>
      </c>
      <c r="AO15" s="718">
        <f>G15*VLOOKUP($B15,'Emissions factors'!$B$84:$AQ$147,27,FALSE)+J15*VLOOKUP($B15,'Emissions factors'!$B$84:$AQ$147,29,FALSE)+M15*VLOOKUP($B15,'Emissions factors'!$B$84:$AQ$147,31,FALSE)+P15*VLOOKUP($B15,'Emissions factors'!$B$84:$AQ$147,33,FALSE)</f>
        <v>0</v>
      </c>
      <c r="AP15" s="718">
        <f>G15*VLOOKUP($B15,'Emissions factors'!$B$84:$AQ$147,28,FALSE)+J15*VLOOKUP($B15,'Emissions factors'!$B$84:$AQ$147,30,FALSE)+M15*VLOOKUP($B15,'Emissions factors'!$B$84:$AQ$147,32,FALSE)+P15*VLOOKUP($B15,'Emissions factors'!$B$84:$AQ$147,34,FALSE)</f>
        <v>0</v>
      </c>
      <c r="AQ15" s="718">
        <v>0</v>
      </c>
      <c r="AR15" s="718">
        <v>0</v>
      </c>
      <c r="AS15" s="719">
        <f t="shared" si="13"/>
        <v>0</v>
      </c>
      <c r="AT15" s="720">
        <f t="shared" si="13"/>
        <v>0</v>
      </c>
      <c r="AU15" s="718">
        <f>G15*VLOOKUP($B15,'Emissions factors'!$B$84:$AQ$147,35,FALSE)+J15*VLOOKUP($B15,'Emissions factors'!$B$84:$AQ$147,37,FALSE)+M15*VLOOKUP($B15,'Emissions factors'!$B$84:$AQ$147,39,FALSE)+P15*VLOOKUP($B15,'Emissions factors'!$B$84:$AQ$147,41,FALSE)</f>
        <v>0</v>
      </c>
      <c r="AV15" s="721">
        <f>G15*VLOOKUP($B15,'Emissions factors'!$B$84:$AQ$147,36,FALSE)+J15*VLOOKUP($B15,'Emissions factors'!$B$84:$AQ$147,38,FALSE)+M15*VLOOKUP($B15,'Emissions factors'!$B$84:$AQ$147,40,FALSE)+P15*VLOOKUP($B15,'Emissions factors'!$B$84:$AQ$147,42,FALSE)</f>
        <v>0</v>
      </c>
    </row>
    <row r="16" spans="2:48" s="40" customFormat="1" ht="13" outlineLevel="1" x14ac:dyDescent="0.2">
      <c r="B16" s="200" t="s">
        <v>805</v>
      </c>
      <c r="C16" s="201"/>
      <c r="D16" s="262">
        <f t="shared" si="0"/>
        <v>0</v>
      </c>
      <c r="E16" s="265">
        <f t="shared" si="1"/>
        <v>0</v>
      </c>
      <c r="F16" s="389"/>
      <c r="G16" s="185"/>
      <c r="H16" s="271">
        <f>VLOOKUP($B16,'Emissions factors'!$B$84:$K$147,2,FALSE)</f>
        <v>775.9</v>
      </c>
      <c r="I16" s="271">
        <f>VLOOKUP($B16,'Emissions factors'!$B$84:$K$147,3,FALSE)</f>
        <v>2975.0299999999997</v>
      </c>
      <c r="J16" s="185"/>
      <c r="K16" s="277">
        <f>VLOOKUP($B16,'Emissions factors'!$B$84:$K$147,4,FALSE)</f>
        <v>6.7080000000000001E-2</v>
      </c>
      <c r="L16" s="277">
        <f>VLOOKUP($B16,'Emissions factors'!$B$84:$K$147,5,FALSE)</f>
        <v>0.25615399999999999</v>
      </c>
      <c r="M16" s="185"/>
      <c r="N16" s="271">
        <f>VLOOKUP($B16,'Emissions factors'!$B$84:$K$147,6,FALSE)</f>
        <v>783.2</v>
      </c>
      <c r="O16" s="271">
        <f>VLOOKUP($B16,'Emissions factors'!$B$84:$K$147,7,FALSE)</f>
        <v>2985.1400000000003</v>
      </c>
      <c r="P16" s="185"/>
      <c r="Q16" s="277">
        <f>VLOOKUP($B16,'Emissions factors'!$B$84:$K$147,8,FALSE)</f>
        <v>0.65529999999999988</v>
      </c>
      <c r="R16" s="277">
        <f>VLOOKUP($B16,'Emissions factors'!$B$84:$K$147,9,FALSE)</f>
        <v>2.5111300000000001</v>
      </c>
      <c r="S16" s="210">
        <f t="shared" si="2"/>
        <v>0</v>
      </c>
      <c r="T16" s="211">
        <f t="shared" si="3"/>
        <v>0</v>
      </c>
      <c r="V16" s="282">
        <f>VLOOKUP($B16,'Emissions factors'!$B$84:$K$147,10,FALSE)</f>
        <v>0.05</v>
      </c>
      <c r="W16" s="186"/>
      <c r="X16" s="221">
        <f t="shared" si="4"/>
        <v>0</v>
      </c>
      <c r="Y16" s="221">
        <f t="shared" si="5"/>
        <v>0</v>
      </c>
      <c r="Z16" s="211">
        <f t="shared" si="6"/>
        <v>0</v>
      </c>
      <c r="AB16" s="187"/>
      <c r="AC16" s="221">
        <f t="shared" si="7"/>
        <v>0</v>
      </c>
      <c r="AD16" s="224">
        <f t="shared" si="8"/>
        <v>0</v>
      </c>
      <c r="AE16" s="210">
        <f t="shared" si="9"/>
        <v>0</v>
      </c>
      <c r="AF16" s="187"/>
      <c r="AG16" s="221">
        <f t="shared" si="10"/>
        <v>0</v>
      </c>
      <c r="AH16" s="224">
        <f t="shared" si="11"/>
        <v>0</v>
      </c>
      <c r="AI16" s="211">
        <f t="shared" si="12"/>
        <v>0</v>
      </c>
      <c r="AK16" s="717">
        <f>G16*VLOOKUP($B16,'Emissions factors'!$B$84:$AQ$147,11,FALSE)+J16*VLOOKUP($B16,'Emissions factors'!$B$84:$AQ$147,13,FALSE)+M16*VLOOKUP($B16,'Emissions factors'!$B$84:$AQ$147,15,FALSE)+P16*VLOOKUP($B16,'Emissions factors'!$B$84:$AQ$147,17,FALSE)</f>
        <v>0</v>
      </c>
      <c r="AL16" s="718">
        <f>G16*VLOOKUP($B16,'Emissions factors'!$B$84:$AQ$147,12,FALSE)+J16*VLOOKUP($B16,'Emissions factors'!$B$84:$AQ$147,14,FALSE)+M16*VLOOKUP($B16,'Emissions factors'!$B$84:$AQ$147,16,FALSE)+P16*VLOOKUP($B16,'Emissions factors'!$B$84:$AQ$147,18,FALSE)</f>
        <v>0</v>
      </c>
      <c r="AM16" s="718">
        <f>G16*VLOOKUP($B16,'Emissions factors'!$B$84:$AQ$147,19,FALSE)+J16*VLOOKUP($B16,'Emissions factors'!$B$84:$AQ$147,21,FALSE)+M16*VLOOKUP($B16,'Emissions factors'!$B$84:$AQ$147,23,FALSE)+P16*VLOOKUP($B16,'Emissions factors'!$B$84:$AQ$147,25,FALSE)</f>
        <v>0</v>
      </c>
      <c r="AN16" s="718">
        <f>G16*VLOOKUP($B16,'Emissions factors'!$B$84:$AQ$147,20,FALSE)+J16*VLOOKUP($B16,'Emissions factors'!$B$84:$AQ$147,22,FALSE)+M16*VLOOKUP($B16,'Emissions factors'!$B$84:$AQ$147,24,FALSE)+P16*VLOOKUP($B16,'Emissions factors'!$B$84:$AQ$147,26,FALSE)</f>
        <v>0</v>
      </c>
      <c r="AO16" s="718">
        <f>G16*VLOOKUP($B16,'Emissions factors'!$B$84:$AQ$147,27,FALSE)+J16*VLOOKUP($B16,'Emissions factors'!$B$84:$AQ$147,29,FALSE)+M16*VLOOKUP($B16,'Emissions factors'!$B$84:$AQ$147,31,FALSE)+P16*VLOOKUP($B16,'Emissions factors'!$B$84:$AQ$147,33,FALSE)</f>
        <v>0</v>
      </c>
      <c r="AP16" s="718">
        <f>G16*VLOOKUP($B16,'Emissions factors'!$B$84:$AQ$147,28,FALSE)+J16*VLOOKUP($B16,'Emissions factors'!$B$84:$AQ$147,30,FALSE)+M16*VLOOKUP($B16,'Emissions factors'!$B$84:$AQ$147,32,FALSE)+P16*VLOOKUP($B16,'Emissions factors'!$B$84:$AQ$147,34,FALSE)</f>
        <v>0</v>
      </c>
      <c r="AQ16" s="718">
        <v>0</v>
      </c>
      <c r="AR16" s="718">
        <v>0</v>
      </c>
      <c r="AS16" s="719">
        <f t="shared" si="13"/>
        <v>0</v>
      </c>
      <c r="AT16" s="720">
        <f t="shared" si="13"/>
        <v>0</v>
      </c>
      <c r="AU16" s="718">
        <f>G16*VLOOKUP($B16,'Emissions factors'!$B$84:$AQ$147,35,FALSE)+J16*VLOOKUP($B16,'Emissions factors'!$B$84:$AQ$147,37,FALSE)+M16*VLOOKUP($B16,'Emissions factors'!$B$84:$AQ$147,39,FALSE)+P16*VLOOKUP($B16,'Emissions factors'!$B$84:$AQ$147,41,FALSE)</f>
        <v>0</v>
      </c>
      <c r="AV16" s="721">
        <f>G16*VLOOKUP($B16,'Emissions factors'!$B$84:$AQ$147,36,FALSE)+J16*VLOOKUP($B16,'Emissions factors'!$B$84:$AQ$147,38,FALSE)+M16*VLOOKUP($B16,'Emissions factors'!$B$84:$AQ$147,40,FALSE)+P16*VLOOKUP($B16,'Emissions factors'!$B$84:$AQ$147,42,FALSE)</f>
        <v>0</v>
      </c>
    </row>
    <row r="17" spans="1:48" s="40" customFormat="1" ht="13" outlineLevel="1" x14ac:dyDescent="0.2">
      <c r="B17" s="200" t="s">
        <v>803</v>
      </c>
      <c r="C17" s="201"/>
      <c r="D17" s="262">
        <f t="shared" si="0"/>
        <v>0</v>
      </c>
      <c r="E17" s="265">
        <f t="shared" si="1"/>
        <v>0</v>
      </c>
      <c r="F17" s="389"/>
      <c r="G17" s="185"/>
      <c r="H17" s="271">
        <f>VLOOKUP($B17,'Emissions factors'!$B$84:$K$147,2,FALSE)</f>
        <v>1153.9000000000001</v>
      </c>
      <c r="I17" s="271">
        <f>VLOOKUP($B17,'Emissions factors'!$B$84:$K$147,3,FALSE)</f>
        <v>2228.6959999999999</v>
      </c>
      <c r="J17" s="185"/>
      <c r="K17" s="277">
        <f>VLOOKUP($B17,'Emissions factors'!$B$84:$K$147,4,FALSE)</f>
        <v>0.1023</v>
      </c>
      <c r="L17" s="277">
        <f>VLOOKUP($B17,'Emissions factors'!$B$84:$K$147,5,FALSE)</f>
        <v>0.19462700000000002</v>
      </c>
      <c r="M17" s="185"/>
      <c r="N17" s="271">
        <f>VLOOKUP($B17,'Emissions factors'!$B$84:$K$147,6,FALSE)</f>
        <v>1178.0999999999999</v>
      </c>
      <c r="O17" s="271">
        <f>VLOOKUP($B17,'Emissions factors'!$B$84:$K$147,7,FALSE)</f>
        <v>2269.11</v>
      </c>
      <c r="P17" s="185"/>
      <c r="Q17" s="277">
        <f>VLOOKUP($B17,'Emissions factors'!$B$84:$K$147,8,FALSE)</f>
        <v>0.97550000000000003</v>
      </c>
      <c r="R17" s="277">
        <f>VLOOKUP($B17,'Emissions factors'!$B$84:$K$147,9,FALSE)</f>
        <v>1.87584</v>
      </c>
      <c r="S17" s="210">
        <f t="shared" si="2"/>
        <v>0</v>
      </c>
      <c r="T17" s="211">
        <f t="shared" si="3"/>
        <v>0</v>
      </c>
      <c r="V17" s="282">
        <f>VLOOKUP($B17,'Emissions factors'!$B$84:$K$147,10,FALSE)</f>
        <v>0.05</v>
      </c>
      <c r="W17" s="186"/>
      <c r="X17" s="221">
        <f t="shared" si="4"/>
        <v>0</v>
      </c>
      <c r="Y17" s="221">
        <f t="shared" si="5"/>
        <v>0</v>
      </c>
      <c r="Z17" s="211">
        <f t="shared" si="6"/>
        <v>0</v>
      </c>
      <c r="AB17" s="187"/>
      <c r="AC17" s="221">
        <f t="shared" si="7"/>
        <v>0</v>
      </c>
      <c r="AD17" s="224">
        <f t="shared" si="8"/>
        <v>0</v>
      </c>
      <c r="AE17" s="210">
        <f t="shared" si="9"/>
        <v>0</v>
      </c>
      <c r="AF17" s="187"/>
      <c r="AG17" s="221">
        <f t="shared" si="10"/>
        <v>0</v>
      </c>
      <c r="AH17" s="224">
        <f t="shared" si="11"/>
        <v>0</v>
      </c>
      <c r="AI17" s="211">
        <f t="shared" si="12"/>
        <v>0</v>
      </c>
      <c r="AK17" s="717">
        <f>G17*VLOOKUP($B17,'Emissions factors'!$B$84:$AQ$147,11,FALSE)+J17*VLOOKUP($B17,'Emissions factors'!$B$84:$AQ$147,13,FALSE)+M17*VLOOKUP($B17,'Emissions factors'!$B$84:$AQ$147,15,FALSE)+P17*VLOOKUP($B17,'Emissions factors'!$B$84:$AQ$147,17,FALSE)</f>
        <v>0</v>
      </c>
      <c r="AL17" s="718">
        <f>G17*VLOOKUP($B17,'Emissions factors'!$B$84:$AQ$147,12,FALSE)+J17*VLOOKUP($B17,'Emissions factors'!$B$84:$AQ$147,14,FALSE)+M17*VLOOKUP($B17,'Emissions factors'!$B$84:$AQ$147,16,FALSE)+P17*VLOOKUP($B17,'Emissions factors'!$B$84:$AQ$147,18,FALSE)</f>
        <v>0</v>
      </c>
      <c r="AM17" s="718">
        <f>G17*VLOOKUP($B17,'Emissions factors'!$B$84:$AQ$147,19,FALSE)+J17*VLOOKUP($B17,'Emissions factors'!$B$84:$AQ$147,21,FALSE)+M17*VLOOKUP($B17,'Emissions factors'!$B$84:$AQ$147,23,FALSE)+P17*VLOOKUP($B17,'Emissions factors'!$B$84:$AQ$147,25,FALSE)</f>
        <v>0</v>
      </c>
      <c r="AN17" s="718">
        <f>G17*VLOOKUP($B17,'Emissions factors'!$B$84:$AQ$147,20,FALSE)+J17*VLOOKUP($B17,'Emissions factors'!$B$84:$AQ$147,22,FALSE)+M17*VLOOKUP($B17,'Emissions factors'!$B$84:$AQ$147,24,FALSE)+P17*VLOOKUP($B17,'Emissions factors'!$B$84:$AQ$147,26,FALSE)</f>
        <v>0</v>
      </c>
      <c r="AO17" s="718">
        <f>G17*VLOOKUP($B17,'Emissions factors'!$B$84:$AQ$147,27,FALSE)+J17*VLOOKUP($B17,'Emissions factors'!$B$84:$AQ$147,29,FALSE)+M17*VLOOKUP($B17,'Emissions factors'!$B$84:$AQ$147,31,FALSE)+P17*VLOOKUP($B17,'Emissions factors'!$B$84:$AQ$147,33,FALSE)</f>
        <v>0</v>
      </c>
      <c r="AP17" s="718">
        <f>G17*VLOOKUP($B17,'Emissions factors'!$B$84:$AQ$147,28,FALSE)+J17*VLOOKUP($B17,'Emissions factors'!$B$84:$AQ$147,30,FALSE)+M17*VLOOKUP($B17,'Emissions factors'!$B$84:$AQ$147,32,FALSE)+P17*VLOOKUP($B17,'Emissions factors'!$B$84:$AQ$147,34,FALSE)</f>
        <v>0</v>
      </c>
      <c r="AQ17" s="718">
        <v>0</v>
      </c>
      <c r="AR17" s="718">
        <v>0</v>
      </c>
      <c r="AS17" s="719">
        <f t="shared" si="13"/>
        <v>0</v>
      </c>
      <c r="AT17" s="720">
        <f t="shared" si="13"/>
        <v>0</v>
      </c>
      <c r="AU17" s="718">
        <f>G17*VLOOKUP($B17,'Emissions factors'!$B$84:$AQ$147,35,FALSE)+J17*VLOOKUP($B17,'Emissions factors'!$B$84:$AQ$147,37,FALSE)+M17*VLOOKUP($B17,'Emissions factors'!$B$84:$AQ$147,39,FALSE)+P17*VLOOKUP($B17,'Emissions factors'!$B$84:$AQ$147,41,FALSE)</f>
        <v>0</v>
      </c>
      <c r="AV17" s="721">
        <f>G17*VLOOKUP($B17,'Emissions factors'!$B$84:$AQ$147,36,FALSE)+J17*VLOOKUP($B17,'Emissions factors'!$B$84:$AQ$147,38,FALSE)+M17*VLOOKUP($B17,'Emissions factors'!$B$84:$AQ$147,40,FALSE)+P17*VLOOKUP($B17,'Emissions factors'!$B$84:$AQ$147,42,FALSE)</f>
        <v>0</v>
      </c>
    </row>
    <row r="18" spans="1:48" s="40" customFormat="1" ht="13" outlineLevel="1" x14ac:dyDescent="0.2">
      <c r="B18" s="200" t="s">
        <v>811</v>
      </c>
      <c r="C18" s="201"/>
      <c r="D18" s="262">
        <f t="shared" si="0"/>
        <v>0</v>
      </c>
      <c r="E18" s="265">
        <f t="shared" si="1"/>
        <v>0</v>
      </c>
      <c r="F18" s="390"/>
      <c r="G18" s="188"/>
      <c r="H18" s="271">
        <f>VLOOKUP($B18,'Emissions factors'!$B$84:$K$147,2,FALSE)</f>
        <v>236.1</v>
      </c>
      <c r="I18" s="271">
        <f>VLOOKUP($B18,'Emissions factors'!$B$84:$K$147,3,FALSE)</f>
        <v>2631.4009999999998</v>
      </c>
      <c r="J18" s="188"/>
      <c r="K18" s="277">
        <f>VLOOKUP($B18,'Emissions factors'!$B$84:$K$147,4,FALSE)</f>
        <v>3.1899999999999998E-2</v>
      </c>
      <c r="L18" s="277">
        <f>VLOOKUP($B18,'Emissions factors'!$B$84:$K$147,5,FALSE)</f>
        <v>0.35599999999999998</v>
      </c>
      <c r="M18" s="188"/>
      <c r="N18" s="271">
        <f>VLOOKUP($B18,'Emissions factors'!$B$84:$K$147,6,FALSE)</f>
        <v>373</v>
      </c>
      <c r="O18" s="271">
        <f>VLOOKUP($B18,'Emissions factors'!$B$84:$K$147,7,FALSE)</f>
        <v>4146.7</v>
      </c>
      <c r="P18" s="188"/>
      <c r="Q18" s="277">
        <f>VLOOKUP($B18,'Emissions factors'!$B$84:$K$147,8,FALSE)</f>
        <v>0</v>
      </c>
      <c r="R18" s="277">
        <f>VLOOKUP($B18,'Emissions factors'!$B$84:$K$147,9,FALSE)</f>
        <v>0</v>
      </c>
      <c r="S18" s="210">
        <f t="shared" si="2"/>
        <v>0</v>
      </c>
      <c r="T18" s="211">
        <f t="shared" si="3"/>
        <v>0</v>
      </c>
      <c r="V18" s="282">
        <f>VLOOKUP($B18,'Emissions factors'!$B$84:$K$147,10,FALSE)</f>
        <v>0.2</v>
      </c>
      <c r="W18" s="189"/>
      <c r="X18" s="221">
        <f t="shared" si="4"/>
        <v>0</v>
      </c>
      <c r="Y18" s="221">
        <f t="shared" si="5"/>
        <v>0</v>
      </c>
      <c r="Z18" s="211">
        <f t="shared" si="6"/>
        <v>0</v>
      </c>
      <c r="AB18" s="190"/>
      <c r="AC18" s="221">
        <f t="shared" si="7"/>
        <v>0</v>
      </c>
      <c r="AD18" s="224">
        <f t="shared" si="8"/>
        <v>0</v>
      </c>
      <c r="AE18" s="210">
        <f t="shared" si="9"/>
        <v>0</v>
      </c>
      <c r="AF18" s="190"/>
      <c r="AG18" s="221">
        <f t="shared" si="10"/>
        <v>0</v>
      </c>
      <c r="AH18" s="224">
        <f t="shared" si="11"/>
        <v>0</v>
      </c>
      <c r="AI18" s="211">
        <f t="shared" si="12"/>
        <v>0</v>
      </c>
      <c r="AK18" s="717">
        <f>G18*VLOOKUP($B18,'Emissions factors'!$B$84:$AQ$147,11,FALSE)+J18*VLOOKUP($B18,'Emissions factors'!$B$84:$AQ$147,13,FALSE)+M18*VLOOKUP($B18,'Emissions factors'!$B$84:$AQ$147,15,FALSE)+P18*VLOOKUP($B18,'Emissions factors'!$B$84:$AQ$147,17,FALSE)</f>
        <v>0</v>
      </c>
      <c r="AL18" s="718">
        <f>G18*VLOOKUP($B18,'Emissions factors'!$B$84:$AQ$147,12,FALSE)+J18*VLOOKUP($B18,'Emissions factors'!$B$84:$AQ$147,14,FALSE)+M18*VLOOKUP($B18,'Emissions factors'!$B$84:$AQ$147,16,FALSE)+P18*VLOOKUP($B18,'Emissions factors'!$B$84:$AQ$147,18,FALSE)</f>
        <v>0</v>
      </c>
      <c r="AM18" s="718">
        <f>G18*VLOOKUP($B18,'Emissions factors'!$B$84:$AQ$147,19,FALSE)+J18*VLOOKUP($B18,'Emissions factors'!$B$84:$AQ$147,21,FALSE)+M18*VLOOKUP($B18,'Emissions factors'!$B$84:$AQ$147,23,FALSE)+P18*VLOOKUP($B18,'Emissions factors'!$B$84:$AQ$147,25,FALSE)</f>
        <v>0</v>
      </c>
      <c r="AN18" s="718">
        <f>G18*VLOOKUP($B18,'Emissions factors'!$B$84:$AQ$147,20,FALSE)+J18*VLOOKUP($B18,'Emissions factors'!$B$84:$AQ$147,22,FALSE)+M18*VLOOKUP($B18,'Emissions factors'!$B$84:$AQ$147,24,FALSE)+P18*VLOOKUP($B18,'Emissions factors'!$B$84:$AQ$147,26,FALSE)</f>
        <v>0</v>
      </c>
      <c r="AO18" s="718">
        <f>G18*VLOOKUP($B18,'Emissions factors'!$B$84:$AQ$147,27,FALSE)+J18*VLOOKUP($B18,'Emissions factors'!$B$84:$AQ$147,29,FALSE)+M18*VLOOKUP($B18,'Emissions factors'!$B$84:$AQ$147,31,FALSE)+P18*VLOOKUP($B18,'Emissions factors'!$B$84:$AQ$147,33,FALSE)</f>
        <v>0</v>
      </c>
      <c r="AP18" s="718">
        <f>G18*VLOOKUP($B18,'Emissions factors'!$B$84:$AQ$147,28,FALSE)+J18*VLOOKUP($B18,'Emissions factors'!$B$84:$AQ$147,30,FALSE)+M18*VLOOKUP($B18,'Emissions factors'!$B$84:$AQ$147,32,FALSE)+P18*VLOOKUP($B18,'Emissions factors'!$B$84:$AQ$147,34,FALSE)</f>
        <v>0</v>
      </c>
      <c r="AQ18" s="718">
        <v>0</v>
      </c>
      <c r="AR18" s="718">
        <v>0</v>
      </c>
      <c r="AS18" s="719">
        <f t="shared" si="13"/>
        <v>0</v>
      </c>
      <c r="AT18" s="720">
        <f t="shared" si="13"/>
        <v>0</v>
      </c>
      <c r="AU18" s="718">
        <f>G18*VLOOKUP($B18,'Emissions factors'!$B$84:$AQ$147,35,FALSE)+J18*VLOOKUP($B18,'Emissions factors'!$B$84:$AQ$147,37,FALSE)+M18*VLOOKUP($B18,'Emissions factors'!$B$84:$AQ$147,39,FALSE)+P18*VLOOKUP($B18,'Emissions factors'!$B$84:$AQ$147,41,FALSE)</f>
        <v>0</v>
      </c>
      <c r="AV18" s="721">
        <f>G18*VLOOKUP($B18,'Emissions factors'!$B$84:$AQ$147,36,FALSE)+J18*VLOOKUP($B18,'Emissions factors'!$B$84:$AQ$147,38,FALSE)+M18*VLOOKUP($B18,'Emissions factors'!$B$84:$AQ$147,40,FALSE)+P18*VLOOKUP($B18,'Emissions factors'!$B$84:$AQ$147,42,FALSE)</f>
        <v>0</v>
      </c>
    </row>
    <row r="19" spans="1:48" s="40" customFormat="1" ht="13" outlineLevel="1" x14ac:dyDescent="0.2">
      <c r="B19" s="200"/>
      <c r="C19" s="201"/>
      <c r="D19" s="263"/>
      <c r="E19" s="266"/>
      <c r="F19" s="1227"/>
      <c r="G19" s="201"/>
      <c r="H19" s="201"/>
      <c r="I19" s="201"/>
      <c r="J19" s="201"/>
      <c r="K19" s="201"/>
      <c r="L19" s="201"/>
      <c r="M19" s="201"/>
      <c r="N19" s="201"/>
      <c r="O19" s="201"/>
      <c r="P19" s="201"/>
      <c r="Q19" s="201"/>
      <c r="R19" s="201"/>
      <c r="S19" s="201"/>
      <c r="T19" s="211"/>
      <c r="V19" s="200"/>
      <c r="W19" s="201"/>
      <c r="X19" s="201"/>
      <c r="Y19" s="221"/>
      <c r="Z19" s="211"/>
      <c r="AB19" s="200"/>
      <c r="AC19" s="201"/>
      <c r="AD19" s="423"/>
      <c r="AE19" s="424"/>
      <c r="AF19" s="201"/>
      <c r="AG19" s="201"/>
      <c r="AH19" s="221"/>
      <c r="AI19" s="211"/>
      <c r="AK19" s="717"/>
      <c r="AL19" s="718"/>
      <c r="AM19" s="718"/>
      <c r="AN19" s="718"/>
      <c r="AO19" s="718"/>
      <c r="AP19" s="718"/>
      <c r="AQ19" s="718"/>
      <c r="AR19" s="718"/>
      <c r="AS19" s="719"/>
      <c r="AT19" s="720"/>
      <c r="AU19" s="722"/>
      <c r="AV19" s="723"/>
    </row>
    <row r="20" spans="1:48" s="40" customFormat="1" ht="13" outlineLevel="1" x14ac:dyDescent="0.2">
      <c r="B20" s="253" t="s">
        <v>44</v>
      </c>
      <c r="C20" s="254"/>
      <c r="D20" s="264">
        <f>SUM(D13:D19)</f>
        <v>0</v>
      </c>
      <c r="E20" s="267">
        <f>SUM(E13:E19)</f>
        <v>0</v>
      </c>
      <c r="F20" s="255"/>
      <c r="G20" s="256"/>
      <c r="H20" s="256"/>
      <c r="I20" s="256"/>
      <c r="J20" s="256"/>
      <c r="K20" s="256"/>
      <c r="L20" s="256"/>
      <c r="M20" s="256"/>
      <c r="N20" s="256"/>
      <c r="O20" s="256"/>
      <c r="P20" s="256"/>
      <c r="Q20" s="256"/>
      <c r="R20" s="256"/>
      <c r="S20" s="259">
        <f>SUM(S13:S19)</f>
        <v>0</v>
      </c>
      <c r="T20" s="257">
        <f>SUM(T13:T19)</f>
        <v>0</v>
      </c>
      <c r="V20" s="258"/>
      <c r="W20" s="256"/>
      <c r="X20" s="260">
        <f>SQRT(SUMSQ(X13:X19))</f>
        <v>0</v>
      </c>
      <c r="Y20" s="260">
        <f>SQRT(SUMSQ(Y13:Y19))</f>
        <v>0</v>
      </c>
      <c r="Z20" s="257">
        <f>SQRT(SUMSQ(Z13:Z19))</f>
        <v>0</v>
      </c>
      <c r="AB20" s="258"/>
      <c r="AC20" s="260">
        <f>SUM(AC13:AC19)</f>
        <v>0</v>
      </c>
      <c r="AD20" s="260">
        <f>SUM(AD13:AD19)</f>
        <v>0</v>
      </c>
      <c r="AE20" s="259">
        <f>SUM(AE13:AE19)</f>
        <v>0</v>
      </c>
      <c r="AF20" s="256"/>
      <c r="AG20" s="260">
        <f>SUM(AG13:AG19)</f>
        <v>0</v>
      </c>
      <c r="AH20" s="260">
        <f>SUM(AH13:AH19)</f>
        <v>0</v>
      </c>
      <c r="AI20" s="257">
        <f>SUM(AI13:AI19)</f>
        <v>0</v>
      </c>
      <c r="AK20" s="724">
        <f t="shared" ref="AK20:AV20" si="14">SUM(AK13:AK19)</f>
        <v>0</v>
      </c>
      <c r="AL20" s="725">
        <f t="shared" si="14"/>
        <v>0</v>
      </c>
      <c r="AM20" s="725">
        <f t="shared" si="14"/>
        <v>0</v>
      </c>
      <c r="AN20" s="725">
        <f t="shared" si="14"/>
        <v>0</v>
      </c>
      <c r="AO20" s="725">
        <f t="shared" si="14"/>
        <v>0</v>
      </c>
      <c r="AP20" s="725">
        <f t="shared" si="14"/>
        <v>0</v>
      </c>
      <c r="AQ20" s="725">
        <f t="shared" si="14"/>
        <v>0</v>
      </c>
      <c r="AR20" s="725">
        <f t="shared" si="14"/>
        <v>0</v>
      </c>
      <c r="AS20" s="726">
        <f t="shared" si="14"/>
        <v>0</v>
      </c>
      <c r="AT20" s="727">
        <f t="shared" si="14"/>
        <v>0</v>
      </c>
      <c r="AU20" s="724">
        <f t="shared" si="14"/>
        <v>0</v>
      </c>
      <c r="AV20" s="728">
        <f t="shared" si="14"/>
        <v>0</v>
      </c>
    </row>
    <row r="21" spans="1:48" s="40" customFormat="1" ht="13" outlineLevel="1" x14ac:dyDescent="0.2">
      <c r="AK21" s="602"/>
      <c r="AL21" s="602"/>
      <c r="AM21" s="602"/>
      <c r="AN21" s="602"/>
      <c r="AO21" s="602"/>
      <c r="AP21" s="602"/>
      <c r="AQ21" s="602"/>
      <c r="AR21" s="602"/>
      <c r="AS21" s="602"/>
      <c r="AT21" s="602"/>
      <c r="AU21" s="602"/>
      <c r="AV21" s="602"/>
    </row>
    <row r="22" spans="1:48" s="40" customFormat="1" ht="13" outlineLevel="1" x14ac:dyDescent="0.2">
      <c r="B22" s="195" t="s">
        <v>3089</v>
      </c>
      <c r="C22" s="196"/>
      <c r="D22" s="421"/>
      <c r="E22" s="421"/>
      <c r="F22" s="421"/>
      <c r="G22" s="198"/>
      <c r="H22" s="198"/>
      <c r="I22" s="198"/>
      <c r="J22" s="198"/>
      <c r="K22" s="198"/>
      <c r="L22" s="198"/>
      <c r="M22" s="198"/>
      <c r="N22" s="198"/>
      <c r="O22" s="198"/>
      <c r="P22" s="198"/>
      <c r="Q22" s="198"/>
      <c r="R22" s="198"/>
      <c r="S22" s="198"/>
      <c r="T22" s="199"/>
      <c r="V22" s="1746" t="s">
        <v>723</v>
      </c>
      <c r="W22" s="1747"/>
      <c r="X22" s="1747"/>
      <c r="Y22" s="1747"/>
      <c r="Z22" s="1748"/>
      <c r="AB22" s="1746" t="s">
        <v>2066</v>
      </c>
      <c r="AC22" s="1747"/>
      <c r="AD22" s="1747"/>
      <c r="AE22" s="1747"/>
      <c r="AF22" s="1747"/>
      <c r="AG22" s="1747"/>
      <c r="AH22" s="1747"/>
      <c r="AI22" s="1748"/>
      <c r="AK22" s="1755" t="s">
        <v>2073</v>
      </c>
      <c r="AL22" s="1756"/>
      <c r="AM22" s="1756"/>
      <c r="AN22" s="1756"/>
      <c r="AO22" s="1756"/>
      <c r="AP22" s="1756"/>
      <c r="AQ22" s="1756"/>
      <c r="AR22" s="1756"/>
      <c r="AS22" s="1756"/>
      <c r="AT22" s="1756"/>
      <c r="AU22" s="1756"/>
      <c r="AV22" s="1757"/>
    </row>
    <row r="23" spans="1:48" s="40" customFormat="1" ht="13" outlineLevel="1" x14ac:dyDescent="0.2">
      <c r="B23" s="200"/>
      <c r="C23" s="201"/>
      <c r="D23" s="424"/>
      <c r="E23" s="424"/>
      <c r="F23" s="423"/>
      <c r="G23" s="201"/>
      <c r="H23" s="201"/>
      <c r="I23" s="201"/>
      <c r="J23" s="201"/>
      <c r="K23" s="201"/>
      <c r="L23" s="201"/>
      <c r="M23" s="201"/>
      <c r="N23" s="201"/>
      <c r="O23" s="201"/>
      <c r="P23" s="201"/>
      <c r="Q23" s="201"/>
      <c r="R23" s="201"/>
      <c r="S23" s="201"/>
      <c r="T23" s="203"/>
      <c r="V23" s="216"/>
      <c r="W23" s="217"/>
      <c r="X23" s="217"/>
      <c r="Y23" s="217"/>
      <c r="Z23" s="218"/>
      <c r="AB23" s="216"/>
      <c r="AC23" s="217"/>
      <c r="AD23" s="217"/>
      <c r="AE23" s="217"/>
      <c r="AF23" s="217"/>
      <c r="AG23" s="217"/>
      <c r="AH23" s="198"/>
      <c r="AI23" s="199"/>
      <c r="AK23" s="1758" t="s">
        <v>61</v>
      </c>
      <c r="AL23" s="1759"/>
      <c r="AM23" s="1759"/>
      <c r="AN23" s="1759"/>
      <c r="AO23" s="1759"/>
      <c r="AP23" s="1759"/>
      <c r="AQ23" s="1759"/>
      <c r="AR23" s="1759"/>
      <c r="AS23" s="1759" t="s">
        <v>61</v>
      </c>
      <c r="AT23" s="1760"/>
      <c r="AU23" s="730"/>
      <c r="AV23" s="731"/>
    </row>
    <row r="24" spans="1:48" s="32" customFormat="1" ht="12.75" customHeight="1" outlineLevel="1" x14ac:dyDescent="0.2">
      <c r="A24" s="40"/>
      <c r="B24" s="461" t="s">
        <v>766</v>
      </c>
      <c r="C24" s="423"/>
      <c r="D24" s="423" t="s">
        <v>56</v>
      </c>
      <c r="E24" s="423" t="s">
        <v>56</v>
      </c>
      <c r="F24" s="205" t="s">
        <v>2739</v>
      </c>
      <c r="G24" s="205" t="s">
        <v>2053</v>
      </c>
      <c r="H24" s="1745" t="s">
        <v>767</v>
      </c>
      <c r="I24" s="1745"/>
      <c r="J24" s="205" t="s">
        <v>2053</v>
      </c>
      <c r="K24" s="1745" t="s">
        <v>769</v>
      </c>
      <c r="L24" s="1745"/>
      <c r="M24" s="205" t="s">
        <v>2053</v>
      </c>
      <c r="N24" s="1745" t="s">
        <v>771</v>
      </c>
      <c r="O24" s="1745"/>
      <c r="P24" s="205" t="s">
        <v>2053</v>
      </c>
      <c r="Q24" s="1745" t="s">
        <v>770</v>
      </c>
      <c r="R24" s="1745"/>
      <c r="S24" s="424" t="s">
        <v>61</v>
      </c>
      <c r="T24" s="481" t="s">
        <v>61</v>
      </c>
      <c r="V24" s="1621" t="s">
        <v>2557</v>
      </c>
      <c r="W24" s="423" t="s">
        <v>2110</v>
      </c>
      <c r="X24" s="423" t="s">
        <v>61</v>
      </c>
      <c r="Y24" s="423" t="s">
        <v>61</v>
      </c>
      <c r="Z24" s="481" t="s">
        <v>61</v>
      </c>
      <c r="AB24" s="461" t="s">
        <v>2065</v>
      </c>
      <c r="AC24" s="423" t="s">
        <v>61</v>
      </c>
      <c r="AD24" s="423" t="s">
        <v>61</v>
      </c>
      <c r="AE24" s="424" t="s">
        <v>61</v>
      </c>
      <c r="AF24" s="423" t="s">
        <v>2558</v>
      </c>
      <c r="AG24" s="423" t="s">
        <v>61</v>
      </c>
      <c r="AH24" s="423" t="s">
        <v>61</v>
      </c>
      <c r="AI24" s="481" t="s">
        <v>61</v>
      </c>
      <c r="AK24" s="1764" t="s">
        <v>14</v>
      </c>
      <c r="AL24" s="1761"/>
      <c r="AM24" s="1761" t="s">
        <v>60</v>
      </c>
      <c r="AN24" s="1761"/>
      <c r="AO24" s="1761" t="s">
        <v>27</v>
      </c>
      <c r="AP24" s="1761"/>
      <c r="AQ24" s="1761" t="s">
        <v>2074</v>
      </c>
      <c r="AR24" s="1761"/>
      <c r="AS24" s="1762" t="s">
        <v>41</v>
      </c>
      <c r="AT24" s="1763"/>
      <c r="AU24" s="1764" t="s">
        <v>85</v>
      </c>
      <c r="AV24" s="1765"/>
    </row>
    <row r="25" spans="1:48" s="32" customFormat="1" ht="12.75" customHeight="1" outlineLevel="1" x14ac:dyDescent="0.2">
      <c r="A25" s="40"/>
      <c r="B25" s="461"/>
      <c r="C25" s="423"/>
      <c r="D25" s="423" t="s">
        <v>61</v>
      </c>
      <c r="E25" s="423" t="s">
        <v>63</v>
      </c>
      <c r="F25" s="208" t="s">
        <v>2054</v>
      </c>
      <c r="G25" s="212" t="s">
        <v>34</v>
      </c>
      <c r="H25" s="431" t="s">
        <v>768</v>
      </c>
      <c r="I25" s="431" t="s">
        <v>24</v>
      </c>
      <c r="J25" s="538" t="s">
        <v>2061</v>
      </c>
      <c r="K25" s="431" t="s">
        <v>768</v>
      </c>
      <c r="L25" s="431" t="s">
        <v>24</v>
      </c>
      <c r="M25" s="538" t="s">
        <v>2059</v>
      </c>
      <c r="N25" s="431" t="s">
        <v>768</v>
      </c>
      <c r="O25" s="431" t="s">
        <v>24</v>
      </c>
      <c r="P25" s="208" t="s">
        <v>15</v>
      </c>
      <c r="Q25" s="666" t="s">
        <v>768</v>
      </c>
      <c r="R25" s="666" t="s">
        <v>24</v>
      </c>
      <c r="S25" s="422" t="s">
        <v>768</v>
      </c>
      <c r="T25" s="274" t="s">
        <v>24</v>
      </c>
      <c r="V25" s="1621" t="s">
        <v>2109</v>
      </c>
      <c r="W25" s="423"/>
      <c r="X25" s="431" t="s">
        <v>768</v>
      </c>
      <c r="Y25" s="431" t="s">
        <v>24</v>
      </c>
      <c r="Z25" s="219" t="s">
        <v>41</v>
      </c>
      <c r="AB25" s="461"/>
      <c r="AC25" s="431" t="s">
        <v>768</v>
      </c>
      <c r="AD25" s="431" t="s">
        <v>24</v>
      </c>
      <c r="AE25" s="223" t="s">
        <v>41</v>
      </c>
      <c r="AF25" s="423"/>
      <c r="AG25" s="431" t="s">
        <v>768</v>
      </c>
      <c r="AH25" s="431" t="s">
        <v>24</v>
      </c>
      <c r="AI25" s="219" t="s">
        <v>41</v>
      </c>
      <c r="AK25" s="732" t="s">
        <v>768</v>
      </c>
      <c r="AL25" s="733" t="s">
        <v>24</v>
      </c>
      <c r="AM25" s="733" t="s">
        <v>768</v>
      </c>
      <c r="AN25" s="733" t="s">
        <v>24</v>
      </c>
      <c r="AO25" s="733" t="s">
        <v>768</v>
      </c>
      <c r="AP25" s="733" t="s">
        <v>24</v>
      </c>
      <c r="AQ25" s="733" t="s">
        <v>768</v>
      </c>
      <c r="AR25" s="733" t="s">
        <v>24</v>
      </c>
      <c r="AS25" s="734" t="s">
        <v>768</v>
      </c>
      <c r="AT25" s="735" t="s">
        <v>24</v>
      </c>
      <c r="AU25" s="732" t="s">
        <v>768</v>
      </c>
      <c r="AV25" s="736" t="s">
        <v>24</v>
      </c>
    </row>
    <row r="26" spans="1:48" s="40" customFormat="1" ht="13" outlineLevel="1" x14ac:dyDescent="0.2">
      <c r="B26" s="200" t="s">
        <v>834</v>
      </c>
      <c r="C26" s="665"/>
      <c r="D26" s="262">
        <f>S26+T26</f>
        <v>0</v>
      </c>
      <c r="E26" s="265">
        <f>D26*12/44</f>
        <v>0</v>
      </c>
      <c r="F26" s="388"/>
      <c r="G26" s="182"/>
      <c r="H26" s="271">
        <f>VLOOKUP($B26,'Emissions factors'!$B$152:$K$165,2,FALSE)</f>
        <v>1134.9000000000001</v>
      </c>
      <c r="I26" s="276">
        <f>VLOOKUP($B26,'Emissions factors'!$B$152:$K$165,3,FALSE)</f>
        <v>0</v>
      </c>
      <c r="J26" s="182"/>
      <c r="K26" s="277">
        <f>VLOOKUP($B26,'Emissions factors'!$B$152:$K$165,4,FALSE)</f>
        <v>0.10988999999999999</v>
      </c>
      <c r="L26" s="276">
        <f>VLOOKUP($B26,'Emissions factors'!$B$152:$K$165,5,FALSE)</f>
        <v>0</v>
      </c>
      <c r="M26" s="182"/>
      <c r="N26" s="271">
        <f>VLOOKUP($B26,'Emissions factors'!$B$152:$K$165,6,FALSE)</f>
        <v>1278.0999999999999</v>
      </c>
      <c r="O26" s="276">
        <f>VLOOKUP($B26,'Emissions factors'!$B$152:$K$165,7,FALSE)</f>
        <v>0</v>
      </c>
      <c r="P26" s="182"/>
      <c r="Q26" s="277">
        <f>VLOOKUP($B26,'Emissions factors'!$B$152:$K$165,8,FALSE)</f>
        <v>1.0113000000000001</v>
      </c>
      <c r="R26" s="277">
        <f>VLOOKUP($B26,'Emissions factors'!$B$152:$K$165,9,FALSE)</f>
        <v>0</v>
      </c>
      <c r="S26" s="210">
        <f>G26*H26+J26*K26+M26*N26+P26*Q26</f>
        <v>0</v>
      </c>
      <c r="T26" s="211">
        <f>G26*I26+J26*L26+M26*O26+P26*R26</f>
        <v>0</v>
      </c>
      <c r="V26" s="282">
        <f>VLOOKUP($B26,'Emissions factors'!$B$152:$K$165,10,FALSE)</f>
        <v>0.2</v>
      </c>
      <c r="W26" s="183"/>
      <c r="X26" s="221">
        <f>S26*SQRT(V26^2+W26^2)</f>
        <v>0</v>
      </c>
      <c r="Y26" s="221">
        <f>T26*SQRT(V26^2+W26^2)</f>
        <v>0</v>
      </c>
      <c r="Z26" s="211">
        <f>SQRT(X26^2+Y26^2)</f>
        <v>0</v>
      </c>
      <c r="AB26" s="184"/>
      <c r="AC26" s="221">
        <f>S26*AB26</f>
        <v>0</v>
      </c>
      <c r="AD26" s="224">
        <f>T26*AB26</f>
        <v>0</v>
      </c>
      <c r="AE26" s="210">
        <f>AC26+AD26</f>
        <v>0</v>
      </c>
      <c r="AF26" s="184"/>
      <c r="AG26" s="221">
        <f>S26*AF26</f>
        <v>0</v>
      </c>
      <c r="AH26" s="224">
        <f>T26*AF26</f>
        <v>0</v>
      </c>
      <c r="AI26" s="211">
        <f>AG26+AH26</f>
        <v>0</v>
      </c>
      <c r="AK26" s="717">
        <f>G26*VLOOKUP($B26,'Emissions factors'!$B$152:$AQ$165,11,FALSE)+J26*VLOOKUP($B26,'Emissions factors'!$B$152:$AQ$165,13,FALSE)+M26*VLOOKUP($B26,'Emissions factors'!$B$152:$AQ$165,15,FALSE)+P26*VLOOKUP($B26,'Emissions factors'!$B$152:$AQ$165,17,FALSE)</f>
        <v>0</v>
      </c>
      <c r="AL26" s="718">
        <f>G26*VLOOKUP($B26,'Emissions factors'!$B$152:$AQ$165,12,FALSE)+J26*VLOOKUP($B26,'Emissions factors'!$B$152:$AQ$165,14,FALSE)+M26*VLOOKUP($B26,'Emissions factors'!$B$152:$AQ$165,16,FALSE)+P26*VLOOKUP($B26,'Emissions factors'!$B$152:$AQ$165,18,FALSE)</f>
        <v>0</v>
      </c>
      <c r="AM26" s="718">
        <f>G26*VLOOKUP($B26,'Emissions factors'!$B$152:$AQ$165,19,FALSE)+J26*VLOOKUP($B26,'Emissions factors'!$B$152:$AQ$165,21,FALSE)+M26*VLOOKUP($B26,'Emissions factors'!$B$152:$AQ$165,23,FALSE)+P26*VLOOKUP($B26,'Emissions factors'!$B$152:$AQ$165,25,FALSE)</f>
        <v>0</v>
      </c>
      <c r="AN26" s="718">
        <f>G26*VLOOKUP($B26,'Emissions factors'!$B$152:$AQ$165,20,FALSE)+J26*VLOOKUP($B26,'Emissions factors'!$B$152:$AQ$165,22,FALSE)+M26*VLOOKUP($B26,'Emissions factors'!$B$152:$AQ$165,24,FALSE)+P26*VLOOKUP($B26,'Emissions factors'!$B$152:$AQ$165,26,FALSE)</f>
        <v>0</v>
      </c>
      <c r="AO26" s="718">
        <f>G26*VLOOKUP($B26,'Emissions factors'!$B$152:$AQ$165,27,FALSE)+J26*VLOOKUP($B26,'Emissions factors'!$B$152:$AQ$165,29,FALSE)+M26*VLOOKUP($B26,'Emissions factors'!$B$152:$AQ$165,31,FALSE)+P26*VLOOKUP($B26,'Emissions factors'!$B$152:$AQ$165,33,FALSE)</f>
        <v>0</v>
      </c>
      <c r="AP26" s="718">
        <f>G26*VLOOKUP($B26,'Emissions factors'!$B$152:$AQ$165,28,FALSE)+J26*VLOOKUP($B26,'Emissions factors'!$B$152:$AQ$165,30,FALSE)+M26*VLOOKUP($B26,'Emissions factors'!$B$152:$AQ$165,32,FALSE)+P26*VLOOKUP($B26,'Emissions factors'!$B$152:$AQ$165,34,FALSE)</f>
        <v>0</v>
      </c>
      <c r="AQ26" s="718">
        <v>0</v>
      </c>
      <c r="AR26" s="718">
        <v>0</v>
      </c>
      <c r="AS26" s="719">
        <f t="shared" ref="AS26:AT28" si="15">S26</f>
        <v>0</v>
      </c>
      <c r="AT26" s="720">
        <f t="shared" si="15"/>
        <v>0</v>
      </c>
      <c r="AU26" s="717">
        <f>G26*VLOOKUP($B26,'Emissions factors'!$B$152:$AQ$165,35,FALSE)+J26*VLOOKUP($B26,'Emissions factors'!$B$152:$AQ$165,37,FALSE)+M26*VLOOKUP($B26,'Emissions factors'!$B$152:$AQ$165,39,FALSE)+P26*VLOOKUP($B26,'Emissions factors'!$B$152:$AQ$165,41,FALSE)</f>
        <v>0</v>
      </c>
      <c r="AV26" s="721">
        <f>G26*VLOOKUP($B26,'Emissions factors'!$B$152:$AQ$165,36,FALSE)+J26*VLOOKUP($B26,'Emissions factors'!$B$152:$AQ$165,38,FALSE)+M26*VLOOKUP($B26,'Emissions factors'!$B$152:$AQ$165,40,FALSE)+P26*VLOOKUP($B26,'Emissions factors'!$B$152:$AQ$165,42,FALSE)</f>
        <v>0</v>
      </c>
    </row>
    <row r="27" spans="1:48" s="40" customFormat="1" ht="13" outlineLevel="1" x14ac:dyDescent="0.2">
      <c r="B27" s="200" t="s">
        <v>839</v>
      </c>
      <c r="C27" s="665"/>
      <c r="D27" s="262">
        <f>S27+T27</f>
        <v>0</v>
      </c>
      <c r="E27" s="265">
        <f>D27*12/44</f>
        <v>0</v>
      </c>
      <c r="F27" s="389"/>
      <c r="G27" s="185"/>
      <c r="H27" s="271">
        <f>VLOOKUP($B27,'Emissions factors'!$B$152:$K$165,2,FALSE)</f>
        <v>41.2</v>
      </c>
      <c r="I27" s="276">
        <f>VLOOKUP($B27,'Emissions factors'!$B$152:$K$165,3,FALSE)</f>
        <v>72.599999999999994</v>
      </c>
      <c r="J27" s="185"/>
      <c r="K27" s="277">
        <f>VLOOKUP($B27,'Emissions factors'!$B$152:$K$165,4,FALSE)</f>
        <v>1.068E-2</v>
      </c>
      <c r="L27" s="276">
        <f>VLOOKUP($B27,'Emissions factors'!$B$152:$K$165,5,FALSE)</f>
        <v>1.8800000000000001E-2</v>
      </c>
      <c r="M27" s="185"/>
      <c r="N27" s="271">
        <f>VLOOKUP($B27,'Emissions factors'!$B$152:$K$165,6,FALSE)</f>
        <v>0</v>
      </c>
      <c r="O27" s="276">
        <f>VLOOKUP($B27,'Emissions factors'!$B$152:$K$165,7,FALSE)</f>
        <v>0</v>
      </c>
      <c r="P27" s="185"/>
      <c r="Q27" s="277">
        <f>VLOOKUP($B27,'Emissions factors'!$B$152:$K$165,8,FALSE)</f>
        <v>0</v>
      </c>
      <c r="R27" s="277">
        <f>VLOOKUP($B27,'Emissions factors'!$B$152:$K$165,9,FALSE)</f>
        <v>0</v>
      </c>
      <c r="S27" s="210">
        <f>G27*H27+J27*K27+M27*N27+P27*Q27</f>
        <v>0</v>
      </c>
      <c r="T27" s="211">
        <f>G27*I27+J27*L27+M27*O27+P27*R27</f>
        <v>0</v>
      </c>
      <c r="V27" s="282">
        <f>VLOOKUP($B27,'Emissions factors'!$B$152:$K$165,10,FALSE)</f>
        <v>0.5</v>
      </c>
      <c r="W27" s="186"/>
      <c r="X27" s="221">
        <f>S27*SQRT(V27^2+W27^2)</f>
        <v>0</v>
      </c>
      <c r="Y27" s="221">
        <f>T27*SQRT(V27^2+W27^2)</f>
        <v>0</v>
      </c>
      <c r="Z27" s="211">
        <f>SQRT(X27^2+Y27^2)</f>
        <v>0</v>
      </c>
      <c r="AB27" s="187"/>
      <c r="AC27" s="221">
        <f>S27*AB27</f>
        <v>0</v>
      </c>
      <c r="AD27" s="224">
        <f>T27*AB27</f>
        <v>0</v>
      </c>
      <c r="AE27" s="210">
        <f>AC27+AD27</f>
        <v>0</v>
      </c>
      <c r="AF27" s="187"/>
      <c r="AG27" s="221">
        <f>S27*AF27</f>
        <v>0</v>
      </c>
      <c r="AH27" s="224">
        <f>T27*AF27</f>
        <v>0</v>
      </c>
      <c r="AI27" s="211">
        <f>AG27+AH27</f>
        <v>0</v>
      </c>
      <c r="AK27" s="717">
        <f>G27*VLOOKUP($B27,'Emissions factors'!$B$152:$AQ$165,11,FALSE)+J27*VLOOKUP($B27,'Emissions factors'!$B$152:$AQ$165,13,FALSE)+M27*VLOOKUP($B27,'Emissions factors'!$B$152:$AQ$165,15,FALSE)+P27*VLOOKUP($B27,'Emissions factors'!$B$152:$AQ$165,17,FALSE)</f>
        <v>0</v>
      </c>
      <c r="AL27" s="718">
        <f>G27*VLOOKUP($B27,'Emissions factors'!$B$152:$AQ$165,12,FALSE)+J27*VLOOKUP($B27,'Emissions factors'!$B$152:$AQ$165,14,FALSE)+M27*VLOOKUP($B27,'Emissions factors'!$B$152:$AQ$165,16,FALSE)+P27*VLOOKUP($B27,'Emissions factors'!$B$152:$AQ$165,18,FALSE)</f>
        <v>0</v>
      </c>
      <c r="AM27" s="718">
        <f>G27*VLOOKUP($B27,'Emissions factors'!$B$152:$AQ$165,19,FALSE)+J27*VLOOKUP($B27,'Emissions factors'!$B$152:$AQ$165,21,FALSE)+M27*VLOOKUP($B27,'Emissions factors'!$B$152:$AQ$165,23,FALSE)+P27*VLOOKUP($B27,'Emissions factors'!$B$152:$AQ$165,25,FALSE)</f>
        <v>0</v>
      </c>
      <c r="AN27" s="718">
        <f>G27*VLOOKUP($B27,'Emissions factors'!$B$152:$AQ$165,20,FALSE)+J27*VLOOKUP($B27,'Emissions factors'!$B$152:$AQ$165,22,FALSE)+M27*VLOOKUP($B27,'Emissions factors'!$B$152:$AQ$165,24,FALSE)+P27*VLOOKUP($B27,'Emissions factors'!$B$152:$AQ$165,26,FALSE)</f>
        <v>0</v>
      </c>
      <c r="AO27" s="718">
        <f>G27*VLOOKUP($B27,'Emissions factors'!$B$152:$AQ$165,27,FALSE)+J27*VLOOKUP($B27,'Emissions factors'!$B$152:$AQ$165,29,FALSE)+M27*VLOOKUP($B27,'Emissions factors'!$B$152:$AQ$165,31,FALSE)+P27*VLOOKUP($B27,'Emissions factors'!$B$152:$AQ$165,33,FALSE)</f>
        <v>0</v>
      </c>
      <c r="AP27" s="718">
        <f>G27*VLOOKUP($B27,'Emissions factors'!$B$152:$AQ$165,28,FALSE)+J27*VLOOKUP($B27,'Emissions factors'!$B$152:$AQ$165,30,FALSE)+M27*VLOOKUP($B27,'Emissions factors'!$B$152:$AQ$165,32,FALSE)+P27*VLOOKUP($B27,'Emissions factors'!$B$152:$AQ$165,34,FALSE)</f>
        <v>0</v>
      </c>
      <c r="AQ27" s="718">
        <v>0</v>
      </c>
      <c r="AR27" s="718">
        <v>0</v>
      </c>
      <c r="AS27" s="719">
        <f t="shared" si="15"/>
        <v>0</v>
      </c>
      <c r="AT27" s="720">
        <f t="shared" si="15"/>
        <v>0</v>
      </c>
      <c r="AU27" s="717">
        <f>G27*VLOOKUP($B27,'Emissions factors'!$B$152:$AQ$165,35,FALSE)+J27*VLOOKUP($B27,'Emissions factors'!$B$152:$AQ$165,37,FALSE)+M27*VLOOKUP($B27,'Emissions factors'!$B$152:$AQ$165,39,FALSE)+P27*VLOOKUP($B27,'Emissions factors'!$B$152:$AQ$165,41,FALSE)</f>
        <v>0</v>
      </c>
      <c r="AV27" s="721">
        <f>G27*VLOOKUP($B27,'Emissions factors'!$B$152:$AQ$165,36,FALSE)+J27*VLOOKUP($B27,'Emissions factors'!$B$152:$AQ$165,38,FALSE)+M27*VLOOKUP($B27,'Emissions factors'!$B$152:$AQ$165,40,FALSE)+P27*VLOOKUP($B27,'Emissions factors'!$B$152:$AQ$165,42,FALSE)</f>
        <v>0</v>
      </c>
    </row>
    <row r="28" spans="1:48" s="40" customFormat="1" ht="13" outlineLevel="1" x14ac:dyDescent="0.2">
      <c r="B28" s="200" t="s">
        <v>843</v>
      </c>
      <c r="C28" s="665"/>
      <c r="D28" s="262">
        <f>S28+T28</f>
        <v>0</v>
      </c>
      <c r="E28" s="265">
        <f>D28*12/44</f>
        <v>0</v>
      </c>
      <c r="F28" s="390"/>
      <c r="G28" s="188"/>
      <c r="H28" s="271">
        <f>VLOOKUP($B28,'Emissions factors'!$B$152:$K$165,2,FALSE)</f>
        <v>40.700000000000003</v>
      </c>
      <c r="I28" s="276">
        <f>VLOOKUP($B28,'Emissions factors'!$B$152:$K$165,3,FALSE)</f>
        <v>48.2</v>
      </c>
      <c r="J28" s="188"/>
      <c r="K28" s="277">
        <f>VLOOKUP($B28,'Emissions factors'!$B$152:$K$165,4,FALSE)</f>
        <v>1.115E-2</v>
      </c>
      <c r="L28" s="276">
        <f>VLOOKUP($B28,'Emissions factors'!$B$152:$K$165,5,FALSE)</f>
        <v>1.32E-2</v>
      </c>
      <c r="M28" s="188"/>
      <c r="N28" s="271">
        <f>VLOOKUP($B28,'Emissions factors'!$B$152:$K$165,6,FALSE)</f>
        <v>0</v>
      </c>
      <c r="O28" s="276">
        <f>VLOOKUP($B28,'Emissions factors'!$B$152:$K$165,7,FALSE)</f>
        <v>0</v>
      </c>
      <c r="P28" s="188"/>
      <c r="Q28" s="277">
        <f>VLOOKUP($B28,'Emissions factors'!$B$152:$K$165,8,FALSE)</f>
        <v>0</v>
      </c>
      <c r="R28" s="277">
        <f>VLOOKUP($B28,'Emissions factors'!$B$152:$K$165,9,FALSE)</f>
        <v>0</v>
      </c>
      <c r="S28" s="210">
        <f>G28*H28+J28*K28+M28*N28+P28*Q28</f>
        <v>0</v>
      </c>
      <c r="T28" s="211">
        <f>G28*I28+J28*L28+M28*O28+P28*R28</f>
        <v>0</v>
      </c>
      <c r="V28" s="282">
        <f>VLOOKUP($B28,'Emissions factors'!$B$152:$K$165,10,FALSE)</f>
        <v>0.5</v>
      </c>
      <c r="W28" s="189"/>
      <c r="X28" s="221">
        <f>S28*SQRT(V28^2+W28^2)</f>
        <v>0</v>
      </c>
      <c r="Y28" s="221">
        <f>T28*SQRT(V28^2+W28^2)</f>
        <v>0</v>
      </c>
      <c r="Z28" s="211">
        <f>SQRT(X28^2+Y28^2)</f>
        <v>0</v>
      </c>
      <c r="AB28" s="190"/>
      <c r="AC28" s="221">
        <f>S28*AB28</f>
        <v>0</v>
      </c>
      <c r="AD28" s="224">
        <f>T28*AB28</f>
        <v>0</v>
      </c>
      <c r="AE28" s="210">
        <f>AC28+AD28</f>
        <v>0</v>
      </c>
      <c r="AF28" s="190"/>
      <c r="AG28" s="221">
        <f>S28*AF28</f>
        <v>0</v>
      </c>
      <c r="AH28" s="224">
        <f>T28*AF28</f>
        <v>0</v>
      </c>
      <c r="AI28" s="211">
        <f>AG28+AH28</f>
        <v>0</v>
      </c>
      <c r="AK28" s="717">
        <f>G28*VLOOKUP($B28,'Emissions factors'!$B$152:$AQ$165,11,FALSE)+J28*VLOOKUP($B28,'Emissions factors'!$B$152:$AQ$165,13,FALSE)+M28*VLOOKUP($B28,'Emissions factors'!$B$152:$AQ$165,15,FALSE)+P28*VLOOKUP($B28,'Emissions factors'!$B$152:$AQ$165,17,FALSE)</f>
        <v>0</v>
      </c>
      <c r="AL28" s="718">
        <f>G28*VLOOKUP($B28,'Emissions factors'!$B$152:$AQ$165,12,FALSE)+J28*VLOOKUP($B28,'Emissions factors'!$B$152:$AQ$165,14,FALSE)+M28*VLOOKUP($B28,'Emissions factors'!$B$152:$AQ$165,16,FALSE)+P28*VLOOKUP($B28,'Emissions factors'!$B$152:$AQ$165,18,FALSE)</f>
        <v>0</v>
      </c>
      <c r="AM28" s="718">
        <f>G28*VLOOKUP($B28,'Emissions factors'!$B$152:$AQ$165,19,FALSE)+J28*VLOOKUP($B28,'Emissions factors'!$B$152:$AQ$165,21,FALSE)+M28*VLOOKUP($B28,'Emissions factors'!$B$152:$AQ$165,23,FALSE)+P28*VLOOKUP($B28,'Emissions factors'!$B$152:$AQ$165,25,FALSE)</f>
        <v>0</v>
      </c>
      <c r="AN28" s="718">
        <f>G28*VLOOKUP($B28,'Emissions factors'!$B$152:$AQ$165,20,FALSE)+J28*VLOOKUP($B28,'Emissions factors'!$B$152:$AQ$165,22,FALSE)+M28*VLOOKUP($B28,'Emissions factors'!$B$152:$AQ$165,24,FALSE)+P28*VLOOKUP($B28,'Emissions factors'!$B$152:$AQ$165,26,FALSE)</f>
        <v>0</v>
      </c>
      <c r="AO28" s="718">
        <f>G28*VLOOKUP($B28,'Emissions factors'!$B$152:$AQ$165,27,FALSE)+J28*VLOOKUP($B28,'Emissions factors'!$B$152:$AQ$165,29,FALSE)+M28*VLOOKUP($B28,'Emissions factors'!$B$152:$AQ$165,31,FALSE)+P28*VLOOKUP($B28,'Emissions factors'!$B$152:$AQ$165,33,FALSE)</f>
        <v>0</v>
      </c>
      <c r="AP28" s="718">
        <f>G28*VLOOKUP($B28,'Emissions factors'!$B$152:$AQ$165,28,FALSE)+J28*VLOOKUP($B28,'Emissions factors'!$B$152:$AQ$165,30,FALSE)+M28*VLOOKUP($B28,'Emissions factors'!$B$152:$AQ$165,32,FALSE)+P28*VLOOKUP($B28,'Emissions factors'!$B$152:$AQ$165,34,FALSE)</f>
        <v>0</v>
      </c>
      <c r="AQ28" s="718">
        <v>0</v>
      </c>
      <c r="AR28" s="718">
        <v>0</v>
      </c>
      <c r="AS28" s="719">
        <f t="shared" si="15"/>
        <v>0</v>
      </c>
      <c r="AT28" s="720">
        <f t="shared" si="15"/>
        <v>0</v>
      </c>
      <c r="AU28" s="717">
        <f>G28*VLOOKUP($B28,'Emissions factors'!$B$152:$AQ$165,35,FALSE)+J28*VLOOKUP($B28,'Emissions factors'!$B$152:$AQ$165,37,FALSE)+M28*VLOOKUP($B28,'Emissions factors'!$B$152:$AQ$165,39,FALSE)+P28*VLOOKUP($B28,'Emissions factors'!$B$152:$AQ$165,41,FALSE)</f>
        <v>0</v>
      </c>
      <c r="AV28" s="721">
        <f>G28*VLOOKUP($B28,'Emissions factors'!$B$152:$AQ$165,36,FALSE)+J28*VLOOKUP($B28,'Emissions factors'!$B$152:$AQ$165,38,FALSE)+M28*VLOOKUP($B28,'Emissions factors'!$B$152:$AQ$165,40,FALSE)+P28*VLOOKUP($B28,'Emissions factors'!$B$152:$AQ$165,42,FALSE)</f>
        <v>0</v>
      </c>
    </row>
    <row r="29" spans="1:48" s="40" customFormat="1" ht="13" outlineLevel="1" x14ac:dyDescent="0.2">
      <c r="B29" s="213"/>
      <c r="C29" s="214"/>
      <c r="D29" s="275"/>
      <c r="E29" s="268"/>
      <c r="F29" s="214"/>
      <c r="G29" s="214"/>
      <c r="H29" s="214"/>
      <c r="I29" s="214"/>
      <c r="J29" s="214"/>
      <c r="K29" s="214"/>
      <c r="L29" s="214"/>
      <c r="M29" s="214"/>
      <c r="N29" s="214"/>
      <c r="O29" s="214"/>
      <c r="P29" s="201"/>
      <c r="Q29" s="201"/>
      <c r="R29" s="201"/>
      <c r="S29" s="214"/>
      <c r="T29" s="215"/>
      <c r="V29" s="213"/>
      <c r="W29" s="214"/>
      <c r="X29" s="214"/>
      <c r="Y29" s="227"/>
      <c r="Z29" s="215"/>
      <c r="AB29" s="200"/>
      <c r="AC29" s="201"/>
      <c r="AD29" s="423"/>
      <c r="AE29" s="210"/>
      <c r="AF29" s="201"/>
      <c r="AG29" s="201"/>
      <c r="AH29" s="221"/>
      <c r="AI29" s="211"/>
      <c r="AK29" s="717"/>
      <c r="AL29" s="718"/>
      <c r="AM29" s="718"/>
      <c r="AN29" s="718"/>
      <c r="AO29" s="718"/>
      <c r="AP29" s="718"/>
      <c r="AQ29" s="718"/>
      <c r="AR29" s="718"/>
      <c r="AS29" s="719"/>
      <c r="AT29" s="720"/>
      <c r="AU29" s="722"/>
      <c r="AV29" s="723"/>
    </row>
    <row r="30" spans="1:48" s="40" customFormat="1" ht="13" outlineLevel="1" x14ac:dyDescent="0.2">
      <c r="B30" s="253" t="s">
        <v>44</v>
      </c>
      <c r="C30" s="254"/>
      <c r="D30" s="264">
        <f>SUM(D26:D29)</f>
        <v>0</v>
      </c>
      <c r="E30" s="267">
        <f>SUM(E26:E29)</f>
        <v>0</v>
      </c>
      <c r="F30" s="255"/>
      <c r="G30" s="256"/>
      <c r="H30" s="256"/>
      <c r="I30" s="256"/>
      <c r="J30" s="256"/>
      <c r="K30" s="256"/>
      <c r="L30" s="256"/>
      <c r="M30" s="256"/>
      <c r="N30" s="256"/>
      <c r="O30" s="256"/>
      <c r="P30" s="256"/>
      <c r="Q30" s="256"/>
      <c r="R30" s="256"/>
      <c r="S30" s="259">
        <f>SUM(S26:S29)</f>
        <v>0</v>
      </c>
      <c r="T30" s="257">
        <f>SUM(T26:T29)</f>
        <v>0</v>
      </c>
      <c r="V30" s="258"/>
      <c r="W30" s="256"/>
      <c r="X30" s="260">
        <f>SQRT(SUMSQ(X26:X29))</f>
        <v>0</v>
      </c>
      <c r="Y30" s="260">
        <f>SQRT(SUMSQ(Y26:Y29))</f>
        <v>0</v>
      </c>
      <c r="Z30" s="257">
        <f>SQRT(SUMSQ(Z26:Z29))</f>
        <v>0</v>
      </c>
      <c r="AB30" s="258"/>
      <c r="AC30" s="260">
        <f>SUM(AC26:AC29)</f>
        <v>0</v>
      </c>
      <c r="AD30" s="260">
        <f>SUM(AD26:AD29)</f>
        <v>0</v>
      </c>
      <c r="AE30" s="259">
        <f>SUM(AE26:AE29)</f>
        <v>0</v>
      </c>
      <c r="AF30" s="256"/>
      <c r="AG30" s="260">
        <f>SUM(AG26:AG29)</f>
        <v>0</v>
      </c>
      <c r="AH30" s="260">
        <f>SUM(AH26:AH29)</f>
        <v>0</v>
      </c>
      <c r="AI30" s="257">
        <f>SUM(AI26:AI29)</f>
        <v>0</v>
      </c>
      <c r="AK30" s="724">
        <f t="shared" ref="AK30:AV30" si="16">SUM(AK26:AK29)</f>
        <v>0</v>
      </c>
      <c r="AL30" s="725">
        <f t="shared" si="16"/>
        <v>0</v>
      </c>
      <c r="AM30" s="725">
        <f t="shared" si="16"/>
        <v>0</v>
      </c>
      <c r="AN30" s="725">
        <f t="shared" si="16"/>
        <v>0</v>
      </c>
      <c r="AO30" s="725">
        <f t="shared" si="16"/>
        <v>0</v>
      </c>
      <c r="AP30" s="725">
        <f t="shared" si="16"/>
        <v>0</v>
      </c>
      <c r="AQ30" s="725">
        <f t="shared" si="16"/>
        <v>0</v>
      </c>
      <c r="AR30" s="725">
        <f t="shared" si="16"/>
        <v>0</v>
      </c>
      <c r="AS30" s="726">
        <f t="shared" si="16"/>
        <v>0</v>
      </c>
      <c r="AT30" s="727">
        <f t="shared" si="16"/>
        <v>0</v>
      </c>
      <c r="AU30" s="724">
        <f t="shared" si="16"/>
        <v>0</v>
      </c>
      <c r="AV30" s="728">
        <f t="shared" si="16"/>
        <v>0</v>
      </c>
    </row>
    <row r="31" spans="1:48" s="40" customFormat="1" ht="13" outlineLevel="1" x14ac:dyDescent="0.2">
      <c r="AK31" s="602"/>
      <c r="AL31" s="602"/>
      <c r="AM31" s="602"/>
      <c r="AN31" s="602"/>
      <c r="AO31" s="602"/>
      <c r="AP31" s="602"/>
      <c r="AQ31" s="602"/>
      <c r="AR31" s="602"/>
      <c r="AS31" s="602"/>
      <c r="AT31" s="602"/>
      <c r="AU31" s="602"/>
      <c r="AV31" s="602"/>
    </row>
    <row r="32" spans="1:48" s="40" customFormat="1" ht="13" x14ac:dyDescent="0.2">
      <c r="AK32" s="602"/>
      <c r="AL32" s="602"/>
      <c r="AM32" s="602"/>
      <c r="AN32" s="602"/>
      <c r="AO32" s="602"/>
      <c r="AP32" s="602"/>
      <c r="AQ32" s="602"/>
      <c r="AR32" s="602"/>
      <c r="AS32" s="602"/>
      <c r="AT32" s="602"/>
      <c r="AU32" s="602"/>
      <c r="AV32" s="602"/>
    </row>
    <row r="33" spans="1:48" ht="16" x14ac:dyDescent="0.2">
      <c r="A33" s="40"/>
      <c r="B33" s="1795" t="s">
        <v>3090</v>
      </c>
      <c r="C33" s="1795"/>
      <c r="D33" s="1795"/>
      <c r="E33" s="1795"/>
      <c r="F33" s="1795"/>
      <c r="G33" s="1795"/>
      <c r="H33" s="1795"/>
      <c r="I33" s="1795"/>
      <c r="J33" s="1795"/>
      <c r="K33" s="1795"/>
      <c r="L33" s="1795"/>
      <c r="M33" s="1795"/>
      <c r="N33" s="1795"/>
      <c r="O33" s="1795"/>
      <c r="AJ33" s="40"/>
      <c r="AK33" s="602"/>
      <c r="AL33" s="602"/>
      <c r="AM33" s="602"/>
      <c r="AN33" s="602"/>
      <c r="AO33" s="602"/>
      <c r="AP33" s="602"/>
      <c r="AQ33" s="602"/>
      <c r="AR33" s="602"/>
      <c r="AS33" s="602"/>
      <c r="AT33" s="602"/>
      <c r="AU33" s="602"/>
    </row>
    <row r="34" spans="1:48" s="40" customFormat="1" ht="13" outlineLevel="1" x14ac:dyDescent="0.2">
      <c r="AK34" s="602"/>
      <c r="AL34" s="602"/>
      <c r="AM34" s="602"/>
      <c r="AN34" s="602"/>
      <c r="AO34" s="602"/>
      <c r="AP34" s="602"/>
      <c r="AQ34" s="602"/>
      <c r="AR34" s="602"/>
      <c r="AS34" s="602"/>
      <c r="AT34" s="729"/>
      <c r="AU34" s="729"/>
      <c r="AV34" s="602"/>
    </row>
    <row r="35" spans="1:48" s="40" customFormat="1" ht="13" outlineLevel="1" x14ac:dyDescent="0.2">
      <c r="B35" s="195" t="s">
        <v>3091</v>
      </c>
      <c r="C35" s="196"/>
      <c r="D35" s="668"/>
      <c r="E35" s="668"/>
      <c r="F35" s="668"/>
      <c r="G35" s="198"/>
      <c r="H35" s="198"/>
      <c r="I35" s="198"/>
      <c r="J35" s="198"/>
      <c r="K35" s="198"/>
      <c r="L35" s="198"/>
      <c r="M35" s="198"/>
      <c r="N35" s="199"/>
      <c r="V35" s="1746" t="s">
        <v>723</v>
      </c>
      <c r="W35" s="1747"/>
      <c r="X35" s="1748"/>
      <c r="AB35" s="1746" t="s">
        <v>2066</v>
      </c>
      <c r="AC35" s="1747"/>
      <c r="AD35" s="1747"/>
      <c r="AE35" s="1748"/>
      <c r="AK35" s="1755" t="s">
        <v>2073</v>
      </c>
      <c r="AL35" s="1756"/>
      <c r="AM35" s="1756"/>
      <c r="AN35" s="1756"/>
      <c r="AO35" s="1756"/>
      <c r="AP35" s="1757"/>
      <c r="AQ35" s="729"/>
      <c r="AR35" s="729"/>
      <c r="AS35" s="729"/>
      <c r="AT35" s="602"/>
      <c r="AU35" s="602"/>
      <c r="AV35" s="602"/>
    </row>
    <row r="36" spans="1:48" s="40" customFormat="1" ht="13" outlineLevel="1" x14ac:dyDescent="0.2">
      <c r="B36" s="200"/>
      <c r="C36" s="201"/>
      <c r="D36" s="667"/>
      <c r="E36" s="667"/>
      <c r="F36" s="669"/>
      <c r="G36" s="201"/>
      <c r="H36" s="201"/>
      <c r="I36" s="201"/>
      <c r="J36" s="201"/>
      <c r="K36" s="201"/>
      <c r="L36" s="201"/>
      <c r="M36" s="201"/>
      <c r="N36" s="203"/>
      <c r="V36" s="671"/>
      <c r="W36" s="669"/>
      <c r="X36" s="203"/>
      <c r="AB36" s="671"/>
      <c r="AC36" s="669"/>
      <c r="AD36" s="669"/>
      <c r="AE36" s="203"/>
      <c r="AK36" s="737"/>
      <c r="AL36" s="738"/>
      <c r="AM36" s="738"/>
      <c r="AN36" s="738"/>
      <c r="AO36" s="739"/>
      <c r="AP36" s="740"/>
      <c r="AQ36" s="602"/>
      <c r="AR36" s="602"/>
      <c r="AS36" s="602"/>
      <c r="AT36" s="602"/>
      <c r="AU36" s="602"/>
      <c r="AV36" s="602"/>
    </row>
    <row r="37" spans="1:48" s="32" customFormat="1" ht="13" outlineLevel="1" x14ac:dyDescent="0.2">
      <c r="A37" s="40"/>
      <c r="B37" s="671" t="s">
        <v>2068</v>
      </c>
      <c r="C37" s="669"/>
      <c r="D37" s="669" t="s">
        <v>56</v>
      </c>
      <c r="E37" s="669" t="s">
        <v>56</v>
      </c>
      <c r="F37" s="205" t="s">
        <v>2739</v>
      </c>
      <c r="G37" s="205" t="s">
        <v>2053</v>
      </c>
      <c r="H37" s="669" t="s">
        <v>61</v>
      </c>
      <c r="I37" s="205" t="s">
        <v>2053</v>
      </c>
      <c r="J37" s="669" t="s">
        <v>61</v>
      </c>
      <c r="K37" s="205" t="s">
        <v>2053</v>
      </c>
      <c r="L37" s="669" t="s">
        <v>61</v>
      </c>
      <c r="M37" s="205" t="s">
        <v>81</v>
      </c>
      <c r="N37" s="670" t="s">
        <v>61</v>
      </c>
      <c r="V37" s="1621" t="s">
        <v>2557</v>
      </c>
      <c r="W37" s="669" t="s">
        <v>2110</v>
      </c>
      <c r="X37" s="670" t="s">
        <v>61</v>
      </c>
      <c r="AB37" s="671" t="s">
        <v>2065</v>
      </c>
      <c r="AC37" s="667" t="s">
        <v>61</v>
      </c>
      <c r="AD37" s="669" t="s">
        <v>2558</v>
      </c>
      <c r="AE37" s="670" t="s">
        <v>61</v>
      </c>
      <c r="AK37" s="1739" t="s">
        <v>61</v>
      </c>
      <c r="AL37" s="1740"/>
      <c r="AM37" s="1740"/>
      <c r="AN37" s="1740"/>
      <c r="AO37" s="741" t="s">
        <v>61</v>
      </c>
      <c r="AP37" s="742"/>
      <c r="AQ37" s="743"/>
      <c r="AR37" s="743"/>
      <c r="AS37" s="743"/>
      <c r="AT37" s="743"/>
      <c r="AU37" s="743"/>
      <c r="AV37" s="743"/>
    </row>
    <row r="38" spans="1:48" s="32" customFormat="1" ht="13" outlineLevel="1" x14ac:dyDescent="0.2">
      <c r="A38" s="40"/>
      <c r="B38" s="671"/>
      <c r="C38" s="669"/>
      <c r="D38" s="669" t="s">
        <v>61</v>
      </c>
      <c r="E38" s="669" t="s">
        <v>63</v>
      </c>
      <c r="F38" s="208" t="s">
        <v>2054</v>
      </c>
      <c r="G38" s="208" t="s">
        <v>34</v>
      </c>
      <c r="H38" s="669" t="s">
        <v>2058</v>
      </c>
      <c r="I38" s="208" t="s">
        <v>74</v>
      </c>
      <c r="J38" s="669" t="s">
        <v>2057</v>
      </c>
      <c r="K38" s="208" t="s">
        <v>2553</v>
      </c>
      <c r="L38" s="669" t="s">
        <v>2554</v>
      </c>
      <c r="M38" s="208" t="s">
        <v>45</v>
      </c>
      <c r="N38" s="670"/>
      <c r="V38" s="1621" t="s">
        <v>2109</v>
      </c>
      <c r="W38" s="669"/>
      <c r="X38" s="670"/>
      <c r="AB38" s="671"/>
      <c r="AC38" s="667"/>
      <c r="AD38" s="669"/>
      <c r="AE38" s="670"/>
      <c r="AK38" s="744" t="s">
        <v>14</v>
      </c>
      <c r="AL38" s="745" t="s">
        <v>60</v>
      </c>
      <c r="AM38" s="745" t="s">
        <v>27</v>
      </c>
      <c r="AN38" s="745" t="s">
        <v>2074</v>
      </c>
      <c r="AO38" s="746" t="s">
        <v>41</v>
      </c>
      <c r="AP38" s="747" t="s">
        <v>85</v>
      </c>
      <c r="AQ38" s="743"/>
      <c r="AR38" s="743"/>
      <c r="AS38" s="743"/>
      <c r="AT38" s="743"/>
      <c r="AU38" s="743"/>
      <c r="AV38" s="743"/>
    </row>
    <row r="39" spans="1:48" s="40" customFormat="1" ht="13" outlineLevel="1" x14ac:dyDescent="0.2">
      <c r="B39" s="200" t="s">
        <v>250</v>
      </c>
      <c r="C39" s="201"/>
      <c r="D39" s="262">
        <f>N39</f>
        <v>0</v>
      </c>
      <c r="E39" s="265">
        <f>D39*12/44</f>
        <v>0</v>
      </c>
      <c r="F39" s="388"/>
      <c r="G39" s="182"/>
      <c r="H39" s="271">
        <f>VLOOKUP($B39,'Emissions factors'!$B$172:$G$591,2,FALSE)</f>
        <v>125.3</v>
      </c>
      <c r="I39" s="182"/>
      <c r="J39" s="277">
        <f>VLOOKUP($B39,'Emissions factors'!$B$172:$G$591,3,FALSE)</f>
        <v>0.17899999999999999</v>
      </c>
      <c r="K39" s="182"/>
      <c r="L39" s="271">
        <f>VLOOKUP($B39,'Emissions factors'!$B$172:$G$591,4,FALSE)</f>
        <v>2081.3722222222223</v>
      </c>
      <c r="M39" s="278">
        <f>VLOOKUP($B39,'Emissions factors'!$B$172:$G$591,5,FALSE)</f>
        <v>0.1</v>
      </c>
      <c r="N39" s="211">
        <f>(G39*H39+I39*J39+K39*L39)*(1+M39)</f>
        <v>0</v>
      </c>
      <c r="O39" s="32"/>
      <c r="V39" s="284">
        <f>VLOOKUP($B39,'Emissions factors'!$B$172:$G$591,6,FALSE)</f>
        <v>0.3</v>
      </c>
      <c r="W39" s="183"/>
      <c r="X39" s="211">
        <f>N39*SQRT(V39^2+W39^2)</f>
        <v>0</v>
      </c>
      <c r="AB39" s="184"/>
      <c r="AC39" s="285">
        <f>N39*AB39</f>
        <v>0</v>
      </c>
      <c r="AD39" s="184"/>
      <c r="AE39" s="286">
        <f>N39*AD39</f>
        <v>0</v>
      </c>
      <c r="AK39" s="717"/>
      <c r="AL39" s="718"/>
      <c r="AM39" s="718"/>
      <c r="AN39" s="718"/>
      <c r="AO39" s="720">
        <f>N39</f>
        <v>0</v>
      </c>
      <c r="AP39" s="748"/>
      <c r="AQ39" s="602"/>
      <c r="AR39" s="602"/>
      <c r="AS39" s="602"/>
      <c r="AT39" s="602"/>
      <c r="AU39" s="602"/>
      <c r="AV39" s="602"/>
    </row>
    <row r="40" spans="1:48" s="40" customFormat="1" ht="13" outlineLevel="1" x14ac:dyDescent="0.2">
      <c r="B40" s="200" t="s">
        <v>469</v>
      </c>
      <c r="C40" s="201"/>
      <c r="D40" s="262">
        <f>N40</f>
        <v>0</v>
      </c>
      <c r="E40" s="265">
        <f>D40*12/44</f>
        <v>0</v>
      </c>
      <c r="F40" s="389"/>
      <c r="G40" s="185"/>
      <c r="H40" s="271">
        <f>VLOOKUP($B40,'Emissions factors'!$B$172:$G$591,2,FALSE)</f>
        <v>76.3</v>
      </c>
      <c r="I40" s="185"/>
      <c r="J40" s="277">
        <f>VLOOKUP($B40,'Emissions factors'!$B$172:$G$591,3,FALSE)</f>
        <v>0.109</v>
      </c>
      <c r="K40" s="185"/>
      <c r="L40" s="271">
        <f>VLOOKUP($B40,'Emissions factors'!$B$172:$G$591,4,FALSE)</f>
        <v>1267.4277777777777</v>
      </c>
      <c r="M40" s="279">
        <f>VLOOKUP($B40,'Emissions factors'!$B$172:$G$591,5,FALSE)</f>
        <v>0.1</v>
      </c>
      <c r="N40" s="211">
        <f>(G40*H40+I40*J40+K40*L40)*(1+M40)</f>
        <v>0</v>
      </c>
      <c r="O40" s="32"/>
      <c r="V40" s="284">
        <f>VLOOKUP($B40,'Emissions factors'!$B$172:$G$591,6,FALSE)</f>
        <v>0.3</v>
      </c>
      <c r="W40" s="186"/>
      <c r="X40" s="211">
        <f>N40*SQRT(V40^2+W40^2)</f>
        <v>0</v>
      </c>
      <c r="AB40" s="187"/>
      <c r="AC40" s="285">
        <f>N40*AB40</f>
        <v>0</v>
      </c>
      <c r="AD40" s="187"/>
      <c r="AE40" s="286">
        <f>N40*AD40</f>
        <v>0</v>
      </c>
      <c r="AK40" s="717"/>
      <c r="AL40" s="718"/>
      <c r="AM40" s="718"/>
      <c r="AN40" s="718"/>
      <c r="AO40" s="720">
        <f>N40</f>
        <v>0</v>
      </c>
      <c r="AP40" s="748"/>
      <c r="AQ40" s="602"/>
      <c r="AR40" s="602"/>
      <c r="AS40" s="602"/>
      <c r="AT40" s="602"/>
      <c r="AU40" s="602"/>
      <c r="AV40" s="602"/>
    </row>
    <row r="41" spans="1:48" s="40" customFormat="1" ht="13" outlineLevel="1" x14ac:dyDescent="0.2">
      <c r="B41" s="200" t="s">
        <v>515</v>
      </c>
      <c r="C41" s="201"/>
      <c r="D41" s="262">
        <f>N41</f>
        <v>0</v>
      </c>
      <c r="E41" s="265">
        <f>D41*12/44</f>
        <v>0</v>
      </c>
      <c r="F41" s="390"/>
      <c r="G41" s="188"/>
      <c r="H41" s="271">
        <f>VLOOKUP($B41,'Emissions factors'!$B$172:$G$591,2,FALSE)</f>
        <v>148.4</v>
      </c>
      <c r="I41" s="188"/>
      <c r="J41" s="277">
        <f>VLOOKUP($B41,'Emissions factors'!$B$172:$G$591,3,FALSE)</f>
        <v>0.21199999999999999</v>
      </c>
      <c r="K41" s="188"/>
      <c r="L41" s="271">
        <f>VLOOKUP($B41,'Emissions factors'!$B$172:$G$591,4,FALSE)</f>
        <v>2465.088888888889</v>
      </c>
      <c r="M41" s="280">
        <f>VLOOKUP($B41,'Emissions factors'!$B$172:$G$591,5,FALSE)</f>
        <v>0.1</v>
      </c>
      <c r="N41" s="211">
        <f>(G41*H41+I41*J41+K41*L41)*(1+M41)</f>
        <v>0</v>
      </c>
      <c r="V41" s="284">
        <f>VLOOKUP($B41,'Emissions factors'!$B$172:$G$591,6,FALSE)</f>
        <v>0.3</v>
      </c>
      <c r="W41" s="189"/>
      <c r="X41" s="211">
        <f>N41*SQRT(V41^2+W41^2)</f>
        <v>0</v>
      </c>
      <c r="AB41" s="190"/>
      <c r="AC41" s="285">
        <f>N41*AB41</f>
        <v>0</v>
      </c>
      <c r="AD41" s="190"/>
      <c r="AE41" s="286">
        <f>N41*AD41</f>
        <v>0</v>
      </c>
      <c r="AK41" s="717"/>
      <c r="AL41" s="718"/>
      <c r="AM41" s="718"/>
      <c r="AN41" s="718"/>
      <c r="AO41" s="720">
        <f>N41</f>
        <v>0</v>
      </c>
      <c r="AP41" s="748"/>
      <c r="AQ41" s="602"/>
      <c r="AR41" s="602"/>
      <c r="AS41" s="602"/>
      <c r="AT41" s="602"/>
      <c r="AU41" s="602"/>
      <c r="AV41" s="602"/>
    </row>
    <row r="42" spans="1:48" s="40" customFormat="1" ht="13" outlineLevel="1" x14ac:dyDescent="0.2">
      <c r="B42" s="200"/>
      <c r="C42" s="201"/>
      <c r="D42" s="263"/>
      <c r="E42" s="266"/>
      <c r="F42" s="201"/>
      <c r="G42" s="201"/>
      <c r="H42" s="201"/>
      <c r="I42" s="201"/>
      <c r="J42" s="201"/>
      <c r="K42" s="201"/>
      <c r="L42" s="201"/>
      <c r="M42" s="201"/>
      <c r="N42" s="211"/>
      <c r="V42" s="200"/>
      <c r="W42" s="201"/>
      <c r="X42" s="222"/>
      <c r="AB42" s="200"/>
      <c r="AC42" s="667"/>
      <c r="AD42" s="201"/>
      <c r="AE42" s="222"/>
      <c r="AK42" s="717"/>
      <c r="AL42" s="718"/>
      <c r="AM42" s="718"/>
      <c r="AN42" s="718"/>
      <c r="AO42" s="720"/>
      <c r="AP42" s="749"/>
      <c r="AQ42" s="602"/>
      <c r="AR42" s="602"/>
      <c r="AS42" s="602"/>
      <c r="AT42" s="602"/>
      <c r="AU42" s="602"/>
      <c r="AV42" s="602"/>
    </row>
    <row r="43" spans="1:48" s="40" customFormat="1" ht="13" outlineLevel="1" x14ac:dyDescent="0.2">
      <c r="B43" s="253" t="s">
        <v>44</v>
      </c>
      <c r="C43" s="254"/>
      <c r="D43" s="264">
        <f>SUM(D39:D42)</f>
        <v>0</v>
      </c>
      <c r="E43" s="267">
        <f>SUM(E39:E42)</f>
        <v>0</v>
      </c>
      <c r="F43" s="255"/>
      <c r="G43" s="256"/>
      <c r="H43" s="256"/>
      <c r="I43" s="256"/>
      <c r="J43" s="256"/>
      <c r="K43" s="256"/>
      <c r="L43" s="256"/>
      <c r="M43" s="256"/>
      <c r="N43" s="257">
        <f>SUM(N39:N42)</f>
        <v>0</v>
      </c>
      <c r="V43" s="258"/>
      <c r="W43" s="256"/>
      <c r="X43" s="257">
        <f>SQRT(SUMSQ(X39:X42))</f>
        <v>0</v>
      </c>
      <c r="AB43" s="258"/>
      <c r="AC43" s="259">
        <f>SUM(AC39:AC42)</f>
        <v>0</v>
      </c>
      <c r="AD43" s="256"/>
      <c r="AE43" s="257">
        <f>SUM(AE39:AE42)</f>
        <v>0</v>
      </c>
      <c r="AK43" s="724">
        <f t="shared" ref="AK43:AP43" si="17">SUM(AK39:AK42)</f>
        <v>0</v>
      </c>
      <c r="AL43" s="725">
        <f t="shared" si="17"/>
        <v>0</v>
      </c>
      <c r="AM43" s="725">
        <f t="shared" si="17"/>
        <v>0</v>
      </c>
      <c r="AN43" s="725">
        <f t="shared" si="17"/>
        <v>0</v>
      </c>
      <c r="AO43" s="727">
        <f t="shared" si="17"/>
        <v>0</v>
      </c>
      <c r="AP43" s="750">
        <f t="shared" si="17"/>
        <v>0</v>
      </c>
      <c r="AQ43" s="602"/>
      <c r="AR43" s="602"/>
      <c r="AS43" s="602"/>
      <c r="AT43" s="602"/>
      <c r="AU43" s="602"/>
      <c r="AV43" s="602"/>
    </row>
    <row r="44" spans="1:48" s="40" customFormat="1" ht="13" outlineLevel="1" x14ac:dyDescent="0.2">
      <c r="AK44" s="602"/>
      <c r="AL44" s="602"/>
      <c r="AM44" s="602"/>
      <c r="AN44" s="602"/>
      <c r="AO44" s="602"/>
      <c r="AP44" s="602"/>
      <c r="AQ44" s="602"/>
      <c r="AR44" s="602"/>
      <c r="AS44" s="602"/>
      <c r="AT44" s="602"/>
      <c r="AU44" s="602"/>
      <c r="AV44" s="602"/>
    </row>
    <row r="45" spans="1:48" s="40" customFormat="1" ht="13" outlineLevel="1" x14ac:dyDescent="0.2">
      <c r="B45" s="195" t="s">
        <v>3092</v>
      </c>
      <c r="C45" s="196"/>
      <c r="D45" s="668"/>
      <c r="E45" s="668"/>
      <c r="F45" s="668"/>
      <c r="G45" s="198"/>
      <c r="H45" s="198"/>
      <c r="I45" s="198"/>
      <c r="J45" s="198"/>
      <c r="K45" s="198"/>
      <c r="L45" s="199"/>
      <c r="V45" s="1746" t="s">
        <v>723</v>
      </c>
      <c r="W45" s="1747"/>
      <c r="X45" s="1748"/>
      <c r="AB45" s="1746" t="s">
        <v>2066</v>
      </c>
      <c r="AC45" s="1747"/>
      <c r="AD45" s="1747"/>
      <c r="AE45" s="1748"/>
      <c r="AK45" s="1755" t="s">
        <v>2073</v>
      </c>
      <c r="AL45" s="1756"/>
      <c r="AM45" s="1756"/>
      <c r="AN45" s="1756"/>
      <c r="AO45" s="1756"/>
      <c r="AP45" s="1757"/>
      <c r="AQ45" s="602"/>
      <c r="AR45" s="602"/>
      <c r="AS45" s="602"/>
      <c r="AT45" s="602"/>
      <c r="AU45" s="602"/>
      <c r="AV45" s="602"/>
    </row>
    <row r="46" spans="1:48" s="40" customFormat="1" ht="13" outlineLevel="1" x14ac:dyDescent="0.2">
      <c r="B46" s="200"/>
      <c r="C46" s="201"/>
      <c r="D46" s="667"/>
      <c r="E46" s="667"/>
      <c r="F46" s="669"/>
      <c r="G46" s="201"/>
      <c r="H46" s="201"/>
      <c r="I46" s="201"/>
      <c r="J46" s="201"/>
      <c r="K46" s="201"/>
      <c r="L46" s="203"/>
      <c r="V46" s="671"/>
      <c r="W46" s="669"/>
      <c r="X46" s="203"/>
      <c r="AB46" s="671"/>
      <c r="AC46" s="669"/>
      <c r="AD46" s="669"/>
      <c r="AE46" s="203"/>
      <c r="AK46" s="737"/>
      <c r="AL46" s="738"/>
      <c r="AM46" s="738"/>
      <c r="AN46" s="738"/>
      <c r="AO46" s="739"/>
      <c r="AP46" s="740"/>
      <c r="AQ46" s="602"/>
      <c r="AR46" s="602"/>
      <c r="AS46" s="602"/>
      <c r="AT46" s="602"/>
      <c r="AU46" s="602"/>
      <c r="AV46" s="602"/>
    </row>
    <row r="47" spans="1:48" s="32" customFormat="1" ht="13" outlineLevel="1" x14ac:dyDescent="0.2">
      <c r="A47" s="40"/>
      <c r="B47" s="671" t="s">
        <v>2068</v>
      </c>
      <c r="C47" s="669"/>
      <c r="D47" s="669" t="s">
        <v>56</v>
      </c>
      <c r="E47" s="669" t="s">
        <v>56</v>
      </c>
      <c r="F47" s="205" t="s">
        <v>2739</v>
      </c>
      <c r="G47" s="205" t="s">
        <v>2053</v>
      </c>
      <c r="H47" s="669" t="s">
        <v>61</v>
      </c>
      <c r="I47" s="205" t="s">
        <v>2053</v>
      </c>
      <c r="J47" s="669" t="s">
        <v>61</v>
      </c>
      <c r="K47" s="205" t="s">
        <v>849</v>
      </c>
      <c r="L47" s="670" t="s">
        <v>61</v>
      </c>
      <c r="V47" s="1621" t="s">
        <v>2557</v>
      </c>
      <c r="W47" s="669" t="s">
        <v>2110</v>
      </c>
      <c r="X47" s="670" t="s">
        <v>61</v>
      </c>
      <c r="AB47" s="671" t="s">
        <v>2065</v>
      </c>
      <c r="AC47" s="667" t="s">
        <v>61</v>
      </c>
      <c r="AD47" s="669" t="s">
        <v>2558</v>
      </c>
      <c r="AE47" s="670" t="s">
        <v>61</v>
      </c>
      <c r="AK47" s="1739" t="s">
        <v>61</v>
      </c>
      <c r="AL47" s="1740"/>
      <c r="AM47" s="1740"/>
      <c r="AN47" s="1740"/>
      <c r="AO47" s="741" t="s">
        <v>61</v>
      </c>
      <c r="AP47" s="742"/>
      <c r="AQ47" s="743"/>
      <c r="AR47" s="743"/>
      <c r="AS47" s="743"/>
      <c r="AT47" s="743"/>
      <c r="AU47" s="743"/>
      <c r="AV47" s="743"/>
    </row>
    <row r="48" spans="1:48" s="32" customFormat="1" ht="13" outlineLevel="1" x14ac:dyDescent="0.2">
      <c r="A48" s="40"/>
      <c r="B48" s="671"/>
      <c r="C48" s="669"/>
      <c r="D48" s="669" t="s">
        <v>61</v>
      </c>
      <c r="E48" s="669" t="s">
        <v>63</v>
      </c>
      <c r="F48" s="208" t="s">
        <v>2054</v>
      </c>
      <c r="G48" s="208" t="s">
        <v>74</v>
      </c>
      <c r="H48" s="669" t="s">
        <v>2057</v>
      </c>
      <c r="I48" s="208" t="s">
        <v>2553</v>
      </c>
      <c r="J48" s="669" t="s">
        <v>2554</v>
      </c>
      <c r="K48" s="208" t="s">
        <v>2488</v>
      </c>
      <c r="L48" s="670"/>
      <c r="V48" s="1621" t="s">
        <v>2109</v>
      </c>
      <c r="W48" s="669"/>
      <c r="X48" s="670"/>
      <c r="AB48" s="671"/>
      <c r="AC48" s="667"/>
      <c r="AD48" s="669"/>
      <c r="AE48" s="670"/>
      <c r="AK48" s="744" t="s">
        <v>14</v>
      </c>
      <c r="AL48" s="745" t="s">
        <v>60</v>
      </c>
      <c r="AM48" s="745" t="s">
        <v>27</v>
      </c>
      <c r="AN48" s="745" t="s">
        <v>2074</v>
      </c>
      <c r="AO48" s="746" t="s">
        <v>41</v>
      </c>
      <c r="AP48" s="747" t="s">
        <v>85</v>
      </c>
      <c r="AQ48" s="743"/>
      <c r="AR48" s="743"/>
      <c r="AS48" s="743"/>
      <c r="AT48" s="743"/>
      <c r="AU48" s="743"/>
      <c r="AV48" s="743"/>
    </row>
    <row r="49" spans="1:48" s="40" customFormat="1" ht="13" outlineLevel="1" x14ac:dyDescent="0.2">
      <c r="B49" s="200" t="s">
        <v>335</v>
      </c>
      <c r="C49" s="201"/>
      <c r="D49" s="262">
        <f>L49</f>
        <v>0</v>
      </c>
      <c r="E49" s="265">
        <f>D49*12/44</f>
        <v>0</v>
      </c>
      <c r="F49" s="388"/>
      <c r="G49" s="182"/>
      <c r="H49" s="277">
        <f>VLOOKUP($B49,'Emissions factors'!$B$595:$F$608,2,FALSE)</f>
        <v>0.2</v>
      </c>
      <c r="I49" s="182"/>
      <c r="J49" s="271">
        <f>VLOOKUP($B49,'Emissions factors'!$B$595:$F$608,3,FALSE)</f>
        <v>2325.5555555555557</v>
      </c>
      <c r="K49" s="278">
        <f>VLOOKUP($B49,'Emissions factors'!$B$595:$F$608,4,FALSE)</f>
        <v>0.1</v>
      </c>
      <c r="L49" s="211">
        <f>(G49*H49+I49*J49)*(1+K49)</f>
        <v>0</v>
      </c>
      <c r="M49" s="32"/>
      <c r="V49" s="284">
        <f>VLOOKUP($B49,'Emissions factors'!$B$595:$F$608,5,FALSE)</f>
        <v>0.3</v>
      </c>
      <c r="W49" s="183"/>
      <c r="X49" s="211">
        <f>L49*SQRT(V49^2+W49^2)</f>
        <v>0</v>
      </c>
      <c r="AB49" s="184"/>
      <c r="AC49" s="285">
        <f>L49*AB49</f>
        <v>0</v>
      </c>
      <c r="AD49" s="184"/>
      <c r="AE49" s="286">
        <f>L49*AD49</f>
        <v>0</v>
      </c>
      <c r="AK49" s="717"/>
      <c r="AL49" s="718"/>
      <c r="AM49" s="718"/>
      <c r="AN49" s="718"/>
      <c r="AO49" s="720">
        <f>L49</f>
        <v>0</v>
      </c>
      <c r="AP49" s="748"/>
      <c r="AQ49" s="602"/>
      <c r="AR49" s="602"/>
      <c r="AS49" s="602"/>
      <c r="AT49" s="602"/>
      <c r="AU49" s="602"/>
      <c r="AV49" s="602"/>
    </row>
    <row r="50" spans="1:48" s="40" customFormat="1" ht="13" outlineLevel="1" x14ac:dyDescent="0.2">
      <c r="B50" s="200" t="s">
        <v>515</v>
      </c>
      <c r="C50" s="201"/>
      <c r="D50" s="262">
        <f>L50</f>
        <v>0</v>
      </c>
      <c r="E50" s="265">
        <f>D50*12/44</f>
        <v>0</v>
      </c>
      <c r="F50" s="389"/>
      <c r="G50" s="185"/>
      <c r="H50" s="277">
        <f>VLOOKUP($B50,'Emissions factors'!$B$595:$F$608,2,FALSE)</f>
        <v>7.0000000000000001E-3</v>
      </c>
      <c r="I50" s="185"/>
      <c r="J50" s="271">
        <f>VLOOKUP($B50,'Emissions factors'!$B$595:$F$608,3,FALSE)</f>
        <v>81.394444444444446</v>
      </c>
      <c r="K50" s="279">
        <f>VLOOKUP($B50,'Emissions factors'!$B$595:$F$608,4,FALSE)</f>
        <v>0.1</v>
      </c>
      <c r="L50" s="211">
        <f>(G50*H50+I50*J50)*(1+K50)</f>
        <v>0</v>
      </c>
      <c r="M50" s="32"/>
      <c r="V50" s="284">
        <f>VLOOKUP($B50,'Emissions factors'!$B$595:$F$608,5,FALSE)</f>
        <v>0.3</v>
      </c>
      <c r="W50" s="186"/>
      <c r="X50" s="211">
        <f>L50*SQRT(V50^2+W50^2)</f>
        <v>0</v>
      </c>
      <c r="AB50" s="187"/>
      <c r="AC50" s="285">
        <f>L50*AB50</f>
        <v>0</v>
      </c>
      <c r="AD50" s="187"/>
      <c r="AE50" s="286">
        <f>L50*AD50</f>
        <v>0</v>
      </c>
      <c r="AK50" s="717"/>
      <c r="AL50" s="718"/>
      <c r="AM50" s="718"/>
      <c r="AN50" s="718"/>
      <c r="AO50" s="720">
        <f>L50</f>
        <v>0</v>
      </c>
      <c r="AP50" s="748"/>
      <c r="AQ50" s="602"/>
      <c r="AR50" s="602"/>
      <c r="AS50" s="602"/>
      <c r="AT50" s="602"/>
      <c r="AU50" s="602"/>
      <c r="AV50" s="602"/>
    </row>
    <row r="51" spans="1:48" s="40" customFormat="1" ht="13" outlineLevel="1" x14ac:dyDescent="0.2">
      <c r="B51" s="200" t="s">
        <v>591</v>
      </c>
      <c r="C51" s="201"/>
      <c r="D51" s="262">
        <f>L51</f>
        <v>0</v>
      </c>
      <c r="E51" s="265">
        <f>D51*12/44</f>
        <v>0</v>
      </c>
      <c r="F51" s="390"/>
      <c r="G51" s="188"/>
      <c r="H51" s="277">
        <f>VLOOKUP($B51,'Emissions factors'!$B$595:$F$608,2,FALSE)</f>
        <v>0.02</v>
      </c>
      <c r="I51" s="188"/>
      <c r="J51" s="271">
        <f>VLOOKUP($B51,'Emissions factors'!$B$595:$F$608,3,FALSE)</f>
        <v>232.55555555555554</v>
      </c>
      <c r="K51" s="280">
        <f>VLOOKUP($B51,'Emissions factors'!$B$595:$F$608,4,FALSE)</f>
        <v>0.1</v>
      </c>
      <c r="L51" s="211">
        <f>(G51*H51+I51*J51)*(1+K51)</f>
        <v>0</v>
      </c>
      <c r="V51" s="284">
        <f>VLOOKUP($B51,'Emissions factors'!$B$595:$F$608,5,FALSE)</f>
        <v>0.3</v>
      </c>
      <c r="W51" s="189"/>
      <c r="X51" s="211">
        <f>L51*SQRT(V51^2+W51^2)</f>
        <v>0</v>
      </c>
      <c r="AB51" s="190"/>
      <c r="AC51" s="285">
        <f>L51*AB51</f>
        <v>0</v>
      </c>
      <c r="AD51" s="190"/>
      <c r="AE51" s="286">
        <f>L51*AD51</f>
        <v>0</v>
      </c>
      <c r="AK51" s="717"/>
      <c r="AL51" s="718"/>
      <c r="AM51" s="718"/>
      <c r="AN51" s="718"/>
      <c r="AO51" s="720">
        <f>L51</f>
        <v>0</v>
      </c>
      <c r="AP51" s="748"/>
      <c r="AQ51" s="602"/>
      <c r="AR51" s="602"/>
      <c r="AS51" s="602"/>
      <c r="AT51" s="602"/>
      <c r="AU51" s="602"/>
      <c r="AV51" s="602"/>
    </row>
    <row r="52" spans="1:48" s="40" customFormat="1" ht="13" outlineLevel="1" x14ac:dyDescent="0.2">
      <c r="B52" s="200"/>
      <c r="C52" s="201"/>
      <c r="D52" s="263"/>
      <c r="E52" s="266"/>
      <c r="F52" s="201"/>
      <c r="G52" s="201"/>
      <c r="H52" s="201"/>
      <c r="I52" s="201"/>
      <c r="J52" s="201"/>
      <c r="K52" s="201"/>
      <c r="L52" s="211"/>
      <c r="V52" s="200"/>
      <c r="W52" s="201"/>
      <c r="X52" s="222"/>
      <c r="AB52" s="200"/>
      <c r="AC52" s="667"/>
      <c r="AD52" s="201"/>
      <c r="AE52" s="211"/>
      <c r="AK52" s="717"/>
      <c r="AL52" s="718"/>
      <c r="AM52" s="718"/>
      <c r="AN52" s="718"/>
      <c r="AO52" s="720"/>
      <c r="AP52" s="749"/>
      <c r="AQ52" s="602"/>
      <c r="AR52" s="602"/>
      <c r="AS52" s="602"/>
      <c r="AT52" s="602"/>
      <c r="AU52" s="602"/>
      <c r="AV52" s="602"/>
    </row>
    <row r="53" spans="1:48" s="40" customFormat="1" ht="13" outlineLevel="1" x14ac:dyDescent="0.2">
      <c r="B53" s="253" t="s">
        <v>44</v>
      </c>
      <c r="C53" s="254"/>
      <c r="D53" s="264">
        <f>SUM(D49:D52)</f>
        <v>0</v>
      </c>
      <c r="E53" s="267">
        <f>SUM(E49:E52)</f>
        <v>0</v>
      </c>
      <c r="F53" s="255"/>
      <c r="G53" s="256"/>
      <c r="H53" s="256"/>
      <c r="I53" s="256"/>
      <c r="J53" s="256"/>
      <c r="K53" s="256"/>
      <c r="L53" s="257">
        <f>SUM(L49:L52)</f>
        <v>0</v>
      </c>
      <c r="V53" s="258"/>
      <c r="W53" s="256"/>
      <c r="X53" s="257">
        <f>SQRT(SUMSQ(X49:X52))</f>
        <v>0</v>
      </c>
      <c r="AB53" s="258"/>
      <c r="AC53" s="259">
        <f>SUM(AC49:AC52)</f>
        <v>0</v>
      </c>
      <c r="AD53" s="256"/>
      <c r="AE53" s="257">
        <f>SUM(AE49:AE52)</f>
        <v>0</v>
      </c>
      <c r="AK53" s="724">
        <f t="shared" ref="AK53:AP53" si="18">SUM(AK49:AK52)</f>
        <v>0</v>
      </c>
      <c r="AL53" s="725">
        <f t="shared" si="18"/>
        <v>0</v>
      </c>
      <c r="AM53" s="725">
        <f t="shared" si="18"/>
        <v>0</v>
      </c>
      <c r="AN53" s="725">
        <f t="shared" si="18"/>
        <v>0</v>
      </c>
      <c r="AO53" s="727">
        <f t="shared" si="18"/>
        <v>0</v>
      </c>
      <c r="AP53" s="750">
        <f t="shared" si="18"/>
        <v>0</v>
      </c>
      <c r="AQ53" s="602"/>
      <c r="AR53" s="602"/>
      <c r="AS53" s="602"/>
      <c r="AT53" s="602"/>
      <c r="AU53" s="602"/>
      <c r="AV53" s="602"/>
    </row>
    <row r="54" spans="1:48" s="40" customFormat="1" ht="13" outlineLevel="1" x14ac:dyDescent="0.2">
      <c r="AK54" s="602"/>
      <c r="AL54" s="602"/>
      <c r="AM54" s="602"/>
      <c r="AN54" s="602"/>
      <c r="AO54" s="602"/>
      <c r="AP54" s="602"/>
      <c r="AQ54" s="602"/>
      <c r="AR54" s="602"/>
      <c r="AS54" s="602"/>
      <c r="AT54" s="602"/>
      <c r="AU54" s="602"/>
      <c r="AV54" s="602"/>
    </row>
    <row r="55" spans="1:48" s="40" customFormat="1" ht="13" x14ac:dyDescent="0.2">
      <c r="AK55" s="602"/>
      <c r="AL55" s="602"/>
      <c r="AM55" s="602"/>
      <c r="AN55" s="602"/>
      <c r="AO55" s="602"/>
      <c r="AP55" s="602"/>
      <c r="AQ55" s="602"/>
      <c r="AR55" s="602"/>
      <c r="AS55" s="602"/>
      <c r="AT55" s="602"/>
      <c r="AU55" s="602"/>
      <c r="AV55" s="602"/>
    </row>
    <row r="56" spans="1:48" ht="16" x14ac:dyDescent="0.2">
      <c r="A56" s="40"/>
      <c r="B56" s="1795" t="s">
        <v>3093</v>
      </c>
      <c r="C56" s="1795"/>
      <c r="D56" s="1795"/>
      <c r="E56" s="1795"/>
      <c r="F56" s="1795"/>
      <c r="G56" s="1795"/>
      <c r="H56" s="1795"/>
      <c r="I56" s="1795"/>
      <c r="J56" s="1795"/>
      <c r="K56" s="1795"/>
      <c r="L56" s="1795"/>
      <c r="M56" s="1795"/>
      <c r="N56" s="1795"/>
      <c r="O56" s="1795"/>
      <c r="AJ56" s="40"/>
      <c r="AK56" s="602"/>
      <c r="AL56" s="602"/>
      <c r="AM56" s="602"/>
      <c r="AN56" s="602"/>
      <c r="AO56" s="602"/>
      <c r="AP56" s="602"/>
    </row>
    <row r="57" spans="1:48" s="40" customFormat="1" ht="13" outlineLevel="1" x14ac:dyDescent="0.2">
      <c r="B57" s="42"/>
      <c r="C57" s="42"/>
      <c r="D57" s="42"/>
      <c r="E57" s="42"/>
      <c r="F57" s="42"/>
      <c r="G57" s="42"/>
      <c r="H57" s="42"/>
      <c r="I57" s="42"/>
      <c r="J57" s="42"/>
      <c r="K57" s="42"/>
      <c r="L57" s="42"/>
      <c r="M57" s="42"/>
      <c r="N57" s="42"/>
      <c r="O57" s="42"/>
      <c r="AK57" s="602"/>
      <c r="AL57" s="602"/>
      <c r="AM57" s="602"/>
      <c r="AN57" s="729"/>
      <c r="AO57" s="729"/>
      <c r="AP57" s="602"/>
      <c r="AQ57" s="602"/>
      <c r="AR57" s="602"/>
      <c r="AS57" s="602"/>
      <c r="AT57" s="602"/>
      <c r="AU57" s="602"/>
      <c r="AV57" s="602"/>
    </row>
    <row r="58" spans="1:48" s="40" customFormat="1" ht="13" outlineLevel="1" x14ac:dyDescent="0.2">
      <c r="B58" s="195" t="s">
        <v>3094</v>
      </c>
      <c r="C58" s="196"/>
      <c r="D58" s="421"/>
      <c r="E58" s="421"/>
      <c r="F58" s="421"/>
      <c r="G58" s="198"/>
      <c r="H58" s="198"/>
      <c r="I58" s="199"/>
      <c r="J58" s="42"/>
      <c r="K58" s="42"/>
      <c r="L58" s="42"/>
      <c r="V58" s="1746" t="s">
        <v>723</v>
      </c>
      <c r="W58" s="1747"/>
      <c r="X58" s="1748"/>
      <c r="AB58" s="1746" t="s">
        <v>2066</v>
      </c>
      <c r="AC58" s="1747"/>
      <c r="AD58" s="1747"/>
      <c r="AE58" s="1748"/>
      <c r="AK58" s="1755" t="s">
        <v>2073</v>
      </c>
      <c r="AL58" s="1756"/>
      <c r="AM58" s="1756"/>
      <c r="AN58" s="1756"/>
      <c r="AO58" s="1756"/>
      <c r="AP58" s="1757"/>
      <c r="AQ58" s="602"/>
      <c r="AR58" s="602"/>
      <c r="AS58" s="602"/>
      <c r="AT58" s="602"/>
      <c r="AU58" s="602"/>
      <c r="AV58" s="602"/>
    </row>
    <row r="59" spans="1:48" s="40" customFormat="1" ht="13" outlineLevel="1" x14ac:dyDescent="0.2">
      <c r="B59" s="200"/>
      <c r="C59" s="201"/>
      <c r="D59" s="424"/>
      <c r="E59" s="424"/>
      <c r="F59" s="423"/>
      <c r="G59" s="201"/>
      <c r="H59" s="201"/>
      <c r="I59" s="203"/>
      <c r="L59" s="42"/>
      <c r="V59" s="1303"/>
      <c r="W59" s="1302"/>
      <c r="X59" s="711"/>
      <c r="AB59" s="461"/>
      <c r="AC59" s="423"/>
      <c r="AD59" s="423"/>
      <c r="AE59" s="203"/>
      <c r="AK59" s="737"/>
      <c r="AL59" s="738"/>
      <c r="AM59" s="738"/>
      <c r="AN59" s="738"/>
      <c r="AO59" s="739"/>
      <c r="AP59" s="740"/>
      <c r="AQ59" s="602"/>
      <c r="AR59" s="602"/>
      <c r="AS59" s="602"/>
      <c r="AT59" s="602"/>
      <c r="AU59" s="602"/>
      <c r="AV59" s="602"/>
    </row>
    <row r="60" spans="1:48" s="32" customFormat="1" ht="13" outlineLevel="1" x14ac:dyDescent="0.2">
      <c r="A60" s="40"/>
      <c r="B60" s="461" t="s">
        <v>2075</v>
      </c>
      <c r="C60" s="423"/>
      <c r="D60" s="423" t="s">
        <v>56</v>
      </c>
      <c r="E60" s="423" t="s">
        <v>56</v>
      </c>
      <c r="F60" s="205" t="s">
        <v>2739</v>
      </c>
      <c r="G60" s="205" t="s">
        <v>2053</v>
      </c>
      <c r="H60" s="423" t="s">
        <v>61</v>
      </c>
      <c r="I60" s="481" t="s">
        <v>61</v>
      </c>
      <c r="L60" s="50"/>
      <c r="V60" s="1621" t="s">
        <v>2557</v>
      </c>
      <c r="W60" s="423" t="s">
        <v>2110</v>
      </c>
      <c r="X60" s="481" t="s">
        <v>61</v>
      </c>
      <c r="AB60" s="461" t="s">
        <v>2065</v>
      </c>
      <c r="AC60" s="424" t="s">
        <v>61</v>
      </c>
      <c r="AD60" s="423" t="s">
        <v>2558</v>
      </c>
      <c r="AE60" s="481" t="s">
        <v>61</v>
      </c>
      <c r="AK60" s="1739" t="s">
        <v>61</v>
      </c>
      <c r="AL60" s="1740"/>
      <c r="AM60" s="1740"/>
      <c r="AN60" s="1740"/>
      <c r="AO60" s="741" t="s">
        <v>61</v>
      </c>
      <c r="AP60" s="742"/>
      <c r="AQ60" s="743"/>
      <c r="AR60" s="743"/>
      <c r="AS60" s="743"/>
      <c r="AT60" s="743"/>
      <c r="AU60" s="743"/>
      <c r="AV60" s="743"/>
    </row>
    <row r="61" spans="1:48" s="32" customFormat="1" ht="13" outlineLevel="1" x14ac:dyDescent="0.2">
      <c r="A61" s="40"/>
      <c r="B61" s="461"/>
      <c r="C61" s="423"/>
      <c r="D61" s="423" t="s">
        <v>61</v>
      </c>
      <c r="E61" s="423" t="s">
        <v>63</v>
      </c>
      <c r="F61" s="208" t="s">
        <v>2054</v>
      </c>
      <c r="G61" s="208" t="s">
        <v>74</v>
      </c>
      <c r="H61" s="423" t="s">
        <v>2057</v>
      </c>
      <c r="I61" s="481"/>
      <c r="L61" s="50"/>
      <c r="V61" s="1621" t="s">
        <v>2109</v>
      </c>
      <c r="W61" s="423"/>
      <c r="X61" s="481"/>
      <c r="AB61" s="461"/>
      <c r="AC61" s="424"/>
      <c r="AD61" s="423"/>
      <c r="AE61" s="481"/>
      <c r="AK61" s="744" t="s">
        <v>14</v>
      </c>
      <c r="AL61" s="745" t="s">
        <v>60</v>
      </c>
      <c r="AM61" s="745" t="s">
        <v>27</v>
      </c>
      <c r="AN61" s="745" t="s">
        <v>2074</v>
      </c>
      <c r="AO61" s="746" t="s">
        <v>41</v>
      </c>
      <c r="AP61" s="747" t="s">
        <v>85</v>
      </c>
      <c r="AQ61" s="743"/>
      <c r="AR61" s="743"/>
      <c r="AS61" s="743"/>
      <c r="AT61" s="743"/>
      <c r="AU61" s="743"/>
      <c r="AV61" s="743"/>
    </row>
    <row r="62" spans="1:48" s="40" customFormat="1" ht="13" outlineLevel="1" x14ac:dyDescent="0.2">
      <c r="B62" s="200" t="s">
        <v>141</v>
      </c>
      <c r="C62" s="234"/>
      <c r="D62" s="262">
        <f>I62</f>
        <v>0</v>
      </c>
      <c r="E62" s="265">
        <f>D62*12/44</f>
        <v>0</v>
      </c>
      <c r="F62" s="388"/>
      <c r="G62" s="182"/>
      <c r="H62" s="272">
        <f>VLOOKUP($B62,'Emissions factors'!$B$721:$D$873,2,FALSE)</f>
        <v>7.4999999999999997E-2</v>
      </c>
      <c r="I62" s="211">
        <f>G62*H62</f>
        <v>0</v>
      </c>
      <c r="L62" s="42"/>
      <c r="V62" s="282">
        <f>VLOOKUP($B62,'Emissions factors'!$B$721:$D$873,3,FALSE)</f>
        <v>0.1</v>
      </c>
      <c r="W62" s="183"/>
      <c r="X62" s="211">
        <f>I62*SQRT(V62^2+W62^2)</f>
        <v>0</v>
      </c>
      <c r="AB62" s="184"/>
      <c r="AC62" s="210">
        <f>AB62*I62</f>
        <v>0</v>
      </c>
      <c r="AD62" s="184"/>
      <c r="AE62" s="211">
        <f>AD62*I62</f>
        <v>0</v>
      </c>
      <c r="AK62" s="717">
        <f>G62*VLOOKUP(B62,'Emissions factors'!$B$721:$I$873,4,FALSE)</f>
        <v>0</v>
      </c>
      <c r="AL62" s="718">
        <f>G62*VLOOKUP(B62,'Emissions factors'!$B$721:$I$873,5,FALSE)</f>
        <v>0</v>
      </c>
      <c r="AM62" s="718">
        <f>G62*VLOOKUP(B62,'Emissions factors'!$B$721:$I$873,6,FALSE)</f>
        <v>0</v>
      </c>
      <c r="AN62" s="718">
        <f>G62*VLOOKUP(B62,'Emissions factors'!$B$721:$I$873,7,FALSE)</f>
        <v>0</v>
      </c>
      <c r="AO62" s="720">
        <f>I62</f>
        <v>0</v>
      </c>
      <c r="AP62" s="748">
        <f>G62*VLOOKUP(B62,'Emissions factors'!$B$721:$I$873,8,FALSE)</f>
        <v>0</v>
      </c>
      <c r="AQ62" s="602"/>
      <c r="AR62" s="602"/>
      <c r="AS62" s="602"/>
      <c r="AT62" s="602"/>
      <c r="AU62" s="602"/>
      <c r="AV62" s="602"/>
    </row>
    <row r="63" spans="1:48" s="40" customFormat="1" ht="13" outlineLevel="1" x14ac:dyDescent="0.2">
      <c r="B63" s="200" t="s">
        <v>956</v>
      </c>
      <c r="C63" s="234"/>
      <c r="D63" s="262">
        <f>I63</f>
        <v>0</v>
      </c>
      <c r="E63" s="265">
        <f>D63*12/44</f>
        <v>0</v>
      </c>
      <c r="F63" s="389"/>
      <c r="G63" s="185"/>
      <c r="H63" s="272">
        <f>VLOOKUP($B63,'Emissions factors'!$B$721:$D$873,2,FALSE)</f>
        <v>0.23799999999999999</v>
      </c>
      <c r="I63" s="211">
        <f>G63*H63</f>
        <v>0</v>
      </c>
      <c r="L63" s="42"/>
      <c r="V63" s="282">
        <f>VLOOKUP($B63,'Emissions factors'!$B$721:$D$873,3,FALSE)</f>
        <v>0.1</v>
      </c>
      <c r="W63" s="186"/>
      <c r="X63" s="211">
        <f>I63*SQRT(V63^2+W63^2)</f>
        <v>0</v>
      </c>
      <c r="AB63" s="187"/>
      <c r="AC63" s="210">
        <f>AB63*I63</f>
        <v>0</v>
      </c>
      <c r="AD63" s="187"/>
      <c r="AE63" s="211">
        <f>AD63*I63</f>
        <v>0</v>
      </c>
      <c r="AK63" s="717">
        <f>G63*VLOOKUP(B63,'Emissions factors'!$B$721:$I$873,4,FALSE)</f>
        <v>0</v>
      </c>
      <c r="AL63" s="718">
        <f>G63*VLOOKUP(B63,'Emissions factors'!$B$721:$I$873,5,FALSE)</f>
        <v>0</v>
      </c>
      <c r="AM63" s="718">
        <f>G63*VLOOKUP(B63,'Emissions factors'!$B$721:$I$873,6,FALSE)</f>
        <v>0</v>
      </c>
      <c r="AN63" s="718">
        <f>G63*VLOOKUP(B63,'Emissions factors'!$B$721:$I$873,7,FALSE)</f>
        <v>0</v>
      </c>
      <c r="AO63" s="720">
        <f>I63</f>
        <v>0</v>
      </c>
      <c r="AP63" s="748">
        <f>G63*VLOOKUP(B63,'Emissions factors'!$B$721:$I$873,8,FALSE)</f>
        <v>0</v>
      </c>
      <c r="AQ63" s="602"/>
      <c r="AR63" s="602"/>
      <c r="AS63" s="602"/>
      <c r="AT63" s="602"/>
      <c r="AU63" s="602"/>
      <c r="AV63" s="602"/>
    </row>
    <row r="64" spans="1:48" s="40" customFormat="1" ht="13" outlineLevel="1" x14ac:dyDescent="0.2">
      <c r="B64" s="200" t="s">
        <v>958</v>
      </c>
      <c r="C64" s="234"/>
      <c r="D64" s="262">
        <f>I64</f>
        <v>0</v>
      </c>
      <c r="E64" s="265">
        <f>D64*12/44</f>
        <v>0</v>
      </c>
      <c r="F64" s="389"/>
      <c r="G64" s="185"/>
      <c r="H64" s="272">
        <f>VLOOKUP($B64,'Emissions factors'!$B$721:$D$873,2,FALSE)</f>
        <v>0.52200000000000002</v>
      </c>
      <c r="I64" s="211">
        <f>G64*H64</f>
        <v>0</v>
      </c>
      <c r="L64" s="42"/>
      <c r="V64" s="282">
        <f>VLOOKUP($B64,'Emissions factors'!$B$721:$D$873,3,FALSE)</f>
        <v>0.1</v>
      </c>
      <c r="W64" s="186"/>
      <c r="X64" s="211">
        <f>I64*SQRT(V64^2+W64^2)</f>
        <v>0</v>
      </c>
      <c r="AB64" s="187"/>
      <c r="AC64" s="210">
        <f>AB64*I64</f>
        <v>0</v>
      </c>
      <c r="AD64" s="187"/>
      <c r="AE64" s="211">
        <f>AD64*I64</f>
        <v>0</v>
      </c>
      <c r="AK64" s="717">
        <f>G64*VLOOKUP(B64,'Emissions factors'!$B$721:$I$873,4,FALSE)</f>
        <v>0</v>
      </c>
      <c r="AL64" s="718">
        <f>G64*VLOOKUP(B64,'Emissions factors'!$B$721:$I$873,5,FALSE)</f>
        <v>0</v>
      </c>
      <c r="AM64" s="718">
        <f>G64*VLOOKUP(B64,'Emissions factors'!$B$721:$I$873,6,FALSE)</f>
        <v>0</v>
      </c>
      <c r="AN64" s="718">
        <f>G64*VLOOKUP(B64,'Emissions factors'!$B$721:$I$873,7,FALSE)</f>
        <v>0</v>
      </c>
      <c r="AO64" s="720">
        <f>I64</f>
        <v>0</v>
      </c>
      <c r="AP64" s="748">
        <f>G64*VLOOKUP(B64,'Emissions factors'!$B$721:$I$873,8,FALSE)</f>
        <v>0</v>
      </c>
      <c r="AQ64" s="602"/>
      <c r="AR64" s="602"/>
      <c r="AS64" s="602"/>
      <c r="AT64" s="602"/>
      <c r="AU64" s="602"/>
      <c r="AV64" s="602"/>
    </row>
    <row r="65" spans="1:48" s="40" customFormat="1" ht="13" outlineLevel="1" x14ac:dyDescent="0.2">
      <c r="B65" s="200" t="s">
        <v>981</v>
      </c>
      <c r="C65" s="234"/>
      <c r="D65" s="262">
        <f>I65</f>
        <v>0</v>
      </c>
      <c r="E65" s="265">
        <f>D65*12/44</f>
        <v>0</v>
      </c>
      <c r="F65" s="390"/>
      <c r="G65" s="188"/>
      <c r="H65" s="272">
        <f>VLOOKUP($B65,'Emissions factors'!$B$721:$D$873,2,FALSE)</f>
        <v>0.41599999999999998</v>
      </c>
      <c r="I65" s="211">
        <f>G65*H65</f>
        <v>0</v>
      </c>
      <c r="L65" s="42"/>
      <c r="V65" s="282">
        <f>VLOOKUP($B65,'Emissions factors'!$B$721:$D$873,3,FALSE)</f>
        <v>0.1</v>
      </c>
      <c r="W65" s="189"/>
      <c r="X65" s="211">
        <f>I65*SQRT(V65^2+W65^2)</f>
        <v>0</v>
      </c>
      <c r="AB65" s="190"/>
      <c r="AC65" s="210">
        <f>AB65*I65</f>
        <v>0</v>
      </c>
      <c r="AD65" s="190"/>
      <c r="AE65" s="211">
        <f>AD65*I65</f>
        <v>0</v>
      </c>
      <c r="AK65" s="717">
        <f>G65*VLOOKUP(B65,'Emissions factors'!$B$721:$I$873,4,FALSE)</f>
        <v>0</v>
      </c>
      <c r="AL65" s="718">
        <f>G65*VLOOKUP(B65,'Emissions factors'!$B$721:$I$873,5,FALSE)</f>
        <v>0</v>
      </c>
      <c r="AM65" s="718">
        <f>G65*VLOOKUP(B65,'Emissions factors'!$B$721:$I$873,6,FALSE)</f>
        <v>0</v>
      </c>
      <c r="AN65" s="718">
        <f>G65*VLOOKUP(B65,'Emissions factors'!$B$721:$I$873,7,FALSE)</f>
        <v>0</v>
      </c>
      <c r="AO65" s="720">
        <f>I65</f>
        <v>0</v>
      </c>
      <c r="AP65" s="748">
        <f>G65*VLOOKUP(B65,'Emissions factors'!$B$721:$I$873,8,FALSE)</f>
        <v>0</v>
      </c>
      <c r="AQ65" s="602"/>
      <c r="AR65" s="602"/>
      <c r="AS65" s="602"/>
      <c r="AT65" s="602"/>
      <c r="AU65" s="602"/>
      <c r="AV65" s="602"/>
    </row>
    <row r="66" spans="1:48" s="40" customFormat="1" ht="13" outlineLevel="1" x14ac:dyDescent="0.2">
      <c r="B66" s="200"/>
      <c r="C66" s="201"/>
      <c r="D66" s="263"/>
      <c r="E66" s="266"/>
      <c r="F66" s="201"/>
      <c r="G66" s="201"/>
      <c r="H66" s="263"/>
      <c r="I66" s="226"/>
      <c r="L66" s="42"/>
      <c r="V66" s="200"/>
      <c r="W66" s="234"/>
      <c r="X66" s="211"/>
      <c r="AB66" s="200"/>
      <c r="AC66" s="424"/>
      <c r="AD66" s="201"/>
      <c r="AE66" s="211"/>
      <c r="AK66" s="717"/>
      <c r="AL66" s="718"/>
      <c r="AM66" s="718"/>
      <c r="AN66" s="718"/>
      <c r="AO66" s="720"/>
      <c r="AP66" s="749"/>
      <c r="AQ66" s="602"/>
      <c r="AR66" s="602"/>
      <c r="AS66" s="602"/>
      <c r="AT66" s="602"/>
      <c r="AU66" s="602"/>
      <c r="AV66" s="602"/>
    </row>
    <row r="67" spans="1:48" s="40" customFormat="1" ht="13" outlineLevel="1" x14ac:dyDescent="0.2">
      <c r="B67" s="253" t="s">
        <v>44</v>
      </c>
      <c r="C67" s="254"/>
      <c r="D67" s="264">
        <f>SUM(D62:D66)</f>
        <v>0</v>
      </c>
      <c r="E67" s="267">
        <f>SUM(E62:E66)</f>
        <v>0</v>
      </c>
      <c r="F67" s="255"/>
      <c r="G67" s="256"/>
      <c r="H67" s="688"/>
      <c r="I67" s="257">
        <f>SUM(I62:I66)</f>
        <v>0</v>
      </c>
      <c r="L67" s="42"/>
      <c r="V67" s="258"/>
      <c r="W67" s="256"/>
      <c r="X67" s="257">
        <f>SQRT(SUMSQ(X62:X66))</f>
        <v>0</v>
      </c>
      <c r="AB67" s="258"/>
      <c r="AC67" s="259">
        <f>SUM(AC62:AC66)</f>
        <v>0</v>
      </c>
      <c r="AD67" s="256"/>
      <c r="AE67" s="257">
        <f>SUM(AE62:AE66)</f>
        <v>0</v>
      </c>
      <c r="AK67" s="724">
        <f t="shared" ref="AK67:AP67" si="19">SUM(AK62:AK66)</f>
        <v>0</v>
      </c>
      <c r="AL67" s="725">
        <f t="shared" si="19"/>
        <v>0</v>
      </c>
      <c r="AM67" s="725">
        <f t="shared" si="19"/>
        <v>0</v>
      </c>
      <c r="AN67" s="725">
        <f t="shared" si="19"/>
        <v>0</v>
      </c>
      <c r="AO67" s="727">
        <f t="shared" si="19"/>
        <v>0</v>
      </c>
      <c r="AP67" s="750">
        <f t="shared" si="19"/>
        <v>0</v>
      </c>
      <c r="AQ67" s="602"/>
      <c r="AR67" s="602"/>
      <c r="AS67" s="602"/>
      <c r="AT67" s="602"/>
      <c r="AU67" s="602"/>
      <c r="AV67" s="602"/>
    </row>
    <row r="68" spans="1:48" s="40" customFormat="1" ht="13" outlineLevel="1" x14ac:dyDescent="0.2">
      <c r="AK68" s="602"/>
      <c r="AL68" s="602"/>
      <c r="AM68" s="602"/>
      <c r="AN68" s="602"/>
      <c r="AO68" s="602"/>
      <c r="AP68" s="602"/>
      <c r="AQ68" s="602"/>
      <c r="AR68" s="602"/>
      <c r="AS68" s="602"/>
      <c r="AT68" s="602"/>
      <c r="AU68" s="602"/>
      <c r="AV68" s="602"/>
    </row>
    <row r="69" spans="1:48" s="40" customFormat="1" ht="13" outlineLevel="1" x14ac:dyDescent="0.2">
      <c r="B69" s="195" t="s">
        <v>3095</v>
      </c>
      <c r="C69" s="196"/>
      <c r="D69" s="421"/>
      <c r="E69" s="421"/>
      <c r="F69" s="198"/>
      <c r="G69" s="198"/>
      <c r="H69" s="198"/>
      <c r="I69" s="235"/>
      <c r="V69" s="1746" t="s">
        <v>723</v>
      </c>
      <c r="W69" s="1747"/>
      <c r="X69" s="1748"/>
      <c r="AB69" s="1746" t="s">
        <v>2066</v>
      </c>
      <c r="AC69" s="1747"/>
      <c r="AD69" s="1747"/>
      <c r="AE69" s="1748"/>
      <c r="AK69" s="1755" t="s">
        <v>2073</v>
      </c>
      <c r="AL69" s="1756"/>
      <c r="AM69" s="1756"/>
      <c r="AN69" s="1756"/>
      <c r="AO69" s="1756"/>
      <c r="AP69" s="1757"/>
      <c r="AQ69" s="602"/>
      <c r="AR69" s="602"/>
      <c r="AS69" s="602"/>
      <c r="AT69" s="602"/>
      <c r="AU69" s="602"/>
      <c r="AV69" s="602"/>
    </row>
    <row r="70" spans="1:48" s="40" customFormat="1" ht="13" outlineLevel="1" x14ac:dyDescent="0.2">
      <c r="B70" s="200"/>
      <c r="C70" s="201"/>
      <c r="D70" s="424"/>
      <c r="E70" s="424"/>
      <c r="F70" s="201"/>
      <c r="G70" s="201"/>
      <c r="H70" s="201"/>
      <c r="I70" s="226"/>
      <c r="V70" s="461"/>
      <c r="W70" s="423"/>
      <c r="X70" s="203"/>
      <c r="AB70" s="461"/>
      <c r="AC70" s="423"/>
      <c r="AD70" s="423"/>
      <c r="AE70" s="203"/>
      <c r="AK70" s="778"/>
      <c r="AL70" s="779"/>
      <c r="AM70" s="779"/>
      <c r="AN70" s="779"/>
      <c r="AO70" s="741"/>
      <c r="AP70" s="780"/>
      <c r="AQ70" s="602"/>
      <c r="AR70" s="602"/>
      <c r="AS70" s="602"/>
      <c r="AT70" s="602"/>
      <c r="AU70" s="602"/>
      <c r="AV70" s="602"/>
    </row>
    <row r="71" spans="1:48" s="40" customFormat="1" ht="13" outlineLevel="1" x14ac:dyDescent="0.2">
      <c r="B71" s="461"/>
      <c r="C71" s="423"/>
      <c r="D71" s="423" t="s">
        <v>56</v>
      </c>
      <c r="E71" s="423" t="s">
        <v>56</v>
      </c>
      <c r="F71" s="205" t="s">
        <v>2052</v>
      </c>
      <c r="G71" s="205" t="s">
        <v>2052</v>
      </c>
      <c r="H71" s="423" t="s">
        <v>1</v>
      </c>
      <c r="I71" s="481" t="s">
        <v>61</v>
      </c>
      <c r="S71" s="32"/>
      <c r="T71" s="32"/>
      <c r="V71" s="461"/>
      <c r="W71" s="423" t="s">
        <v>2110</v>
      </c>
      <c r="X71" s="481" t="s">
        <v>61</v>
      </c>
      <c r="AB71" s="461" t="s">
        <v>2065</v>
      </c>
      <c r="AC71" s="424" t="s">
        <v>61</v>
      </c>
      <c r="AD71" s="423" t="s">
        <v>2558</v>
      </c>
      <c r="AE71" s="481" t="s">
        <v>61</v>
      </c>
      <c r="AK71" s="1739" t="s">
        <v>61</v>
      </c>
      <c r="AL71" s="1740"/>
      <c r="AM71" s="1740"/>
      <c r="AN71" s="1740"/>
      <c r="AO71" s="741" t="s">
        <v>61</v>
      </c>
      <c r="AP71" s="742"/>
      <c r="AQ71" s="602"/>
      <c r="AR71" s="602"/>
      <c r="AS71" s="602"/>
      <c r="AT71" s="602"/>
      <c r="AU71" s="602"/>
      <c r="AV71" s="602"/>
    </row>
    <row r="72" spans="1:48" s="32" customFormat="1" ht="13" outlineLevel="1" x14ac:dyDescent="0.2">
      <c r="A72" s="40"/>
      <c r="B72" s="461"/>
      <c r="C72" s="423"/>
      <c r="D72" s="423" t="s">
        <v>61</v>
      </c>
      <c r="E72" s="423" t="s">
        <v>63</v>
      </c>
      <c r="F72" s="208" t="s">
        <v>37</v>
      </c>
      <c r="G72" s="208" t="s">
        <v>61</v>
      </c>
      <c r="H72" s="423" t="s">
        <v>9</v>
      </c>
      <c r="I72" s="481"/>
      <c r="U72" s="40"/>
      <c r="V72" s="461"/>
      <c r="W72" s="423"/>
      <c r="X72" s="481"/>
      <c r="AB72" s="461"/>
      <c r="AC72" s="424"/>
      <c r="AD72" s="423"/>
      <c r="AE72" s="481"/>
      <c r="AK72" s="744" t="s">
        <v>14</v>
      </c>
      <c r="AL72" s="745" t="s">
        <v>60</v>
      </c>
      <c r="AM72" s="745" t="s">
        <v>27</v>
      </c>
      <c r="AN72" s="745" t="s">
        <v>2074</v>
      </c>
      <c r="AO72" s="746" t="s">
        <v>41</v>
      </c>
      <c r="AP72" s="747" t="s">
        <v>85</v>
      </c>
      <c r="AQ72" s="743"/>
      <c r="AR72" s="743"/>
      <c r="AS72" s="743"/>
      <c r="AT72" s="743"/>
      <c r="AU72" s="743"/>
      <c r="AV72" s="743"/>
    </row>
    <row r="73" spans="1:48" s="32" customFormat="1" ht="13" outlineLevel="1" x14ac:dyDescent="0.2">
      <c r="A73" s="40"/>
      <c r="B73" s="200" t="s">
        <v>2487</v>
      </c>
      <c r="C73" s="234"/>
      <c r="D73" s="262">
        <f>I73</f>
        <v>0</v>
      </c>
      <c r="E73" s="265">
        <f>D73*12/44</f>
        <v>0</v>
      </c>
      <c r="F73" s="238">
        <f>SUM(G62:G65)</f>
        <v>0</v>
      </c>
      <c r="G73" s="238">
        <f>I67</f>
        <v>0</v>
      </c>
      <c r="H73" s="281">
        <f>'Emissions factors'!$C$993</f>
        <v>9.3333333333333338E-2</v>
      </c>
      <c r="I73" s="211">
        <f>G73*H73</f>
        <v>0</v>
      </c>
      <c r="S73" s="40"/>
      <c r="T73" s="40"/>
      <c r="U73" s="40"/>
      <c r="V73" s="282"/>
      <c r="W73" s="239" t="str">
        <f>IF(X67=0,"",X67/D67)</f>
        <v/>
      </c>
      <c r="X73" s="211">
        <f>IF(ISNUMBER(W73),I73*W73,0)</f>
        <v>0</v>
      </c>
      <c r="AB73" s="240">
        <f>IF(AC67=0,0,AC67/D67)</f>
        <v>0</v>
      </c>
      <c r="AC73" s="210">
        <f>I73*AB73</f>
        <v>0</v>
      </c>
      <c r="AD73" s="240">
        <f>IF(AE67=0,0,AE67/D67)</f>
        <v>0</v>
      </c>
      <c r="AE73" s="211">
        <f>I73*AD73</f>
        <v>0</v>
      </c>
      <c r="AK73" s="717"/>
      <c r="AL73" s="718"/>
      <c r="AM73" s="718"/>
      <c r="AN73" s="718"/>
      <c r="AO73" s="720">
        <f>I73</f>
        <v>0</v>
      </c>
      <c r="AP73" s="748"/>
      <c r="AQ73" s="743"/>
      <c r="AR73" s="743"/>
      <c r="AS73" s="743"/>
      <c r="AT73" s="743"/>
      <c r="AU73" s="743"/>
      <c r="AV73" s="743"/>
    </row>
    <row r="74" spans="1:48" s="40" customFormat="1" ht="12" customHeight="1" outlineLevel="1" x14ac:dyDescent="0.2">
      <c r="B74" s="200"/>
      <c r="C74" s="201"/>
      <c r="D74" s="263"/>
      <c r="E74" s="266"/>
      <c r="F74" s="201"/>
      <c r="G74" s="201"/>
      <c r="H74" s="201"/>
      <c r="I74" s="211"/>
      <c r="V74" s="200"/>
      <c r="W74" s="234"/>
      <c r="X74" s="222"/>
      <c r="AB74" s="200"/>
      <c r="AC74" s="423"/>
      <c r="AD74" s="201"/>
      <c r="AE74" s="222"/>
      <c r="AK74" s="717"/>
      <c r="AL74" s="718"/>
      <c r="AM74" s="718"/>
      <c r="AN74" s="718"/>
      <c r="AO74" s="720"/>
      <c r="AP74" s="749"/>
      <c r="AQ74" s="602"/>
      <c r="AR74" s="602"/>
      <c r="AS74" s="602"/>
      <c r="AT74" s="602"/>
      <c r="AU74" s="602"/>
      <c r="AV74" s="602"/>
    </row>
    <row r="75" spans="1:48" s="40" customFormat="1" ht="13" outlineLevel="1" x14ac:dyDescent="0.2">
      <c r="B75" s="253" t="s">
        <v>44</v>
      </c>
      <c r="C75" s="254"/>
      <c r="D75" s="264">
        <f>SUM(D73:D74)</f>
        <v>0</v>
      </c>
      <c r="E75" s="267">
        <f>SUM(E73:E74)</f>
        <v>0</v>
      </c>
      <c r="F75" s="256"/>
      <c r="G75" s="256"/>
      <c r="H75" s="256"/>
      <c r="I75" s="257">
        <f>SUM(I73:I74)</f>
        <v>0</v>
      </c>
      <c r="V75" s="258"/>
      <c r="W75" s="256"/>
      <c r="X75" s="257">
        <f>SQRT(SUMSQ(X73:X74))</f>
        <v>0</v>
      </c>
      <c r="AB75" s="258"/>
      <c r="AC75" s="259">
        <f>SUM(AC73:AC74)</f>
        <v>0</v>
      </c>
      <c r="AD75" s="256"/>
      <c r="AE75" s="257">
        <f>SUM(AE73:AE74)</f>
        <v>0</v>
      </c>
      <c r="AK75" s="724">
        <f t="shared" ref="AK75:AP75" si="20">SUM(AK73:AK74)</f>
        <v>0</v>
      </c>
      <c r="AL75" s="725">
        <f t="shared" si="20"/>
        <v>0</v>
      </c>
      <c r="AM75" s="725">
        <f t="shared" si="20"/>
        <v>0</v>
      </c>
      <c r="AN75" s="725">
        <f t="shared" si="20"/>
        <v>0</v>
      </c>
      <c r="AO75" s="727">
        <f t="shared" si="20"/>
        <v>0</v>
      </c>
      <c r="AP75" s="750">
        <f t="shared" si="20"/>
        <v>0</v>
      </c>
      <c r="AQ75" s="602"/>
      <c r="AR75" s="602"/>
      <c r="AS75" s="602"/>
      <c r="AT75" s="602"/>
      <c r="AU75" s="602"/>
      <c r="AV75" s="602"/>
    </row>
    <row r="76" spans="1:48" s="40" customFormat="1" ht="13" outlineLevel="1" x14ac:dyDescent="0.2">
      <c r="AK76" s="729"/>
      <c r="AL76" s="729"/>
      <c r="AM76" s="729"/>
      <c r="AN76" s="729"/>
      <c r="AO76" s="602"/>
      <c r="AP76" s="729"/>
      <c r="AQ76" s="602"/>
      <c r="AR76" s="602"/>
      <c r="AS76" s="602"/>
      <c r="AT76" s="602"/>
      <c r="AU76" s="602"/>
      <c r="AV76" s="602"/>
    </row>
    <row r="77" spans="1:48" s="40" customFormat="1" ht="13" x14ac:dyDescent="0.2">
      <c r="AK77" s="729"/>
      <c r="AL77" s="729"/>
      <c r="AM77" s="729"/>
      <c r="AN77" s="729"/>
      <c r="AO77" s="602"/>
      <c r="AP77" s="729"/>
      <c r="AQ77" s="602"/>
      <c r="AR77" s="602"/>
      <c r="AS77" s="602"/>
      <c r="AT77" s="602"/>
      <c r="AU77" s="602"/>
      <c r="AV77" s="602"/>
    </row>
    <row r="78" spans="1:48" ht="15" customHeight="1" x14ac:dyDescent="0.2">
      <c r="A78" s="40"/>
      <c r="B78" s="1795" t="s">
        <v>3096</v>
      </c>
      <c r="C78" s="1795"/>
      <c r="D78" s="1795"/>
      <c r="E78" s="1795"/>
      <c r="F78" s="1795"/>
      <c r="G78" s="1795"/>
      <c r="H78" s="1795"/>
      <c r="I78" s="1795"/>
      <c r="J78" s="1795"/>
      <c r="K78" s="1795"/>
      <c r="L78" s="1795"/>
      <c r="M78" s="1795"/>
      <c r="N78" s="1795"/>
      <c r="O78" s="1795"/>
      <c r="AO78" s="602"/>
    </row>
    <row r="79" spans="1:48" s="40" customFormat="1" ht="12.75" customHeight="1" outlineLevel="1" x14ac:dyDescent="0.2">
      <c r="B79" s="321"/>
      <c r="C79" s="321"/>
      <c r="D79" s="321"/>
      <c r="E79" s="321"/>
      <c r="F79" s="321"/>
      <c r="H79" s="314"/>
      <c r="AK79" s="729"/>
      <c r="AL79" s="729"/>
      <c r="AM79" s="729"/>
      <c r="AN79" s="729"/>
      <c r="AO79" s="602"/>
      <c r="AP79" s="729"/>
      <c r="AQ79" s="602"/>
      <c r="AR79" s="602"/>
      <c r="AS79" s="602"/>
      <c r="AT79" s="602"/>
      <c r="AU79" s="602"/>
      <c r="AV79" s="602"/>
    </row>
    <row r="80" spans="1:48" s="40" customFormat="1" ht="13" outlineLevel="1" x14ac:dyDescent="0.2">
      <c r="B80" s="195" t="s">
        <v>3097</v>
      </c>
      <c r="C80" s="196"/>
      <c r="D80" s="421"/>
      <c r="E80" s="421"/>
      <c r="F80" s="421"/>
      <c r="G80" s="217"/>
      <c r="H80" s="217"/>
      <c r="I80" s="218"/>
      <c r="J80" s="50"/>
      <c r="N80" s="50"/>
      <c r="V80" s="1746" t="s">
        <v>723</v>
      </c>
      <c r="W80" s="1747"/>
      <c r="X80" s="1748"/>
      <c r="AB80" s="1746" t="s">
        <v>2066</v>
      </c>
      <c r="AC80" s="1747"/>
      <c r="AD80" s="1747"/>
      <c r="AE80" s="1748"/>
      <c r="AK80" s="1755" t="s">
        <v>2073</v>
      </c>
      <c r="AL80" s="1756"/>
      <c r="AM80" s="1756"/>
      <c r="AN80" s="1756"/>
      <c r="AO80" s="1756"/>
      <c r="AP80" s="1757"/>
      <c r="AQ80" s="602"/>
      <c r="AR80" s="602"/>
      <c r="AS80" s="602"/>
      <c r="AT80" s="602"/>
      <c r="AU80" s="602"/>
      <c r="AV80" s="602"/>
    </row>
    <row r="81" spans="2:48" s="40" customFormat="1" ht="13" outlineLevel="1" x14ac:dyDescent="0.2">
      <c r="B81" s="417" t="s">
        <v>3098</v>
      </c>
      <c r="C81" s="423"/>
      <c r="D81" s="424"/>
      <c r="E81" s="424"/>
      <c r="F81" s="423"/>
      <c r="G81" s="423"/>
      <c r="H81" s="423"/>
      <c r="I81" s="464"/>
      <c r="J81" s="50"/>
      <c r="N81" s="50"/>
      <c r="V81" s="461"/>
      <c r="W81" s="423"/>
      <c r="X81" s="203"/>
      <c r="AB81" s="461"/>
      <c r="AC81" s="423"/>
      <c r="AD81" s="423"/>
      <c r="AE81" s="203"/>
      <c r="AK81" s="778"/>
      <c r="AL81" s="779"/>
      <c r="AM81" s="779"/>
      <c r="AN81" s="779"/>
      <c r="AO81" s="741"/>
      <c r="AP81" s="780"/>
      <c r="AQ81" s="602"/>
      <c r="AR81" s="602"/>
      <c r="AS81" s="602"/>
      <c r="AT81" s="602"/>
      <c r="AU81" s="602"/>
      <c r="AV81" s="602"/>
    </row>
    <row r="82" spans="2:48" s="40" customFormat="1" ht="13" outlineLevel="1" x14ac:dyDescent="0.2">
      <c r="B82" s="461"/>
      <c r="C82" s="423"/>
      <c r="D82" s="423" t="s">
        <v>56</v>
      </c>
      <c r="E82" s="423" t="s">
        <v>56</v>
      </c>
      <c r="F82" s="205" t="s">
        <v>2739</v>
      </c>
      <c r="G82" s="205" t="s">
        <v>11</v>
      </c>
      <c r="H82" s="423" t="s">
        <v>61</v>
      </c>
      <c r="I82" s="481" t="s">
        <v>61</v>
      </c>
      <c r="J82" s="50"/>
      <c r="N82" s="50"/>
      <c r="V82" s="1621" t="s">
        <v>2557</v>
      </c>
      <c r="W82" s="423" t="s">
        <v>2110</v>
      </c>
      <c r="X82" s="481" t="s">
        <v>61</v>
      </c>
      <c r="AB82" s="461" t="s">
        <v>2065</v>
      </c>
      <c r="AC82" s="424" t="s">
        <v>61</v>
      </c>
      <c r="AD82" s="423" t="s">
        <v>2558</v>
      </c>
      <c r="AE82" s="481" t="s">
        <v>61</v>
      </c>
      <c r="AK82" s="1739" t="s">
        <v>61</v>
      </c>
      <c r="AL82" s="1740"/>
      <c r="AM82" s="1740"/>
      <c r="AN82" s="1740"/>
      <c r="AO82" s="741" t="s">
        <v>61</v>
      </c>
      <c r="AP82" s="742"/>
      <c r="AQ82" s="602"/>
      <c r="AR82" s="602"/>
      <c r="AS82" s="602"/>
      <c r="AT82" s="602"/>
      <c r="AU82" s="602"/>
      <c r="AV82" s="602"/>
    </row>
    <row r="83" spans="2:48" s="40" customFormat="1" ht="13" outlineLevel="1" x14ac:dyDescent="0.2">
      <c r="B83" s="461"/>
      <c r="C83" s="423"/>
      <c r="D83" s="423" t="s">
        <v>61</v>
      </c>
      <c r="E83" s="423" t="s">
        <v>63</v>
      </c>
      <c r="F83" s="208" t="s">
        <v>2054</v>
      </c>
      <c r="G83" s="208" t="s">
        <v>2694</v>
      </c>
      <c r="H83" s="423" t="s">
        <v>2544</v>
      </c>
      <c r="I83" s="481"/>
      <c r="J83" s="50"/>
      <c r="N83" s="42"/>
      <c r="V83" s="1621" t="s">
        <v>2109</v>
      </c>
      <c r="W83" s="423"/>
      <c r="X83" s="481"/>
      <c r="AB83" s="461"/>
      <c r="AC83" s="424"/>
      <c r="AD83" s="423"/>
      <c r="AE83" s="481"/>
      <c r="AK83" s="744" t="s">
        <v>14</v>
      </c>
      <c r="AL83" s="745" t="s">
        <v>60</v>
      </c>
      <c r="AM83" s="745" t="s">
        <v>27</v>
      </c>
      <c r="AN83" s="745" t="s">
        <v>2074</v>
      </c>
      <c r="AO83" s="746" t="s">
        <v>41</v>
      </c>
      <c r="AP83" s="747" t="s">
        <v>85</v>
      </c>
      <c r="AQ83" s="602"/>
      <c r="AR83" s="602"/>
      <c r="AS83" s="602"/>
      <c r="AT83" s="602"/>
      <c r="AU83" s="602"/>
      <c r="AV83" s="602"/>
    </row>
    <row r="84" spans="2:48" s="40" customFormat="1" ht="13" outlineLevel="1" x14ac:dyDescent="0.2">
      <c r="B84" s="200" t="s">
        <v>2561</v>
      </c>
      <c r="C84" s="201"/>
      <c r="D84" s="262">
        <f t="shared" ref="D84:D91" si="21">I84</f>
        <v>0</v>
      </c>
      <c r="E84" s="265">
        <f t="shared" ref="E84:E91" si="22">D84*12/44</f>
        <v>0</v>
      </c>
      <c r="F84" s="388"/>
      <c r="G84" s="182"/>
      <c r="H84" s="273">
        <f>1000</f>
        <v>1000</v>
      </c>
      <c r="I84" s="211">
        <f>G84*H84</f>
        <v>0</v>
      </c>
      <c r="J84" s="42"/>
      <c r="N84" s="42"/>
      <c r="V84" s="282">
        <f>'Emissions factors'!D11</f>
        <v>0</v>
      </c>
      <c r="W84" s="183"/>
      <c r="X84" s="211">
        <f>I84*SQRT(V84^2+W84^2)</f>
        <v>0</v>
      </c>
      <c r="AB84" s="184"/>
      <c r="AC84" s="210">
        <f t="shared" ref="AC84:AC91" si="23">I84*AB84</f>
        <v>0</v>
      </c>
      <c r="AD84" s="184"/>
      <c r="AE84" s="211">
        <f t="shared" ref="AE84:AE91" si="24">I84*AD84</f>
        <v>0</v>
      </c>
      <c r="AK84" s="717">
        <f>I84</f>
        <v>0</v>
      </c>
      <c r="AL84" s="718">
        <v>0</v>
      </c>
      <c r="AM84" s="718">
        <v>0</v>
      </c>
      <c r="AN84" s="718">
        <v>0</v>
      </c>
      <c r="AO84" s="720">
        <f>I84</f>
        <v>0</v>
      </c>
      <c r="AP84" s="748">
        <v>0</v>
      </c>
      <c r="AQ84" s="602"/>
      <c r="AR84" s="602"/>
      <c r="AS84" s="602"/>
      <c r="AT84" s="602"/>
      <c r="AU84" s="602"/>
      <c r="AV84" s="602"/>
    </row>
    <row r="85" spans="2:48" s="40" customFormat="1" ht="13" outlineLevel="1" x14ac:dyDescent="0.2">
      <c r="B85" s="200" t="s">
        <v>2580</v>
      </c>
      <c r="C85" s="201"/>
      <c r="D85" s="262">
        <f t="shared" si="21"/>
        <v>0</v>
      </c>
      <c r="E85" s="265">
        <f t="shared" si="22"/>
        <v>0</v>
      </c>
      <c r="F85" s="389"/>
      <c r="G85" s="185"/>
      <c r="H85" s="273">
        <f>'Emissions factors'!$C$12*1000</f>
        <v>265000</v>
      </c>
      <c r="I85" s="211">
        <f>G85*H85</f>
        <v>0</v>
      </c>
      <c r="J85" s="42"/>
      <c r="N85" s="42"/>
      <c r="V85" s="282">
        <f>'Emissions factors'!D12</f>
        <v>0.3</v>
      </c>
      <c r="W85" s="186"/>
      <c r="X85" s="211">
        <f t="shared" ref="X85:X91" si="25">I85*SQRT(V85^2+W85^2)</f>
        <v>0</v>
      </c>
      <c r="AB85" s="187"/>
      <c r="AC85" s="210">
        <f t="shared" si="23"/>
        <v>0</v>
      </c>
      <c r="AD85" s="187"/>
      <c r="AE85" s="211">
        <f t="shared" si="24"/>
        <v>0</v>
      </c>
      <c r="AK85" s="717">
        <v>0</v>
      </c>
      <c r="AL85" s="718">
        <v>0</v>
      </c>
      <c r="AM85" s="718">
        <f>I85</f>
        <v>0</v>
      </c>
      <c r="AN85" s="718">
        <v>0</v>
      </c>
      <c r="AO85" s="720">
        <f t="shared" ref="AO85:AO91" si="26">I85</f>
        <v>0</v>
      </c>
      <c r="AP85" s="748">
        <v>0</v>
      </c>
      <c r="AQ85" s="602"/>
      <c r="AR85" s="602"/>
      <c r="AS85" s="602"/>
      <c r="AT85" s="602"/>
      <c r="AU85" s="602"/>
      <c r="AV85" s="602"/>
    </row>
    <row r="86" spans="2:48" s="40" customFormat="1" ht="13" outlineLevel="1" x14ac:dyDescent="0.2">
      <c r="B86" s="200" t="s">
        <v>2578</v>
      </c>
      <c r="C86" s="201"/>
      <c r="D86" s="262">
        <f>I86</f>
        <v>0</v>
      </c>
      <c r="E86" s="265">
        <f>D86*12/44</f>
        <v>0</v>
      </c>
      <c r="F86" s="389"/>
      <c r="G86" s="185"/>
      <c r="H86" s="273">
        <f>'Emissions factors'!$C$13*1000</f>
        <v>30000</v>
      </c>
      <c r="I86" s="211">
        <f>G86*H86</f>
        <v>0</v>
      </c>
      <c r="J86" s="42"/>
      <c r="N86" s="42"/>
      <c r="V86" s="282">
        <f>'Emissions factors'!D13</f>
        <v>0.3</v>
      </c>
      <c r="W86" s="186"/>
      <c r="X86" s="211">
        <f>I86*SQRT(V86^2+W86^2)</f>
        <v>0</v>
      </c>
      <c r="AB86" s="187"/>
      <c r="AC86" s="210">
        <f>I86*AB86</f>
        <v>0</v>
      </c>
      <c r="AD86" s="187"/>
      <c r="AE86" s="211">
        <f>I86*AD86</f>
        <v>0</v>
      </c>
      <c r="AK86" s="717">
        <v>0</v>
      </c>
      <c r="AL86" s="718">
        <f>I86</f>
        <v>0</v>
      </c>
      <c r="AM86" s="718">
        <v>0</v>
      </c>
      <c r="AN86" s="718">
        <v>0</v>
      </c>
      <c r="AO86" s="720">
        <f>I86</f>
        <v>0</v>
      </c>
      <c r="AP86" s="748">
        <v>0</v>
      </c>
      <c r="AQ86" s="602"/>
      <c r="AR86" s="602"/>
      <c r="AS86" s="602"/>
      <c r="AT86" s="602"/>
      <c r="AU86" s="602"/>
      <c r="AV86" s="602"/>
    </row>
    <row r="87" spans="2:48" s="40" customFormat="1" ht="13" outlineLevel="1" x14ac:dyDescent="0.2">
      <c r="B87" s="200" t="s">
        <v>2579</v>
      </c>
      <c r="C87" s="201"/>
      <c r="D87" s="262">
        <f t="shared" si="21"/>
        <v>0</v>
      </c>
      <c r="E87" s="265">
        <f t="shared" si="22"/>
        <v>0</v>
      </c>
      <c r="F87" s="390"/>
      <c r="G87" s="188"/>
      <c r="H87" s="273">
        <f>'Emissions factors'!$C$14*1000</f>
        <v>28000</v>
      </c>
      <c r="I87" s="211">
        <f>G87*H87</f>
        <v>0</v>
      </c>
      <c r="J87" s="42"/>
      <c r="N87" s="42"/>
      <c r="V87" s="282">
        <f>'Emissions factors'!D14</f>
        <v>0.3</v>
      </c>
      <c r="W87" s="189"/>
      <c r="X87" s="211">
        <f t="shared" si="25"/>
        <v>0</v>
      </c>
      <c r="AB87" s="190"/>
      <c r="AC87" s="210">
        <f t="shared" si="23"/>
        <v>0</v>
      </c>
      <c r="AD87" s="190"/>
      <c r="AE87" s="211">
        <f t="shared" si="24"/>
        <v>0</v>
      </c>
      <c r="AK87" s="717">
        <v>0</v>
      </c>
      <c r="AL87" s="718">
        <f>I87</f>
        <v>0</v>
      </c>
      <c r="AM87" s="718">
        <v>0</v>
      </c>
      <c r="AN87" s="718">
        <v>0</v>
      </c>
      <c r="AO87" s="720">
        <f t="shared" si="26"/>
        <v>0</v>
      </c>
      <c r="AP87" s="748">
        <v>0</v>
      </c>
      <c r="AQ87" s="602"/>
      <c r="AR87" s="602"/>
      <c r="AS87" s="602"/>
      <c r="AT87" s="602"/>
      <c r="AU87" s="602"/>
      <c r="AV87" s="602"/>
    </row>
    <row r="88" spans="2:48" s="40" customFormat="1" ht="13" outlineLevel="1" x14ac:dyDescent="0.2">
      <c r="B88" s="200"/>
      <c r="C88" s="201"/>
      <c r="D88" s="262"/>
      <c r="E88" s="265"/>
      <c r="F88" s="1231"/>
      <c r="G88" s="532"/>
      <c r="H88" s="273"/>
      <c r="I88" s="211"/>
      <c r="J88" s="42"/>
      <c r="N88" s="42"/>
      <c r="V88" s="282"/>
      <c r="W88" s="532"/>
      <c r="X88" s="211"/>
      <c r="AB88" s="537"/>
      <c r="AC88" s="210"/>
      <c r="AD88" s="532"/>
      <c r="AE88" s="211"/>
      <c r="AK88" s="717"/>
      <c r="AL88" s="718"/>
      <c r="AM88" s="718"/>
      <c r="AN88" s="718"/>
      <c r="AO88" s="720"/>
      <c r="AP88" s="748"/>
      <c r="AQ88" s="602"/>
      <c r="AR88" s="602"/>
      <c r="AS88" s="602"/>
      <c r="AT88" s="602"/>
      <c r="AU88" s="602"/>
      <c r="AV88" s="602"/>
    </row>
    <row r="89" spans="2:48" s="40" customFormat="1" ht="13" outlineLevel="1" x14ac:dyDescent="0.2">
      <c r="B89" s="200" t="s">
        <v>729</v>
      </c>
      <c r="C89" s="201"/>
      <c r="D89" s="262">
        <f t="shared" si="21"/>
        <v>0</v>
      </c>
      <c r="E89" s="265">
        <f t="shared" si="22"/>
        <v>0</v>
      </c>
      <c r="F89" s="1232"/>
      <c r="G89" s="528"/>
      <c r="H89" s="273">
        <f>VLOOKUP($B89,'Emissions factors'!$B$18:$D$44,2,FALSE)*1000</f>
        <v>5510000</v>
      </c>
      <c r="I89" s="211">
        <f>G89*H89</f>
        <v>0</v>
      </c>
      <c r="N89" s="324"/>
      <c r="V89" s="282">
        <f>VLOOKUP($B89,'Emissions factors'!$B$18:$D$44,3,FALSE)</f>
        <v>0.3</v>
      </c>
      <c r="W89" s="183"/>
      <c r="X89" s="211">
        <f t="shared" si="25"/>
        <v>0</v>
      </c>
      <c r="AB89" s="184"/>
      <c r="AC89" s="210">
        <f t="shared" si="23"/>
        <v>0</v>
      </c>
      <c r="AD89" s="184"/>
      <c r="AE89" s="211">
        <f t="shared" si="24"/>
        <v>0</v>
      </c>
      <c r="AK89" s="717">
        <v>0</v>
      </c>
      <c r="AL89" s="718">
        <v>0</v>
      </c>
      <c r="AM89" s="718">
        <v>0</v>
      </c>
      <c r="AN89" s="718">
        <f>I89</f>
        <v>0</v>
      </c>
      <c r="AO89" s="720">
        <f t="shared" si="26"/>
        <v>0</v>
      </c>
      <c r="AP89" s="748">
        <v>0</v>
      </c>
      <c r="AQ89" s="602"/>
      <c r="AR89" s="602"/>
      <c r="AS89" s="602"/>
      <c r="AT89" s="602"/>
      <c r="AU89" s="602"/>
      <c r="AV89" s="602"/>
    </row>
    <row r="90" spans="2:48" s="40" customFormat="1" ht="13" outlineLevel="1" x14ac:dyDescent="0.2">
      <c r="B90" s="200" t="s">
        <v>42</v>
      </c>
      <c r="C90" s="201"/>
      <c r="D90" s="262">
        <f t="shared" si="21"/>
        <v>0</v>
      </c>
      <c r="E90" s="265">
        <f t="shared" si="22"/>
        <v>0</v>
      </c>
      <c r="F90" s="1233"/>
      <c r="G90" s="526"/>
      <c r="H90" s="273">
        <f>VLOOKUP($B90,'Emissions factors'!$B$18:$D$44,2,FALSE)*1000</f>
        <v>1920000</v>
      </c>
      <c r="I90" s="211">
        <f>G90*H90</f>
        <v>0</v>
      </c>
      <c r="N90" s="324"/>
      <c r="V90" s="282">
        <f>VLOOKUP($B90,'Emissions factors'!$B$18:$D$44,3,FALSE)</f>
        <v>0.3</v>
      </c>
      <c r="W90" s="186"/>
      <c r="X90" s="211">
        <f t="shared" si="25"/>
        <v>0</v>
      </c>
      <c r="AB90" s="187"/>
      <c r="AC90" s="210">
        <f t="shared" si="23"/>
        <v>0</v>
      </c>
      <c r="AD90" s="187"/>
      <c r="AE90" s="211">
        <f t="shared" si="24"/>
        <v>0</v>
      </c>
      <c r="AK90" s="717">
        <v>0</v>
      </c>
      <c r="AL90" s="718">
        <v>0</v>
      </c>
      <c r="AM90" s="718">
        <v>0</v>
      </c>
      <c r="AN90" s="718">
        <f>I90</f>
        <v>0</v>
      </c>
      <c r="AO90" s="720">
        <f t="shared" si="26"/>
        <v>0</v>
      </c>
      <c r="AP90" s="748">
        <v>0</v>
      </c>
      <c r="AQ90" s="602"/>
      <c r="AR90" s="602"/>
      <c r="AS90" s="602"/>
      <c r="AT90" s="602"/>
      <c r="AU90" s="602"/>
      <c r="AV90" s="602"/>
    </row>
    <row r="91" spans="2:48" s="40" customFormat="1" ht="13" outlineLevel="1" x14ac:dyDescent="0.2">
      <c r="B91" s="200" t="s">
        <v>735</v>
      </c>
      <c r="C91" s="201"/>
      <c r="D91" s="262">
        <f t="shared" si="21"/>
        <v>0</v>
      </c>
      <c r="E91" s="265">
        <f t="shared" si="22"/>
        <v>0</v>
      </c>
      <c r="F91" s="1234"/>
      <c r="G91" s="527"/>
      <c r="H91" s="273">
        <f>VLOOKUP($B91,'Emissions factors'!$B$18:$D$44,2,FALSE)*1000</f>
        <v>817000</v>
      </c>
      <c r="I91" s="211">
        <f>G91*H91</f>
        <v>0</v>
      </c>
      <c r="N91" s="324"/>
      <c r="V91" s="282">
        <f>VLOOKUP($B91,'Emissions factors'!$B$18:$D$44,3,FALSE)</f>
        <v>0.3</v>
      </c>
      <c r="W91" s="189"/>
      <c r="X91" s="211">
        <f t="shared" si="25"/>
        <v>0</v>
      </c>
      <c r="AB91" s="190"/>
      <c r="AC91" s="210">
        <f t="shared" si="23"/>
        <v>0</v>
      </c>
      <c r="AD91" s="190"/>
      <c r="AE91" s="211">
        <f t="shared" si="24"/>
        <v>0</v>
      </c>
      <c r="AK91" s="717">
        <v>0</v>
      </c>
      <c r="AL91" s="718">
        <v>0</v>
      </c>
      <c r="AM91" s="718">
        <v>0</v>
      </c>
      <c r="AN91" s="718">
        <f>I91</f>
        <v>0</v>
      </c>
      <c r="AO91" s="720">
        <f t="shared" si="26"/>
        <v>0</v>
      </c>
      <c r="AP91" s="748">
        <v>0</v>
      </c>
      <c r="AQ91" s="602"/>
      <c r="AR91" s="602"/>
      <c r="AS91" s="602"/>
      <c r="AT91" s="602"/>
      <c r="AU91" s="602"/>
      <c r="AV91" s="602"/>
    </row>
    <row r="92" spans="2:48" s="40" customFormat="1" ht="13" outlineLevel="1" x14ac:dyDescent="0.2">
      <c r="B92" s="200"/>
      <c r="C92" s="201"/>
      <c r="D92" s="263"/>
      <c r="E92" s="266"/>
      <c r="F92" s="201"/>
      <c r="G92" s="201"/>
      <c r="H92" s="263"/>
      <c r="I92" s="226"/>
      <c r="J92" s="42"/>
      <c r="N92" s="42"/>
      <c r="V92" s="200"/>
      <c r="W92" s="201"/>
      <c r="X92" s="222"/>
      <c r="AB92" s="200"/>
      <c r="AC92" s="423"/>
      <c r="AD92" s="201"/>
      <c r="AE92" s="211"/>
      <c r="AK92" s="717"/>
      <c r="AL92" s="718"/>
      <c r="AM92" s="718"/>
      <c r="AN92" s="718"/>
      <c r="AO92" s="720"/>
      <c r="AP92" s="749"/>
      <c r="AQ92" s="602"/>
      <c r="AR92" s="602"/>
      <c r="AS92" s="602"/>
      <c r="AT92" s="602"/>
      <c r="AU92" s="602"/>
      <c r="AV92" s="602"/>
    </row>
    <row r="93" spans="2:48" s="40" customFormat="1" ht="13" outlineLevel="1" x14ac:dyDescent="0.2">
      <c r="B93" s="253" t="s">
        <v>44</v>
      </c>
      <c r="C93" s="254"/>
      <c r="D93" s="264">
        <f>SUM(D84:D92)</f>
        <v>0</v>
      </c>
      <c r="E93" s="267">
        <f>SUM(E84:E92)</f>
        <v>0</v>
      </c>
      <c r="F93" s="255"/>
      <c r="G93" s="254"/>
      <c r="H93" s="254"/>
      <c r="I93" s="257">
        <f>SUM(I84:I92)</f>
        <v>0</v>
      </c>
      <c r="J93" s="42"/>
      <c r="N93" s="42"/>
      <c r="V93" s="258"/>
      <c r="W93" s="256"/>
      <c r="X93" s="257">
        <f>SQRT(SUMSQ(X84:X92))</f>
        <v>0</v>
      </c>
      <c r="AB93" s="258"/>
      <c r="AC93" s="259">
        <f>SUM(AC84:AC92)</f>
        <v>0</v>
      </c>
      <c r="AD93" s="256"/>
      <c r="AE93" s="257">
        <f>SUM(AE84:AE92)</f>
        <v>0</v>
      </c>
      <c r="AK93" s="724">
        <f t="shared" ref="AK93:AP93" si="27">SUM(AK84:AK92)</f>
        <v>0</v>
      </c>
      <c r="AL93" s="725">
        <f t="shared" si="27"/>
        <v>0</v>
      </c>
      <c r="AM93" s="725">
        <f t="shared" si="27"/>
        <v>0</v>
      </c>
      <c r="AN93" s="725">
        <f t="shared" si="27"/>
        <v>0</v>
      </c>
      <c r="AO93" s="727">
        <f t="shared" si="27"/>
        <v>0</v>
      </c>
      <c r="AP93" s="750">
        <f t="shared" si="27"/>
        <v>0</v>
      </c>
      <c r="AQ93" s="602"/>
      <c r="AR93" s="602"/>
      <c r="AS93" s="602"/>
      <c r="AT93" s="602"/>
      <c r="AU93" s="602"/>
      <c r="AV93" s="602"/>
    </row>
    <row r="94" spans="2:48" s="40" customFormat="1" ht="12.75" customHeight="1" outlineLevel="1" x14ac:dyDescent="0.2">
      <c r="AK94" s="602"/>
      <c r="AL94" s="602"/>
      <c r="AM94" s="602"/>
      <c r="AN94" s="602"/>
      <c r="AO94" s="602"/>
      <c r="AP94" s="602"/>
      <c r="AQ94" s="602"/>
      <c r="AR94" s="602"/>
      <c r="AS94" s="602"/>
      <c r="AT94" s="602"/>
      <c r="AU94" s="602"/>
      <c r="AV94" s="602"/>
    </row>
    <row r="95" spans="2:48" s="40" customFormat="1" ht="13" outlineLevel="1" x14ac:dyDescent="0.2">
      <c r="B95" s="195" t="s">
        <v>3097</v>
      </c>
      <c r="C95" s="196"/>
      <c r="D95" s="421"/>
      <c r="E95" s="421"/>
      <c r="F95" s="421"/>
      <c r="G95" s="217"/>
      <c r="H95" s="217"/>
      <c r="I95" s="218"/>
      <c r="J95" s="50"/>
      <c r="N95" s="50"/>
      <c r="V95" s="1746" t="s">
        <v>723</v>
      </c>
      <c r="W95" s="1747"/>
      <c r="X95" s="1748"/>
      <c r="AB95" s="1746" t="s">
        <v>2066</v>
      </c>
      <c r="AC95" s="1747"/>
      <c r="AD95" s="1747"/>
      <c r="AE95" s="1748"/>
      <c r="AK95" s="1755" t="s">
        <v>2073</v>
      </c>
      <c r="AL95" s="1756"/>
      <c r="AM95" s="1756"/>
      <c r="AN95" s="1756"/>
      <c r="AO95" s="1756"/>
      <c r="AP95" s="1757"/>
      <c r="AQ95" s="602"/>
      <c r="AR95" s="602"/>
      <c r="AS95" s="602"/>
      <c r="AT95" s="602"/>
      <c r="AU95" s="602"/>
      <c r="AV95" s="602"/>
    </row>
    <row r="96" spans="2:48" s="40" customFormat="1" ht="13" outlineLevel="1" x14ac:dyDescent="0.2">
      <c r="B96" s="417" t="s">
        <v>3099</v>
      </c>
      <c r="C96" s="423"/>
      <c r="D96" s="424"/>
      <c r="E96" s="424"/>
      <c r="F96" s="423"/>
      <c r="G96" s="423"/>
      <c r="H96" s="423"/>
      <c r="I96" s="464"/>
      <c r="J96" s="50"/>
      <c r="N96" s="50"/>
      <c r="V96" s="461"/>
      <c r="W96" s="423"/>
      <c r="X96" s="203"/>
      <c r="AB96" s="461"/>
      <c r="AC96" s="423"/>
      <c r="AD96" s="423"/>
      <c r="AE96" s="203"/>
      <c r="AK96" s="778"/>
      <c r="AL96" s="779"/>
      <c r="AM96" s="779"/>
      <c r="AN96" s="779"/>
      <c r="AO96" s="741"/>
      <c r="AP96" s="780"/>
      <c r="AQ96" s="602"/>
      <c r="AR96" s="602"/>
      <c r="AS96" s="602"/>
      <c r="AT96" s="602"/>
      <c r="AU96" s="602"/>
      <c r="AV96" s="602"/>
    </row>
    <row r="97" spans="2:48" s="40" customFormat="1" ht="13" outlineLevel="1" x14ac:dyDescent="0.2">
      <c r="B97" s="461"/>
      <c r="C97" s="423"/>
      <c r="D97" s="423" t="s">
        <v>56</v>
      </c>
      <c r="E97" s="423" t="s">
        <v>56</v>
      </c>
      <c r="F97" s="205" t="s">
        <v>2739</v>
      </c>
      <c r="G97" s="205" t="s">
        <v>11</v>
      </c>
      <c r="H97" s="423" t="s">
        <v>61</v>
      </c>
      <c r="I97" s="481" t="s">
        <v>61</v>
      </c>
      <c r="J97" s="50"/>
      <c r="N97" s="50"/>
      <c r="V97" s="1621" t="s">
        <v>2557</v>
      </c>
      <c r="W97" s="423" t="s">
        <v>2110</v>
      </c>
      <c r="X97" s="481" t="s">
        <v>61</v>
      </c>
      <c r="AB97" s="461" t="s">
        <v>2065</v>
      </c>
      <c r="AC97" s="424" t="s">
        <v>61</v>
      </c>
      <c r="AD97" s="423" t="s">
        <v>2558</v>
      </c>
      <c r="AE97" s="481" t="s">
        <v>61</v>
      </c>
      <c r="AK97" s="1739" t="s">
        <v>61</v>
      </c>
      <c r="AL97" s="1740"/>
      <c r="AM97" s="1740"/>
      <c r="AN97" s="1740"/>
      <c r="AO97" s="741" t="s">
        <v>61</v>
      </c>
      <c r="AP97" s="742"/>
      <c r="AQ97" s="602"/>
      <c r="AR97" s="602"/>
      <c r="AS97" s="602"/>
      <c r="AT97" s="602"/>
      <c r="AU97" s="602"/>
      <c r="AV97" s="602"/>
    </row>
    <row r="98" spans="2:48" s="40" customFormat="1" ht="13" outlineLevel="1" x14ac:dyDescent="0.2">
      <c r="B98" s="461"/>
      <c r="C98" s="423"/>
      <c r="D98" s="423" t="s">
        <v>61</v>
      </c>
      <c r="E98" s="423" t="s">
        <v>63</v>
      </c>
      <c r="F98" s="208" t="s">
        <v>2054</v>
      </c>
      <c r="G98" s="208" t="s">
        <v>2694</v>
      </c>
      <c r="H98" s="423" t="s">
        <v>2058</v>
      </c>
      <c r="I98" s="481"/>
      <c r="J98" s="50"/>
      <c r="N98" s="42"/>
      <c r="V98" s="1621" t="s">
        <v>2109</v>
      </c>
      <c r="W98" s="423"/>
      <c r="X98" s="481"/>
      <c r="AB98" s="461"/>
      <c r="AC98" s="424"/>
      <c r="AD98" s="423"/>
      <c r="AE98" s="481"/>
      <c r="AK98" s="744" t="s">
        <v>14</v>
      </c>
      <c r="AL98" s="745" t="s">
        <v>60</v>
      </c>
      <c r="AM98" s="745" t="s">
        <v>27</v>
      </c>
      <c r="AN98" s="745" t="s">
        <v>2074</v>
      </c>
      <c r="AO98" s="746" t="s">
        <v>41</v>
      </c>
      <c r="AP98" s="747" t="s">
        <v>85</v>
      </c>
      <c r="AQ98" s="602"/>
      <c r="AR98" s="602"/>
      <c r="AS98" s="602"/>
      <c r="AT98" s="602"/>
      <c r="AU98" s="602"/>
      <c r="AV98" s="602"/>
    </row>
    <row r="99" spans="2:48" s="40" customFormat="1" ht="13" outlineLevel="1" x14ac:dyDescent="0.2">
      <c r="B99" s="200" t="s">
        <v>249</v>
      </c>
      <c r="C99" s="201"/>
      <c r="D99" s="262">
        <f>I99</f>
        <v>0</v>
      </c>
      <c r="E99" s="265">
        <f>D99*12/44</f>
        <v>0</v>
      </c>
      <c r="F99" s="1232"/>
      <c r="G99" s="528"/>
      <c r="H99" s="273">
        <f>VLOOKUP($B99,'Emissions factors'!$B$47:$D$74,2,FALSE)*1000</f>
        <v>5390000</v>
      </c>
      <c r="I99" s="211">
        <f>G99*H99</f>
        <v>0</v>
      </c>
      <c r="N99" s="324"/>
      <c r="V99" s="282">
        <f>VLOOKUP($B99,'Emissions factors'!$B$47:$D$74,3,FALSE)</f>
        <v>0.3</v>
      </c>
      <c r="W99" s="183"/>
      <c r="X99" s="211">
        <f>I99*SQRT(V99^2+W99^2)</f>
        <v>0</v>
      </c>
      <c r="AB99" s="184"/>
      <c r="AC99" s="210">
        <f>I99*AB99</f>
        <v>0</v>
      </c>
      <c r="AD99" s="184"/>
      <c r="AE99" s="211">
        <f>I99*AD99</f>
        <v>0</v>
      </c>
      <c r="AK99" s="717">
        <v>0</v>
      </c>
      <c r="AL99" s="718">
        <v>0</v>
      </c>
      <c r="AM99" s="718">
        <v>0</v>
      </c>
      <c r="AN99" s="718">
        <f>I99</f>
        <v>0</v>
      </c>
      <c r="AO99" s="720">
        <f>I99</f>
        <v>0</v>
      </c>
      <c r="AP99" s="748">
        <v>0</v>
      </c>
      <c r="AQ99" s="602"/>
      <c r="AR99" s="602"/>
      <c r="AS99" s="602"/>
      <c r="AT99" s="602"/>
      <c r="AU99" s="602"/>
      <c r="AV99" s="602"/>
    </row>
    <row r="100" spans="2:48" s="40" customFormat="1" ht="13" outlineLevel="1" x14ac:dyDescent="0.2">
      <c r="B100" s="200" t="s">
        <v>760</v>
      </c>
      <c r="C100" s="201"/>
      <c r="D100" s="262">
        <f>I100</f>
        <v>0</v>
      </c>
      <c r="E100" s="265">
        <f>D100*12/44</f>
        <v>0</v>
      </c>
      <c r="F100" s="1233"/>
      <c r="G100" s="526"/>
      <c r="H100" s="273">
        <f>VLOOKUP($B100,'Emissions factors'!$B$47:$D$74,2,FALSE)*1000</f>
        <v>2110000</v>
      </c>
      <c r="I100" s="211">
        <f>G100*H100</f>
        <v>0</v>
      </c>
      <c r="N100" s="324"/>
      <c r="V100" s="282">
        <f>VLOOKUP($B100,'Emissions factors'!$B$47:$D$74,3,FALSE)</f>
        <v>0.3</v>
      </c>
      <c r="W100" s="186"/>
      <c r="X100" s="211">
        <f>I100*SQRT(V100^2+W100^2)</f>
        <v>0</v>
      </c>
      <c r="AB100" s="187"/>
      <c r="AC100" s="210">
        <f>I100*AB100</f>
        <v>0</v>
      </c>
      <c r="AD100" s="187"/>
      <c r="AE100" s="211">
        <f>I100*AD100</f>
        <v>0</v>
      </c>
      <c r="AK100" s="717">
        <v>0</v>
      </c>
      <c r="AL100" s="718">
        <v>0</v>
      </c>
      <c r="AM100" s="718">
        <v>0</v>
      </c>
      <c r="AN100" s="718">
        <f>I100</f>
        <v>0</v>
      </c>
      <c r="AO100" s="720">
        <f>I100</f>
        <v>0</v>
      </c>
      <c r="AP100" s="748">
        <v>0</v>
      </c>
      <c r="AQ100" s="602"/>
      <c r="AR100" s="602"/>
      <c r="AS100" s="602"/>
      <c r="AT100" s="602"/>
      <c r="AU100" s="602"/>
      <c r="AV100" s="602"/>
    </row>
    <row r="101" spans="2:48" s="40" customFormat="1" ht="13" outlineLevel="1" x14ac:dyDescent="0.2">
      <c r="B101" s="200" t="s">
        <v>759</v>
      </c>
      <c r="C101" s="201"/>
      <c r="D101" s="262">
        <f>I101</f>
        <v>0</v>
      </c>
      <c r="E101" s="265">
        <f>D101*12/44</f>
        <v>0</v>
      </c>
      <c r="F101" s="1234"/>
      <c r="G101" s="527"/>
      <c r="H101" s="273">
        <f>VLOOKUP($B101,'Emissions factors'!$B$47:$D$74,2,FALSE)*1000</f>
        <v>179000</v>
      </c>
      <c r="I101" s="211">
        <f>G101*H101</f>
        <v>0</v>
      </c>
      <c r="N101" s="324"/>
      <c r="V101" s="282">
        <f>VLOOKUP($B101,'Emissions factors'!$B$47:$D$74,3,FALSE)</f>
        <v>0.3</v>
      </c>
      <c r="W101" s="189"/>
      <c r="X101" s="211">
        <f>I101*SQRT(V101^2+W101^2)</f>
        <v>0</v>
      </c>
      <c r="AB101" s="190"/>
      <c r="AC101" s="210">
        <f>I101*AB101</f>
        <v>0</v>
      </c>
      <c r="AD101" s="190"/>
      <c r="AE101" s="211">
        <f>I101*AD101</f>
        <v>0</v>
      </c>
      <c r="AK101" s="717">
        <v>0</v>
      </c>
      <c r="AL101" s="718">
        <v>0</v>
      </c>
      <c r="AM101" s="718">
        <v>0</v>
      </c>
      <c r="AN101" s="718">
        <f>I101</f>
        <v>0</v>
      </c>
      <c r="AO101" s="720">
        <f>I101</f>
        <v>0</v>
      </c>
      <c r="AP101" s="748">
        <v>0</v>
      </c>
      <c r="AQ101" s="602"/>
      <c r="AR101" s="602"/>
      <c r="AS101" s="602"/>
      <c r="AT101" s="602"/>
      <c r="AU101" s="602"/>
      <c r="AV101" s="602"/>
    </row>
    <row r="102" spans="2:48" s="40" customFormat="1" ht="13" outlineLevel="1" x14ac:dyDescent="0.2">
      <c r="B102" s="200"/>
      <c r="C102" s="201"/>
      <c r="D102" s="263"/>
      <c r="E102" s="266"/>
      <c r="F102" s="201"/>
      <c r="G102" s="201"/>
      <c r="H102" s="201"/>
      <c r="I102" s="226"/>
      <c r="J102" s="42"/>
      <c r="N102" s="42"/>
      <c r="V102" s="200"/>
      <c r="W102" s="201"/>
      <c r="X102" s="211"/>
      <c r="AB102" s="200"/>
      <c r="AC102" s="424"/>
      <c r="AD102" s="201"/>
      <c r="AE102" s="211"/>
      <c r="AK102" s="717"/>
      <c r="AL102" s="718"/>
      <c r="AM102" s="718"/>
      <c r="AN102" s="718"/>
      <c r="AO102" s="720"/>
      <c r="AP102" s="749"/>
      <c r="AQ102" s="602"/>
      <c r="AR102" s="602"/>
      <c r="AS102" s="602"/>
      <c r="AT102" s="602"/>
      <c r="AU102" s="602"/>
      <c r="AV102" s="602"/>
    </row>
    <row r="103" spans="2:48" s="40" customFormat="1" ht="13" outlineLevel="1" x14ac:dyDescent="0.2">
      <c r="B103" s="253" t="s">
        <v>44</v>
      </c>
      <c r="C103" s="254"/>
      <c r="D103" s="264">
        <f>SUM(D99:D102)</f>
        <v>0</v>
      </c>
      <c r="E103" s="267">
        <f>SUM(E99:E102)</f>
        <v>0</v>
      </c>
      <c r="F103" s="255"/>
      <c r="G103" s="254"/>
      <c r="H103" s="254"/>
      <c r="I103" s="257">
        <f>SUM(I99:I102)</f>
        <v>0</v>
      </c>
      <c r="J103" s="42"/>
      <c r="N103" s="42"/>
      <c r="V103" s="258"/>
      <c r="W103" s="256"/>
      <c r="X103" s="257">
        <f>SQRT(SUMSQ(X99:X102))</f>
        <v>0</v>
      </c>
      <c r="AB103" s="258"/>
      <c r="AC103" s="259">
        <f>SUM(AC99:AC102)</f>
        <v>0</v>
      </c>
      <c r="AD103" s="256"/>
      <c r="AE103" s="257">
        <f>SUM(AE99:AE102)</f>
        <v>0</v>
      </c>
      <c r="AK103" s="724">
        <f t="shared" ref="AK103:AP103" si="28">SUM(AK99:AK102)</f>
        <v>0</v>
      </c>
      <c r="AL103" s="725">
        <f t="shared" si="28"/>
        <v>0</v>
      </c>
      <c r="AM103" s="725">
        <f t="shared" si="28"/>
        <v>0</v>
      </c>
      <c r="AN103" s="725">
        <f t="shared" si="28"/>
        <v>0</v>
      </c>
      <c r="AO103" s="727">
        <f t="shared" si="28"/>
        <v>0</v>
      </c>
      <c r="AP103" s="750">
        <f t="shared" si="28"/>
        <v>0</v>
      </c>
      <c r="AQ103" s="602"/>
      <c r="AR103" s="602"/>
      <c r="AS103" s="602"/>
      <c r="AT103" s="602"/>
      <c r="AU103" s="602"/>
      <c r="AV103" s="602"/>
    </row>
    <row r="104" spans="2:48" s="40" customFormat="1" ht="13" outlineLevel="1" x14ac:dyDescent="0.2">
      <c r="F104" s="314"/>
      <c r="AK104" s="602"/>
      <c r="AL104" s="602"/>
      <c r="AM104" s="602"/>
      <c r="AN104" s="602"/>
      <c r="AO104" s="602"/>
      <c r="AP104" s="602"/>
      <c r="AQ104" s="602"/>
      <c r="AR104" s="602"/>
      <c r="AS104" s="602"/>
      <c r="AT104" s="602"/>
      <c r="AU104" s="602"/>
      <c r="AV104" s="602"/>
    </row>
    <row r="105" spans="2:48" s="40" customFormat="1" ht="13" x14ac:dyDescent="0.2">
      <c r="B105" s="332"/>
      <c r="C105" s="332"/>
      <c r="AK105" s="602"/>
      <c r="AL105" s="602"/>
      <c r="AM105" s="602"/>
      <c r="AN105" s="602"/>
      <c r="AO105" s="602"/>
      <c r="AP105" s="602"/>
      <c r="AQ105" s="602"/>
      <c r="AR105" s="602"/>
      <c r="AS105" s="602"/>
      <c r="AT105" s="602"/>
      <c r="AU105" s="602"/>
      <c r="AV105" s="602"/>
    </row>
    <row r="106" spans="2:48" s="40" customFormat="1" ht="13" x14ac:dyDescent="0.2">
      <c r="B106" s="332"/>
      <c r="C106" s="332"/>
      <c r="AK106" s="602"/>
      <c r="AL106" s="602"/>
      <c r="AM106" s="602"/>
      <c r="AN106" s="602"/>
      <c r="AO106" s="602"/>
      <c r="AP106" s="602"/>
      <c r="AQ106" s="602"/>
      <c r="AR106" s="602"/>
      <c r="AS106" s="602"/>
      <c r="AT106" s="602"/>
      <c r="AU106" s="602"/>
      <c r="AV106" s="602"/>
    </row>
    <row r="107" spans="2:48" s="40" customFormat="1" ht="13" x14ac:dyDescent="0.2">
      <c r="B107" s="332"/>
      <c r="C107" s="332"/>
      <c r="AK107" s="602"/>
      <c r="AL107" s="602"/>
      <c r="AM107" s="602"/>
      <c r="AN107" s="602"/>
      <c r="AO107" s="602"/>
      <c r="AP107" s="602"/>
      <c r="AQ107" s="602"/>
      <c r="AR107" s="602"/>
      <c r="AS107" s="602"/>
      <c r="AT107" s="602"/>
      <c r="AU107" s="602"/>
      <c r="AV107" s="602"/>
    </row>
    <row r="108" spans="2:48" ht="20" customHeight="1" x14ac:dyDescent="0.2">
      <c r="B108" s="1780" t="str">
        <f>+Energia!B137</f>
        <v>Panoramica delle sorgenti di emissione di CO2e</v>
      </c>
      <c r="C108" s="1780"/>
      <c r="D108" s="1780"/>
      <c r="E108" s="1780"/>
      <c r="F108" s="1780"/>
      <c r="G108" s="1780"/>
      <c r="H108" s="1780"/>
      <c r="I108" s="1780"/>
      <c r="J108" s="1780"/>
      <c r="K108" s="1780"/>
      <c r="L108" s="1780"/>
      <c r="M108" s="1780"/>
      <c r="N108" s="1780"/>
      <c r="O108" s="1780"/>
      <c r="AO108" s="602"/>
      <c r="AP108" s="602"/>
      <c r="AQ108" s="602"/>
      <c r="AR108" s="602"/>
      <c r="AS108" s="602"/>
      <c r="AT108" s="602"/>
      <c r="AU108" s="602"/>
    </row>
    <row r="109" spans="2:48" s="40" customFormat="1" ht="13" x14ac:dyDescent="0.2">
      <c r="B109" s="51"/>
      <c r="C109" s="51"/>
      <c r="D109" s="51"/>
      <c r="E109" s="51"/>
      <c r="F109" s="51"/>
      <c r="G109" s="51"/>
      <c r="H109" s="51"/>
      <c r="I109" s="51"/>
      <c r="J109" s="51"/>
      <c r="K109" s="51"/>
      <c r="L109" s="51"/>
      <c r="M109" s="51"/>
      <c r="N109" s="51"/>
      <c r="O109" s="51"/>
      <c r="AK109" s="602"/>
      <c r="AL109" s="602"/>
      <c r="AM109" s="602"/>
      <c r="AN109" s="602"/>
      <c r="AO109" s="602"/>
      <c r="AP109" s="602"/>
      <c r="AQ109" s="602"/>
      <c r="AR109" s="602"/>
      <c r="AS109" s="602"/>
      <c r="AT109" s="729"/>
      <c r="AU109" s="729"/>
      <c r="AV109" s="602"/>
    </row>
    <row r="110" spans="2:48" s="40" customFormat="1" ht="13" x14ac:dyDescent="0.2">
      <c r="B110" s="1781" t="str">
        <f>Description!C24</f>
        <v>Fase d'uso</v>
      </c>
      <c r="C110" s="1782"/>
      <c r="D110" s="1794" t="s">
        <v>56</v>
      </c>
      <c r="E110" s="1794"/>
      <c r="F110" s="1794"/>
      <c r="G110" s="52"/>
      <c r="H110" s="1794" t="s">
        <v>723</v>
      </c>
      <c r="I110" s="1794"/>
      <c r="J110" s="228"/>
      <c r="K110" s="1792" t="s">
        <v>2489</v>
      </c>
      <c r="L110" s="1793"/>
      <c r="M110" s="228"/>
      <c r="N110" s="194" t="s">
        <v>2491</v>
      </c>
      <c r="O110" s="194" t="s">
        <v>2492</v>
      </c>
      <c r="P110" s="229"/>
      <c r="Q110" s="1812" t="s">
        <v>2493</v>
      </c>
      <c r="R110" s="1812"/>
      <c r="S110" s="1812"/>
      <c r="T110" s="1812"/>
      <c r="AK110" s="602"/>
      <c r="AL110" s="602"/>
      <c r="AM110" s="602"/>
      <c r="AN110" s="602"/>
      <c r="AO110" s="729"/>
      <c r="AP110" s="729"/>
      <c r="AQ110" s="729"/>
      <c r="AR110" s="729"/>
      <c r="AS110" s="729"/>
      <c r="AT110" s="602"/>
      <c r="AU110" s="602"/>
      <c r="AV110" s="602"/>
    </row>
    <row r="111" spans="2:48" s="40" customFormat="1" ht="13" x14ac:dyDescent="0.2">
      <c r="B111" s="1783"/>
      <c r="C111" s="1784"/>
      <c r="D111" s="346" t="s">
        <v>61</v>
      </c>
      <c r="E111" s="345" t="s">
        <v>66</v>
      </c>
      <c r="F111" s="346" t="s">
        <v>73</v>
      </c>
      <c r="G111" s="52"/>
      <c r="H111" s="346" t="s">
        <v>61</v>
      </c>
      <c r="I111" s="346" t="s">
        <v>47</v>
      </c>
      <c r="J111" s="228"/>
      <c r="K111" s="346" t="s">
        <v>2065</v>
      </c>
      <c r="L111" s="346" t="s">
        <v>2558</v>
      </c>
      <c r="M111" s="228"/>
      <c r="N111" s="230" t="s">
        <v>66</v>
      </c>
      <c r="O111" s="230" t="s">
        <v>66</v>
      </c>
      <c r="P111" s="229"/>
      <c r="Q111" s="347" t="s">
        <v>2494</v>
      </c>
      <c r="R111" s="347" t="s">
        <v>72</v>
      </c>
      <c r="S111" s="347" t="s">
        <v>72</v>
      </c>
      <c r="T111" s="347" t="s">
        <v>2495</v>
      </c>
      <c r="AK111" s="602"/>
      <c r="AL111" s="602"/>
      <c r="AM111" s="602"/>
      <c r="AN111" s="602"/>
      <c r="AO111" s="602"/>
      <c r="AP111" s="602"/>
      <c r="AQ111" s="602"/>
      <c r="AR111" s="602"/>
      <c r="AS111" s="602"/>
      <c r="AT111" s="602"/>
      <c r="AU111" s="602"/>
      <c r="AV111" s="602"/>
    </row>
    <row r="112" spans="2:48" s="4" customFormat="1" ht="13" x14ac:dyDescent="0.15">
      <c r="B112" s="1788" t="s">
        <v>3025</v>
      </c>
      <c r="C112" s="1789"/>
      <c r="D112" s="241">
        <f>D20+D30</f>
        <v>0</v>
      </c>
      <c r="E112" s="242">
        <f>D112/1000</f>
        <v>0</v>
      </c>
      <c r="F112" s="243" t="str">
        <f>IF($D$116=0,"",D112/$D$116)</f>
        <v/>
      </c>
      <c r="G112" s="51"/>
      <c r="H112" s="193">
        <f>SQRT(Z20^2+Z30^2)</f>
        <v>0</v>
      </c>
      <c r="I112" s="243" t="str">
        <f>IF(D112=0,"",H112/D112)</f>
        <v/>
      </c>
      <c r="J112" s="229"/>
      <c r="K112" s="193">
        <f>AE20+AE30</f>
        <v>0</v>
      </c>
      <c r="L112" s="193">
        <f>AI20+AI30</f>
        <v>0</v>
      </c>
      <c r="M112" s="229"/>
      <c r="N112" s="193">
        <f>L112/1000</f>
        <v>0</v>
      </c>
      <c r="O112" s="233">
        <f>E112-N112</f>
        <v>0</v>
      </c>
      <c r="P112" s="229"/>
      <c r="Q112" s="245">
        <f>(D112-H112)/1000</f>
        <v>0</v>
      </c>
      <c r="R112" s="245">
        <f>E112</f>
        <v>0</v>
      </c>
      <c r="S112" s="245">
        <f>E112</f>
        <v>0</v>
      </c>
      <c r="T112" s="245">
        <f>(D112+H112)/1000</f>
        <v>0</v>
      </c>
      <c r="AK112" s="754"/>
      <c r="AL112" s="754"/>
      <c r="AM112" s="754"/>
      <c r="AN112" s="754"/>
      <c r="AO112" s="754"/>
      <c r="AP112" s="754"/>
      <c r="AQ112" s="754"/>
      <c r="AR112" s="754"/>
      <c r="AS112" s="754"/>
      <c r="AT112" s="754"/>
      <c r="AU112" s="754"/>
      <c r="AV112" s="754"/>
    </row>
    <row r="113" spans="2:51" s="4" customFormat="1" ht="13" x14ac:dyDescent="0.15">
      <c r="B113" s="1788" t="s">
        <v>3132</v>
      </c>
      <c r="C113" s="1789"/>
      <c r="D113" s="241">
        <f>D43+D53</f>
        <v>0</v>
      </c>
      <c r="E113" s="242">
        <f>D113/1000</f>
        <v>0</v>
      </c>
      <c r="F113" s="243" t="str">
        <f>IF($D$116=0,"",D113/$D$116)</f>
        <v/>
      </c>
      <c r="G113" s="51"/>
      <c r="H113" s="193">
        <f>SQRT(X43^2+X53^2)</f>
        <v>0</v>
      </c>
      <c r="I113" s="243" t="str">
        <f>IF(D113=0,"",H113/D113)</f>
        <v/>
      </c>
      <c r="J113" s="229"/>
      <c r="K113" s="193">
        <f>AC43+AC53</f>
        <v>0</v>
      </c>
      <c r="L113" s="193">
        <f>AE43+AE53</f>
        <v>0</v>
      </c>
      <c r="M113" s="229"/>
      <c r="N113" s="193">
        <f>L113/1000</f>
        <v>0</v>
      </c>
      <c r="O113" s="233">
        <f>E113-N113</f>
        <v>0</v>
      </c>
      <c r="P113" s="229"/>
      <c r="Q113" s="245">
        <f>(D113-H113)/1000</f>
        <v>0</v>
      </c>
      <c r="R113" s="245">
        <f>E113</f>
        <v>0</v>
      </c>
      <c r="S113" s="245">
        <f>E113</f>
        <v>0</v>
      </c>
      <c r="T113" s="245">
        <f>(D113+H113)/1000</f>
        <v>0</v>
      </c>
      <c r="AK113" s="754"/>
      <c r="AL113" s="754"/>
      <c r="AM113" s="754"/>
      <c r="AN113" s="754"/>
      <c r="AO113" s="754"/>
      <c r="AP113" s="754"/>
      <c r="AQ113" s="754"/>
      <c r="AR113" s="754"/>
      <c r="AS113" s="754"/>
      <c r="AT113" s="754"/>
      <c r="AU113" s="754"/>
      <c r="AV113" s="754"/>
    </row>
    <row r="114" spans="2:51" s="4" customFormat="1" ht="13" x14ac:dyDescent="0.15">
      <c r="B114" s="1788" t="s">
        <v>3133</v>
      </c>
      <c r="C114" s="1789"/>
      <c r="D114" s="241">
        <f>D67+D75</f>
        <v>0</v>
      </c>
      <c r="E114" s="242">
        <f>D114/1000</f>
        <v>0</v>
      </c>
      <c r="F114" s="243" t="str">
        <f>IF($D$116=0,"",D114/$D$116)</f>
        <v/>
      </c>
      <c r="G114" s="51"/>
      <c r="H114" s="193">
        <f>SQRT(X67^2+X75^2)</f>
        <v>0</v>
      </c>
      <c r="I114" s="243" t="str">
        <f>IF(D114=0,"",H114/D114)</f>
        <v/>
      </c>
      <c r="J114" s="229"/>
      <c r="K114" s="193">
        <f>AC67+AC75</f>
        <v>0</v>
      </c>
      <c r="L114" s="193">
        <f>AE67+AE75</f>
        <v>0</v>
      </c>
      <c r="M114" s="229"/>
      <c r="N114" s="193">
        <f>L114/1000</f>
        <v>0</v>
      </c>
      <c r="O114" s="233">
        <f>E114-N114</f>
        <v>0</v>
      </c>
      <c r="P114" s="229"/>
      <c r="Q114" s="245">
        <f>(D114-H114)/1000</f>
        <v>0</v>
      </c>
      <c r="R114" s="245">
        <f>E114</f>
        <v>0</v>
      </c>
      <c r="S114" s="245">
        <f>E114</f>
        <v>0</v>
      </c>
      <c r="T114" s="245">
        <f>(D114+H114)/1000</f>
        <v>0</v>
      </c>
      <c r="AK114" s="754"/>
      <c r="AL114" s="754"/>
      <c r="AM114" s="754"/>
      <c r="AN114" s="754"/>
      <c r="AO114" s="754"/>
      <c r="AP114" s="754"/>
      <c r="AQ114" s="754"/>
      <c r="AR114" s="754"/>
      <c r="AS114" s="754"/>
      <c r="AT114" s="754"/>
      <c r="AU114" s="754"/>
      <c r="AV114" s="754"/>
    </row>
    <row r="115" spans="2:51" s="4" customFormat="1" ht="13" x14ac:dyDescent="0.15">
      <c r="B115" s="1788" t="s">
        <v>3134</v>
      </c>
      <c r="C115" s="1789"/>
      <c r="D115" s="241">
        <f>D93+D103</f>
        <v>0</v>
      </c>
      <c r="E115" s="242">
        <f>D115/1000</f>
        <v>0</v>
      </c>
      <c r="F115" s="243" t="str">
        <f>IF($D$116=0,"",D115/$D$116)</f>
        <v/>
      </c>
      <c r="G115" s="51"/>
      <c r="H115" s="193">
        <f>SQRT(X93^2+X103^2)</f>
        <v>0</v>
      </c>
      <c r="I115" s="243" t="str">
        <f>IF(D115=0,"",H115/D115)</f>
        <v/>
      </c>
      <c r="J115" s="229"/>
      <c r="K115" s="193">
        <f>AC93+AC103</f>
        <v>0</v>
      </c>
      <c r="L115" s="193">
        <f>AE93+AE103</f>
        <v>0</v>
      </c>
      <c r="M115" s="229"/>
      <c r="N115" s="193">
        <f>L115/1000</f>
        <v>0</v>
      </c>
      <c r="O115" s="233">
        <f>E115-N115</f>
        <v>0</v>
      </c>
      <c r="P115" s="229"/>
      <c r="Q115" s="245">
        <f>(D115-H115)/1000</f>
        <v>0</v>
      </c>
      <c r="R115" s="245">
        <f>E115</f>
        <v>0</v>
      </c>
      <c r="S115" s="245">
        <f>E115</f>
        <v>0</v>
      </c>
      <c r="T115" s="245">
        <f>(D115+H115)/1000</f>
        <v>0</v>
      </c>
      <c r="AK115" s="754"/>
      <c r="AL115" s="754"/>
      <c r="AM115" s="754"/>
      <c r="AN115" s="754"/>
      <c r="AO115" s="754"/>
      <c r="AP115" s="754"/>
      <c r="AQ115" s="754"/>
      <c r="AR115" s="754"/>
      <c r="AS115" s="754"/>
      <c r="AT115" s="754"/>
      <c r="AU115" s="754"/>
      <c r="AV115" s="754"/>
    </row>
    <row r="116" spans="2:51" s="14" customFormat="1" ht="16" x14ac:dyDescent="0.2">
      <c r="B116" s="1790" t="s">
        <v>44</v>
      </c>
      <c r="C116" s="1791"/>
      <c r="D116" s="246">
        <f>SUM(D112:D115)</f>
        <v>0</v>
      </c>
      <c r="E116" s="247">
        <f>SUM(E112:E115)</f>
        <v>0</v>
      </c>
      <c r="F116" s="248" t="str">
        <f>IF($D$116=0,"",D116/$D$116)</f>
        <v/>
      </c>
      <c r="G116" s="249"/>
      <c r="H116" s="246">
        <f>SQRT(SUMSQ(H112:H115))</f>
        <v>0</v>
      </c>
      <c r="I116" s="248" t="str">
        <f>IF(D116=0,"",H116/D116)</f>
        <v/>
      </c>
      <c r="J116" s="229"/>
      <c r="K116" s="246">
        <f>SUM(K112:K115)</f>
        <v>0</v>
      </c>
      <c r="L116" s="246">
        <f>SUM(L112:L115)</f>
        <v>0</v>
      </c>
      <c r="M116" s="250"/>
      <c r="N116" s="246">
        <f>SUM(N112:N115)</f>
        <v>0</v>
      </c>
      <c r="O116" s="251">
        <f>SUM(O112:O115)</f>
        <v>0</v>
      </c>
      <c r="P116" s="252"/>
      <c r="Q116" s="245">
        <f>(D116-H116)/1000</f>
        <v>0</v>
      </c>
      <c r="R116" s="245">
        <f>E116</f>
        <v>0</v>
      </c>
      <c r="S116" s="245">
        <f>E116</f>
        <v>0</v>
      </c>
      <c r="T116" s="245">
        <f>(D116+H116)/1000</f>
        <v>0</v>
      </c>
      <c r="AK116" s="776"/>
      <c r="AL116" s="776"/>
      <c r="AM116" s="776"/>
      <c r="AN116" s="776"/>
      <c r="AO116" s="776"/>
      <c r="AP116" s="776"/>
      <c r="AQ116" s="776"/>
      <c r="AR116" s="776"/>
      <c r="AS116" s="776"/>
      <c r="AT116" s="776"/>
      <c r="AU116" s="776"/>
      <c r="AV116" s="776"/>
    </row>
    <row r="117" spans="2:51" s="4" customFormat="1" ht="13" x14ac:dyDescent="0.15">
      <c r="B117" s="192"/>
      <c r="C117" s="192"/>
      <c r="D117" s="192"/>
      <c r="E117" s="192"/>
      <c r="F117" s="192"/>
      <c r="G117" s="192"/>
      <c r="H117" s="231"/>
      <c r="I117" s="231"/>
      <c r="J117" s="287" t="s">
        <v>2496</v>
      </c>
      <c r="K117" s="288" t="str">
        <f>IF($D116=0,"",K116/$D116)</f>
        <v/>
      </c>
      <c r="L117" s="288" t="str">
        <f>IF($D116=0,"",L116/$D116)</f>
        <v/>
      </c>
      <c r="M117" s="231"/>
      <c r="N117" s="231"/>
      <c r="O117" s="231"/>
      <c r="P117" s="232"/>
      <c r="Q117" s="232"/>
      <c r="R117" s="232"/>
      <c r="S117" s="232"/>
      <c r="T117" s="232"/>
      <c r="AK117" s="754"/>
      <c r="AL117" s="754"/>
      <c r="AM117" s="754"/>
      <c r="AN117" s="754"/>
      <c r="AO117" s="754"/>
      <c r="AP117" s="754"/>
      <c r="AQ117" s="754"/>
      <c r="AR117" s="754"/>
      <c r="AS117" s="754"/>
      <c r="AT117" s="754"/>
      <c r="AU117" s="754"/>
      <c r="AV117" s="754"/>
    </row>
    <row r="118" spans="2:51" s="40" customFormat="1" ht="13" x14ac:dyDescent="0.2">
      <c r="AK118" s="602"/>
      <c r="AL118" s="602"/>
      <c r="AM118" s="602"/>
      <c r="AN118" s="602"/>
      <c r="AO118" s="602"/>
      <c r="AP118" s="602"/>
      <c r="AQ118" s="602"/>
      <c r="AR118" s="602"/>
      <c r="AS118" s="602"/>
      <c r="AT118" s="602"/>
      <c r="AU118" s="602"/>
      <c r="AV118" s="602"/>
    </row>
    <row r="119" spans="2:51" s="40" customFormat="1" ht="13" x14ac:dyDescent="0.2">
      <c r="AK119" s="602"/>
      <c r="AL119" s="602"/>
      <c r="AM119" s="602"/>
      <c r="AN119" s="602"/>
      <c r="AO119" s="602"/>
      <c r="AP119" s="602"/>
      <c r="AQ119" s="602"/>
      <c r="AR119" s="602"/>
      <c r="AS119" s="602"/>
      <c r="AT119" s="602"/>
      <c r="AU119" s="602"/>
      <c r="AV119" s="602"/>
    </row>
    <row r="120" spans="2:51" ht="16" x14ac:dyDescent="0.2">
      <c r="B120" s="1774" t="str">
        <f>+Energia!B150</f>
        <v>Panoramica delle categorie definite nel  GHG Protocol</v>
      </c>
      <c r="C120" s="1775"/>
      <c r="D120" s="1775"/>
      <c r="E120" s="1775"/>
      <c r="F120" s="1775"/>
      <c r="G120" s="1775"/>
      <c r="H120" s="1775"/>
      <c r="I120" s="1775"/>
      <c r="J120" s="1775"/>
      <c r="K120" s="1775"/>
      <c r="L120" s="1775"/>
      <c r="M120" s="1775"/>
      <c r="N120" s="1775"/>
      <c r="O120" s="1776"/>
      <c r="W120" s="1162"/>
      <c r="AB120" s="1162"/>
      <c r="AF120" s="1162"/>
    </row>
    <row r="121" spans="2:51" outlineLevel="1" x14ac:dyDescent="0.2">
      <c r="W121" s="1162"/>
      <c r="AB121" s="1162"/>
      <c r="AF121" s="1162"/>
    </row>
    <row r="122" spans="2:51" ht="28" outlineLevel="1" x14ac:dyDescent="0.2">
      <c r="B122" s="118"/>
      <c r="C122" s="118"/>
      <c r="D122" s="118"/>
      <c r="E122" s="1777" t="s">
        <v>2498</v>
      </c>
      <c r="F122" s="1779"/>
      <c r="G122" s="1779"/>
      <c r="H122" s="1779"/>
      <c r="I122" s="1779"/>
      <c r="J122" s="1779"/>
      <c r="K122" s="1779"/>
      <c r="L122" s="1779"/>
      <c r="M122" s="1779"/>
      <c r="N122" s="1778"/>
      <c r="O122" s="1249" t="s">
        <v>2517</v>
      </c>
      <c r="W122" s="1162"/>
      <c r="AB122" s="1162"/>
      <c r="AF122" s="1162"/>
    </row>
    <row r="123" spans="2:51" ht="28" outlineLevel="1" x14ac:dyDescent="0.2">
      <c r="B123" s="1777" t="str">
        <f>+Energia!B153</f>
        <v>Sorgenti di emissione</v>
      </c>
      <c r="C123" s="1778"/>
      <c r="D123" s="1251" t="s">
        <v>2500</v>
      </c>
      <c r="E123" s="1250" t="s">
        <v>666</v>
      </c>
      <c r="F123" s="1250" t="s">
        <v>667</v>
      </c>
      <c r="G123" s="1250" t="s">
        <v>668</v>
      </c>
      <c r="H123" s="1250" t="s">
        <v>670</v>
      </c>
      <c r="I123" s="1250" t="s">
        <v>671</v>
      </c>
      <c r="J123" s="1250" t="s">
        <v>672</v>
      </c>
      <c r="K123" s="1250" t="s">
        <v>2584</v>
      </c>
      <c r="L123" s="1251" t="s">
        <v>69</v>
      </c>
      <c r="M123" s="1250" t="s">
        <v>669</v>
      </c>
      <c r="N123" s="1250" t="s">
        <v>2586</v>
      </c>
      <c r="O123" s="1251" t="s">
        <v>69</v>
      </c>
      <c r="Z123" s="1162"/>
      <c r="AE123" s="1162"/>
      <c r="AI123" s="1162"/>
      <c r="AK123" s="39"/>
      <c r="AL123" s="39"/>
      <c r="AM123" s="39"/>
      <c r="AW123" s="729"/>
      <c r="AX123" s="729"/>
      <c r="AY123" s="729"/>
    </row>
    <row r="124" spans="2:51" ht="14" outlineLevel="1" x14ac:dyDescent="0.2">
      <c r="B124" s="1769" t="str">
        <f>+Energia!B154</f>
        <v xml:space="preserve">Emissioni dirette da sorgenti di combustione stazionarie </v>
      </c>
      <c r="C124" s="1770"/>
      <c r="D124" s="1245" t="s">
        <v>99</v>
      </c>
      <c r="E124" s="1239"/>
      <c r="F124" s="1239"/>
      <c r="G124" s="1239"/>
      <c r="H124" s="1239"/>
      <c r="I124" s="1239"/>
      <c r="J124" s="1239"/>
      <c r="K124" s="1239"/>
      <c r="L124" s="1248"/>
      <c r="M124" s="1237"/>
      <c r="N124" s="1242"/>
      <c r="O124" s="1241"/>
      <c r="Z124" s="1162"/>
      <c r="AE124" s="1162"/>
      <c r="AI124" s="1162"/>
      <c r="AK124" s="39"/>
      <c r="AL124" s="39"/>
      <c r="AM124" s="39"/>
      <c r="AW124" s="729"/>
      <c r="AX124" s="729"/>
      <c r="AY124" s="729"/>
    </row>
    <row r="125" spans="2:51" ht="14" outlineLevel="1" x14ac:dyDescent="0.2">
      <c r="B125" s="1769" t="str">
        <f>+Energia!B155</f>
        <v>Emissioni dirette da sorgenti di combustione mobili</v>
      </c>
      <c r="C125" s="1770"/>
      <c r="D125" s="1246" t="s">
        <v>100</v>
      </c>
      <c r="E125" s="1239"/>
      <c r="F125" s="1239"/>
      <c r="G125" s="1239"/>
      <c r="H125" s="1239"/>
      <c r="I125" s="1239"/>
      <c r="J125" s="1239"/>
      <c r="K125" s="1239"/>
      <c r="L125" s="1248"/>
      <c r="M125" s="1237"/>
      <c r="N125" s="1242"/>
      <c r="O125" s="1241"/>
      <c r="Z125" s="1162"/>
      <c r="AE125" s="1162"/>
      <c r="AI125" s="1162"/>
      <c r="AK125" s="39"/>
      <c r="AL125" s="39"/>
      <c r="AM125" s="39"/>
      <c r="AW125" s="729"/>
      <c r="AX125" s="729"/>
      <c r="AY125" s="729"/>
    </row>
    <row r="126" spans="2:51" ht="14" outlineLevel="1" x14ac:dyDescent="0.2">
      <c r="B126" s="1769" t="str">
        <f>+Energia!B156</f>
        <v>Emissioni dirette da  processi</v>
      </c>
      <c r="C126" s="1770"/>
      <c r="D126" s="1246" t="s">
        <v>101</v>
      </c>
      <c r="E126" s="1239"/>
      <c r="F126" s="1239"/>
      <c r="G126" s="1239"/>
      <c r="H126" s="1239"/>
      <c r="I126" s="1239"/>
      <c r="J126" s="1239"/>
      <c r="K126" s="1239"/>
      <c r="L126" s="1248"/>
      <c r="M126" s="1237"/>
      <c r="N126" s="1242"/>
      <c r="O126" s="1241"/>
      <c r="Z126" s="1162"/>
      <c r="AE126" s="1162"/>
      <c r="AI126" s="1162"/>
      <c r="AK126" s="39"/>
      <c r="AL126" s="39"/>
      <c r="AM126" s="39"/>
      <c r="AW126" s="729"/>
      <c r="AX126" s="729"/>
      <c r="AY126" s="729"/>
    </row>
    <row r="127" spans="2:51" ht="14" outlineLevel="1" x14ac:dyDescent="0.2">
      <c r="B127" s="1769" t="str">
        <f>+Energia!B157</f>
        <v>Emissioni dirette da  fonti fugitive</v>
      </c>
      <c r="C127" s="1770"/>
      <c r="D127" s="1246" t="s">
        <v>102</v>
      </c>
      <c r="E127" s="1239"/>
      <c r="F127" s="1239"/>
      <c r="G127" s="1239"/>
      <c r="H127" s="1239"/>
      <c r="I127" s="1239"/>
      <c r="J127" s="1239"/>
      <c r="K127" s="1239"/>
      <c r="L127" s="1248"/>
      <c r="M127" s="1237"/>
      <c r="N127" s="1242"/>
      <c r="O127" s="1241"/>
      <c r="Z127" s="1162"/>
      <c r="AE127" s="1162"/>
      <c r="AI127" s="1162"/>
      <c r="AK127" s="39"/>
      <c r="AL127" s="39"/>
      <c r="AM127" s="39"/>
      <c r="AW127" s="729"/>
      <c r="AX127" s="729"/>
      <c r="AY127" s="729"/>
    </row>
    <row r="128" spans="2:51" ht="13" outlineLevel="1" x14ac:dyDescent="0.2">
      <c r="B128" s="1766" t="s">
        <v>98</v>
      </c>
      <c r="C128" s="1767"/>
      <c r="D128" s="1768"/>
      <c r="E128" s="1236">
        <f t="shared" ref="E128:O128" si="29">SUM(E124:E127)</f>
        <v>0</v>
      </c>
      <c r="F128" s="1236">
        <f t="shared" si="29"/>
        <v>0</v>
      </c>
      <c r="G128" s="1236">
        <f t="shared" si="29"/>
        <v>0</v>
      </c>
      <c r="H128" s="1236">
        <f t="shared" si="29"/>
        <v>0</v>
      </c>
      <c r="I128" s="1236">
        <f t="shared" si="29"/>
        <v>0</v>
      </c>
      <c r="J128" s="1236">
        <f t="shared" si="29"/>
        <v>0</v>
      </c>
      <c r="K128" s="1236">
        <f t="shared" si="29"/>
        <v>0</v>
      </c>
      <c r="L128" s="1236">
        <f t="shared" si="29"/>
        <v>0</v>
      </c>
      <c r="M128" s="1247">
        <f t="shared" si="29"/>
        <v>0</v>
      </c>
      <c r="N128" s="1243">
        <f>SQRT(SUMSQ(N124:N127))</f>
        <v>0</v>
      </c>
      <c r="O128" s="1244">
        <f t="shared" si="29"/>
        <v>0</v>
      </c>
      <c r="Z128" s="1162"/>
      <c r="AE128" s="1162"/>
      <c r="AI128" s="1162"/>
      <c r="AK128" s="39"/>
      <c r="AL128" s="39"/>
      <c r="AM128" s="39"/>
      <c r="AW128" s="729"/>
      <c r="AX128" s="729"/>
      <c r="AY128" s="729"/>
    </row>
    <row r="129" spans="2:51" ht="14" outlineLevel="1" x14ac:dyDescent="0.2">
      <c r="B129" s="1749" t="str">
        <f>+Energia!B159</f>
        <v xml:space="preserve">Emissioni indirette da consumo di elettricità </v>
      </c>
      <c r="C129" s="1749"/>
      <c r="D129" s="1246" t="s">
        <v>103</v>
      </c>
      <c r="E129" s="1239"/>
      <c r="F129" s="1239"/>
      <c r="G129" s="1239"/>
      <c r="H129" s="1239"/>
      <c r="I129" s="1239"/>
      <c r="J129" s="1239"/>
      <c r="K129" s="1239"/>
      <c r="L129" s="1248"/>
      <c r="M129" s="1237"/>
      <c r="N129" s="1242"/>
      <c r="O129" s="1240"/>
      <c r="Z129" s="1162"/>
      <c r="AE129" s="1162"/>
      <c r="AI129" s="1162"/>
      <c r="AK129" s="39"/>
      <c r="AL129" s="39"/>
      <c r="AM129" s="39"/>
      <c r="AW129" s="729"/>
      <c r="AX129" s="729"/>
      <c r="AY129" s="729"/>
    </row>
    <row r="130" spans="2:51" ht="12.75" customHeight="1" outlineLevel="1" x14ac:dyDescent="0.2">
      <c r="B130" s="1749" t="str">
        <f>+Energia!B160</f>
        <v xml:space="preserve">Emissioni indirette da consumo di vapore, calore o raffrescamento </v>
      </c>
      <c r="C130" s="1749"/>
      <c r="D130" s="1246" t="s">
        <v>104</v>
      </c>
      <c r="E130" s="1239"/>
      <c r="F130" s="1239"/>
      <c r="G130" s="1239"/>
      <c r="H130" s="1239"/>
      <c r="I130" s="1239"/>
      <c r="J130" s="1239"/>
      <c r="K130" s="1239"/>
      <c r="L130" s="1248"/>
      <c r="M130" s="1237"/>
      <c r="N130" s="1242"/>
      <c r="O130" s="1240"/>
      <c r="Z130" s="1162"/>
      <c r="AE130" s="1162"/>
      <c r="AI130" s="1162"/>
      <c r="AK130" s="39"/>
      <c r="AL130" s="39"/>
      <c r="AM130" s="39"/>
      <c r="AW130" s="729"/>
      <c r="AX130" s="729"/>
      <c r="AY130" s="729"/>
    </row>
    <row r="131" spans="2:51" ht="13" outlineLevel="1" x14ac:dyDescent="0.2">
      <c r="B131" s="1766" t="s">
        <v>97</v>
      </c>
      <c r="C131" s="1767"/>
      <c r="D131" s="1768"/>
      <c r="E131" s="1236">
        <f t="shared" ref="E131:L131" si="30">SUM(E129:E130)</f>
        <v>0</v>
      </c>
      <c r="F131" s="1236">
        <f t="shared" si="30"/>
        <v>0</v>
      </c>
      <c r="G131" s="1236">
        <f t="shared" si="30"/>
        <v>0</v>
      </c>
      <c r="H131" s="1236">
        <f t="shared" si="30"/>
        <v>0</v>
      </c>
      <c r="I131" s="1236">
        <f t="shared" si="30"/>
        <v>0</v>
      </c>
      <c r="J131" s="1236">
        <f t="shared" si="30"/>
        <v>0</v>
      </c>
      <c r="K131" s="1236">
        <f t="shared" si="30"/>
        <v>0</v>
      </c>
      <c r="L131" s="1236">
        <f t="shared" si="30"/>
        <v>0</v>
      </c>
      <c r="M131" s="1247">
        <f>SUM(M129:M130)</f>
        <v>0</v>
      </c>
      <c r="N131" s="1243">
        <f>SQRT(SUMSQ(N129:N130))</f>
        <v>0</v>
      </c>
      <c r="O131" s="1244">
        <f>SUM(O129:O130)</f>
        <v>0</v>
      </c>
      <c r="Z131" s="1162"/>
      <c r="AE131" s="1162"/>
      <c r="AI131" s="1162"/>
      <c r="AK131" s="39"/>
      <c r="AL131" s="39"/>
      <c r="AM131" s="39"/>
      <c r="AW131" s="729"/>
      <c r="AX131" s="729"/>
      <c r="AY131" s="729"/>
    </row>
    <row r="132" spans="2:51" ht="13" outlineLevel="1" x14ac:dyDescent="0.2">
      <c r="B132" s="1771" t="s">
        <v>2527</v>
      </c>
      <c r="C132" s="1772"/>
      <c r="D132" s="1772"/>
      <c r="E132" s="1772"/>
      <c r="F132" s="1772"/>
      <c r="G132" s="1772"/>
      <c r="H132" s="1772"/>
      <c r="I132" s="1772"/>
      <c r="J132" s="1772"/>
      <c r="K132" s="1772"/>
      <c r="L132" s="1772"/>
      <c r="M132" s="1772"/>
      <c r="N132" s="1772"/>
      <c r="O132" s="1773"/>
      <c r="Z132" s="1162"/>
      <c r="AE132" s="1162"/>
      <c r="AI132" s="1162"/>
      <c r="AK132" s="39"/>
      <c r="AL132" s="39"/>
      <c r="AM132" s="39"/>
      <c r="AW132" s="729"/>
      <c r="AX132" s="729"/>
      <c r="AY132" s="729"/>
    </row>
    <row r="133" spans="2:51" ht="14" outlineLevel="1" x14ac:dyDescent="0.2">
      <c r="B133" s="1749" t="str">
        <f>+Energia!B163</f>
        <v xml:space="preserve">Beni o servizi acquistati </v>
      </c>
      <c r="C133" s="1749"/>
      <c r="D133" s="1246" t="s">
        <v>106</v>
      </c>
      <c r="E133" s="1239"/>
      <c r="F133" s="1239"/>
      <c r="G133" s="1239"/>
      <c r="H133" s="1239"/>
      <c r="I133" s="1239"/>
      <c r="J133" s="1239"/>
      <c r="K133" s="1239"/>
      <c r="L133" s="1248"/>
      <c r="M133" s="1237"/>
      <c r="N133" s="1242"/>
      <c r="O133" s="1240"/>
      <c r="Z133" s="1162"/>
      <c r="AE133" s="1162"/>
      <c r="AI133" s="1162"/>
      <c r="AK133" s="39"/>
      <c r="AL133" s="39"/>
      <c r="AM133" s="39"/>
      <c r="AW133" s="729"/>
      <c r="AX133" s="729"/>
      <c r="AY133" s="729"/>
    </row>
    <row r="134" spans="2:51" ht="14" outlineLevel="1" x14ac:dyDescent="0.2">
      <c r="B134" s="1749" t="str">
        <f>+Energia!B164</f>
        <v xml:space="preserve">Beni di consumo </v>
      </c>
      <c r="C134" s="1749"/>
      <c r="D134" s="1246" t="s">
        <v>107</v>
      </c>
      <c r="E134" s="1239"/>
      <c r="F134" s="1239"/>
      <c r="G134" s="1239"/>
      <c r="H134" s="1239"/>
      <c r="I134" s="1239"/>
      <c r="J134" s="1239"/>
      <c r="K134" s="1239"/>
      <c r="L134" s="1248"/>
      <c r="M134" s="1237"/>
      <c r="N134" s="1242"/>
      <c r="O134" s="1240"/>
      <c r="Z134" s="1162"/>
      <c r="AE134" s="1162"/>
      <c r="AI134" s="1162"/>
      <c r="AK134" s="39"/>
      <c r="AL134" s="39"/>
      <c r="AM134" s="39"/>
      <c r="AW134" s="729"/>
      <c r="AX134" s="729"/>
      <c r="AY134" s="729"/>
    </row>
    <row r="135" spans="2:51" ht="14" outlineLevel="1" x14ac:dyDescent="0.2">
      <c r="B135" s="1749" t="str">
        <f>+Energia!B165</f>
        <v xml:space="preserve">Emissioni dovute a combustibili e energia (non incluse nello scope 1 e 2) </v>
      </c>
      <c r="C135" s="1749"/>
      <c r="D135" s="1246" t="s">
        <v>108</v>
      </c>
      <c r="E135" s="1239"/>
      <c r="F135" s="1239"/>
      <c r="G135" s="1239"/>
      <c r="H135" s="1239"/>
      <c r="I135" s="1239"/>
      <c r="J135" s="1239"/>
      <c r="K135" s="1239"/>
      <c r="L135" s="1248"/>
      <c r="M135" s="1237"/>
      <c r="N135" s="1242"/>
      <c r="O135" s="1240"/>
      <c r="Z135" s="1162"/>
      <c r="AE135" s="1162"/>
      <c r="AI135" s="1162"/>
      <c r="AK135" s="39"/>
      <c r="AL135" s="39"/>
      <c r="AM135" s="39"/>
      <c r="AW135" s="729"/>
      <c r="AX135" s="729"/>
      <c r="AY135" s="729"/>
    </row>
    <row r="136" spans="2:51" ht="14" outlineLevel="1" x14ac:dyDescent="0.2">
      <c r="B136" s="1749" t="str">
        <f>+Energia!B166</f>
        <v>Trasporto e distribuzione premanifattura</v>
      </c>
      <c r="C136" s="1749"/>
      <c r="D136" s="1246" t="s">
        <v>109</v>
      </c>
      <c r="E136" s="1239"/>
      <c r="F136" s="1239"/>
      <c r="G136" s="1239"/>
      <c r="H136" s="1239"/>
      <c r="I136" s="1239"/>
      <c r="J136" s="1239"/>
      <c r="K136" s="1239"/>
      <c r="L136" s="1248"/>
      <c r="M136" s="1237"/>
      <c r="N136" s="1242"/>
      <c r="O136" s="1240"/>
      <c r="Z136" s="1162"/>
      <c r="AE136" s="1162"/>
      <c r="AI136" s="1162"/>
      <c r="AK136" s="39"/>
      <c r="AL136" s="39"/>
      <c r="AM136" s="39"/>
      <c r="AW136" s="729"/>
      <c r="AX136" s="729"/>
      <c r="AY136" s="729"/>
    </row>
    <row r="137" spans="2:51" ht="14" outlineLevel="1" x14ac:dyDescent="0.2">
      <c r="B137" s="1749" t="str">
        <f>+Energia!B167</f>
        <v>Rifiuti prodotti</v>
      </c>
      <c r="C137" s="1749"/>
      <c r="D137" s="1246" t="s">
        <v>110</v>
      </c>
      <c r="E137" s="1239"/>
      <c r="F137" s="1239"/>
      <c r="G137" s="1239"/>
      <c r="H137" s="1239"/>
      <c r="I137" s="1239"/>
      <c r="J137" s="1239"/>
      <c r="K137" s="1239"/>
      <c r="L137" s="1248"/>
      <c r="M137" s="1237"/>
      <c r="N137" s="1242"/>
      <c r="O137" s="1240"/>
      <c r="Z137" s="1162"/>
      <c r="AE137" s="1162"/>
      <c r="AI137" s="1162"/>
      <c r="AK137" s="39"/>
      <c r="AL137" s="39"/>
      <c r="AM137" s="39"/>
      <c r="AW137" s="729"/>
      <c r="AX137" s="729"/>
      <c r="AY137" s="729"/>
    </row>
    <row r="138" spans="2:51" ht="14" outlineLevel="1" x14ac:dyDescent="0.2">
      <c r="B138" s="1749" t="str">
        <f>+Energia!B168</f>
        <v>Viaggi di lavoro</v>
      </c>
      <c r="C138" s="1749"/>
      <c r="D138" s="1246" t="s">
        <v>111</v>
      </c>
      <c r="E138" s="1239"/>
      <c r="F138" s="1239"/>
      <c r="G138" s="1239"/>
      <c r="H138" s="1239"/>
      <c r="I138" s="1239"/>
      <c r="J138" s="1239"/>
      <c r="K138" s="1239"/>
      <c r="L138" s="1248"/>
      <c r="M138" s="1237"/>
      <c r="N138" s="1242"/>
      <c r="O138" s="1240"/>
      <c r="Z138" s="1162"/>
      <c r="AE138" s="1162"/>
      <c r="AI138" s="1162"/>
      <c r="AK138" s="39"/>
      <c r="AL138" s="39"/>
      <c r="AM138" s="39"/>
      <c r="AW138" s="729"/>
      <c r="AX138" s="729"/>
      <c r="AY138" s="729"/>
    </row>
    <row r="139" spans="2:51" ht="14" outlineLevel="1" x14ac:dyDescent="0.2">
      <c r="B139" s="1749" t="str">
        <f>+Energia!B169</f>
        <v>Impiegati pendolari</v>
      </c>
      <c r="C139" s="1749"/>
      <c r="D139" s="1246" t="s">
        <v>112</v>
      </c>
      <c r="E139" s="1239"/>
      <c r="F139" s="1239"/>
      <c r="G139" s="1239"/>
      <c r="H139" s="1239"/>
      <c r="I139" s="1239"/>
      <c r="J139" s="1239"/>
      <c r="K139" s="1239"/>
      <c r="L139" s="1248"/>
      <c r="M139" s="1237"/>
      <c r="N139" s="1242"/>
      <c r="O139" s="1240"/>
      <c r="Z139" s="1162"/>
      <c r="AE139" s="1162"/>
      <c r="AI139" s="1162"/>
      <c r="AK139" s="39"/>
      <c r="AL139" s="39"/>
      <c r="AM139" s="39"/>
      <c r="AW139" s="729"/>
      <c r="AX139" s="729"/>
      <c r="AY139" s="729"/>
    </row>
    <row r="140" spans="2:51" ht="14" outlineLevel="1" x14ac:dyDescent="0.2">
      <c r="B140" s="1749" t="str">
        <f>+Energia!B170</f>
        <v>Upstream leased assets</v>
      </c>
      <c r="C140" s="1749"/>
      <c r="D140" s="1246" t="s">
        <v>113</v>
      </c>
      <c r="E140" s="1239"/>
      <c r="F140" s="1239"/>
      <c r="G140" s="1239"/>
      <c r="H140" s="1239"/>
      <c r="I140" s="1239"/>
      <c r="J140" s="1239"/>
      <c r="K140" s="1239"/>
      <c r="L140" s="1248"/>
      <c r="M140" s="1237"/>
      <c r="N140" s="1242"/>
      <c r="O140" s="1240"/>
      <c r="Z140" s="1162"/>
      <c r="AE140" s="1162"/>
      <c r="AI140" s="1162"/>
      <c r="AK140" s="39"/>
      <c r="AL140" s="39"/>
      <c r="AM140" s="39"/>
      <c r="AW140" s="729"/>
      <c r="AX140" s="729"/>
      <c r="AY140" s="729"/>
    </row>
    <row r="141" spans="2:51" ht="13" outlineLevel="1" x14ac:dyDescent="0.2">
      <c r="B141" s="1749" t="str">
        <f>+Energia!B171</f>
        <v>Altre emissioni indirette premanifattura</v>
      </c>
      <c r="C141" s="1749"/>
      <c r="D141" s="1238"/>
      <c r="E141" s="1239"/>
      <c r="F141" s="1239"/>
      <c r="G141" s="1239"/>
      <c r="H141" s="1239"/>
      <c r="I141" s="1239"/>
      <c r="J141" s="1239"/>
      <c r="K141" s="1239"/>
      <c r="L141" s="1248"/>
      <c r="M141" s="1237"/>
      <c r="N141" s="1242"/>
      <c r="O141" s="1240"/>
      <c r="Z141" s="1162"/>
      <c r="AE141" s="1162"/>
      <c r="AI141" s="1162"/>
      <c r="AK141" s="39"/>
      <c r="AL141" s="39"/>
      <c r="AM141" s="39"/>
      <c r="AW141" s="729"/>
      <c r="AX141" s="729"/>
      <c r="AY141" s="729"/>
    </row>
    <row r="142" spans="2:51" ht="13" outlineLevel="1" x14ac:dyDescent="0.2">
      <c r="B142" s="1771" t="s">
        <v>2744</v>
      </c>
      <c r="C142" s="1772"/>
      <c r="D142" s="1772"/>
      <c r="E142" s="1772"/>
      <c r="F142" s="1772"/>
      <c r="G142" s="1772"/>
      <c r="H142" s="1772"/>
      <c r="I142" s="1772"/>
      <c r="J142" s="1772"/>
      <c r="K142" s="1772"/>
      <c r="L142" s="1772"/>
      <c r="M142" s="1772"/>
      <c r="N142" s="1772"/>
      <c r="O142" s="1773"/>
      <c r="Z142" s="1162"/>
      <c r="AE142" s="1162"/>
      <c r="AI142" s="1162"/>
      <c r="AK142" s="39"/>
      <c r="AL142" s="39"/>
      <c r="AM142" s="39"/>
      <c r="AW142" s="729"/>
      <c r="AX142" s="729"/>
      <c r="AY142" s="729"/>
    </row>
    <row r="143" spans="2:51" ht="14" outlineLevel="1" x14ac:dyDescent="0.2">
      <c r="B143" s="1749" t="str">
        <f>+Energia!B173</f>
        <v>Trasporto di merci e distribuzione in fase d’uso e fine vita</v>
      </c>
      <c r="C143" s="1749"/>
      <c r="D143" s="1246" t="s">
        <v>114</v>
      </c>
      <c r="E143" s="1239"/>
      <c r="F143" s="1239"/>
      <c r="G143" s="1239"/>
      <c r="H143" s="1239"/>
      <c r="I143" s="1239"/>
      <c r="J143" s="1239"/>
      <c r="K143" s="1239"/>
      <c r="L143" s="1248"/>
      <c r="M143" s="1237"/>
      <c r="N143" s="1242"/>
      <c r="O143" s="1240"/>
      <c r="Z143" s="1162"/>
      <c r="AE143" s="1162"/>
      <c r="AI143" s="1162"/>
      <c r="AK143" s="39"/>
      <c r="AL143" s="39"/>
      <c r="AM143" s="39"/>
      <c r="AW143" s="729"/>
      <c r="AX143" s="729"/>
      <c r="AY143" s="729"/>
    </row>
    <row r="144" spans="2:51" ht="14" outlineLevel="1" x14ac:dyDescent="0.2">
      <c r="B144" s="1749" t="str">
        <f>+Energia!B174</f>
        <v>Lavorazioni dei prodotti venduti</v>
      </c>
      <c r="C144" s="1749"/>
      <c r="D144" s="1246" t="s">
        <v>115</v>
      </c>
      <c r="E144" s="1239">
        <f>SUMIF($F$9:$F$30,'Info utili'!$O$548,AK9:AK30)+SUMIF($F$9:$F$30,'Info utili'!$O$548,AL9:AL30)+SUMIF($F$35:$F$103,'Info utili'!$O$548,AK35:AK103)+H73*SUMIF($F$58:$F$75,'Info utili'!$O$548,AK58:AK75)</f>
        <v>0</v>
      </c>
      <c r="F144" s="1239">
        <f>SUMIF($F$9:$F$30,'Info utili'!$O$548,AM9:AM30)+SUMIF($F$9:$F$30,'Info utili'!$O$548,AN9:AN30)+SUMIF($F$35:$F$103,'Info utili'!$O$548,AL35:AL103)+H73*SUMIF($F$58:$F$75,'Info utili'!$O$548,AL58:AL75)</f>
        <v>0</v>
      </c>
      <c r="G144" s="1239">
        <f>SUMIF($F$9:$F$30,'Info utili'!$O$548,AO9:AO30)+SUMIF($F$9:$F$30,'Info utili'!$O$548,AP9:AP30)+SUMIF($F$35:$F$103,'Info utili'!$O$548,AM35:AM103)+H73*SUMIF($F$58:$F$75,'Info utili'!$O$548,AM58:AM75)</f>
        <v>0</v>
      </c>
      <c r="H144" s="1239">
        <f>SUMPRODUCT(($F$89:$F$92='Info utili'!$O$548)*(LEFT($B$89:$B$92,3)&lt;&gt;"Per")*(LEFT($B$89:$B$92,3)&lt;&gt;"SF6")*(AN$89:AN$92))</f>
        <v>0</v>
      </c>
      <c r="I144" s="1239">
        <f>SUMPRODUCT(($F$89:$F$92='Info utili'!$O$548)*(LEFT($B$89:$B$92,3)="Per")*(AN$89:AN$92))</f>
        <v>0</v>
      </c>
      <c r="J144" s="1239">
        <f>SUMPRODUCT(($F$89:$F$92='Info utili'!$O$548)*(LEFT($B$89:$B$92,3)="SF6")*(AN$89:AN$92))</f>
        <v>0</v>
      </c>
      <c r="K144" s="1239">
        <f>SUMIF($F$95:$F$103,'Info utili'!$O$548,AN$95:AN$103)</f>
        <v>0</v>
      </c>
      <c r="L144" s="1248">
        <f>SUMIF($F$9:$F$30,'Info utili'!$O$548,AS9:AS30)+SUMIF($F$9:$F$30,'Info utili'!$O$548,AT9:AT30)+SUMIF($F$35:$F$103,'Info utili'!$O$548,AO35:AO103)+H73*SUMIF($F$58:$F$75,'Info utili'!$O$548,AO58:AO75)</f>
        <v>0</v>
      </c>
      <c r="M144" s="1237">
        <f>SUMIF($F$9:$F$30,'Info utili'!$O$548,AU9:AU30)+SUMIF($F$9:$F$30,'Info utili'!$O$548,AV9:AV30)+SUMIF($F$35:$F$103,'Info utili'!$O$548,AP35:AP103)+H73*SUMIF($F$58:$F$75,'Info utili'!$O$548,AP58:AP75)</f>
        <v>0</v>
      </c>
      <c r="N144" s="1242">
        <f>SQRT(SUMPRODUCT(($F$9:$F$30='Info utili'!$O$548)*1,X9:X30,X9:X30)+SUMPRODUCT(($F$9:$F$30='Info utili'!$O$548)*1,Y9:Y30,Y9:Y30)+SUMPRODUCT(($F$35:$F$103='Info utili'!$O$548)*1,X35:X103,X35:X103)+(H73^2)*SUMPRODUCT(($F$58:$F$75='Info utili'!$O$548)*1,X58:X75,X58:X75))</f>
        <v>0</v>
      </c>
      <c r="O144" s="1240"/>
      <c r="Z144" s="1162"/>
      <c r="AE144" s="1162"/>
      <c r="AI144" s="1162"/>
      <c r="AK144" s="39"/>
      <c r="AL144" s="39"/>
      <c r="AM144" s="39"/>
      <c r="AW144" s="729"/>
      <c r="AX144" s="729"/>
      <c r="AY144" s="729"/>
    </row>
    <row r="145" spans="2:51" ht="14" outlineLevel="1" x14ac:dyDescent="0.2">
      <c r="B145" s="1749" t="str">
        <f>+Energia!B175</f>
        <v xml:space="preserve">Uso dei prodotto venduti  </v>
      </c>
      <c r="C145" s="1749"/>
      <c r="D145" s="1246" t="s">
        <v>116</v>
      </c>
      <c r="E145" s="1239">
        <f>AK20+AL20+AK30+AL30+AK43+AK53+AK67+AK75+AK93+AK103-E147-E144</f>
        <v>0</v>
      </c>
      <c r="F145" s="1239">
        <f>AM20+AN20+AM30+AN30+AL43+AL53+AL67+AL75+AL93+AL103-F147-F144</f>
        <v>0</v>
      </c>
      <c r="G145" s="1239">
        <f>AO20+AP20+AO30+AP30+AM43+AM53+AM67+AM75+AM93+AM103-G147-G144</f>
        <v>0</v>
      </c>
      <c r="H145" s="1239">
        <f>SUMPRODUCT((LEFT($B$89:$B$92,3)&lt;&gt;"Per")*(LEFT($B$89:$B$92,3)&lt;&gt;"SF6")*(AN$89:AN$92))-H147-H144</f>
        <v>0</v>
      </c>
      <c r="I145" s="1239">
        <f>SUMPRODUCT((LEFT($B$89:$B$92,3)="Per")*(AN$89:AN$92))-I147-I144</f>
        <v>0</v>
      </c>
      <c r="J145" s="1239">
        <f>SUMPRODUCT((LEFT($B$89:$B$92,3)="SF6")*(AN$89:AN$92))-J147-J144</f>
        <v>0</v>
      </c>
      <c r="K145" s="1239">
        <f>AN103-K147-K144</f>
        <v>0</v>
      </c>
      <c r="L145" s="1248">
        <f>AS20+AT20+AS30+AT30+AO43+AO53+AO67+AO75+AO93+AO103-L147-L144</f>
        <v>0</v>
      </c>
      <c r="M145" s="1237">
        <f>AU20+AV20+AU30+AV30+AP43+AP53+AP67+AP75+AP93+AP103-M147-M144</f>
        <v>0</v>
      </c>
      <c r="N145" s="1242">
        <f>SQRT(X20^2+Y20^2+X30^2+Y30^2+X43^2+X53^2+X67^2+X75^2+X93^2+X103^2-N147^2-N144^2)</f>
        <v>0</v>
      </c>
      <c r="O145" s="1240"/>
      <c r="Z145" s="1162"/>
      <c r="AE145" s="1162"/>
      <c r="AI145" s="1162"/>
      <c r="AK145" s="39"/>
      <c r="AL145" s="39"/>
      <c r="AM145" s="39"/>
      <c r="AW145" s="729"/>
      <c r="AX145" s="729"/>
      <c r="AY145" s="729"/>
    </row>
    <row r="146" spans="2:51" ht="14" outlineLevel="1" x14ac:dyDescent="0.2">
      <c r="B146" s="1749" t="str">
        <f>+Energia!B176</f>
        <v>Fine vita dei prodotti venduti</v>
      </c>
      <c r="C146" s="1749"/>
      <c r="D146" s="1246" t="s">
        <v>117</v>
      </c>
      <c r="E146" s="1239"/>
      <c r="F146" s="1239"/>
      <c r="G146" s="1239"/>
      <c r="H146" s="1239"/>
      <c r="I146" s="1239"/>
      <c r="J146" s="1239"/>
      <c r="K146" s="1239"/>
      <c r="L146" s="1248"/>
      <c r="M146" s="1237"/>
      <c r="N146" s="1242"/>
      <c r="O146" s="1240"/>
      <c r="Z146" s="1162"/>
      <c r="AE146" s="1162"/>
      <c r="AI146" s="1162"/>
      <c r="AK146" s="39"/>
      <c r="AL146" s="39"/>
      <c r="AM146" s="39"/>
      <c r="AW146" s="729"/>
      <c r="AX146" s="729"/>
      <c r="AY146" s="729"/>
    </row>
    <row r="147" spans="2:51" ht="14" outlineLevel="1" x14ac:dyDescent="0.2">
      <c r="B147" s="1749" t="str">
        <f>+Energia!B177</f>
        <v>Downstream leased assets</v>
      </c>
      <c r="C147" s="1749"/>
      <c r="D147" s="1246" t="s">
        <v>118</v>
      </c>
      <c r="E147" s="1239">
        <f>SUMIF($F$9:$F$30,'Info utili'!$O$546,AK9:AK30)+SUMIF($F$9:$F$30,'Info utili'!$O$546,AL9:AL30)+SUMIF($F$35:$F$103,'Info utili'!$O$546,AK35:AK103)+H73*SUMIF($F$58:$F$75,'Info utili'!$O$546,AK58:AK75)</f>
        <v>0</v>
      </c>
      <c r="F147" s="1239">
        <f>SUMIF($F$9:$F$30,'Info utili'!$O$546,AM9:AM30)+SUMIF($F$9:$F$30,'Info utili'!$O$546,AN9:AN30)+SUMIF($F$35:$F$103,'Info utili'!$O$546,AL35:AL103)+H73*SUMIF($F$58:$F$75,'Info utili'!$O$546,AL58:AL75)</f>
        <v>0</v>
      </c>
      <c r="G147" s="1239">
        <f>SUMIF($F$9:$F$30,'Info utili'!$O$546,AO9:AO30)+SUMIF($F$9:$F$30,'Info utili'!$O$546,AP9:AP30)+SUMIF($F$35:$F$103,'Info utili'!$O$546,AM35:AM103)+H73*SUMIF($F$58:$F$75,'Info utili'!$O$546,AM58:AM75)</f>
        <v>0</v>
      </c>
      <c r="H147" s="1239">
        <f>SUMPRODUCT(($F$89:$F$92='Info utili'!$O$546)*(LEFT($B$89:$B$92,3)&lt;&gt;"Per")*(LEFT($B$89:$B$92,3)&lt;&gt;"SF6")*(AN$89:AN$92))</f>
        <v>0</v>
      </c>
      <c r="I147" s="1239">
        <f>SUMPRODUCT(($F$89:$F$92='Info utili'!$O$546)*(LEFT($B$89:$B$92,3)="Per")*(AN$89:AN$92))</f>
        <v>0</v>
      </c>
      <c r="J147" s="1239">
        <f>SUMPRODUCT(($F$89:$F$92='Info utili'!$O$546)*(LEFT($B$89:$B$92,3)="SF6")*(AN$89:AN$92))</f>
        <v>0</v>
      </c>
      <c r="K147" s="1239">
        <f>SUMIF($F$95:$F$103,'Info utili'!$O$546,AN$95:AN$103)</f>
        <v>0</v>
      </c>
      <c r="L147" s="1248">
        <f>SUMIF($F$9:$F$30,'Info utili'!$O$546,AS9:AS30)+SUMIF($F$9:$F$30,'Info utili'!$O$546,AT9:AT30)+SUMIF($F$35:$F$103,'Info utili'!$O$546,AO35:AO103)+H73*SUMIF($F$58:$F$75,'Info utili'!$O$546,AO58:AO75)</f>
        <v>0</v>
      </c>
      <c r="M147" s="1237">
        <f>SUMIF($F$9:$F$30,'Info utili'!$O$546,AU9:AU30)+SUMIF($F$9:$F$30,'Info utili'!$O$546,AV9:AV30)+SUMIF($F$35:$F$103,'Info utili'!$O$546,AP35:AP103)+H73*SUMIF($F$58:$F$75,'Info utili'!$O$546,AP58:AP75)</f>
        <v>0</v>
      </c>
      <c r="N147" s="1242">
        <f>SQRT(SUMPRODUCT(($F$9:$F$30='Info utili'!$O$546)*1,X9:X30,X9:X30)+SUMPRODUCT(($F$9:$F$30='Info utili'!$O$546)*1,Y9:Y30,Y9:Y30)+SUMPRODUCT(($F$35:$F$103='Info utili'!$O$546)*1,X35:X103,X35:X103)+(H73^2)*SUMPRODUCT(($F$58:$F$75='Info utili'!$O$546)*1,X58:X75,X58:X75))</f>
        <v>0</v>
      </c>
      <c r="O147" s="1240"/>
      <c r="Z147" s="1162"/>
      <c r="AE147" s="1162"/>
      <c r="AI147" s="1162"/>
      <c r="AK147" s="39"/>
      <c r="AL147" s="39"/>
      <c r="AM147" s="39"/>
      <c r="AW147" s="729"/>
      <c r="AX147" s="729"/>
      <c r="AY147" s="729"/>
    </row>
    <row r="148" spans="2:51" ht="14" outlineLevel="1" x14ac:dyDescent="0.2">
      <c r="B148" s="1749" t="str">
        <f>+Energia!B178</f>
        <v>Franchises</v>
      </c>
      <c r="C148" s="1749"/>
      <c r="D148" s="1246" t="s">
        <v>119</v>
      </c>
      <c r="E148" s="1239"/>
      <c r="F148" s="1239"/>
      <c r="G148" s="1239"/>
      <c r="H148" s="1239"/>
      <c r="I148" s="1239"/>
      <c r="J148" s="1239"/>
      <c r="K148" s="1239"/>
      <c r="L148" s="1248"/>
      <c r="M148" s="1237"/>
      <c r="N148" s="1242"/>
      <c r="O148" s="1240"/>
      <c r="Z148" s="1162"/>
      <c r="AE148" s="1162"/>
      <c r="AI148" s="1162"/>
      <c r="AK148" s="39"/>
      <c r="AL148" s="39"/>
      <c r="AM148" s="39"/>
      <c r="AW148" s="729"/>
      <c r="AX148" s="729"/>
      <c r="AY148" s="729"/>
    </row>
    <row r="149" spans="2:51" ht="14" outlineLevel="1" x14ac:dyDescent="0.2">
      <c r="B149" s="1749" t="str">
        <f>+Energia!B179</f>
        <v>Investimenti</v>
      </c>
      <c r="C149" s="1749"/>
      <c r="D149" s="1246" t="s">
        <v>120</v>
      </c>
      <c r="E149" s="1239"/>
      <c r="F149" s="1239"/>
      <c r="G149" s="1239"/>
      <c r="H149" s="1239"/>
      <c r="I149" s="1239"/>
      <c r="J149" s="1239"/>
      <c r="K149" s="1239"/>
      <c r="L149" s="1248"/>
      <c r="M149" s="1237"/>
      <c r="N149" s="1242"/>
      <c r="O149" s="1240"/>
      <c r="Z149" s="1162"/>
      <c r="AE149" s="1162"/>
      <c r="AI149" s="1162"/>
      <c r="AK149" s="39"/>
      <c r="AL149" s="39"/>
      <c r="AM149" s="39"/>
      <c r="AW149" s="729"/>
      <c r="AX149" s="729"/>
      <c r="AY149" s="729"/>
    </row>
    <row r="150" spans="2:51" ht="13" outlineLevel="1" x14ac:dyDescent="0.2">
      <c r="B150" s="1749" t="str">
        <f>+Energia!B180</f>
        <v xml:space="preserve">Altre emissioni indirette in fase d'uso e fine vita </v>
      </c>
      <c r="C150" s="1749"/>
      <c r="D150" s="1238"/>
      <c r="E150" s="1239"/>
      <c r="F150" s="1239"/>
      <c r="G150" s="1239"/>
      <c r="H150" s="1239"/>
      <c r="I150" s="1239"/>
      <c r="J150" s="1239"/>
      <c r="K150" s="1239"/>
      <c r="L150" s="1248"/>
      <c r="M150" s="1237"/>
      <c r="N150" s="1242"/>
      <c r="O150" s="1240"/>
      <c r="Z150" s="1162"/>
      <c r="AE150" s="1162"/>
      <c r="AI150" s="1162"/>
      <c r="AK150" s="39"/>
      <c r="AL150" s="39"/>
      <c r="AM150" s="39"/>
      <c r="AW150" s="729"/>
      <c r="AX150" s="729"/>
      <c r="AY150" s="729"/>
    </row>
    <row r="151" spans="2:51" ht="13" outlineLevel="1" x14ac:dyDescent="0.2">
      <c r="B151" s="1766" t="s">
        <v>96</v>
      </c>
      <c r="C151" s="1767"/>
      <c r="D151" s="1768"/>
      <c r="E151" s="1236">
        <f t="shared" ref="E151:O151" si="31">SUM(E133:E150)</f>
        <v>0</v>
      </c>
      <c r="F151" s="1236">
        <f t="shared" si="31"/>
        <v>0</v>
      </c>
      <c r="G151" s="1236">
        <f t="shared" si="31"/>
        <v>0</v>
      </c>
      <c r="H151" s="1236">
        <f t="shared" si="31"/>
        <v>0</v>
      </c>
      <c r="I151" s="1236">
        <f t="shared" si="31"/>
        <v>0</v>
      </c>
      <c r="J151" s="1236">
        <f t="shared" si="31"/>
        <v>0</v>
      </c>
      <c r="K151" s="1236">
        <f t="shared" si="31"/>
        <v>0</v>
      </c>
      <c r="L151" s="1236">
        <f t="shared" si="31"/>
        <v>0</v>
      </c>
      <c r="M151" s="1247">
        <f t="shared" si="31"/>
        <v>0</v>
      </c>
      <c r="N151" s="1243">
        <f>SQRT(SUMSQ(N133:N150))</f>
        <v>0</v>
      </c>
      <c r="O151" s="1244">
        <f t="shared" si="31"/>
        <v>0</v>
      </c>
      <c r="Z151" s="1162"/>
      <c r="AE151" s="1162"/>
      <c r="AI151" s="1162"/>
      <c r="AK151" s="39"/>
      <c r="AL151" s="39"/>
      <c r="AM151" s="39"/>
      <c r="AW151" s="729"/>
      <c r="AX151" s="729"/>
      <c r="AY151" s="729"/>
    </row>
    <row r="152" spans="2:51" outlineLevel="1" x14ac:dyDescent="0.2">
      <c r="W152" s="1162"/>
      <c r="AB152" s="1162"/>
      <c r="AF152" s="1162"/>
    </row>
    <row r="154" spans="2:51" ht="15.75" customHeight="1" x14ac:dyDescent="0.2">
      <c r="B154" s="1741" t="str">
        <f>+Energia!B184</f>
        <v xml:space="preserve">Panoramica delle categorie definite nella  ISO/TR 14069:2013 </v>
      </c>
      <c r="C154" s="1742"/>
      <c r="D154" s="1742"/>
      <c r="E154" s="1742"/>
      <c r="F154" s="1742"/>
      <c r="G154" s="1742"/>
      <c r="H154" s="1742"/>
      <c r="I154" s="1742"/>
      <c r="J154" s="1742"/>
      <c r="K154" s="1742"/>
      <c r="L154" s="1742"/>
      <c r="M154" s="1742"/>
      <c r="N154" s="1742"/>
      <c r="O154" s="1743"/>
      <c r="W154" s="1162"/>
      <c r="AB154" s="1162"/>
      <c r="AF154" s="1162"/>
    </row>
    <row r="155" spans="2:51" outlineLevel="1" x14ac:dyDescent="0.2">
      <c r="Q155" s="1317"/>
      <c r="R155" s="1317"/>
      <c r="W155" s="1162"/>
      <c r="AB155" s="1162"/>
      <c r="AF155" s="1162"/>
    </row>
    <row r="156" spans="2:51" ht="28" outlineLevel="1" x14ac:dyDescent="0.2">
      <c r="B156" s="118"/>
      <c r="C156" s="118"/>
      <c r="D156" s="118"/>
      <c r="E156" s="1735" t="s">
        <v>2498</v>
      </c>
      <c r="F156" s="1737"/>
      <c r="G156" s="1737"/>
      <c r="H156" s="1737"/>
      <c r="I156" s="1737"/>
      <c r="J156" s="1737"/>
      <c r="K156" s="1737"/>
      <c r="L156" s="1737"/>
      <c r="M156" s="1736"/>
      <c r="N156" s="1433" t="s">
        <v>2743</v>
      </c>
      <c r="O156" s="1430" t="s">
        <v>2517</v>
      </c>
      <c r="Q156" s="1317"/>
      <c r="R156" s="1317"/>
      <c r="W156" s="1162"/>
      <c r="AB156" s="1162"/>
      <c r="AF156" s="1162"/>
    </row>
    <row r="157" spans="2:51" ht="42" outlineLevel="1" x14ac:dyDescent="0.2">
      <c r="B157" s="1735" t="str">
        <f>+Energia!B187</f>
        <v>Sorgenti di emissione</v>
      </c>
      <c r="C157" s="1736"/>
      <c r="D157" s="1432" t="s">
        <v>2500</v>
      </c>
      <c r="E157" s="1431" t="s">
        <v>666</v>
      </c>
      <c r="F157" s="1431" t="s">
        <v>667</v>
      </c>
      <c r="G157" s="1431" t="s">
        <v>668</v>
      </c>
      <c r="H157" s="1431" t="s">
        <v>2582</v>
      </c>
      <c r="I157" s="1431" t="s">
        <v>2584</v>
      </c>
      <c r="J157" s="1432" t="s">
        <v>69</v>
      </c>
      <c r="K157" s="1431" t="s">
        <v>673</v>
      </c>
      <c r="L157" s="1431" t="s">
        <v>2588</v>
      </c>
      <c r="M157" s="1431" t="s">
        <v>2586</v>
      </c>
      <c r="N157" s="1434" t="s">
        <v>669</v>
      </c>
      <c r="O157" s="1436" t="s">
        <v>69</v>
      </c>
      <c r="Q157" s="1317"/>
      <c r="R157" s="1317"/>
      <c r="W157" s="1162"/>
      <c r="AB157" s="1162"/>
      <c r="AF157" s="1162"/>
    </row>
    <row r="158" spans="2:51" ht="12.75" customHeight="1" outlineLevel="1" x14ac:dyDescent="0.2">
      <c r="B158" s="1733" t="str">
        <f>+Energia!B188</f>
        <v xml:space="preserve">Emissioni dirette da sorgenti di combustione stazionarie </v>
      </c>
      <c r="C158" s="1734"/>
      <c r="D158" s="1435">
        <v>1</v>
      </c>
      <c r="E158" s="1441"/>
      <c r="F158" s="1441"/>
      <c r="G158" s="1441"/>
      <c r="H158" s="1441"/>
      <c r="I158" s="1441"/>
      <c r="J158" s="1442"/>
      <c r="K158" s="1443"/>
      <c r="L158" s="1443"/>
      <c r="M158" s="1444"/>
      <c r="N158" s="1445"/>
      <c r="O158" s="1730" t="s">
        <v>2518</v>
      </c>
      <c r="Q158" s="1317"/>
      <c r="R158" s="1317"/>
      <c r="W158" s="1162"/>
      <c r="AB158" s="1162"/>
      <c r="AF158" s="1162"/>
    </row>
    <row r="159" spans="2:51" ht="13" outlineLevel="1" x14ac:dyDescent="0.2">
      <c r="B159" s="1733" t="str">
        <f>+Energia!B189</f>
        <v>Emissioni dirette da sorgenti di combustione mobili</v>
      </c>
      <c r="C159" s="1734"/>
      <c r="D159" s="1435">
        <v>2</v>
      </c>
      <c r="E159" s="1441"/>
      <c r="F159" s="1441"/>
      <c r="G159" s="1441"/>
      <c r="H159" s="1441"/>
      <c r="I159" s="1441"/>
      <c r="J159" s="1442"/>
      <c r="K159" s="1443"/>
      <c r="L159" s="1443"/>
      <c r="M159" s="1444"/>
      <c r="N159" s="1445"/>
      <c r="O159" s="1731"/>
      <c r="Q159" s="1317"/>
      <c r="R159" s="1317"/>
      <c r="W159" s="1162"/>
      <c r="AB159" s="1162"/>
      <c r="AF159" s="1162"/>
    </row>
    <row r="160" spans="2:51" ht="13" outlineLevel="1" x14ac:dyDescent="0.2">
      <c r="B160" s="1733" t="str">
        <f>+Energia!B190</f>
        <v>Emissioni dirette da  processi</v>
      </c>
      <c r="C160" s="1734"/>
      <c r="D160" s="1435">
        <v>3</v>
      </c>
      <c r="E160" s="1441"/>
      <c r="F160" s="1441"/>
      <c r="G160" s="1441"/>
      <c r="H160" s="1441"/>
      <c r="I160" s="1441"/>
      <c r="J160" s="1442"/>
      <c r="K160" s="1443"/>
      <c r="L160" s="1443"/>
      <c r="M160" s="1444"/>
      <c r="N160" s="1445"/>
      <c r="O160" s="1731"/>
      <c r="Q160" s="1317"/>
      <c r="R160" s="1317"/>
      <c r="W160" s="1162"/>
      <c r="AB160" s="1162"/>
      <c r="AF160" s="1162"/>
    </row>
    <row r="161" spans="2:32" ht="13" outlineLevel="1" x14ac:dyDescent="0.2">
      <c r="B161" s="1733" t="str">
        <f>+Energia!B191</f>
        <v>Emissioni dirette da  fonti fugitive</v>
      </c>
      <c r="C161" s="1734"/>
      <c r="D161" s="1435">
        <v>4</v>
      </c>
      <c r="E161" s="1441"/>
      <c r="F161" s="1441"/>
      <c r="G161" s="1441"/>
      <c r="H161" s="1441"/>
      <c r="I161" s="1441"/>
      <c r="J161" s="1442"/>
      <c r="K161" s="1443"/>
      <c r="L161" s="1443"/>
      <c r="M161" s="1444"/>
      <c r="N161" s="1445"/>
      <c r="O161" s="1731"/>
      <c r="Q161" s="1317"/>
      <c r="R161" s="1317"/>
      <c r="W161" s="1162"/>
      <c r="AB161" s="1162"/>
      <c r="AF161" s="1162"/>
    </row>
    <row r="162" spans="2:32" ht="13" outlineLevel="1" x14ac:dyDescent="0.2">
      <c r="B162" s="1733" t="str">
        <f>+Energia!B192</f>
        <v>Emissioni dirette da LULUCF</v>
      </c>
      <c r="C162" s="1734"/>
      <c r="D162" s="1435">
        <v>5</v>
      </c>
      <c r="E162" s="1441"/>
      <c r="F162" s="1441"/>
      <c r="G162" s="1441"/>
      <c r="H162" s="1441"/>
      <c r="I162" s="1441"/>
      <c r="J162" s="1442"/>
      <c r="K162" s="1443"/>
      <c r="L162" s="1443"/>
      <c r="M162" s="1444"/>
      <c r="N162" s="1446"/>
      <c r="O162" s="1731"/>
      <c r="Q162" s="1317"/>
      <c r="R162" s="1317"/>
      <c r="W162" s="1162"/>
      <c r="AB162" s="1162"/>
      <c r="AF162" s="1162"/>
    </row>
    <row r="163" spans="2:32" ht="13" outlineLevel="1" x14ac:dyDescent="0.2">
      <c r="B163" s="1738" t="s">
        <v>98</v>
      </c>
      <c r="C163" s="1738"/>
      <c r="D163" s="1738"/>
      <c r="E163" s="1447">
        <f>SUM(E158:E162)</f>
        <v>0</v>
      </c>
      <c r="F163" s="1447">
        <f t="shared" ref="F163:N163" si="32">SUM(F158:F162)</f>
        <v>0</v>
      </c>
      <c r="G163" s="1447">
        <f t="shared" si="32"/>
        <v>0</v>
      </c>
      <c r="H163" s="1447">
        <f t="shared" si="32"/>
        <v>0</v>
      </c>
      <c r="I163" s="1447">
        <f t="shared" si="32"/>
        <v>0</v>
      </c>
      <c r="J163" s="1447">
        <f t="shared" si="32"/>
        <v>0</v>
      </c>
      <c r="K163" s="1448">
        <f t="shared" si="32"/>
        <v>0</v>
      </c>
      <c r="L163" s="1448">
        <f t="shared" si="32"/>
        <v>0</v>
      </c>
      <c r="M163" s="1449">
        <f>SQRT(SUMSQ(M158:M162))</f>
        <v>0</v>
      </c>
      <c r="N163" s="1450">
        <f t="shared" si="32"/>
        <v>0</v>
      </c>
      <c r="O163" s="1732"/>
      <c r="Q163" s="1317"/>
      <c r="R163" s="1317"/>
      <c r="W163" s="1162"/>
      <c r="AB163" s="1162"/>
      <c r="AF163" s="1162"/>
    </row>
    <row r="164" spans="2:32" ht="13" outlineLevel="1" x14ac:dyDescent="0.2">
      <c r="B164" s="1733" t="str">
        <f>+Energia!B194</f>
        <v xml:space="preserve">Emissioni indirette da consumo di elettricità </v>
      </c>
      <c r="C164" s="1734"/>
      <c r="D164" s="1435">
        <v>6</v>
      </c>
      <c r="E164" s="1441"/>
      <c r="F164" s="1441"/>
      <c r="G164" s="1441"/>
      <c r="H164" s="1441"/>
      <c r="I164" s="1441"/>
      <c r="J164" s="1442"/>
      <c r="K164" s="1443"/>
      <c r="L164" s="1443"/>
      <c r="M164" s="1444"/>
      <c r="N164" s="1445"/>
      <c r="O164" s="1451"/>
      <c r="Q164" s="1317"/>
      <c r="R164" s="1317"/>
      <c r="W164" s="1162"/>
      <c r="AB164" s="1162"/>
      <c r="AF164" s="1162"/>
    </row>
    <row r="165" spans="2:32" ht="13" outlineLevel="1" x14ac:dyDescent="0.2">
      <c r="B165" s="1733" t="str">
        <f>+Energia!B195</f>
        <v xml:space="preserve">Emissioni indirette da consumi di energia di rete (senza l'eletricita) </v>
      </c>
      <c r="C165" s="1734"/>
      <c r="D165" s="1435">
        <v>7</v>
      </c>
      <c r="E165" s="1441"/>
      <c r="F165" s="1441"/>
      <c r="G165" s="1441"/>
      <c r="H165" s="1441"/>
      <c r="I165" s="1441"/>
      <c r="J165" s="1442"/>
      <c r="K165" s="1443"/>
      <c r="L165" s="1443"/>
      <c r="M165" s="1444"/>
      <c r="N165" s="1445"/>
      <c r="O165" s="1445"/>
      <c r="Q165" s="1317"/>
      <c r="R165" s="1317"/>
      <c r="W165" s="1162"/>
      <c r="AB165" s="1162"/>
      <c r="AF165" s="1162"/>
    </row>
    <row r="166" spans="2:32" ht="13" outlineLevel="1" x14ac:dyDescent="0.2">
      <c r="B166" s="1738" t="s">
        <v>97</v>
      </c>
      <c r="C166" s="1738"/>
      <c r="D166" s="1738"/>
      <c r="E166" s="1447">
        <f>SUM(E164:E165)</f>
        <v>0</v>
      </c>
      <c r="F166" s="1447">
        <f t="shared" ref="F166:O166" si="33">SUM(F164:F165)</f>
        <v>0</v>
      </c>
      <c r="G166" s="1447">
        <f t="shared" si="33"/>
        <v>0</v>
      </c>
      <c r="H166" s="1447">
        <f t="shared" si="33"/>
        <v>0</v>
      </c>
      <c r="I166" s="1447">
        <f t="shared" si="33"/>
        <v>0</v>
      </c>
      <c r="J166" s="1447">
        <f t="shared" si="33"/>
        <v>0</v>
      </c>
      <c r="K166" s="1448">
        <f t="shared" si="33"/>
        <v>0</v>
      </c>
      <c r="L166" s="1448">
        <f t="shared" si="33"/>
        <v>0</v>
      </c>
      <c r="M166" s="1449">
        <f>SQRT(SUMSQ(M164:M165))</f>
        <v>0</v>
      </c>
      <c r="N166" s="1450">
        <f t="shared" si="33"/>
        <v>0</v>
      </c>
      <c r="O166" s="1450">
        <f t="shared" si="33"/>
        <v>0</v>
      </c>
      <c r="Q166" s="1317"/>
      <c r="R166" s="1317"/>
      <c r="W166" s="1162"/>
      <c r="AB166" s="1162"/>
      <c r="AF166" s="1162"/>
    </row>
    <row r="167" spans="2:32" ht="13" outlineLevel="1" x14ac:dyDescent="0.2">
      <c r="B167" s="1733" t="str">
        <f>+Energia!B197</f>
        <v>Emissioni dovute all'energia non coperte dalle sorgenti da 1 a 7</v>
      </c>
      <c r="C167" s="1734"/>
      <c r="D167" s="1435">
        <v>8</v>
      </c>
      <c r="E167" s="1441"/>
      <c r="F167" s="1441"/>
      <c r="G167" s="1441"/>
      <c r="H167" s="1441"/>
      <c r="I167" s="1441"/>
      <c r="J167" s="1442"/>
      <c r="K167" s="1443"/>
      <c r="L167" s="1443"/>
      <c r="M167" s="1444"/>
      <c r="N167" s="1445"/>
      <c r="O167" s="1445"/>
      <c r="Q167" s="1317"/>
      <c r="R167" s="1317"/>
      <c r="W167" s="1162"/>
      <c r="AB167" s="1162"/>
      <c r="AF167" s="1162"/>
    </row>
    <row r="168" spans="2:32" ht="13" outlineLevel="1" x14ac:dyDescent="0.2">
      <c r="B168" s="1733" t="str">
        <f>+Energia!B198</f>
        <v>Beni acquistati</v>
      </c>
      <c r="C168" s="1734"/>
      <c r="D168" s="1435">
        <v>9</v>
      </c>
      <c r="E168" s="1441"/>
      <c r="F168" s="1441"/>
      <c r="G168" s="1441"/>
      <c r="H168" s="1441"/>
      <c r="I168" s="1441"/>
      <c r="J168" s="1442"/>
      <c r="K168" s="1443"/>
      <c r="L168" s="1443"/>
      <c r="M168" s="1444"/>
      <c r="N168" s="1445"/>
      <c r="O168" s="1445"/>
      <c r="Q168" s="1317"/>
      <c r="R168" s="1317"/>
      <c r="W168" s="1162"/>
      <c r="AB168" s="1162"/>
      <c r="AF168" s="1162"/>
    </row>
    <row r="169" spans="2:32" ht="13" outlineLevel="1" x14ac:dyDescent="0.2">
      <c r="B169" s="1733" t="str">
        <f>+Energia!B199</f>
        <v>Beni di consumo</v>
      </c>
      <c r="C169" s="1734"/>
      <c r="D169" s="1435">
        <v>10</v>
      </c>
      <c r="E169" s="1441"/>
      <c r="F169" s="1441"/>
      <c r="G169" s="1441"/>
      <c r="H169" s="1441"/>
      <c r="I169" s="1441"/>
      <c r="J169" s="1442"/>
      <c r="K169" s="1443"/>
      <c r="L169" s="1443"/>
      <c r="M169" s="1444"/>
      <c r="N169" s="1445"/>
      <c r="O169" s="1445"/>
      <c r="Q169" s="1317"/>
      <c r="R169" s="1317"/>
      <c r="W169" s="1162"/>
      <c r="AB169" s="1162"/>
      <c r="AF169" s="1162"/>
    </row>
    <row r="170" spans="2:32" ht="13" outlineLevel="1" x14ac:dyDescent="0.2">
      <c r="B170" s="1733" t="str">
        <f>+Energia!B200</f>
        <v xml:space="preserve">Rifiuti prodotti </v>
      </c>
      <c r="C170" s="1734"/>
      <c r="D170" s="1435">
        <v>11</v>
      </c>
      <c r="E170" s="1441"/>
      <c r="F170" s="1441"/>
      <c r="G170" s="1441"/>
      <c r="H170" s="1441"/>
      <c r="I170" s="1441"/>
      <c r="J170" s="1442"/>
      <c r="K170" s="1443"/>
      <c r="L170" s="1443"/>
      <c r="M170" s="1444"/>
      <c r="N170" s="1445"/>
      <c r="O170" s="1445"/>
      <c r="Q170" s="1317"/>
      <c r="R170" s="1317"/>
      <c r="W170" s="1162"/>
      <c r="AB170" s="1162"/>
      <c r="AF170" s="1162"/>
    </row>
    <row r="171" spans="2:32" ht="13" outlineLevel="1" x14ac:dyDescent="0.2">
      <c r="B171" s="1733" t="str">
        <f>+Energia!B201</f>
        <v>Trasporto e distribuzione premanifattura</v>
      </c>
      <c r="C171" s="1734"/>
      <c r="D171" s="1435">
        <v>12</v>
      </c>
      <c r="E171" s="1441"/>
      <c r="F171" s="1441"/>
      <c r="G171" s="1441"/>
      <c r="H171" s="1441"/>
      <c r="I171" s="1441"/>
      <c r="J171" s="1442"/>
      <c r="K171" s="1443"/>
      <c r="L171" s="1443"/>
      <c r="M171" s="1444"/>
      <c r="N171" s="1445"/>
      <c r="O171" s="1445"/>
      <c r="Q171" s="1317"/>
      <c r="R171" s="1317"/>
      <c r="W171" s="1162"/>
      <c r="AB171" s="1162"/>
      <c r="AF171" s="1162"/>
    </row>
    <row r="172" spans="2:32" ht="13" outlineLevel="1" x14ac:dyDescent="0.2">
      <c r="B172" s="1733" t="str">
        <f>+Energia!B202</f>
        <v>Viaggi di lavoro</v>
      </c>
      <c r="C172" s="1734"/>
      <c r="D172" s="1435">
        <v>13</v>
      </c>
      <c r="E172" s="1441"/>
      <c r="F172" s="1441"/>
      <c r="G172" s="1441"/>
      <c r="H172" s="1441"/>
      <c r="I172" s="1441"/>
      <c r="J172" s="1442"/>
      <c r="K172" s="1443"/>
      <c r="L172" s="1443"/>
      <c r="M172" s="1444"/>
      <c r="N172" s="1445"/>
      <c r="O172" s="1445"/>
      <c r="Q172" s="1317"/>
      <c r="R172" s="1317"/>
      <c r="W172" s="1162"/>
      <c r="AB172" s="1162"/>
      <c r="AF172" s="1162"/>
    </row>
    <row r="173" spans="2:32" ht="13" outlineLevel="1" x14ac:dyDescent="0.2">
      <c r="B173" s="1733" t="str">
        <f>+Energia!B203</f>
        <v>Upstream leased assets</v>
      </c>
      <c r="C173" s="1734"/>
      <c r="D173" s="1435">
        <v>14</v>
      </c>
      <c r="E173" s="1441"/>
      <c r="F173" s="1441"/>
      <c r="G173" s="1441"/>
      <c r="H173" s="1441"/>
      <c r="I173" s="1441"/>
      <c r="J173" s="1442"/>
      <c r="K173" s="1443"/>
      <c r="L173" s="1443"/>
      <c r="M173" s="1444"/>
      <c r="N173" s="1445"/>
      <c r="O173" s="1445"/>
      <c r="Q173" s="1317"/>
      <c r="R173" s="1317"/>
      <c r="W173" s="1162"/>
      <c r="AB173" s="1162"/>
      <c r="AF173" s="1162"/>
    </row>
    <row r="174" spans="2:32" ht="13" outlineLevel="1" x14ac:dyDescent="0.2">
      <c r="B174" s="1733" t="str">
        <f>+Energia!B204</f>
        <v>Investimenti</v>
      </c>
      <c r="C174" s="1734"/>
      <c r="D174" s="1435">
        <v>15</v>
      </c>
      <c r="E174" s="1441"/>
      <c r="F174" s="1441"/>
      <c r="G174" s="1441"/>
      <c r="H174" s="1441"/>
      <c r="I174" s="1441"/>
      <c r="J174" s="1442"/>
      <c r="K174" s="1443"/>
      <c r="L174" s="1443"/>
      <c r="M174" s="1444"/>
      <c r="N174" s="1445"/>
      <c r="O174" s="1445"/>
      <c r="Q174" s="1317"/>
      <c r="R174" s="1317"/>
      <c r="W174" s="1162"/>
      <c r="AB174" s="1162"/>
      <c r="AF174" s="1162"/>
    </row>
    <row r="175" spans="2:32" ht="13" outlineLevel="1" x14ac:dyDescent="0.2">
      <c r="B175" s="1733" t="str">
        <f>+Energia!B205</f>
        <v xml:space="preserve">Trasporto di clienti e visitatori </v>
      </c>
      <c r="C175" s="1734"/>
      <c r="D175" s="1435">
        <v>16</v>
      </c>
      <c r="E175" s="1441"/>
      <c r="F175" s="1441"/>
      <c r="G175" s="1441"/>
      <c r="H175" s="1441"/>
      <c r="I175" s="1441"/>
      <c r="J175" s="1442"/>
      <c r="K175" s="1443"/>
      <c r="L175" s="1443"/>
      <c r="M175" s="1444"/>
      <c r="N175" s="1445"/>
      <c r="O175" s="1445"/>
      <c r="Q175" s="1317"/>
      <c r="R175" s="1317"/>
      <c r="W175" s="1162"/>
      <c r="AB175" s="1162"/>
      <c r="AF175" s="1162"/>
    </row>
    <row r="176" spans="2:32" ht="13" outlineLevel="1" x14ac:dyDescent="0.2">
      <c r="B176" s="1733" t="str">
        <f>+Energia!B206</f>
        <v>Trasporto di merci e distribuzione in fase d’uso e fine vita</v>
      </c>
      <c r="C176" s="1734"/>
      <c r="D176" s="1435">
        <v>17</v>
      </c>
      <c r="E176" s="1441"/>
      <c r="F176" s="1441"/>
      <c r="G176" s="1441"/>
      <c r="H176" s="1441"/>
      <c r="I176" s="1441"/>
      <c r="J176" s="1442"/>
      <c r="K176" s="1443"/>
      <c r="L176" s="1443"/>
      <c r="M176" s="1444"/>
      <c r="N176" s="1445"/>
      <c r="O176" s="1445"/>
      <c r="Q176" s="1317"/>
      <c r="R176" s="1317"/>
      <c r="W176" s="1162"/>
      <c r="AB176" s="1162"/>
      <c r="AF176" s="1162"/>
    </row>
    <row r="177" spans="2:32" ht="13" outlineLevel="1" x14ac:dyDescent="0.2">
      <c r="B177" s="1733" t="str">
        <f>+Energia!B207</f>
        <v xml:space="preserve">Uso dei prodotto venduti  </v>
      </c>
      <c r="C177" s="1734"/>
      <c r="D177" s="1435">
        <v>18</v>
      </c>
      <c r="E177" s="1441">
        <f>AK20+AL20+AK30+AL30+AK43+AK53+AK67+AK75+AK93+AK103-E180</f>
        <v>0</v>
      </c>
      <c r="F177" s="1441">
        <f>AM20+AN20+AM30+AN30+AL43+AL53+AL67+AL75+AL93+AL103-F180</f>
        <v>0</v>
      </c>
      <c r="G177" s="1441">
        <f>AO20+AP20+AO30+AP30+AM43+AM53+AM67+AM75+AM93+AM103-G180</f>
        <v>0</v>
      </c>
      <c r="H177" s="1441">
        <f>AN93-H180</f>
        <v>0</v>
      </c>
      <c r="I177" s="1441">
        <f>AN103-I180</f>
        <v>0</v>
      </c>
      <c r="J177" s="1442">
        <f>AS20+AT20+AS30+AT30+AO43+AO53+AO67+AO75+AO93+AO103-J180</f>
        <v>0</v>
      </c>
      <c r="K177" s="1443">
        <f>AU20+AV20+AU30+AV30+AP43+AP53+AP67+AP75+AP93+AP103</f>
        <v>0</v>
      </c>
      <c r="L177" s="1443">
        <v>0</v>
      </c>
      <c r="M177" s="1444">
        <f>SQRT(X20^2+Y20^2+X30^2+Y30^2+X43^2+X53^2+X67^2+X75^2+X93^2+X103^2-M180^2)</f>
        <v>0</v>
      </c>
      <c r="N177" s="1445"/>
      <c r="O177" s="1445"/>
      <c r="Q177" s="1317"/>
      <c r="R177" s="1317"/>
      <c r="W177" s="1162"/>
      <c r="AB177" s="1162"/>
      <c r="AF177" s="1162"/>
    </row>
    <row r="178" spans="2:32" ht="13" outlineLevel="1" x14ac:dyDescent="0.2">
      <c r="B178" s="1733" t="str">
        <f>+Energia!B208</f>
        <v>Fine vita dei prodotti venduti</v>
      </c>
      <c r="C178" s="1734"/>
      <c r="D178" s="1435">
        <v>19</v>
      </c>
      <c r="E178" s="1441"/>
      <c r="F178" s="1441"/>
      <c r="G178" s="1441"/>
      <c r="H178" s="1441"/>
      <c r="I178" s="1441"/>
      <c r="J178" s="1442"/>
      <c r="K178" s="1443"/>
      <c r="L178" s="1443"/>
      <c r="M178" s="1444"/>
      <c r="N178" s="1445"/>
      <c r="O178" s="1445"/>
      <c r="Q178" s="1317"/>
      <c r="R178" s="1317"/>
      <c r="W178" s="1162"/>
      <c r="AB178" s="1162"/>
      <c r="AF178" s="1162"/>
    </row>
    <row r="179" spans="2:32" ht="13" outlineLevel="1" x14ac:dyDescent="0.2">
      <c r="B179" s="1733" t="str">
        <f>+Energia!B209</f>
        <v xml:space="preserve">Downstream franchises </v>
      </c>
      <c r="C179" s="1734"/>
      <c r="D179" s="1435">
        <v>20</v>
      </c>
      <c r="E179" s="1441"/>
      <c r="F179" s="1441"/>
      <c r="G179" s="1441"/>
      <c r="H179" s="1441"/>
      <c r="I179" s="1441"/>
      <c r="J179" s="1442"/>
      <c r="K179" s="1443"/>
      <c r="L179" s="1443"/>
      <c r="M179" s="1444"/>
      <c r="N179" s="1445"/>
      <c r="O179" s="1445"/>
      <c r="Q179" s="1317"/>
      <c r="R179" s="1317"/>
      <c r="W179" s="1162"/>
      <c r="AB179" s="1162"/>
      <c r="AF179" s="1162"/>
    </row>
    <row r="180" spans="2:32" ht="13" outlineLevel="1" x14ac:dyDescent="0.2">
      <c r="B180" s="1733" t="str">
        <f>+Energia!B210</f>
        <v>Downstream leased assets</v>
      </c>
      <c r="C180" s="1734"/>
      <c r="D180" s="1435">
        <v>21</v>
      </c>
      <c r="E180" s="1441">
        <f>SUMIF($F$9:$F$30,'Info utili'!$O$546,AK9:AK30)+SUMIF($F$9:$F$30,'Info utili'!$O$546,AL9:AL30)+SUMIF($F$35:$F$103,'Info utili'!$O$546,AK35:AK103)+H73*SUMIF($F$58:$F$75,'Info utili'!$O$546,AK58:AK75)</f>
        <v>0</v>
      </c>
      <c r="F180" s="1441">
        <f>SUMIF($F$9:$F$30,'Info utili'!$O$546,AM9:AM30)+SUMIF($F$9:$F$30,'Info utili'!$O$546,AN9:AN30)+SUMIF($F$35:$F$103,'Info utili'!$O$546,AL35:AL103)+H73*SUMIF($F$58:$F$75,'Info utili'!$O$546,AL58:AL75)</f>
        <v>0</v>
      </c>
      <c r="G180" s="1441">
        <f>SUMIF($F$9:$F$30,'Info utili'!$O$546,AO9:AO30)+SUMIF($F$9:$F$30,'Info utili'!$O$546,AP9:AP30)+SUMIF($F$35:$F$103,'Info utili'!$O$546,AM35:AM103)+H73*SUMIF($F$58:$F$75,'Info utili'!$O$546,AM58:AM75)</f>
        <v>0</v>
      </c>
      <c r="H180" s="1441">
        <f>SUMIF($F$89:$F$92,'Info utili'!$O$546,AN$89:AN$92)</f>
        <v>0</v>
      </c>
      <c r="I180" s="1441">
        <f>SUMIF($F$99:$F$102,'Info utili'!$O$546,AN$99:AN$102)</f>
        <v>0</v>
      </c>
      <c r="J180" s="1442">
        <f>SUMIF($F$9:$F$30,'Info utili'!$O$546,AS9:AS30)+SUMIF($F$9:$F$30,'Info utili'!$O$546,AT9:AT30)+SUMIF($F$35:$F$103,'Info utili'!$O$546,AO35:AO103)+H73*SUMIF($F$58:$F$75,'Info utili'!$O$546,AO58:AO75)</f>
        <v>0</v>
      </c>
      <c r="K180" s="1443">
        <f>SUMIF($F$9:$F$30,'Info utili'!$O$546,AU9:AU30)+SUMIF($F$9:$F$30,'Info utili'!$O$546,AV9:AV30)+SUMIF($F$35:$F$103,'Info utili'!$O$546,AP35:AP103)+H73*SUMIF($F$58:$F$75,'Info utili'!$O$546,AP58:AP75)</f>
        <v>0</v>
      </c>
      <c r="L180" s="1443">
        <v>0</v>
      </c>
      <c r="M180" s="1444">
        <f>SQRT(SUMPRODUCT(($F$9:$F$30='Info utili'!$O$546)*1,X9:X30,X9:X30)+SUMPRODUCT(($F$9:$F$30='Info utili'!$O$546)*1,Y9:Y30,Y9:Y30)+SUMPRODUCT(($F$35:$F$103='Info utili'!$O$546)*1,X35:X103,X35:X103)+(H73^2)*SUMPRODUCT(($F$58:$F$75='Info utili'!$O$546)*1,X58:X75,X58:X75))</f>
        <v>0</v>
      </c>
      <c r="N180" s="1445"/>
      <c r="O180" s="1445"/>
      <c r="Q180" s="1317"/>
      <c r="R180" s="1317"/>
      <c r="W180" s="1162"/>
      <c r="AB180" s="1162"/>
      <c r="AF180" s="1162"/>
    </row>
    <row r="181" spans="2:32" ht="13" outlineLevel="1" x14ac:dyDescent="0.2">
      <c r="B181" s="1733" t="str">
        <f>+Energia!B211</f>
        <v>Impiegati pendolari</v>
      </c>
      <c r="C181" s="1734"/>
      <c r="D181" s="1435">
        <v>22</v>
      </c>
      <c r="E181" s="1441"/>
      <c r="F181" s="1441"/>
      <c r="G181" s="1441"/>
      <c r="H181" s="1441"/>
      <c r="I181" s="1441"/>
      <c r="J181" s="1442"/>
      <c r="K181" s="1443"/>
      <c r="L181" s="1443"/>
      <c r="M181" s="1444"/>
      <c r="N181" s="1445"/>
      <c r="O181" s="1445"/>
      <c r="Q181" s="1317"/>
      <c r="R181" s="1317"/>
      <c r="W181" s="1162"/>
      <c r="AB181" s="1162"/>
      <c r="AF181" s="1162"/>
    </row>
    <row r="182" spans="2:32" ht="13" outlineLevel="1" x14ac:dyDescent="0.2">
      <c r="B182" s="1733" t="str">
        <f>+Energia!B212</f>
        <v xml:space="preserve">Altre emissioni indirette </v>
      </c>
      <c r="C182" s="1734"/>
      <c r="D182" s="1435">
        <v>23</v>
      </c>
      <c r="E182" s="1441"/>
      <c r="F182" s="1441"/>
      <c r="G182" s="1441"/>
      <c r="H182" s="1441"/>
      <c r="I182" s="1441"/>
      <c r="J182" s="1442"/>
      <c r="K182" s="1443"/>
      <c r="L182" s="1443"/>
      <c r="M182" s="1444"/>
      <c r="N182" s="1445"/>
      <c r="O182" s="1445"/>
      <c r="Q182" s="1317"/>
      <c r="R182" s="1317"/>
      <c r="W182" s="1162"/>
      <c r="AB182" s="1162"/>
      <c r="AF182" s="1162"/>
    </row>
    <row r="183" spans="2:32" ht="13" outlineLevel="1" x14ac:dyDescent="0.2">
      <c r="B183" s="1738" t="s">
        <v>96</v>
      </c>
      <c r="C183" s="1738"/>
      <c r="D183" s="1738"/>
      <c r="E183" s="1447">
        <f>SUM(E167:E182)</f>
        <v>0</v>
      </c>
      <c r="F183" s="1447">
        <f t="shared" ref="F183:O183" si="34">SUM(F167:F182)</f>
        <v>0</v>
      </c>
      <c r="G183" s="1447">
        <f t="shared" si="34"/>
        <v>0</v>
      </c>
      <c r="H183" s="1447">
        <f t="shared" si="34"/>
        <v>0</v>
      </c>
      <c r="I183" s="1447">
        <f t="shared" si="34"/>
        <v>0</v>
      </c>
      <c r="J183" s="1447">
        <f t="shared" si="34"/>
        <v>0</v>
      </c>
      <c r="K183" s="1448">
        <f t="shared" si="34"/>
        <v>0</v>
      </c>
      <c r="L183" s="1448">
        <f t="shared" si="34"/>
        <v>0</v>
      </c>
      <c r="M183" s="1449">
        <f>SQRT(SUMSQ(M167:M182))</f>
        <v>0</v>
      </c>
      <c r="N183" s="1450">
        <f t="shared" si="34"/>
        <v>0</v>
      </c>
      <c r="O183" s="1450">
        <f t="shared" si="34"/>
        <v>0</v>
      </c>
      <c r="Q183" s="1317"/>
      <c r="R183" s="1317"/>
      <c r="W183" s="1162"/>
      <c r="AB183" s="1162"/>
      <c r="AF183" s="1162"/>
    </row>
    <row r="184" spans="2:32" outlineLevel="1" x14ac:dyDescent="0.2">
      <c r="Q184" s="1317"/>
      <c r="R184" s="1317"/>
      <c r="W184" s="1162"/>
      <c r="AB184" s="1162"/>
      <c r="AF184" s="1162"/>
    </row>
    <row r="187" spans="2:32" ht="17" x14ac:dyDescent="0.2">
      <c r="B187" s="1649" t="s">
        <v>2768</v>
      </c>
    </row>
    <row r="188" spans="2:32" ht="17" x14ac:dyDescent="0.2">
      <c r="B188" s="1649" t="s">
        <v>2769</v>
      </c>
    </row>
    <row r="189" spans="2:32" ht="17" x14ac:dyDescent="0.2">
      <c r="B189" s="1650" t="s">
        <v>2770</v>
      </c>
    </row>
    <row r="190" spans="2:32" ht="16" x14ac:dyDescent="0.2">
      <c r="B190" s="1651" t="s">
        <v>2771</v>
      </c>
    </row>
    <row r="191" spans="2:32" ht="17" x14ac:dyDescent="0.2">
      <c r="B191" s="1649" t="s">
        <v>2772</v>
      </c>
    </row>
  </sheetData>
  <mergeCells count="138">
    <mergeCell ref="B2:O2"/>
    <mergeCell ref="B108:O108"/>
    <mergeCell ref="Q24:R24"/>
    <mergeCell ref="J4:K4"/>
    <mergeCell ref="D5:E5"/>
    <mergeCell ref="D4:E4"/>
    <mergeCell ref="F4:G4"/>
    <mergeCell ref="H4:I4"/>
    <mergeCell ref="B7:O7"/>
    <mergeCell ref="B33:O33"/>
    <mergeCell ref="B56:O56"/>
    <mergeCell ref="H5:I5"/>
    <mergeCell ref="B78:O78"/>
    <mergeCell ref="AU11:AV11"/>
    <mergeCell ref="AB22:AI22"/>
    <mergeCell ref="N24:O24"/>
    <mergeCell ref="AB9:AI9"/>
    <mergeCell ref="H11:I11"/>
    <mergeCell ref="K11:L11"/>
    <mergeCell ref="V35:X35"/>
    <mergeCell ref="V45:X45"/>
    <mergeCell ref="AB35:AE35"/>
    <mergeCell ref="AB45:AE45"/>
    <mergeCell ref="AU24:AV24"/>
    <mergeCell ref="AM24:AN24"/>
    <mergeCell ref="AK24:AL24"/>
    <mergeCell ref="H110:I110"/>
    <mergeCell ref="B123:C123"/>
    <mergeCell ref="V9:Z9"/>
    <mergeCell ref="V22:Z22"/>
    <mergeCell ref="H24:I24"/>
    <mergeCell ref="K24:L24"/>
    <mergeCell ref="N11:O11"/>
    <mergeCell ref="Q11:R11"/>
    <mergeCell ref="V69:X69"/>
    <mergeCell ref="V58:X58"/>
    <mergeCell ref="B124:C124"/>
    <mergeCell ref="B125:C125"/>
    <mergeCell ref="B126:C126"/>
    <mergeCell ref="B113:C113"/>
    <mergeCell ref="B114:C114"/>
    <mergeCell ref="AK95:AP95"/>
    <mergeCell ref="AK69:AP69"/>
    <mergeCell ref="AS10:AT10"/>
    <mergeCell ref="AK11:AL11"/>
    <mergeCell ref="AM11:AN11"/>
    <mergeCell ref="AO11:AP11"/>
    <mergeCell ref="AQ11:AR11"/>
    <mergeCell ref="AS11:AT11"/>
    <mergeCell ref="AK80:AP80"/>
    <mergeCell ref="AB95:AE95"/>
    <mergeCell ref="AB58:AE58"/>
    <mergeCell ref="AB69:AE69"/>
    <mergeCell ref="V80:X80"/>
    <mergeCell ref="Q110:T110"/>
    <mergeCell ref="D110:F110"/>
    <mergeCell ref="B112:C112"/>
    <mergeCell ref="K110:L110"/>
    <mergeCell ref="B110:C111"/>
    <mergeCell ref="AS24:AT24"/>
    <mergeCell ref="B127:C127"/>
    <mergeCell ref="B128:D128"/>
    <mergeCell ref="B129:C129"/>
    <mergeCell ref="AK9:AV9"/>
    <mergeCell ref="AK10:AR10"/>
    <mergeCell ref="AK23:AR23"/>
    <mergeCell ref="AK37:AN37"/>
    <mergeCell ref="AK47:AN47"/>
    <mergeCell ref="AK60:AN60"/>
    <mergeCell ref="AK71:AN71"/>
    <mergeCell ref="AK82:AN82"/>
    <mergeCell ref="AK22:AV22"/>
    <mergeCell ref="AS23:AT23"/>
    <mergeCell ref="AK97:AN97"/>
    <mergeCell ref="AK35:AP35"/>
    <mergeCell ref="AK45:AP45"/>
    <mergeCell ref="AK58:AP58"/>
    <mergeCell ref="AO24:AP24"/>
    <mergeCell ref="AQ24:AR24"/>
    <mergeCell ref="B115:C115"/>
    <mergeCell ref="B116:C116"/>
    <mergeCell ref="AB80:AE80"/>
    <mergeCell ref="V95:X95"/>
    <mergeCell ref="E122:N122"/>
    <mergeCell ref="B148:C148"/>
    <mergeCell ref="B149:C149"/>
    <mergeCell ref="B150:C150"/>
    <mergeCell ref="B151:D151"/>
    <mergeCell ref="F5:G5"/>
    <mergeCell ref="B139:C139"/>
    <mergeCell ref="B140:C140"/>
    <mergeCell ref="B141:C141"/>
    <mergeCell ref="B142:O142"/>
    <mergeCell ref="B143:C143"/>
    <mergeCell ref="B144:C144"/>
    <mergeCell ref="B145:C145"/>
    <mergeCell ref="B146:C146"/>
    <mergeCell ref="B147:C147"/>
    <mergeCell ref="B130:C130"/>
    <mergeCell ref="B131:D131"/>
    <mergeCell ref="B132:O132"/>
    <mergeCell ref="B133:C133"/>
    <mergeCell ref="B134:C134"/>
    <mergeCell ref="B135:C135"/>
    <mergeCell ref="B136:C136"/>
    <mergeCell ref="B137:C137"/>
    <mergeCell ref="B138:C138"/>
    <mergeCell ref="B120:O120"/>
    <mergeCell ref="B154:O154"/>
    <mergeCell ref="E156:M156"/>
    <mergeCell ref="B157:C157"/>
    <mergeCell ref="B158:C158"/>
    <mergeCell ref="O158:O163"/>
    <mergeCell ref="B159:C159"/>
    <mergeCell ref="B160:C160"/>
    <mergeCell ref="B161:C161"/>
    <mergeCell ref="B162:C162"/>
    <mergeCell ref="B163:D163"/>
    <mergeCell ref="B164:C164"/>
    <mergeCell ref="B165:C165"/>
    <mergeCell ref="B166:D166"/>
    <mergeCell ref="B167:C167"/>
    <mergeCell ref="B168:C168"/>
    <mergeCell ref="B169:C169"/>
    <mergeCell ref="B170:C170"/>
    <mergeCell ref="B171:C171"/>
    <mergeCell ref="B172:C172"/>
    <mergeCell ref="B182:C182"/>
    <mergeCell ref="B183:D183"/>
    <mergeCell ref="B173:C173"/>
    <mergeCell ref="B174:C174"/>
    <mergeCell ref="B175:C175"/>
    <mergeCell ref="B176:C176"/>
    <mergeCell ref="B177:C177"/>
    <mergeCell ref="B178:C178"/>
    <mergeCell ref="B179:C179"/>
    <mergeCell ref="B180:C180"/>
    <mergeCell ref="B181:C181"/>
  </mergeCells>
  <phoneticPr fontId="9" type="noConversion"/>
  <dataValidations count="9">
    <dataValidation type="list" allowBlank="1" showInputMessage="1" showErrorMessage="1" sqref="B13:B18" xr:uid="{00000000-0002-0000-0900-000000000000}">
      <formula1>combustibles</formula1>
    </dataValidation>
    <dataValidation type="list" allowBlank="1" showInputMessage="1" showErrorMessage="1" sqref="B26:B28" xr:uid="{00000000-0002-0000-0900-000001000000}">
      <formula1>biocombustibles</formula1>
    </dataValidation>
    <dataValidation type="list" allowBlank="1" showInputMessage="1" showErrorMessage="1" sqref="B39:B41" xr:uid="{00000000-0002-0000-0900-000002000000}">
      <formula1>vapeur</formula1>
    </dataValidation>
    <dataValidation type="list" allowBlank="1" showInputMessage="1" showErrorMessage="1" sqref="B89:B91" xr:uid="{00000000-0002-0000-0900-000003000000}">
      <formula1>halocarbure_kyoto</formula1>
    </dataValidation>
    <dataValidation type="list" allowBlank="1" showInputMessage="1" showErrorMessage="1" sqref="B99:B101" xr:uid="{00000000-0002-0000-0900-000004000000}">
      <formula1>halocarbure_hors_kyoto</formula1>
    </dataValidation>
    <dataValidation type="list" allowBlank="1" showInputMessage="1" showErrorMessage="1" sqref="B62:B65" xr:uid="{00000000-0002-0000-0900-000005000000}">
      <formula1>electricite_monde</formula1>
    </dataValidation>
    <dataValidation type="list" allowBlank="1" showInputMessage="1" showErrorMessage="1" sqref="B49:B51" xr:uid="{00000000-0002-0000-0900-000006000000}">
      <formula1>froid</formula1>
    </dataValidation>
    <dataValidation allowBlank="1" showInputMessage="1" showErrorMessage="1" sqref="C99:C101 C89:C91 C39:C41 C49:C51 C62:C65" xr:uid="{00000000-0002-0000-0900-000007000000}"/>
    <dataValidation type="list" allowBlank="1" showInputMessage="1" showErrorMessage="1" sqref="F13:F18 F26:F28 F39:F41 F49:F51 F62:F65 F99:F101 F89:F91 F84:F87" xr:uid="{00000000-0002-0000-0900-000008000000}">
      <formula1>Liste_Utilisation</formula1>
    </dataValidation>
  </dataValidations>
  <hyperlinks>
    <hyperlink ref="D4" location="utilisation_haut" display="combustibles" xr:uid="{00000000-0004-0000-0900-000000000000}"/>
    <hyperlink ref="J4" location="utilisation_hors_nrj" display="hors énergie" xr:uid="{00000000-0004-0000-0900-000001000000}"/>
    <hyperlink ref="D5" location="utilisation_recap" display="total" xr:uid="{00000000-0004-0000-0900-000002000000}"/>
    <hyperlink ref="H4" location="utilisation_electricite" display="electricité" xr:uid="{00000000-0004-0000-0900-000003000000}"/>
    <hyperlink ref="F4" location="utilisation_vapeur" display="vapeur et froid" xr:uid="{00000000-0004-0000-0900-000004000000}"/>
    <hyperlink ref="F5" location="utilisation_GHGProtocol" display="GHG Protocol" xr:uid="{00000000-0004-0000-0900-000005000000}"/>
    <hyperlink ref="H5:I5" location="utilisation_ISO14069" display="ISO 14069" xr:uid="{00000000-0004-0000-0900-000006000000}"/>
    <hyperlink ref="B190" r:id="rId1" xr:uid="{00000000-0004-0000-0900-000007000000}"/>
    <hyperlink ref="B189" r:id="rId2" xr:uid="{00000000-0004-0000-0900-000008000000}"/>
  </hyperlinks>
  <pageMargins left="0.78740157499999996" right="0.78740157499999996" top="0.984251969" bottom="0.984251969" header="0.5" footer="0.5"/>
  <pageSetup paperSize="9" orientation="portrait" horizontalDpi="4294967292" verticalDpi="4294967292"/>
  <headerFooter alignWithMargins="0"/>
  <ignoredErrors>
    <ignoredError sqref="D147:D149" twoDigitTextYear="1"/>
  </ignoredErrors>
  <drawing r:id="rId3"/>
  <legacyDrawing r:id="rId4"/>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5">
    <tabColor theme="5"/>
    <outlinePr summaryBelow="0"/>
  </sheetPr>
  <dimension ref="A2:AY223"/>
  <sheetViews>
    <sheetView showGridLines="0" workbookViewId="0">
      <pane xSplit="3" ySplit="6" topLeftCell="D76" activePane="bottomRight" state="frozenSplit"/>
      <selection activeCell="E9" sqref="E9"/>
      <selection pane="topRight" activeCell="E9" sqref="E9"/>
      <selection pane="bottomLeft" activeCell="E9" sqref="E9"/>
      <selection pane="bottomRight" activeCell="K69" sqref="K69"/>
    </sheetView>
  </sheetViews>
  <sheetFormatPr baseColWidth="10" defaultColWidth="10.83203125" defaultRowHeight="12" outlineLevelRow="1" x14ac:dyDescent="0.2"/>
  <cols>
    <col min="1" max="1" width="2.6640625" style="39" customWidth="1"/>
    <col min="2" max="2" width="52.6640625" style="39" customWidth="1"/>
    <col min="3" max="3" width="2.5" style="39" customWidth="1"/>
    <col min="4" max="7" width="12.33203125" style="39" customWidth="1"/>
    <col min="8" max="8" width="14.5" style="39" bestFit="1" customWidth="1"/>
    <col min="9" max="9" width="13.5" style="39" bestFit="1" customWidth="1"/>
    <col min="10" max="36" width="12.33203125" style="39" customWidth="1"/>
    <col min="37" max="48" width="12.33203125" style="729" customWidth="1"/>
    <col min="49" max="52" width="12.33203125" style="39" customWidth="1"/>
    <col min="53" max="16384" width="10.83203125" style="39"/>
  </cols>
  <sheetData>
    <row r="2" spans="2:48" ht="30" customHeight="1" x14ac:dyDescent="0.2">
      <c r="B2" s="1726" t="str">
        <f>Description!C25</f>
        <v>Fine vita</v>
      </c>
      <c r="C2" s="1726"/>
      <c r="D2" s="1726"/>
      <c r="E2" s="1726"/>
      <c r="F2" s="1726"/>
      <c r="G2" s="1726"/>
      <c r="H2" s="1726"/>
      <c r="I2" s="1726"/>
      <c r="J2" s="1726"/>
      <c r="K2" s="1726"/>
      <c r="L2" s="1726"/>
      <c r="M2" s="1726"/>
      <c r="N2" s="1726"/>
      <c r="O2" s="1726"/>
    </row>
    <row r="3" spans="2:48" s="40" customFormat="1" ht="13" x14ac:dyDescent="0.2">
      <c r="AK3" s="602"/>
      <c r="AL3" s="602"/>
      <c r="AM3" s="602"/>
      <c r="AN3" s="602"/>
      <c r="AO3" s="602"/>
      <c r="AP3" s="602"/>
      <c r="AQ3" s="602"/>
      <c r="AR3" s="602"/>
      <c r="AS3" s="602"/>
      <c r="AT3" s="602"/>
      <c r="AU3" s="602"/>
      <c r="AV3" s="602"/>
    </row>
    <row r="4" spans="2:48" s="40" customFormat="1" ht="14" x14ac:dyDescent="0.2">
      <c r="B4" s="119" t="s">
        <v>2531</v>
      </c>
      <c r="C4" s="120"/>
      <c r="D4" s="1797" t="s">
        <v>2049</v>
      </c>
      <c r="E4" s="1797"/>
      <c r="F4" s="1797" t="s">
        <v>2683</v>
      </c>
      <c r="G4" s="1797"/>
      <c r="H4" s="1797" t="s">
        <v>2740</v>
      </c>
      <c r="I4" s="1797"/>
      <c r="J4" s="1797" t="s">
        <v>2684</v>
      </c>
      <c r="K4" s="1797"/>
      <c r="L4" s="104"/>
      <c r="M4" s="104"/>
      <c r="N4" s="104"/>
      <c r="O4" s="105"/>
      <c r="AK4" s="602"/>
      <c r="AL4" s="602"/>
      <c r="AM4" s="602"/>
      <c r="AN4" s="602"/>
      <c r="AO4" s="602"/>
      <c r="AP4" s="602"/>
      <c r="AQ4" s="602"/>
      <c r="AR4" s="602"/>
      <c r="AS4" s="602"/>
      <c r="AT4" s="602"/>
      <c r="AU4" s="602"/>
      <c r="AV4" s="602"/>
    </row>
    <row r="5" spans="2:48" s="40" customFormat="1" ht="14" x14ac:dyDescent="0.2">
      <c r="B5" s="106" t="s">
        <v>71</v>
      </c>
      <c r="C5" s="107"/>
      <c r="D5" s="1798" t="s">
        <v>44</v>
      </c>
      <c r="E5" s="1798"/>
      <c r="F5" s="1798" t="s">
        <v>121</v>
      </c>
      <c r="G5" s="1798"/>
      <c r="H5" s="1798" t="s">
        <v>132</v>
      </c>
      <c r="I5" s="1798"/>
      <c r="J5" s="108"/>
      <c r="K5" s="108"/>
      <c r="L5" s="108"/>
      <c r="M5" s="108"/>
      <c r="N5" s="108"/>
      <c r="O5" s="109"/>
      <c r="AK5" s="602"/>
      <c r="AL5" s="602"/>
      <c r="AM5" s="602"/>
      <c r="AN5" s="602"/>
      <c r="AO5" s="602"/>
      <c r="AP5" s="602"/>
      <c r="AQ5" s="602"/>
      <c r="AR5" s="602"/>
      <c r="AS5" s="602"/>
      <c r="AT5" s="602"/>
      <c r="AU5" s="602"/>
      <c r="AV5" s="602"/>
    </row>
    <row r="6" spans="2:48" s="40" customFormat="1" ht="14" x14ac:dyDescent="0.2">
      <c r="B6" s="41"/>
      <c r="C6" s="41"/>
      <c r="D6" s="41"/>
      <c r="E6" s="41"/>
      <c r="F6" s="41"/>
      <c r="G6" s="41"/>
      <c r="H6" s="32"/>
      <c r="I6" s="32"/>
      <c r="J6" s="32"/>
      <c r="AK6" s="602"/>
      <c r="AL6" s="602"/>
      <c r="AM6" s="602"/>
      <c r="AN6" s="602"/>
      <c r="AO6" s="602"/>
      <c r="AP6" s="602"/>
      <c r="AQ6" s="602"/>
      <c r="AR6" s="602"/>
      <c r="AS6" s="602"/>
      <c r="AT6" s="602"/>
      <c r="AU6" s="602"/>
      <c r="AV6" s="602"/>
    </row>
    <row r="7" spans="2:48" s="40" customFormat="1" ht="16" x14ac:dyDescent="0.2">
      <c r="B7" s="1795" t="s">
        <v>3108</v>
      </c>
      <c r="C7" s="1795"/>
      <c r="D7" s="1795"/>
      <c r="E7" s="1795"/>
      <c r="F7" s="1795"/>
      <c r="G7" s="1795"/>
      <c r="H7" s="1795"/>
      <c r="I7" s="1795"/>
      <c r="J7" s="1795"/>
      <c r="K7" s="1795"/>
      <c r="L7" s="1795"/>
      <c r="M7" s="1795"/>
      <c r="N7" s="1795"/>
      <c r="O7" s="1795"/>
      <c r="AK7" s="602"/>
      <c r="AL7" s="602"/>
      <c r="AM7" s="602"/>
      <c r="AN7" s="602"/>
      <c r="AO7" s="602"/>
      <c r="AP7" s="602"/>
      <c r="AQ7" s="602"/>
      <c r="AR7" s="602"/>
      <c r="AS7" s="602"/>
      <c r="AT7" s="602"/>
      <c r="AU7" s="602"/>
      <c r="AV7" s="602"/>
    </row>
    <row r="8" spans="2:48" s="40" customFormat="1" ht="12.75" customHeight="1" outlineLevel="1" x14ac:dyDescent="0.2">
      <c r="AE8" s="328"/>
      <c r="AF8" s="328"/>
      <c r="AG8" s="328"/>
      <c r="AK8" s="602"/>
      <c r="AL8" s="602"/>
      <c r="AM8" s="602"/>
      <c r="AN8" s="602"/>
      <c r="AO8" s="602"/>
      <c r="AP8" s="602"/>
      <c r="AQ8" s="602"/>
      <c r="AR8" s="602"/>
      <c r="AS8" s="602"/>
      <c r="AT8" s="602"/>
      <c r="AU8" s="602"/>
      <c r="AV8" s="602"/>
    </row>
    <row r="9" spans="2:48" s="42" customFormat="1" ht="12.75" customHeight="1" outlineLevel="1" x14ac:dyDescent="0.2">
      <c r="B9" s="195" t="s">
        <v>3088</v>
      </c>
      <c r="C9" s="196"/>
      <c r="D9" s="198"/>
      <c r="E9" s="198"/>
      <c r="F9" s="198"/>
      <c r="G9" s="198"/>
      <c r="H9" s="198"/>
      <c r="I9" s="198"/>
      <c r="J9" s="198"/>
      <c r="K9" s="198"/>
      <c r="L9" s="198"/>
      <c r="M9" s="198"/>
      <c r="N9" s="198"/>
      <c r="O9" s="198"/>
      <c r="P9" s="198"/>
      <c r="Q9" s="198"/>
      <c r="R9" s="198"/>
      <c r="S9" s="198"/>
      <c r="T9" s="199"/>
      <c r="U9" s="40"/>
      <c r="V9" s="1746" t="s">
        <v>723</v>
      </c>
      <c r="W9" s="1747"/>
      <c r="X9" s="1747"/>
      <c r="Y9" s="1747"/>
      <c r="Z9" s="1748"/>
      <c r="AB9" s="1746" t="s">
        <v>2066</v>
      </c>
      <c r="AC9" s="1747"/>
      <c r="AD9" s="1747"/>
      <c r="AE9" s="1747"/>
      <c r="AF9" s="1747"/>
      <c r="AG9" s="1747"/>
      <c r="AH9" s="1747"/>
      <c r="AI9" s="1748"/>
      <c r="AK9" s="1755" t="s">
        <v>2073</v>
      </c>
      <c r="AL9" s="1756"/>
      <c r="AM9" s="1756"/>
      <c r="AN9" s="1756"/>
      <c r="AO9" s="1756"/>
      <c r="AP9" s="1756"/>
      <c r="AQ9" s="1756"/>
      <c r="AR9" s="1756"/>
      <c r="AS9" s="1756"/>
      <c r="AT9" s="1756"/>
      <c r="AU9" s="1756"/>
      <c r="AV9" s="1757"/>
    </row>
    <row r="10" spans="2:48" s="40" customFormat="1" ht="12.75" customHeight="1" outlineLevel="1" x14ac:dyDescent="0.2">
      <c r="B10" s="200"/>
      <c r="C10" s="201"/>
      <c r="D10" s="503"/>
      <c r="E10" s="503"/>
      <c r="F10" s="503"/>
      <c r="G10" s="201"/>
      <c r="H10" s="201"/>
      <c r="I10" s="201"/>
      <c r="J10" s="201"/>
      <c r="K10" s="201"/>
      <c r="L10" s="201"/>
      <c r="M10" s="201"/>
      <c r="N10" s="201"/>
      <c r="O10" s="201"/>
      <c r="P10" s="201"/>
      <c r="Q10" s="201"/>
      <c r="R10" s="201"/>
      <c r="S10" s="201"/>
      <c r="T10" s="203"/>
      <c r="V10" s="216"/>
      <c r="W10" s="217"/>
      <c r="X10" s="217"/>
      <c r="Y10" s="217"/>
      <c r="Z10" s="218"/>
      <c r="AB10" s="216"/>
      <c r="AC10" s="217"/>
      <c r="AD10" s="217"/>
      <c r="AE10" s="217"/>
      <c r="AF10" s="217"/>
      <c r="AG10" s="217"/>
      <c r="AH10" s="198"/>
      <c r="AI10" s="199"/>
      <c r="AK10" s="1758" t="s">
        <v>61</v>
      </c>
      <c r="AL10" s="1759"/>
      <c r="AM10" s="1759"/>
      <c r="AN10" s="1759"/>
      <c r="AO10" s="1759"/>
      <c r="AP10" s="1759"/>
      <c r="AQ10" s="1759"/>
      <c r="AR10" s="1759"/>
      <c r="AS10" s="1759" t="s">
        <v>61</v>
      </c>
      <c r="AT10" s="1760"/>
      <c r="AU10" s="730"/>
      <c r="AV10" s="731"/>
    </row>
    <row r="11" spans="2:48" s="32" customFormat="1" ht="12.75" customHeight="1" outlineLevel="1" x14ac:dyDescent="0.2">
      <c r="B11" s="507" t="s">
        <v>766</v>
      </c>
      <c r="C11" s="504"/>
      <c r="D11" s="504" t="s">
        <v>56</v>
      </c>
      <c r="E11" s="504" t="s">
        <v>56</v>
      </c>
      <c r="F11" s="205" t="s">
        <v>2055</v>
      </c>
      <c r="G11" s="205" t="s">
        <v>2053</v>
      </c>
      <c r="H11" s="1745" t="s">
        <v>767</v>
      </c>
      <c r="I11" s="1745"/>
      <c r="J11" s="205" t="s">
        <v>2053</v>
      </c>
      <c r="K11" s="1745" t="s">
        <v>769</v>
      </c>
      <c r="L11" s="1745"/>
      <c r="M11" s="205" t="s">
        <v>2053</v>
      </c>
      <c r="N11" s="1745" t="s">
        <v>771</v>
      </c>
      <c r="O11" s="1745"/>
      <c r="P11" s="205" t="s">
        <v>2053</v>
      </c>
      <c r="Q11" s="1745" t="s">
        <v>770</v>
      </c>
      <c r="R11" s="1745"/>
      <c r="S11" s="503" t="s">
        <v>61</v>
      </c>
      <c r="T11" s="509" t="s">
        <v>61</v>
      </c>
      <c r="U11" s="40"/>
      <c r="V11" s="1639" t="s">
        <v>2605</v>
      </c>
      <c r="W11" s="504" t="s">
        <v>2110</v>
      </c>
      <c r="X11" s="504" t="s">
        <v>61</v>
      </c>
      <c r="Y11" s="504" t="s">
        <v>61</v>
      </c>
      <c r="Z11" s="509" t="s">
        <v>61</v>
      </c>
      <c r="AB11" s="507" t="s">
        <v>2065</v>
      </c>
      <c r="AC11" s="504" t="s">
        <v>61</v>
      </c>
      <c r="AD11" s="504" t="s">
        <v>61</v>
      </c>
      <c r="AE11" s="503" t="s">
        <v>61</v>
      </c>
      <c r="AF11" s="504" t="s">
        <v>2558</v>
      </c>
      <c r="AG11" s="504" t="s">
        <v>61</v>
      </c>
      <c r="AH11" s="504" t="s">
        <v>61</v>
      </c>
      <c r="AI11" s="509" t="s">
        <v>61</v>
      </c>
      <c r="AK11" s="1764" t="s">
        <v>14</v>
      </c>
      <c r="AL11" s="1761"/>
      <c r="AM11" s="1761" t="s">
        <v>60</v>
      </c>
      <c r="AN11" s="1761"/>
      <c r="AO11" s="1761" t="s">
        <v>27</v>
      </c>
      <c r="AP11" s="1761"/>
      <c r="AQ11" s="1761" t="s">
        <v>2074</v>
      </c>
      <c r="AR11" s="1761"/>
      <c r="AS11" s="1762" t="s">
        <v>41</v>
      </c>
      <c r="AT11" s="1763"/>
      <c r="AU11" s="1764" t="s">
        <v>85</v>
      </c>
      <c r="AV11" s="1765"/>
    </row>
    <row r="12" spans="2:48" s="32" customFormat="1" ht="12.75" customHeight="1" outlineLevel="1" x14ac:dyDescent="0.2">
      <c r="B12" s="507"/>
      <c r="C12" s="504"/>
      <c r="D12" s="504" t="s">
        <v>61</v>
      </c>
      <c r="E12" s="504" t="s">
        <v>63</v>
      </c>
      <c r="F12" s="208" t="s">
        <v>2741</v>
      </c>
      <c r="G12" s="208" t="s">
        <v>34</v>
      </c>
      <c r="H12" s="506" t="s">
        <v>768</v>
      </c>
      <c r="I12" s="506" t="s">
        <v>24</v>
      </c>
      <c r="J12" s="208" t="s">
        <v>2061</v>
      </c>
      <c r="K12" s="506" t="s">
        <v>768</v>
      </c>
      <c r="L12" s="506" t="s">
        <v>24</v>
      </c>
      <c r="M12" s="208" t="s">
        <v>2059</v>
      </c>
      <c r="N12" s="506" t="s">
        <v>768</v>
      </c>
      <c r="O12" s="506" t="s">
        <v>24</v>
      </c>
      <c r="P12" s="208" t="s">
        <v>15</v>
      </c>
      <c r="Q12" s="506" t="s">
        <v>768</v>
      </c>
      <c r="R12" s="506" t="s">
        <v>24</v>
      </c>
      <c r="S12" s="505" t="s">
        <v>768</v>
      </c>
      <c r="T12" s="274" t="s">
        <v>24</v>
      </c>
      <c r="U12" s="40"/>
      <c r="V12" s="1639" t="s">
        <v>2109</v>
      </c>
      <c r="W12" s="504"/>
      <c r="X12" s="506" t="s">
        <v>768</v>
      </c>
      <c r="Y12" s="506" t="s">
        <v>24</v>
      </c>
      <c r="Z12" s="219" t="s">
        <v>41</v>
      </c>
      <c r="AB12" s="507"/>
      <c r="AC12" s="506" t="s">
        <v>768</v>
      </c>
      <c r="AD12" s="506" t="s">
        <v>24</v>
      </c>
      <c r="AE12" s="223" t="s">
        <v>41</v>
      </c>
      <c r="AF12" s="504"/>
      <c r="AG12" s="506" t="s">
        <v>768</v>
      </c>
      <c r="AH12" s="506" t="s">
        <v>24</v>
      </c>
      <c r="AI12" s="219" t="s">
        <v>41</v>
      </c>
      <c r="AK12" s="732" t="s">
        <v>768</v>
      </c>
      <c r="AL12" s="733" t="s">
        <v>24</v>
      </c>
      <c r="AM12" s="733" t="s">
        <v>768</v>
      </c>
      <c r="AN12" s="733" t="s">
        <v>24</v>
      </c>
      <c r="AO12" s="733" t="s">
        <v>768</v>
      </c>
      <c r="AP12" s="733" t="s">
        <v>24</v>
      </c>
      <c r="AQ12" s="733" t="s">
        <v>768</v>
      </c>
      <c r="AR12" s="733" t="s">
        <v>24</v>
      </c>
      <c r="AS12" s="734" t="s">
        <v>768</v>
      </c>
      <c r="AT12" s="735" t="s">
        <v>24</v>
      </c>
      <c r="AU12" s="732" t="s">
        <v>768</v>
      </c>
      <c r="AV12" s="736" t="s">
        <v>24</v>
      </c>
    </row>
    <row r="13" spans="2:48" s="40" customFormat="1" ht="12.75" customHeight="1" outlineLevel="1" x14ac:dyDescent="0.2">
      <c r="B13" s="200" t="s">
        <v>804</v>
      </c>
      <c r="C13" s="201"/>
      <c r="D13" s="262">
        <f>S13+T13</f>
        <v>0</v>
      </c>
      <c r="E13" s="265">
        <f>D13*12/44</f>
        <v>0</v>
      </c>
      <c r="F13" s="388"/>
      <c r="G13" s="182"/>
      <c r="H13" s="271">
        <f>VLOOKUP($B13,'Emissions factors'!$B$84:$K$147,2,FALSE)</f>
        <v>775.9</v>
      </c>
      <c r="I13" s="271">
        <f>VLOOKUP($B13,'Emissions factors'!$B$84:$K$147,3,FALSE)</f>
        <v>2975.0299999999997</v>
      </c>
      <c r="J13" s="182"/>
      <c r="K13" s="277">
        <f>VLOOKUP($B13,'Emissions factors'!$B$84:$K$147,4,FALSE)</f>
        <v>6.7080000000000001E-2</v>
      </c>
      <c r="L13" s="277">
        <f>VLOOKUP($B13,'Emissions factors'!$B$84:$K$147,5,FALSE)</f>
        <v>0.25615399999999999</v>
      </c>
      <c r="M13" s="182"/>
      <c r="N13" s="271">
        <f>VLOOKUP($B13,'Emissions factors'!$B$84:$K$147,6,FALSE)</f>
        <v>783.2</v>
      </c>
      <c r="O13" s="271">
        <f>VLOOKUP($B13,'Emissions factors'!$B$84:$K$147,7,FALSE)</f>
        <v>2985.1400000000003</v>
      </c>
      <c r="P13" s="182"/>
      <c r="Q13" s="277">
        <f>VLOOKUP($B13,'Emissions factors'!$B$84:$K$147,8,FALSE)</f>
        <v>0.65529999999999988</v>
      </c>
      <c r="R13" s="277">
        <f>VLOOKUP($B13,'Emissions factors'!$B$84:$K$147,9,FALSE)</f>
        <v>2.5111300000000001</v>
      </c>
      <c r="S13" s="210">
        <f>G13*H13+J13*K13+M13*N13+P13*Q13</f>
        <v>0</v>
      </c>
      <c r="T13" s="211">
        <f>G13*I13+J13*L13+M13*O13+P13*R13</f>
        <v>0</v>
      </c>
      <c r="V13" s="282">
        <f>VLOOKUP($B13,'Emissions factors'!$B$84:$K$147,10,FALSE)</f>
        <v>0.1</v>
      </c>
      <c r="W13" s="183"/>
      <c r="X13" s="221">
        <f>S13*SQRT(V13^2+W13^2)</f>
        <v>0</v>
      </c>
      <c r="Y13" s="221">
        <f>T13*SQRT(V13^2+W13^2)</f>
        <v>0</v>
      </c>
      <c r="Z13" s="211">
        <f>SQRT(X13^2+Y13^2)</f>
        <v>0</v>
      </c>
      <c r="AB13" s="184"/>
      <c r="AC13" s="221">
        <f>S13*AB13</f>
        <v>0</v>
      </c>
      <c r="AD13" s="224">
        <f>T13*AB13</f>
        <v>0</v>
      </c>
      <c r="AE13" s="210">
        <f>AC13+AD13</f>
        <v>0</v>
      </c>
      <c r="AF13" s="184"/>
      <c r="AG13" s="221">
        <f>S13*AF13</f>
        <v>0</v>
      </c>
      <c r="AH13" s="224">
        <f>T13*AF13</f>
        <v>0</v>
      </c>
      <c r="AI13" s="211">
        <f>AG13+AH13</f>
        <v>0</v>
      </c>
      <c r="AK13" s="717">
        <f>G13*VLOOKUP($B13,'Emissions factors'!$B$84:$AQ$147,11,FALSE)+J13*VLOOKUP($B13,'Emissions factors'!$B$84:$AQ$147,13,FALSE)+M13*VLOOKUP($B13,'Emissions factors'!$B$84:$AQ$147,15,FALSE)+P13*VLOOKUP($B13,'Emissions factors'!$B$84:$AQ$147,17,FALSE)</f>
        <v>0</v>
      </c>
      <c r="AL13" s="718">
        <f>G13*VLOOKUP($B13,'Emissions factors'!$B$84:$AQ$147,12,FALSE)+J13*VLOOKUP($B13,'Emissions factors'!$B$84:$AQ$147,14,FALSE)+M13*VLOOKUP($B13,'Emissions factors'!$B$84:$AQ$147,16,FALSE)+P13*VLOOKUP($B13,'Emissions factors'!$B$84:$AQ$147,18,FALSE)</f>
        <v>0</v>
      </c>
      <c r="AM13" s="718">
        <f>G13*VLOOKUP($B13,'Emissions factors'!$B$84:$AQ$147,19,FALSE)+J13*VLOOKUP($B13,'Emissions factors'!$B$84:$AQ$147,21,FALSE)+M13*VLOOKUP($B13,'Emissions factors'!$B$84:$AQ$147,23,FALSE)+P13*VLOOKUP($B13,'Emissions factors'!$B$84:$AQ$147,25,FALSE)</f>
        <v>0</v>
      </c>
      <c r="AN13" s="718">
        <f>G13*VLOOKUP($B13,'Emissions factors'!$B$84:$AQ$147,20,FALSE)+J13*VLOOKUP($B13,'Emissions factors'!$B$84:$AQ$147,22,FALSE)+M13*VLOOKUP($B13,'Emissions factors'!$B$84:$AQ$147,24,FALSE)+P13*VLOOKUP($B13,'Emissions factors'!$B$84:$AQ$147,26,FALSE)</f>
        <v>0</v>
      </c>
      <c r="AO13" s="718">
        <f>G13*VLOOKUP($B13,'Emissions factors'!$B$84:$AQ$147,27,FALSE)+J13*VLOOKUP($B13,'Emissions factors'!$B$84:$AQ$147,29,FALSE)+M13*VLOOKUP($B13,'Emissions factors'!$B$84:$AQ$147,31,FALSE)+P13*VLOOKUP($B13,'Emissions factors'!$B$84:$AQ$147,33,FALSE)</f>
        <v>0</v>
      </c>
      <c r="AP13" s="718">
        <f>G13*VLOOKUP($B13,'Emissions factors'!$B$84:$AQ$147,28,FALSE)+J13*VLOOKUP($B13,'Emissions factors'!$B$84:$AQ$147,30,FALSE)+M13*VLOOKUP($B13,'Emissions factors'!$B$84:$AQ$147,32,FALSE)+P13*VLOOKUP($B13,'Emissions factors'!$B$84:$AQ$147,34,FALSE)</f>
        <v>0</v>
      </c>
      <c r="AQ13" s="718">
        <v>0</v>
      </c>
      <c r="AR13" s="718">
        <v>0</v>
      </c>
      <c r="AS13" s="719">
        <f t="shared" ref="AS13:AT15" si="0">S13</f>
        <v>0</v>
      </c>
      <c r="AT13" s="720">
        <f t="shared" si="0"/>
        <v>0</v>
      </c>
      <c r="AU13" s="718">
        <f>G13*VLOOKUP($B13,'Emissions factors'!$B$84:$AQ$147,35,FALSE)+J13*VLOOKUP($B13,'Emissions factors'!$B$84:$AQ$147,37,FALSE)+M13*VLOOKUP($B13,'Emissions factors'!$B$84:$AQ$147,39,FALSE)+P13*VLOOKUP($B13,'Emissions factors'!$B$84:$AQ$147,41,FALSE)</f>
        <v>0</v>
      </c>
      <c r="AV13" s="721">
        <f>G13*VLOOKUP($B13,'Emissions factors'!$B$84:$AQ$147,36,FALSE)+J13*VLOOKUP($B13,'Emissions factors'!$B$84:$AQ$147,38,FALSE)+M13*VLOOKUP($B13,'Emissions factors'!$B$84:$AQ$147,40,FALSE)+P13*VLOOKUP($B13,'Emissions factors'!$B$84:$AQ$147,42,FALSE)</f>
        <v>0</v>
      </c>
    </row>
    <row r="14" spans="2:48" s="40" customFormat="1" ht="12.75" customHeight="1" outlineLevel="1" x14ac:dyDescent="0.2">
      <c r="B14" s="200" t="s">
        <v>795</v>
      </c>
      <c r="C14" s="201"/>
      <c r="D14" s="262">
        <f>S14+T14</f>
        <v>0</v>
      </c>
      <c r="E14" s="265">
        <f>D14*12/44</f>
        <v>0</v>
      </c>
      <c r="F14" s="389"/>
      <c r="G14" s="185"/>
      <c r="H14" s="271">
        <f>VLOOKUP($B14,'Emissions factors'!$B$84:$K$147,2,FALSE)</f>
        <v>1439.8</v>
      </c>
      <c r="I14" s="271">
        <f>VLOOKUP($B14,'Emissions factors'!$B$84:$K$147,3,FALSE)</f>
        <v>489.88</v>
      </c>
      <c r="J14" s="185"/>
      <c r="K14" s="277">
        <f>VLOOKUP($B14,'Emissions factors'!$B$84:$K$147,4,FALSE)</f>
        <v>0.17040000000000002</v>
      </c>
      <c r="L14" s="277">
        <f>VLOOKUP($B14,'Emissions factors'!$B$84:$K$147,5,FALSE)</f>
        <v>5.7926999999999999E-2</v>
      </c>
      <c r="M14" s="185"/>
      <c r="N14" s="271">
        <f>VLOOKUP($B14,'Emissions factors'!$B$84:$K$147,6,FALSE)</f>
        <v>1987.7</v>
      </c>
      <c r="O14" s="271">
        <f>VLOOKUP($B14,'Emissions factors'!$B$84:$K$147,7,FALSE)</f>
        <v>675.89</v>
      </c>
      <c r="P14" s="185"/>
      <c r="Q14" s="277">
        <f>VLOOKUP($B14,'Emissions factors'!$B$84:$K$147,8,FALSE)</f>
        <v>1.0875999999999999</v>
      </c>
      <c r="R14" s="277">
        <f>VLOOKUP($B14,'Emissions factors'!$B$84:$K$147,9,FALSE)</f>
        <v>0.36995999999999996</v>
      </c>
      <c r="S14" s="210">
        <f>G14*H14+J14*K14+M14*N14+P14*Q14</f>
        <v>0</v>
      </c>
      <c r="T14" s="211">
        <f>G14*I14+J14*L14+M14*O14+P14*R14</f>
        <v>0</v>
      </c>
      <c r="V14" s="282">
        <f>VLOOKUP($B14,'Emissions factors'!$B$84:$K$147,10,FALSE)</f>
        <v>0.05</v>
      </c>
      <c r="W14" s="186"/>
      <c r="X14" s="221">
        <f>S14*SQRT(V14^2+W14^2)</f>
        <v>0</v>
      </c>
      <c r="Y14" s="221">
        <f>T14*SQRT(V14^2+W14^2)</f>
        <v>0</v>
      </c>
      <c r="Z14" s="211">
        <f>SQRT(X14^2+Y14^2)</f>
        <v>0</v>
      </c>
      <c r="AB14" s="187"/>
      <c r="AC14" s="221">
        <f>S14*AB14</f>
        <v>0</v>
      </c>
      <c r="AD14" s="224">
        <f>T14*AB14</f>
        <v>0</v>
      </c>
      <c r="AE14" s="210">
        <f>AC14+AD14</f>
        <v>0</v>
      </c>
      <c r="AF14" s="187"/>
      <c r="AG14" s="221">
        <f>S14*AF14</f>
        <v>0</v>
      </c>
      <c r="AH14" s="224">
        <f>T14*AF14</f>
        <v>0</v>
      </c>
      <c r="AI14" s="211">
        <f>AG14+AH14</f>
        <v>0</v>
      </c>
      <c r="AK14" s="717">
        <f>G14*VLOOKUP($B14,'Emissions factors'!$B$84:$AQ$147,11,FALSE)+J14*VLOOKUP($B14,'Emissions factors'!$B$84:$AQ$147,13,FALSE)+M14*VLOOKUP($B14,'Emissions factors'!$B$84:$AQ$147,15,FALSE)+P14*VLOOKUP($B14,'Emissions factors'!$B$84:$AQ$147,17,FALSE)</f>
        <v>0</v>
      </c>
      <c r="AL14" s="718">
        <f>G14*VLOOKUP($B14,'Emissions factors'!$B$84:$AQ$147,12,FALSE)+J14*VLOOKUP($B14,'Emissions factors'!$B$84:$AQ$147,14,FALSE)+M14*VLOOKUP($B14,'Emissions factors'!$B$84:$AQ$147,16,FALSE)+P14*VLOOKUP($B14,'Emissions factors'!$B$84:$AQ$147,18,FALSE)</f>
        <v>0</v>
      </c>
      <c r="AM14" s="718">
        <f>G14*VLOOKUP($B14,'Emissions factors'!$B$84:$AQ$147,19,FALSE)+J14*VLOOKUP($B14,'Emissions factors'!$B$84:$AQ$147,21,FALSE)+M14*VLOOKUP($B14,'Emissions factors'!$B$84:$AQ$147,23,FALSE)+P14*VLOOKUP($B14,'Emissions factors'!$B$84:$AQ$147,25,FALSE)</f>
        <v>0</v>
      </c>
      <c r="AN14" s="718">
        <f>G14*VLOOKUP($B14,'Emissions factors'!$B$84:$AQ$147,20,FALSE)+J14*VLOOKUP($B14,'Emissions factors'!$B$84:$AQ$147,22,FALSE)+M14*VLOOKUP($B14,'Emissions factors'!$B$84:$AQ$147,24,FALSE)+P14*VLOOKUP($B14,'Emissions factors'!$B$84:$AQ$147,26,FALSE)</f>
        <v>0</v>
      </c>
      <c r="AO14" s="718">
        <f>G14*VLOOKUP($B14,'Emissions factors'!$B$84:$AQ$147,27,FALSE)+J14*VLOOKUP($B14,'Emissions factors'!$B$84:$AQ$147,29,FALSE)+M14*VLOOKUP($B14,'Emissions factors'!$B$84:$AQ$147,31,FALSE)+P14*VLOOKUP($B14,'Emissions factors'!$B$84:$AQ$147,33,FALSE)</f>
        <v>0</v>
      </c>
      <c r="AP14" s="718">
        <f>G14*VLOOKUP($B14,'Emissions factors'!$B$84:$AQ$147,28,FALSE)+J14*VLOOKUP($B14,'Emissions factors'!$B$84:$AQ$147,30,FALSE)+M14*VLOOKUP($B14,'Emissions factors'!$B$84:$AQ$147,32,FALSE)+P14*VLOOKUP($B14,'Emissions factors'!$B$84:$AQ$147,34,FALSE)</f>
        <v>0</v>
      </c>
      <c r="AQ14" s="718">
        <v>0</v>
      </c>
      <c r="AR14" s="718">
        <v>0</v>
      </c>
      <c r="AS14" s="719">
        <f t="shared" si="0"/>
        <v>0</v>
      </c>
      <c r="AT14" s="720">
        <f t="shared" si="0"/>
        <v>0</v>
      </c>
      <c r="AU14" s="718">
        <f>G14*VLOOKUP($B14,'Emissions factors'!$B$84:$AQ$147,35,FALSE)+J14*VLOOKUP($B14,'Emissions factors'!$B$84:$AQ$147,37,FALSE)+M14*VLOOKUP($B14,'Emissions factors'!$B$84:$AQ$147,39,FALSE)+P14*VLOOKUP($B14,'Emissions factors'!$B$84:$AQ$147,41,FALSE)</f>
        <v>0</v>
      </c>
      <c r="AV14" s="721">
        <f>G14*VLOOKUP($B14,'Emissions factors'!$B$84:$AQ$147,36,FALSE)+J14*VLOOKUP($B14,'Emissions factors'!$B$84:$AQ$147,38,FALSE)+M14*VLOOKUP($B14,'Emissions factors'!$B$84:$AQ$147,40,FALSE)+P14*VLOOKUP($B14,'Emissions factors'!$B$84:$AQ$147,42,FALSE)</f>
        <v>0</v>
      </c>
    </row>
    <row r="15" spans="2:48" s="40" customFormat="1" ht="12.75" customHeight="1" outlineLevel="1" x14ac:dyDescent="0.2">
      <c r="B15" s="200" t="s">
        <v>796</v>
      </c>
      <c r="C15" s="201"/>
      <c r="D15" s="262">
        <f>S15+T15</f>
        <v>0</v>
      </c>
      <c r="E15" s="265">
        <f>D15*12/44</f>
        <v>0</v>
      </c>
      <c r="F15" s="390"/>
      <c r="G15" s="188"/>
      <c r="H15" s="271">
        <f>VLOOKUP($B15,'Emissions factors'!$B$84:$K$147,2,FALSE)</f>
        <v>707.3</v>
      </c>
      <c r="I15" s="271">
        <f>VLOOKUP($B15,'Emissions factors'!$B$84:$K$147,3,FALSE)</f>
        <v>3008.5</v>
      </c>
      <c r="J15" s="188"/>
      <c r="K15" s="277">
        <f>VLOOKUP($B15,'Emissions factors'!$B$84:$K$147,4,FALSE)</f>
        <v>6.0859999999999997E-2</v>
      </c>
      <c r="L15" s="277">
        <f>VLOOKUP($B15,'Emissions factors'!$B$84:$K$147,5,FALSE)</f>
        <v>0.25307999999999997</v>
      </c>
      <c r="M15" s="188"/>
      <c r="N15" s="271">
        <f>VLOOKUP($B15,'Emissions factors'!$B$84:$K$147,6,FALSE)</f>
        <v>694.7</v>
      </c>
      <c r="O15" s="271">
        <f>VLOOKUP($B15,'Emissions factors'!$B$84:$K$147,7,FALSE)</f>
        <v>2957.6</v>
      </c>
      <c r="P15" s="188"/>
      <c r="Q15" s="277">
        <f>VLOOKUP($B15,'Emissions factors'!$B$84:$K$147,8,FALSE)</f>
        <v>0.53329999999999989</v>
      </c>
      <c r="R15" s="277">
        <f>VLOOKUP($B15,'Emissions factors'!$B$84:$K$147,9,FALSE)</f>
        <v>2.2637</v>
      </c>
      <c r="S15" s="210">
        <f>G15*H15+J15*K15+M15*N15+P15*Q15</f>
        <v>0</v>
      </c>
      <c r="T15" s="211">
        <f>G15*I15+J15*L15+M15*O15+P15*R15</f>
        <v>0</v>
      </c>
      <c r="V15" s="282">
        <f>VLOOKUP($B15,'Emissions factors'!$B$84:$K$147,10,FALSE)</f>
        <v>0.05</v>
      </c>
      <c r="W15" s="189"/>
      <c r="X15" s="221">
        <f>S15*SQRT(V15^2+W15^2)</f>
        <v>0</v>
      </c>
      <c r="Y15" s="221">
        <f>T15*SQRT(V15^2+W15^2)</f>
        <v>0</v>
      </c>
      <c r="Z15" s="211">
        <f>SQRT(X15^2+Y15^2)</f>
        <v>0</v>
      </c>
      <c r="AB15" s="190"/>
      <c r="AC15" s="221">
        <f>S15*AB15</f>
        <v>0</v>
      </c>
      <c r="AD15" s="224">
        <f>T15*AB15</f>
        <v>0</v>
      </c>
      <c r="AE15" s="210">
        <f>AC15+AD15</f>
        <v>0</v>
      </c>
      <c r="AF15" s="190"/>
      <c r="AG15" s="221">
        <f>S15*AF15</f>
        <v>0</v>
      </c>
      <c r="AH15" s="224">
        <f>T15*AF15</f>
        <v>0</v>
      </c>
      <c r="AI15" s="211">
        <f>AG15+AH15</f>
        <v>0</v>
      </c>
      <c r="AK15" s="717">
        <f>G15*VLOOKUP($B15,'Emissions factors'!$B$84:$AQ$147,11,FALSE)+J15*VLOOKUP($B15,'Emissions factors'!$B$84:$AQ$147,13,FALSE)+M15*VLOOKUP($B15,'Emissions factors'!$B$84:$AQ$147,15,FALSE)+P15*VLOOKUP($B15,'Emissions factors'!$B$84:$AQ$147,17,FALSE)</f>
        <v>0</v>
      </c>
      <c r="AL15" s="718">
        <f>G15*VLOOKUP($B15,'Emissions factors'!$B$84:$AQ$147,12,FALSE)+J15*VLOOKUP($B15,'Emissions factors'!$B$84:$AQ$147,14,FALSE)+M15*VLOOKUP($B15,'Emissions factors'!$B$84:$AQ$147,16,FALSE)+P15*VLOOKUP($B15,'Emissions factors'!$B$84:$AQ$147,18,FALSE)</f>
        <v>0</v>
      </c>
      <c r="AM15" s="718">
        <f>G15*VLOOKUP($B15,'Emissions factors'!$B$84:$AQ$147,19,FALSE)+J15*VLOOKUP($B15,'Emissions factors'!$B$84:$AQ$147,21,FALSE)+M15*VLOOKUP($B15,'Emissions factors'!$B$84:$AQ$147,23,FALSE)+P15*VLOOKUP($B15,'Emissions factors'!$B$84:$AQ$147,25,FALSE)</f>
        <v>0</v>
      </c>
      <c r="AN15" s="718">
        <f>G15*VLOOKUP($B15,'Emissions factors'!$B$84:$AQ$147,20,FALSE)+J15*VLOOKUP($B15,'Emissions factors'!$B$84:$AQ$147,22,FALSE)+M15*VLOOKUP($B15,'Emissions factors'!$B$84:$AQ$147,24,FALSE)+P15*VLOOKUP($B15,'Emissions factors'!$B$84:$AQ$147,26,FALSE)</f>
        <v>0</v>
      </c>
      <c r="AO15" s="718">
        <f>G15*VLOOKUP($B15,'Emissions factors'!$B$84:$AQ$147,27,FALSE)+J15*VLOOKUP($B15,'Emissions factors'!$B$84:$AQ$147,29,FALSE)+M15*VLOOKUP($B15,'Emissions factors'!$B$84:$AQ$147,31,FALSE)+P15*VLOOKUP($B15,'Emissions factors'!$B$84:$AQ$147,33,FALSE)</f>
        <v>0</v>
      </c>
      <c r="AP15" s="718">
        <f>G15*VLOOKUP($B15,'Emissions factors'!$B$84:$AQ$147,28,FALSE)+J15*VLOOKUP($B15,'Emissions factors'!$B$84:$AQ$147,30,FALSE)+M15*VLOOKUP($B15,'Emissions factors'!$B$84:$AQ$147,32,FALSE)+P15*VLOOKUP($B15,'Emissions factors'!$B$84:$AQ$147,34,FALSE)</f>
        <v>0</v>
      </c>
      <c r="AQ15" s="718">
        <v>0</v>
      </c>
      <c r="AR15" s="718">
        <v>0</v>
      </c>
      <c r="AS15" s="719">
        <f t="shared" si="0"/>
        <v>0</v>
      </c>
      <c r="AT15" s="720">
        <f t="shared" si="0"/>
        <v>0</v>
      </c>
      <c r="AU15" s="718">
        <f>G15*VLOOKUP($B15,'Emissions factors'!$B$84:$AQ$147,35,FALSE)+J15*VLOOKUP($B15,'Emissions factors'!$B$84:$AQ$147,37,FALSE)+M15*VLOOKUP($B15,'Emissions factors'!$B$84:$AQ$147,39,FALSE)+P15*VLOOKUP($B15,'Emissions factors'!$B$84:$AQ$147,41,FALSE)</f>
        <v>0</v>
      </c>
      <c r="AV15" s="721">
        <f>G15*VLOOKUP($B15,'Emissions factors'!$B$84:$AQ$147,36,FALSE)+J15*VLOOKUP($B15,'Emissions factors'!$B$84:$AQ$147,38,FALSE)+M15*VLOOKUP($B15,'Emissions factors'!$B$84:$AQ$147,40,FALSE)+P15*VLOOKUP($B15,'Emissions factors'!$B$84:$AQ$147,42,FALSE)</f>
        <v>0</v>
      </c>
    </row>
    <row r="16" spans="2:48" s="40" customFormat="1" ht="12.75" customHeight="1" outlineLevel="1" x14ac:dyDescent="0.2">
      <c r="B16" s="200"/>
      <c r="C16" s="201"/>
      <c r="D16" s="263"/>
      <c r="E16" s="266"/>
      <c r="F16" s="201"/>
      <c r="G16" s="201"/>
      <c r="H16" s="201"/>
      <c r="I16" s="201"/>
      <c r="J16" s="201"/>
      <c r="K16" s="201"/>
      <c r="L16" s="201"/>
      <c r="M16" s="201"/>
      <c r="N16" s="201"/>
      <c r="O16" s="201"/>
      <c r="P16" s="201"/>
      <c r="Q16" s="201"/>
      <c r="R16" s="201"/>
      <c r="S16" s="201"/>
      <c r="T16" s="211"/>
      <c r="V16" s="200"/>
      <c r="W16" s="201"/>
      <c r="X16" s="201"/>
      <c r="Y16" s="221"/>
      <c r="Z16" s="222"/>
      <c r="AB16" s="200"/>
      <c r="AC16" s="201"/>
      <c r="AD16" s="504"/>
      <c r="AE16" s="503"/>
      <c r="AF16" s="201"/>
      <c r="AG16" s="201"/>
      <c r="AH16" s="221"/>
      <c r="AI16" s="211"/>
      <c r="AK16" s="717"/>
      <c r="AL16" s="718"/>
      <c r="AM16" s="718"/>
      <c r="AN16" s="718"/>
      <c r="AO16" s="718"/>
      <c r="AP16" s="718"/>
      <c r="AQ16" s="718"/>
      <c r="AR16" s="718"/>
      <c r="AS16" s="719"/>
      <c r="AT16" s="720"/>
      <c r="AU16" s="722"/>
      <c r="AV16" s="723"/>
    </row>
    <row r="17" spans="1:48" s="40" customFormat="1" ht="12.75" customHeight="1" outlineLevel="1" x14ac:dyDescent="0.2">
      <c r="B17" s="253" t="s">
        <v>44</v>
      </c>
      <c r="C17" s="254"/>
      <c r="D17" s="264">
        <f>SUM(D13:D16)</f>
        <v>0</v>
      </c>
      <c r="E17" s="267">
        <f>SUM(E13:E16)</f>
        <v>0</v>
      </c>
      <c r="F17" s="255"/>
      <c r="G17" s="256"/>
      <c r="H17" s="256"/>
      <c r="I17" s="256"/>
      <c r="J17" s="256"/>
      <c r="K17" s="256"/>
      <c r="L17" s="256"/>
      <c r="M17" s="256"/>
      <c r="N17" s="256"/>
      <c r="O17" s="256"/>
      <c r="P17" s="256"/>
      <c r="Q17" s="256"/>
      <c r="R17" s="256"/>
      <c r="S17" s="259">
        <f>SUM(S13:S16)</f>
        <v>0</v>
      </c>
      <c r="T17" s="257">
        <f>SUM(T13:T16)</f>
        <v>0</v>
      </c>
      <c r="V17" s="258"/>
      <c r="W17" s="256"/>
      <c r="X17" s="260">
        <f>SQRT(SUMSQ(X13:X16))</f>
        <v>0</v>
      </c>
      <c r="Y17" s="260">
        <f>SQRT(SUMSQ(Y13:Y16))</f>
        <v>0</v>
      </c>
      <c r="Z17" s="257">
        <f>SQRT(SUMSQ(Z13:Z16))</f>
        <v>0</v>
      </c>
      <c r="AB17" s="258"/>
      <c r="AC17" s="260">
        <f>SUM(AC13:AC16)</f>
        <v>0</v>
      </c>
      <c r="AD17" s="260">
        <f>SUM(AD13:AD16)</f>
        <v>0</v>
      </c>
      <c r="AE17" s="259">
        <f>SUM(AE13:AE16)</f>
        <v>0</v>
      </c>
      <c r="AF17" s="256"/>
      <c r="AG17" s="260">
        <f>SUM(AG13:AG16)</f>
        <v>0</v>
      </c>
      <c r="AH17" s="260">
        <f>SUM(AH13:AH16)</f>
        <v>0</v>
      </c>
      <c r="AI17" s="257">
        <f>SUM(AI13:AI16)</f>
        <v>0</v>
      </c>
      <c r="AK17" s="724">
        <f t="shared" ref="AK17:AV17" si="1">SUM(AK13:AK16)</f>
        <v>0</v>
      </c>
      <c r="AL17" s="725">
        <f t="shared" si="1"/>
        <v>0</v>
      </c>
      <c r="AM17" s="725">
        <f t="shared" si="1"/>
        <v>0</v>
      </c>
      <c r="AN17" s="725">
        <f t="shared" si="1"/>
        <v>0</v>
      </c>
      <c r="AO17" s="725">
        <f t="shared" si="1"/>
        <v>0</v>
      </c>
      <c r="AP17" s="725">
        <f t="shared" si="1"/>
        <v>0</v>
      </c>
      <c r="AQ17" s="725">
        <f t="shared" si="1"/>
        <v>0</v>
      </c>
      <c r="AR17" s="725">
        <f t="shared" si="1"/>
        <v>0</v>
      </c>
      <c r="AS17" s="726">
        <f t="shared" si="1"/>
        <v>0</v>
      </c>
      <c r="AT17" s="727">
        <f t="shared" si="1"/>
        <v>0</v>
      </c>
      <c r="AU17" s="724">
        <f t="shared" si="1"/>
        <v>0</v>
      </c>
      <c r="AV17" s="728">
        <f t="shared" si="1"/>
        <v>0</v>
      </c>
    </row>
    <row r="18" spans="1:48" s="40" customFormat="1" ht="12.75" customHeight="1" outlineLevel="1" x14ac:dyDescent="0.2">
      <c r="AK18" s="602"/>
      <c r="AL18" s="602"/>
      <c r="AM18" s="602"/>
      <c r="AN18" s="602"/>
      <c r="AO18" s="602"/>
      <c r="AP18" s="602"/>
      <c r="AQ18" s="602"/>
      <c r="AR18" s="602"/>
      <c r="AS18" s="602"/>
      <c r="AT18" s="602"/>
      <c r="AU18" s="602"/>
      <c r="AV18" s="602"/>
    </row>
    <row r="19" spans="1:48" s="40" customFormat="1" ht="12.75" customHeight="1" outlineLevel="1" x14ac:dyDescent="0.2">
      <c r="B19" s="195" t="s">
        <v>3109</v>
      </c>
      <c r="C19" s="196"/>
      <c r="D19" s="198"/>
      <c r="E19" s="198"/>
      <c r="F19" s="198"/>
      <c r="G19" s="198"/>
      <c r="H19" s="198"/>
      <c r="I19" s="198"/>
      <c r="J19" s="198"/>
      <c r="K19" s="198"/>
      <c r="L19" s="198"/>
      <c r="M19" s="198"/>
      <c r="N19" s="198"/>
      <c r="O19" s="198"/>
      <c r="P19" s="198"/>
      <c r="Q19" s="198"/>
      <c r="R19" s="198"/>
      <c r="S19" s="198"/>
      <c r="T19" s="199"/>
      <c r="V19" s="1746" t="s">
        <v>723</v>
      </c>
      <c r="W19" s="1747"/>
      <c r="X19" s="1747"/>
      <c r="Y19" s="1747"/>
      <c r="Z19" s="1748"/>
      <c r="AA19" s="42"/>
      <c r="AB19" s="1746" t="s">
        <v>2066</v>
      </c>
      <c r="AC19" s="1747"/>
      <c r="AD19" s="1747"/>
      <c r="AE19" s="1747"/>
      <c r="AF19" s="1747"/>
      <c r="AG19" s="1747"/>
      <c r="AH19" s="1747"/>
      <c r="AI19" s="1748"/>
      <c r="AK19" s="1755" t="s">
        <v>2073</v>
      </c>
      <c r="AL19" s="1756"/>
      <c r="AM19" s="1756"/>
      <c r="AN19" s="1756"/>
      <c r="AO19" s="1756"/>
      <c r="AP19" s="1756"/>
      <c r="AQ19" s="1756"/>
      <c r="AR19" s="1756"/>
      <c r="AS19" s="1756"/>
      <c r="AT19" s="1756"/>
      <c r="AU19" s="1756"/>
      <c r="AV19" s="1757"/>
    </row>
    <row r="20" spans="1:48" s="40" customFormat="1" ht="12.75" customHeight="1" outlineLevel="1" x14ac:dyDescent="0.2">
      <c r="B20" s="200"/>
      <c r="C20" s="201"/>
      <c r="D20" s="503"/>
      <c r="E20" s="503"/>
      <c r="F20" s="503"/>
      <c r="G20" s="201"/>
      <c r="H20" s="201"/>
      <c r="I20" s="201"/>
      <c r="J20" s="201"/>
      <c r="K20" s="201"/>
      <c r="L20" s="201"/>
      <c r="M20" s="201"/>
      <c r="N20" s="201"/>
      <c r="O20" s="201"/>
      <c r="P20" s="201"/>
      <c r="Q20" s="201"/>
      <c r="R20" s="201"/>
      <c r="S20" s="201"/>
      <c r="T20" s="203"/>
      <c r="V20" s="216"/>
      <c r="W20" s="217"/>
      <c r="X20" s="217"/>
      <c r="Y20" s="217"/>
      <c r="Z20" s="218"/>
      <c r="AB20" s="216"/>
      <c r="AC20" s="217"/>
      <c r="AD20" s="217"/>
      <c r="AE20" s="217"/>
      <c r="AF20" s="217"/>
      <c r="AG20" s="217"/>
      <c r="AH20" s="198"/>
      <c r="AI20" s="199"/>
      <c r="AK20" s="1758" t="s">
        <v>61</v>
      </c>
      <c r="AL20" s="1759"/>
      <c r="AM20" s="1759"/>
      <c r="AN20" s="1759"/>
      <c r="AO20" s="1759"/>
      <c r="AP20" s="1759"/>
      <c r="AQ20" s="1759"/>
      <c r="AR20" s="1759"/>
      <c r="AS20" s="1759" t="s">
        <v>61</v>
      </c>
      <c r="AT20" s="1760"/>
      <c r="AU20" s="730"/>
      <c r="AV20" s="731"/>
    </row>
    <row r="21" spans="1:48" s="32" customFormat="1" ht="12.75" customHeight="1" outlineLevel="1" x14ac:dyDescent="0.2">
      <c r="A21" s="40"/>
      <c r="B21" s="507" t="s">
        <v>766</v>
      </c>
      <c r="C21" s="504"/>
      <c r="D21" s="504" t="s">
        <v>56</v>
      </c>
      <c r="E21" s="504" t="s">
        <v>56</v>
      </c>
      <c r="F21" s="205" t="s">
        <v>2055</v>
      </c>
      <c r="G21" s="205" t="s">
        <v>2053</v>
      </c>
      <c r="H21" s="1745" t="s">
        <v>767</v>
      </c>
      <c r="I21" s="1745"/>
      <c r="J21" s="205" t="s">
        <v>2053</v>
      </c>
      <c r="K21" s="1745" t="s">
        <v>769</v>
      </c>
      <c r="L21" s="1745"/>
      <c r="M21" s="205" t="s">
        <v>2053</v>
      </c>
      <c r="N21" s="1745" t="s">
        <v>771</v>
      </c>
      <c r="O21" s="1745"/>
      <c r="P21" s="205" t="s">
        <v>2053</v>
      </c>
      <c r="Q21" s="1745" t="s">
        <v>770</v>
      </c>
      <c r="R21" s="1745"/>
      <c r="S21" s="503" t="s">
        <v>61</v>
      </c>
      <c r="T21" s="509" t="s">
        <v>61</v>
      </c>
      <c r="V21" s="1639" t="s">
        <v>2605</v>
      </c>
      <c r="W21" s="504" t="s">
        <v>2110</v>
      </c>
      <c r="X21" s="504" t="s">
        <v>61</v>
      </c>
      <c r="Y21" s="504" t="s">
        <v>61</v>
      </c>
      <c r="Z21" s="509" t="s">
        <v>61</v>
      </c>
      <c r="AB21" s="507" t="s">
        <v>2065</v>
      </c>
      <c r="AC21" s="504" t="s">
        <v>61</v>
      </c>
      <c r="AD21" s="504" t="s">
        <v>61</v>
      </c>
      <c r="AE21" s="503" t="s">
        <v>61</v>
      </c>
      <c r="AF21" s="504" t="s">
        <v>2558</v>
      </c>
      <c r="AG21" s="504" t="s">
        <v>61</v>
      </c>
      <c r="AH21" s="504" t="s">
        <v>61</v>
      </c>
      <c r="AI21" s="509" t="s">
        <v>61</v>
      </c>
      <c r="AK21" s="1764" t="s">
        <v>14</v>
      </c>
      <c r="AL21" s="1761"/>
      <c r="AM21" s="1761" t="s">
        <v>60</v>
      </c>
      <c r="AN21" s="1761"/>
      <c r="AO21" s="1761" t="s">
        <v>27</v>
      </c>
      <c r="AP21" s="1761"/>
      <c r="AQ21" s="1761" t="s">
        <v>2074</v>
      </c>
      <c r="AR21" s="1761"/>
      <c r="AS21" s="1762" t="s">
        <v>41</v>
      </c>
      <c r="AT21" s="1763"/>
      <c r="AU21" s="1764" t="s">
        <v>85</v>
      </c>
      <c r="AV21" s="1765"/>
    </row>
    <row r="22" spans="1:48" s="32" customFormat="1" ht="12.75" customHeight="1" outlineLevel="1" x14ac:dyDescent="0.2">
      <c r="A22" s="40"/>
      <c r="B22" s="507"/>
      <c r="C22" s="504"/>
      <c r="D22" s="504" t="s">
        <v>61</v>
      </c>
      <c r="E22" s="504" t="s">
        <v>63</v>
      </c>
      <c r="F22" s="208" t="s">
        <v>2741</v>
      </c>
      <c r="G22" s="212" t="s">
        <v>34</v>
      </c>
      <c r="H22" s="506" t="s">
        <v>768</v>
      </c>
      <c r="I22" s="506" t="s">
        <v>24</v>
      </c>
      <c r="J22" s="538" t="s">
        <v>2061</v>
      </c>
      <c r="K22" s="506" t="s">
        <v>768</v>
      </c>
      <c r="L22" s="506" t="s">
        <v>24</v>
      </c>
      <c r="M22" s="538" t="s">
        <v>2059</v>
      </c>
      <c r="N22" s="506" t="s">
        <v>768</v>
      </c>
      <c r="O22" s="506" t="s">
        <v>24</v>
      </c>
      <c r="P22" s="208" t="s">
        <v>15</v>
      </c>
      <c r="Q22" s="666" t="s">
        <v>768</v>
      </c>
      <c r="R22" s="666" t="s">
        <v>24</v>
      </c>
      <c r="S22" s="505" t="s">
        <v>768</v>
      </c>
      <c r="T22" s="274" t="s">
        <v>24</v>
      </c>
      <c r="V22" s="1639" t="s">
        <v>2109</v>
      </c>
      <c r="W22" s="504"/>
      <c r="X22" s="506" t="s">
        <v>768</v>
      </c>
      <c r="Y22" s="506" t="s">
        <v>24</v>
      </c>
      <c r="Z22" s="219" t="s">
        <v>41</v>
      </c>
      <c r="AB22" s="507"/>
      <c r="AC22" s="506" t="s">
        <v>768</v>
      </c>
      <c r="AD22" s="506" t="s">
        <v>24</v>
      </c>
      <c r="AE22" s="223" t="s">
        <v>41</v>
      </c>
      <c r="AF22" s="504"/>
      <c r="AG22" s="506" t="s">
        <v>768</v>
      </c>
      <c r="AH22" s="506" t="s">
        <v>24</v>
      </c>
      <c r="AI22" s="219" t="s">
        <v>41</v>
      </c>
      <c r="AK22" s="732" t="s">
        <v>768</v>
      </c>
      <c r="AL22" s="733" t="s">
        <v>24</v>
      </c>
      <c r="AM22" s="733" t="s">
        <v>768</v>
      </c>
      <c r="AN22" s="733" t="s">
        <v>24</v>
      </c>
      <c r="AO22" s="733" t="s">
        <v>768</v>
      </c>
      <c r="AP22" s="733" t="s">
        <v>24</v>
      </c>
      <c r="AQ22" s="733" t="s">
        <v>768</v>
      </c>
      <c r="AR22" s="733" t="s">
        <v>24</v>
      </c>
      <c r="AS22" s="734" t="s">
        <v>768</v>
      </c>
      <c r="AT22" s="735" t="s">
        <v>24</v>
      </c>
      <c r="AU22" s="732" t="s">
        <v>768</v>
      </c>
      <c r="AV22" s="736" t="s">
        <v>24</v>
      </c>
    </row>
    <row r="23" spans="1:48" s="40" customFormat="1" ht="12.75" customHeight="1" outlineLevel="1" x14ac:dyDescent="0.2">
      <c r="B23" s="200" t="s">
        <v>834</v>
      </c>
      <c r="C23" s="665"/>
      <c r="D23" s="262">
        <f>S23+T23</f>
        <v>0</v>
      </c>
      <c r="E23" s="265">
        <f>D23*12/44</f>
        <v>0</v>
      </c>
      <c r="F23" s="388"/>
      <c r="G23" s="182"/>
      <c r="H23" s="271">
        <f>VLOOKUP($B23,'Emissions factors'!$B$152:$K$165,2,FALSE)</f>
        <v>1134.9000000000001</v>
      </c>
      <c r="I23" s="273">
        <f>VLOOKUP($B23,'Emissions factors'!$B$152:$K$165,3,FALSE)</f>
        <v>0</v>
      </c>
      <c r="J23" s="182"/>
      <c r="K23" s="277">
        <f>VLOOKUP($B23,'Emissions factors'!$B$152:$K$165,4,FALSE)</f>
        <v>0.10988999999999999</v>
      </c>
      <c r="L23" s="273">
        <f>VLOOKUP($B23,'Emissions factors'!$B$152:$K$165,5,FALSE)</f>
        <v>0</v>
      </c>
      <c r="M23" s="182"/>
      <c r="N23" s="271">
        <f>VLOOKUP($B23,'Emissions factors'!$B$152:$K$165,6,FALSE)</f>
        <v>1278.0999999999999</v>
      </c>
      <c r="O23" s="273">
        <f>VLOOKUP($B23,'Emissions factors'!$B$152:$K$165,7,FALSE)</f>
        <v>0</v>
      </c>
      <c r="P23" s="182"/>
      <c r="Q23" s="277">
        <f>VLOOKUP($B23,'Emissions factors'!$B$152:$K$165,8,FALSE)</f>
        <v>1.0113000000000001</v>
      </c>
      <c r="R23" s="277">
        <f>VLOOKUP($B23,'Emissions factors'!$B$152:$K$165,9,FALSE)</f>
        <v>0</v>
      </c>
      <c r="S23" s="210">
        <f>G23*H23+J23*K23+M23*N23+P23*Q23</f>
        <v>0</v>
      </c>
      <c r="T23" s="211">
        <f>G23*I23+J23*L23+M23*O23+P23*R23</f>
        <v>0</v>
      </c>
      <c r="V23" s="282">
        <f>VLOOKUP($B23,'Emissions factors'!$B$152:$K$165,10,FALSE)</f>
        <v>0.2</v>
      </c>
      <c r="W23" s="183"/>
      <c r="X23" s="221">
        <f>S23*SQRT(V23^2+W23^2)</f>
        <v>0</v>
      </c>
      <c r="Y23" s="221">
        <f>T23*SQRT(V23^2+W23^2)</f>
        <v>0</v>
      </c>
      <c r="Z23" s="211">
        <f>SQRT(X23^2+Y23^2)</f>
        <v>0</v>
      </c>
      <c r="AB23" s="184"/>
      <c r="AC23" s="221">
        <f>S23*AB23</f>
        <v>0</v>
      </c>
      <c r="AD23" s="224">
        <f>T23*AB23</f>
        <v>0</v>
      </c>
      <c r="AE23" s="210">
        <f>AC23+AD23</f>
        <v>0</v>
      </c>
      <c r="AF23" s="184"/>
      <c r="AG23" s="221">
        <f>S23*AF23</f>
        <v>0</v>
      </c>
      <c r="AH23" s="224">
        <f>T23*AF23</f>
        <v>0</v>
      </c>
      <c r="AI23" s="211">
        <f>AG23+AH23</f>
        <v>0</v>
      </c>
      <c r="AK23" s="717">
        <f>G23*VLOOKUP($B23,'Emissions factors'!$B$152:$AQ$165,11,FALSE)+J23*VLOOKUP($B23,'Emissions factors'!$B$152:$AQ$165,13,FALSE)+M23*VLOOKUP($B23,'Emissions factors'!$B$152:$AQ$165,15,FALSE)+P23*VLOOKUP($B23,'Emissions factors'!$B$152:$AQ$165,17,FALSE)</f>
        <v>0</v>
      </c>
      <c r="AL23" s="718">
        <f>G23*VLOOKUP($B23,'Emissions factors'!$B$152:$AQ$165,12,FALSE)+J23*VLOOKUP($B23,'Emissions factors'!$B$152:$AQ$165,14,FALSE)+M23*VLOOKUP($B23,'Emissions factors'!$B$152:$AQ$165,16,FALSE)+P23*VLOOKUP($B23,'Emissions factors'!$B$152:$AQ$165,18,FALSE)</f>
        <v>0</v>
      </c>
      <c r="AM23" s="718">
        <f>G23*VLOOKUP($B23,'Emissions factors'!$B$152:$AQ$165,19,FALSE)+J23*VLOOKUP($B23,'Emissions factors'!$B$152:$AQ$165,21,FALSE)+M23*VLOOKUP($B23,'Emissions factors'!$B$152:$AQ$165,23,FALSE)+P23*VLOOKUP($B23,'Emissions factors'!$B$152:$AQ$165,25,FALSE)</f>
        <v>0</v>
      </c>
      <c r="AN23" s="718">
        <f>G23*VLOOKUP($B23,'Emissions factors'!$B$152:$AQ$165,20,FALSE)+J23*VLOOKUP($B23,'Emissions factors'!$B$152:$AQ$165,22,FALSE)+M23*VLOOKUP($B23,'Emissions factors'!$B$152:$AQ$165,24,FALSE)+P23*VLOOKUP($B23,'Emissions factors'!$B$152:$AQ$165,26,FALSE)</f>
        <v>0</v>
      </c>
      <c r="AO23" s="718">
        <f>G23*VLOOKUP($B23,'Emissions factors'!$B$152:$AQ$165,27,FALSE)+J23*VLOOKUP($B23,'Emissions factors'!$B$152:$AQ$165,29,FALSE)+M23*VLOOKUP($B23,'Emissions factors'!$B$152:$AQ$165,31,FALSE)+P23*VLOOKUP($B23,'Emissions factors'!$B$152:$AQ$165,33,FALSE)</f>
        <v>0</v>
      </c>
      <c r="AP23" s="718">
        <f>G23*VLOOKUP($B23,'Emissions factors'!$B$152:$AQ$165,28,FALSE)+J23*VLOOKUP($B23,'Emissions factors'!$B$152:$AQ$165,30,FALSE)+M23*VLOOKUP($B23,'Emissions factors'!$B$152:$AQ$165,32,FALSE)+P23*VLOOKUP($B23,'Emissions factors'!$B$152:$AQ$165,34,FALSE)</f>
        <v>0</v>
      </c>
      <c r="AQ23" s="718">
        <v>0</v>
      </c>
      <c r="AR23" s="718">
        <v>0</v>
      </c>
      <c r="AS23" s="719">
        <f t="shared" ref="AS23:AT25" si="2">S23</f>
        <v>0</v>
      </c>
      <c r="AT23" s="720">
        <f t="shared" si="2"/>
        <v>0</v>
      </c>
      <c r="AU23" s="717">
        <f>G23*VLOOKUP($B23,'Emissions factors'!$B$152:$AQ$165,35,FALSE)+J23*VLOOKUP($B23,'Emissions factors'!$B$152:$AQ$165,37,FALSE)+M23*VLOOKUP($B23,'Emissions factors'!$B$152:$AQ$165,39,FALSE)+P23*VLOOKUP($B23,'Emissions factors'!$B$152:$AQ$165,41,FALSE)</f>
        <v>0</v>
      </c>
      <c r="AV23" s="721">
        <f>G23*VLOOKUP($B23,'Emissions factors'!$B$152:$AQ$165,36,FALSE)+J23*VLOOKUP($B23,'Emissions factors'!$B$152:$AQ$165,38,FALSE)+M23*VLOOKUP($B23,'Emissions factors'!$B$152:$AQ$165,40,FALSE)+P23*VLOOKUP($B23,'Emissions factors'!$B$152:$AQ$165,42,FALSE)</f>
        <v>0</v>
      </c>
    </row>
    <row r="24" spans="1:48" s="40" customFormat="1" ht="12.75" customHeight="1" outlineLevel="1" x14ac:dyDescent="0.2">
      <c r="B24" s="200" t="s">
        <v>843</v>
      </c>
      <c r="C24" s="665"/>
      <c r="D24" s="262">
        <f>S24+T24</f>
        <v>0</v>
      </c>
      <c r="E24" s="265">
        <f>D24*12/44</f>
        <v>0</v>
      </c>
      <c r="F24" s="389"/>
      <c r="G24" s="185"/>
      <c r="H24" s="271">
        <f>VLOOKUP($B24,'Emissions factors'!$B$152:$K$165,2,FALSE)</f>
        <v>40.700000000000003</v>
      </c>
      <c r="I24" s="420">
        <f>VLOOKUP($B24,'Emissions factors'!$B$152:$K$165,3,FALSE)</f>
        <v>48.2</v>
      </c>
      <c r="J24" s="185"/>
      <c r="K24" s="277">
        <f>VLOOKUP($B24,'Emissions factors'!$B$152:$K$165,4,FALSE)</f>
        <v>1.115E-2</v>
      </c>
      <c r="L24" s="560">
        <f>VLOOKUP($B24,'Emissions factors'!$B$152:$K$165,5,FALSE)</f>
        <v>1.32E-2</v>
      </c>
      <c r="M24" s="185"/>
      <c r="N24" s="271">
        <f>VLOOKUP($B24,'Emissions factors'!$B$152:$K$165,6,FALSE)</f>
        <v>0</v>
      </c>
      <c r="O24" s="273">
        <f>VLOOKUP($B24,'Emissions factors'!$B$152:$K$165,7,FALSE)</f>
        <v>0</v>
      </c>
      <c r="P24" s="185"/>
      <c r="Q24" s="277">
        <f>VLOOKUP($B24,'Emissions factors'!$B$152:$K$165,8,FALSE)</f>
        <v>0</v>
      </c>
      <c r="R24" s="277">
        <f>VLOOKUP($B24,'Emissions factors'!$B$152:$K$165,9,FALSE)</f>
        <v>0</v>
      </c>
      <c r="S24" s="210">
        <f>G24*H24+J24*K24+M24*N24+P24*Q24</f>
        <v>0</v>
      </c>
      <c r="T24" s="211">
        <f>G24*I24+J24*L24+M24*O24+P24*R24</f>
        <v>0</v>
      </c>
      <c r="V24" s="282">
        <f>VLOOKUP($B24,'Emissions factors'!$B$152:$K$165,10,FALSE)</f>
        <v>0.5</v>
      </c>
      <c r="W24" s="186"/>
      <c r="X24" s="221">
        <f>S24*SQRT(V24^2+W24^2)</f>
        <v>0</v>
      </c>
      <c r="Y24" s="221">
        <f>T24*SQRT(V24^2+W24^2)</f>
        <v>0</v>
      </c>
      <c r="Z24" s="211">
        <f>SQRT(X24^2+Y24^2)</f>
        <v>0</v>
      </c>
      <c r="AB24" s="187"/>
      <c r="AC24" s="221">
        <f>S24*AB24</f>
        <v>0</v>
      </c>
      <c r="AD24" s="224">
        <f>T24*AB24</f>
        <v>0</v>
      </c>
      <c r="AE24" s="210">
        <f>AC24+AD24</f>
        <v>0</v>
      </c>
      <c r="AF24" s="187"/>
      <c r="AG24" s="221">
        <f>S24*AF24</f>
        <v>0</v>
      </c>
      <c r="AH24" s="224">
        <f>T24*AF24</f>
        <v>0</v>
      </c>
      <c r="AI24" s="211">
        <f>AG24+AH24</f>
        <v>0</v>
      </c>
      <c r="AK24" s="717">
        <f>G24*VLOOKUP($B24,'Emissions factors'!$B$152:$AQ$165,11,FALSE)+J24*VLOOKUP($B24,'Emissions factors'!$B$152:$AQ$165,13,FALSE)+M24*VLOOKUP($B24,'Emissions factors'!$B$152:$AQ$165,15,FALSE)+P24*VLOOKUP($B24,'Emissions factors'!$B$152:$AQ$165,17,FALSE)</f>
        <v>0</v>
      </c>
      <c r="AL24" s="718">
        <f>G24*VLOOKUP($B24,'Emissions factors'!$B$152:$AQ$165,12,FALSE)+J24*VLOOKUP($B24,'Emissions factors'!$B$152:$AQ$165,14,FALSE)+M24*VLOOKUP($B24,'Emissions factors'!$B$152:$AQ$165,16,FALSE)+P24*VLOOKUP($B24,'Emissions factors'!$B$152:$AQ$165,18,FALSE)</f>
        <v>0</v>
      </c>
      <c r="AM24" s="718">
        <f>G24*VLOOKUP($B24,'Emissions factors'!$B$152:$AQ$165,19,FALSE)+J24*VLOOKUP($B24,'Emissions factors'!$B$152:$AQ$165,21,FALSE)+M24*VLOOKUP($B24,'Emissions factors'!$B$152:$AQ$165,23,FALSE)+P24*VLOOKUP($B24,'Emissions factors'!$B$152:$AQ$165,25,FALSE)</f>
        <v>0</v>
      </c>
      <c r="AN24" s="718">
        <f>G24*VLOOKUP($B24,'Emissions factors'!$B$152:$AQ$165,20,FALSE)+J24*VLOOKUP($B24,'Emissions factors'!$B$152:$AQ$165,22,FALSE)+M24*VLOOKUP($B24,'Emissions factors'!$B$152:$AQ$165,24,FALSE)+P24*VLOOKUP($B24,'Emissions factors'!$B$152:$AQ$165,26,FALSE)</f>
        <v>0</v>
      </c>
      <c r="AO24" s="718">
        <f>G24*VLOOKUP($B24,'Emissions factors'!$B$152:$AQ$165,27,FALSE)+J24*VLOOKUP($B24,'Emissions factors'!$B$152:$AQ$165,29,FALSE)+M24*VLOOKUP($B24,'Emissions factors'!$B$152:$AQ$165,31,FALSE)+P24*VLOOKUP($B24,'Emissions factors'!$B$152:$AQ$165,33,FALSE)</f>
        <v>0</v>
      </c>
      <c r="AP24" s="718">
        <f>G24*VLOOKUP($B24,'Emissions factors'!$B$152:$AQ$165,28,FALSE)+J24*VLOOKUP($B24,'Emissions factors'!$B$152:$AQ$165,30,FALSE)+M24*VLOOKUP($B24,'Emissions factors'!$B$152:$AQ$165,32,FALSE)+P24*VLOOKUP($B24,'Emissions factors'!$B$152:$AQ$165,34,FALSE)</f>
        <v>0</v>
      </c>
      <c r="AQ24" s="718">
        <v>0</v>
      </c>
      <c r="AR24" s="718">
        <v>0</v>
      </c>
      <c r="AS24" s="719">
        <f t="shared" si="2"/>
        <v>0</v>
      </c>
      <c r="AT24" s="720">
        <f t="shared" si="2"/>
        <v>0</v>
      </c>
      <c r="AU24" s="717">
        <f>G24*VLOOKUP($B24,'Emissions factors'!$B$152:$AQ$165,35,FALSE)+J24*VLOOKUP($B24,'Emissions factors'!$B$152:$AQ$165,37,FALSE)+M24*VLOOKUP($B24,'Emissions factors'!$B$152:$AQ$165,39,FALSE)+P24*VLOOKUP($B24,'Emissions factors'!$B$152:$AQ$165,41,FALSE)</f>
        <v>0</v>
      </c>
      <c r="AV24" s="721">
        <f>G24*VLOOKUP($B24,'Emissions factors'!$B$152:$AQ$165,36,FALSE)+J24*VLOOKUP($B24,'Emissions factors'!$B$152:$AQ$165,38,FALSE)+M24*VLOOKUP($B24,'Emissions factors'!$B$152:$AQ$165,40,FALSE)+P24*VLOOKUP($B24,'Emissions factors'!$B$152:$AQ$165,42,FALSE)</f>
        <v>0</v>
      </c>
    </row>
    <row r="25" spans="1:48" s="40" customFormat="1" ht="12.75" customHeight="1" outlineLevel="1" x14ac:dyDescent="0.2">
      <c r="B25" s="200" t="s">
        <v>844</v>
      </c>
      <c r="C25" s="665"/>
      <c r="D25" s="262">
        <f>S25+T25</f>
        <v>0</v>
      </c>
      <c r="E25" s="265">
        <f>D25*12/44</f>
        <v>0</v>
      </c>
      <c r="F25" s="390"/>
      <c r="G25" s="188"/>
      <c r="H25" s="271">
        <f>VLOOKUP($B25,'Emissions factors'!$B$152:$K$165,2,FALSE)</f>
        <v>4.58</v>
      </c>
      <c r="I25" s="420">
        <f>VLOOKUP($B25,'Emissions factors'!$B$152:$K$165,3,FALSE)</f>
        <v>0.19900000000000001</v>
      </c>
      <c r="J25" s="188"/>
      <c r="K25" s="277">
        <f>VLOOKUP($B25,'Emissions factors'!$B$152:$K$165,4,FALSE)</f>
        <v>2.7200000000000002E-3</v>
      </c>
      <c r="L25" s="560">
        <f>VLOOKUP($B25,'Emissions factors'!$B$152:$K$165,5,FALSE)</f>
        <v>1.9900000000000001E-4</v>
      </c>
      <c r="M25" s="188"/>
      <c r="N25" s="271">
        <f>VLOOKUP($B25,'Emissions factors'!$B$152:$K$165,6,FALSE)</f>
        <v>0</v>
      </c>
      <c r="O25" s="273">
        <f>VLOOKUP($B25,'Emissions factors'!$B$152:$K$165,7,FALSE)</f>
        <v>0</v>
      </c>
      <c r="P25" s="188"/>
      <c r="Q25" s="277">
        <f>VLOOKUP($B25,'Emissions factors'!$B$152:$K$165,8,FALSE)</f>
        <v>0</v>
      </c>
      <c r="R25" s="277">
        <f>VLOOKUP($B25,'Emissions factors'!$B$152:$K$165,9,FALSE)</f>
        <v>0</v>
      </c>
      <c r="S25" s="210">
        <f>G25*H25+J25*K25+M25*N25+P25*Q25</f>
        <v>0</v>
      </c>
      <c r="T25" s="211">
        <f>G25*I25+J25*L25+M25*O25+P25*R25</f>
        <v>0</v>
      </c>
      <c r="V25" s="282">
        <f>VLOOKUP($B25,'Emissions factors'!$B$152:$K$165,10,FALSE)</f>
        <v>0.5</v>
      </c>
      <c r="W25" s="189"/>
      <c r="X25" s="221">
        <f>S25*SQRT(V25^2+W25^2)</f>
        <v>0</v>
      </c>
      <c r="Y25" s="221">
        <f>T25*SQRT(V25^2+W25^2)</f>
        <v>0</v>
      </c>
      <c r="Z25" s="211">
        <f>SQRT(X25^2+Y25^2)</f>
        <v>0</v>
      </c>
      <c r="AB25" s="190"/>
      <c r="AC25" s="221">
        <f>S25*AB25</f>
        <v>0</v>
      </c>
      <c r="AD25" s="224">
        <f>T25*AB25</f>
        <v>0</v>
      </c>
      <c r="AE25" s="210">
        <f>AC25+AD25</f>
        <v>0</v>
      </c>
      <c r="AF25" s="190"/>
      <c r="AG25" s="221">
        <f>S25*AF25</f>
        <v>0</v>
      </c>
      <c r="AH25" s="224">
        <f>T25*AF25</f>
        <v>0</v>
      </c>
      <c r="AI25" s="211">
        <f>AG25+AH25</f>
        <v>0</v>
      </c>
      <c r="AK25" s="717">
        <f>G25*VLOOKUP($B25,'Emissions factors'!$B$152:$AQ$165,11,FALSE)+J25*VLOOKUP($B25,'Emissions factors'!$B$152:$AQ$165,13,FALSE)+M25*VLOOKUP($B25,'Emissions factors'!$B$152:$AQ$165,15,FALSE)+P25*VLOOKUP($B25,'Emissions factors'!$B$152:$AQ$165,17,FALSE)</f>
        <v>0</v>
      </c>
      <c r="AL25" s="718">
        <f>G25*VLOOKUP($B25,'Emissions factors'!$B$152:$AQ$165,12,FALSE)+J25*VLOOKUP($B25,'Emissions factors'!$B$152:$AQ$165,14,FALSE)+M25*VLOOKUP($B25,'Emissions factors'!$B$152:$AQ$165,16,FALSE)+P25*VLOOKUP($B25,'Emissions factors'!$B$152:$AQ$165,18,FALSE)</f>
        <v>0</v>
      </c>
      <c r="AM25" s="718">
        <f>G25*VLOOKUP($B25,'Emissions factors'!$B$152:$AQ$165,19,FALSE)+J25*VLOOKUP($B25,'Emissions factors'!$B$152:$AQ$165,21,FALSE)+M25*VLOOKUP($B25,'Emissions factors'!$B$152:$AQ$165,23,FALSE)+P25*VLOOKUP($B25,'Emissions factors'!$B$152:$AQ$165,25,FALSE)</f>
        <v>0</v>
      </c>
      <c r="AN25" s="718">
        <f>G25*VLOOKUP($B25,'Emissions factors'!$B$152:$AQ$165,20,FALSE)+J25*VLOOKUP($B25,'Emissions factors'!$B$152:$AQ$165,22,FALSE)+M25*VLOOKUP($B25,'Emissions factors'!$B$152:$AQ$165,24,FALSE)+P25*VLOOKUP($B25,'Emissions factors'!$B$152:$AQ$165,26,FALSE)</f>
        <v>0</v>
      </c>
      <c r="AO25" s="718">
        <f>G25*VLOOKUP($B25,'Emissions factors'!$B$152:$AQ$165,27,FALSE)+J25*VLOOKUP($B25,'Emissions factors'!$B$152:$AQ$165,29,FALSE)+M25*VLOOKUP($B25,'Emissions factors'!$B$152:$AQ$165,31,FALSE)+P25*VLOOKUP($B25,'Emissions factors'!$B$152:$AQ$165,33,FALSE)</f>
        <v>0</v>
      </c>
      <c r="AP25" s="718">
        <f>G25*VLOOKUP($B25,'Emissions factors'!$B$152:$AQ$165,28,FALSE)+J25*VLOOKUP($B25,'Emissions factors'!$B$152:$AQ$165,30,FALSE)+M25*VLOOKUP($B25,'Emissions factors'!$B$152:$AQ$165,32,FALSE)+P25*VLOOKUP($B25,'Emissions factors'!$B$152:$AQ$165,34,FALSE)</f>
        <v>0</v>
      </c>
      <c r="AQ25" s="718">
        <v>0</v>
      </c>
      <c r="AR25" s="718">
        <v>0</v>
      </c>
      <c r="AS25" s="719">
        <f t="shared" si="2"/>
        <v>0</v>
      </c>
      <c r="AT25" s="720">
        <f t="shared" si="2"/>
        <v>0</v>
      </c>
      <c r="AU25" s="717">
        <f>G25*VLOOKUP($B25,'Emissions factors'!$B$152:$AQ$165,35,FALSE)+J25*VLOOKUP($B25,'Emissions factors'!$B$152:$AQ$165,37,FALSE)+M25*VLOOKUP($B25,'Emissions factors'!$B$152:$AQ$165,39,FALSE)+P25*VLOOKUP($B25,'Emissions factors'!$B$152:$AQ$165,41,FALSE)</f>
        <v>0</v>
      </c>
      <c r="AV25" s="721">
        <f>G25*VLOOKUP($B25,'Emissions factors'!$B$152:$AQ$165,36,FALSE)+J25*VLOOKUP($B25,'Emissions factors'!$B$152:$AQ$165,38,FALSE)+M25*VLOOKUP($B25,'Emissions factors'!$B$152:$AQ$165,40,FALSE)+P25*VLOOKUP($B25,'Emissions factors'!$B$152:$AQ$165,42,FALSE)</f>
        <v>0</v>
      </c>
    </row>
    <row r="26" spans="1:48" s="40" customFormat="1" ht="12.75" customHeight="1" outlineLevel="1" x14ac:dyDescent="0.2">
      <c r="B26" s="213"/>
      <c r="C26" s="214"/>
      <c r="D26" s="275"/>
      <c r="E26" s="268"/>
      <c r="F26" s="214"/>
      <c r="G26" s="214"/>
      <c r="H26" s="214"/>
      <c r="I26" s="214"/>
      <c r="J26" s="214"/>
      <c r="K26" s="214"/>
      <c r="L26" s="214"/>
      <c r="M26" s="214"/>
      <c r="N26" s="214"/>
      <c r="O26" s="214"/>
      <c r="P26" s="201"/>
      <c r="Q26" s="201"/>
      <c r="R26" s="201"/>
      <c r="S26" s="214"/>
      <c r="T26" s="215"/>
      <c r="V26" s="213"/>
      <c r="W26" s="214"/>
      <c r="X26" s="201"/>
      <c r="Y26" s="221"/>
      <c r="Z26" s="222"/>
      <c r="AB26" s="200"/>
      <c r="AC26" s="201"/>
      <c r="AD26" s="504"/>
      <c r="AE26" s="210"/>
      <c r="AF26" s="201"/>
      <c r="AG26" s="201"/>
      <c r="AH26" s="221"/>
      <c r="AI26" s="211"/>
      <c r="AK26" s="717"/>
      <c r="AL26" s="718"/>
      <c r="AM26" s="718"/>
      <c r="AN26" s="718"/>
      <c r="AO26" s="718"/>
      <c r="AP26" s="718"/>
      <c r="AQ26" s="718"/>
      <c r="AR26" s="718"/>
      <c r="AS26" s="719"/>
      <c r="AT26" s="720"/>
      <c r="AU26" s="722"/>
      <c r="AV26" s="723"/>
    </row>
    <row r="27" spans="1:48" s="40" customFormat="1" ht="12.75" customHeight="1" outlineLevel="1" x14ac:dyDescent="0.2">
      <c r="B27" s="253" t="s">
        <v>44</v>
      </c>
      <c r="C27" s="254"/>
      <c r="D27" s="264">
        <f>SUM(D23:D26)</f>
        <v>0</v>
      </c>
      <c r="E27" s="267">
        <f>SUM(E23:E26)</f>
        <v>0</v>
      </c>
      <c r="F27" s="255"/>
      <c r="G27" s="256"/>
      <c r="H27" s="256"/>
      <c r="I27" s="256"/>
      <c r="J27" s="256"/>
      <c r="K27" s="256"/>
      <c r="L27" s="256"/>
      <c r="M27" s="256"/>
      <c r="N27" s="256"/>
      <c r="O27" s="256"/>
      <c r="P27" s="256"/>
      <c r="Q27" s="256"/>
      <c r="R27" s="256"/>
      <c r="S27" s="259">
        <f>SUM(S23:S26)</f>
        <v>0</v>
      </c>
      <c r="T27" s="257">
        <f>SUM(T23:T26)</f>
        <v>0</v>
      </c>
      <c r="V27" s="258"/>
      <c r="W27" s="256"/>
      <c r="X27" s="260">
        <f>SQRT(SUMSQ(X23:X26))</f>
        <v>0</v>
      </c>
      <c r="Y27" s="260">
        <f>SQRT(SUMSQ(Y23:Y26))</f>
        <v>0</v>
      </c>
      <c r="Z27" s="257">
        <f>SQRT(SUMSQ(Z23:Z26))</f>
        <v>0</v>
      </c>
      <c r="AB27" s="258"/>
      <c r="AC27" s="260">
        <f>SUM(AC23:AC26)</f>
        <v>0</v>
      </c>
      <c r="AD27" s="259">
        <f>SUM(AD23:AD26)</f>
        <v>0</v>
      </c>
      <c r="AE27" s="259">
        <f>SUM(AE23:AE26)</f>
        <v>0</v>
      </c>
      <c r="AF27" s="256"/>
      <c r="AG27" s="260">
        <f>SUM(AG23:AG26)</f>
        <v>0</v>
      </c>
      <c r="AH27" s="260">
        <f>SUM(AH23:AH26)</f>
        <v>0</v>
      </c>
      <c r="AI27" s="257">
        <f>SUM(AI23:AI26)</f>
        <v>0</v>
      </c>
      <c r="AK27" s="724">
        <f t="shared" ref="AK27:AV27" si="3">SUM(AK23:AK26)</f>
        <v>0</v>
      </c>
      <c r="AL27" s="725">
        <f t="shared" si="3"/>
        <v>0</v>
      </c>
      <c r="AM27" s="725">
        <f t="shared" si="3"/>
        <v>0</v>
      </c>
      <c r="AN27" s="725">
        <f t="shared" si="3"/>
        <v>0</v>
      </c>
      <c r="AO27" s="725">
        <f t="shared" si="3"/>
        <v>0</v>
      </c>
      <c r="AP27" s="725">
        <f t="shared" si="3"/>
        <v>0</v>
      </c>
      <c r="AQ27" s="725">
        <f t="shared" si="3"/>
        <v>0</v>
      </c>
      <c r="AR27" s="725">
        <f t="shared" si="3"/>
        <v>0</v>
      </c>
      <c r="AS27" s="726">
        <f t="shared" si="3"/>
        <v>0</v>
      </c>
      <c r="AT27" s="727">
        <f t="shared" si="3"/>
        <v>0</v>
      </c>
      <c r="AU27" s="724">
        <f t="shared" si="3"/>
        <v>0</v>
      </c>
      <c r="AV27" s="728">
        <f t="shared" si="3"/>
        <v>0</v>
      </c>
    </row>
    <row r="28" spans="1:48" s="40" customFormat="1" ht="12.75" customHeight="1" outlineLevel="1" x14ac:dyDescent="0.2">
      <c r="AK28" s="602"/>
      <c r="AL28" s="602"/>
      <c r="AM28" s="602"/>
      <c r="AN28" s="602"/>
      <c r="AO28" s="602"/>
      <c r="AP28" s="602"/>
      <c r="AQ28" s="602"/>
      <c r="AR28" s="602"/>
      <c r="AS28" s="602"/>
      <c r="AT28" s="602"/>
      <c r="AU28" s="602"/>
      <c r="AV28" s="602"/>
    </row>
    <row r="29" spans="1:48" s="40" customFormat="1" ht="13" x14ac:dyDescent="0.2">
      <c r="AK29" s="602"/>
      <c r="AL29" s="602"/>
      <c r="AM29" s="602"/>
      <c r="AN29" s="602"/>
      <c r="AO29" s="602"/>
      <c r="AP29" s="602"/>
      <c r="AQ29" s="602"/>
      <c r="AR29" s="602"/>
      <c r="AS29" s="602"/>
      <c r="AT29" s="602"/>
      <c r="AU29" s="602"/>
      <c r="AV29" s="602"/>
    </row>
    <row r="30" spans="1:48" s="40" customFormat="1" ht="16" x14ac:dyDescent="0.2">
      <c r="B30" s="1795" t="s">
        <v>2945</v>
      </c>
      <c r="C30" s="1795"/>
      <c r="D30" s="1795"/>
      <c r="E30" s="1795"/>
      <c r="F30" s="1795"/>
      <c r="G30" s="1795"/>
      <c r="H30" s="1795"/>
      <c r="I30" s="1795"/>
      <c r="J30" s="1795"/>
      <c r="K30" s="1795"/>
      <c r="L30" s="1795"/>
      <c r="M30" s="1795"/>
      <c r="N30" s="1795"/>
      <c r="O30" s="1795"/>
      <c r="AK30" s="602"/>
      <c r="AL30" s="602"/>
      <c r="AM30" s="602"/>
      <c r="AN30" s="602"/>
      <c r="AO30" s="602"/>
      <c r="AP30" s="602"/>
      <c r="AQ30" s="602"/>
      <c r="AR30" s="602"/>
      <c r="AS30" s="602"/>
      <c r="AT30" s="602"/>
      <c r="AU30" s="602"/>
      <c r="AV30" s="602"/>
    </row>
    <row r="31" spans="1:48" s="40" customFormat="1" ht="12.75" customHeight="1" outlineLevel="1" x14ac:dyDescent="0.2">
      <c r="D31" s="108"/>
      <c r="G31" s="108"/>
      <c r="AK31" s="602"/>
      <c r="AL31" s="602"/>
      <c r="AM31" s="602"/>
      <c r="AN31" s="602"/>
      <c r="AO31" s="602"/>
      <c r="AP31" s="602"/>
      <c r="AQ31" s="602"/>
      <c r="AR31" s="602"/>
      <c r="AS31" s="602"/>
      <c r="AT31" s="602"/>
      <c r="AU31" s="602"/>
      <c r="AV31" s="602"/>
    </row>
    <row r="32" spans="1:48" s="40" customFormat="1" ht="12.75" customHeight="1" outlineLevel="1" x14ac:dyDescent="0.2">
      <c r="B32" s="195" t="s">
        <v>3110</v>
      </c>
      <c r="C32" s="196"/>
      <c r="D32" s="198"/>
      <c r="E32" s="198"/>
      <c r="F32" s="500"/>
      <c r="G32" s="198"/>
      <c r="H32" s="198"/>
      <c r="I32" s="198"/>
      <c r="J32" s="198"/>
      <c r="K32" s="515"/>
      <c r="L32" s="516"/>
      <c r="V32" s="1746" t="s">
        <v>723</v>
      </c>
      <c r="W32" s="1747"/>
      <c r="X32" s="1748"/>
      <c r="AB32" s="1746" t="s">
        <v>2066</v>
      </c>
      <c r="AC32" s="1747"/>
      <c r="AD32" s="1747"/>
      <c r="AE32" s="1748"/>
      <c r="AK32" s="1755" t="s">
        <v>2073</v>
      </c>
      <c r="AL32" s="1756"/>
      <c r="AM32" s="1756"/>
      <c r="AN32" s="1756"/>
      <c r="AO32" s="1756"/>
      <c r="AP32" s="1757"/>
      <c r="AQ32" s="602"/>
      <c r="AR32" s="602"/>
      <c r="AS32" s="602"/>
      <c r="AT32" s="602"/>
      <c r="AU32" s="602"/>
      <c r="AV32" s="602"/>
    </row>
    <row r="33" spans="2:48" s="40" customFormat="1" ht="12.75" customHeight="1" outlineLevel="1" x14ac:dyDescent="0.2">
      <c r="B33" s="417"/>
      <c r="C33" s="225"/>
      <c r="D33" s="503"/>
      <c r="E33" s="503"/>
      <c r="F33" s="412"/>
      <c r="G33" s="214"/>
      <c r="H33" s="214"/>
      <c r="I33" s="201"/>
      <c r="J33" s="201"/>
      <c r="K33" s="444" t="s">
        <v>2619</v>
      </c>
      <c r="L33" s="445"/>
      <c r="V33" s="507"/>
      <c r="W33" s="504"/>
      <c r="X33" s="203"/>
      <c r="AB33" s="507"/>
      <c r="AC33" s="504"/>
      <c r="AD33" s="504"/>
      <c r="AE33" s="203"/>
      <c r="AK33" s="778"/>
      <c r="AL33" s="779"/>
      <c r="AM33" s="779"/>
      <c r="AN33" s="779"/>
      <c r="AO33" s="741"/>
      <c r="AP33" s="780"/>
      <c r="AQ33" s="602"/>
      <c r="AR33" s="602"/>
      <c r="AS33" s="602"/>
      <c r="AT33" s="602"/>
      <c r="AU33" s="602"/>
      <c r="AV33" s="602"/>
    </row>
    <row r="34" spans="2:48" s="40" customFormat="1" ht="12.75" customHeight="1" outlineLevel="1" x14ac:dyDescent="0.2">
      <c r="B34" s="507"/>
      <c r="C34" s="504"/>
      <c r="D34" s="504" t="s">
        <v>56</v>
      </c>
      <c r="E34" s="504" t="s">
        <v>56</v>
      </c>
      <c r="F34" s="205" t="s">
        <v>2055</v>
      </c>
      <c r="G34" s="205" t="s">
        <v>11</v>
      </c>
      <c r="H34" s="205" t="s">
        <v>2600</v>
      </c>
      <c r="I34" s="504" t="s">
        <v>2617</v>
      </c>
      <c r="J34" s="503" t="s">
        <v>61</v>
      </c>
      <c r="K34" s="444" t="s">
        <v>64</v>
      </c>
      <c r="L34" s="445" t="s">
        <v>61</v>
      </c>
      <c r="V34" s="1639" t="s">
        <v>2605</v>
      </c>
      <c r="W34" s="504" t="s">
        <v>2110</v>
      </c>
      <c r="X34" s="509" t="s">
        <v>61</v>
      </c>
      <c r="Y34" s="32"/>
      <c r="Z34" s="32"/>
      <c r="AA34" s="32"/>
      <c r="AB34" s="507" t="s">
        <v>2065</v>
      </c>
      <c r="AC34" s="503" t="s">
        <v>61</v>
      </c>
      <c r="AD34" s="504" t="s">
        <v>2558</v>
      </c>
      <c r="AE34" s="509" t="s">
        <v>61</v>
      </c>
      <c r="AK34" s="1739" t="s">
        <v>61</v>
      </c>
      <c r="AL34" s="1740"/>
      <c r="AM34" s="1740"/>
      <c r="AN34" s="1740"/>
      <c r="AO34" s="741" t="s">
        <v>61</v>
      </c>
      <c r="AP34" s="742"/>
      <c r="AQ34" s="602"/>
      <c r="AR34" s="602"/>
      <c r="AS34" s="602"/>
      <c r="AT34" s="602"/>
      <c r="AU34" s="602"/>
      <c r="AV34" s="602"/>
    </row>
    <row r="35" spans="2:48" s="40" customFormat="1" ht="12.75" customHeight="1" outlineLevel="1" x14ac:dyDescent="0.2">
      <c r="B35" s="507"/>
      <c r="C35" s="504"/>
      <c r="D35" s="504" t="s">
        <v>61</v>
      </c>
      <c r="E35" s="504" t="s">
        <v>63</v>
      </c>
      <c r="F35" s="208" t="s">
        <v>2741</v>
      </c>
      <c r="G35" s="208" t="s">
        <v>2687</v>
      </c>
      <c r="H35" s="208" t="s">
        <v>2602</v>
      </c>
      <c r="I35" s="504" t="s">
        <v>67</v>
      </c>
      <c r="J35" s="503"/>
      <c r="K35" s="444" t="s">
        <v>2058</v>
      </c>
      <c r="L35" s="445" t="s">
        <v>2618</v>
      </c>
      <c r="V35" s="1639" t="s">
        <v>2109</v>
      </c>
      <c r="W35" s="504"/>
      <c r="X35" s="509"/>
      <c r="Y35" s="32"/>
      <c r="Z35" s="32"/>
      <c r="AA35" s="32"/>
      <c r="AB35" s="507"/>
      <c r="AC35" s="503"/>
      <c r="AD35" s="504"/>
      <c r="AE35" s="509"/>
      <c r="AK35" s="744" t="s">
        <v>14</v>
      </c>
      <c r="AL35" s="745" t="s">
        <v>60</v>
      </c>
      <c r="AM35" s="745" t="s">
        <v>27</v>
      </c>
      <c r="AN35" s="745" t="s">
        <v>2074</v>
      </c>
      <c r="AO35" s="746" t="s">
        <v>41</v>
      </c>
      <c r="AP35" s="747" t="s">
        <v>85</v>
      </c>
      <c r="AQ35" s="602"/>
      <c r="AR35" s="602"/>
      <c r="AS35" s="602"/>
      <c r="AT35" s="602"/>
      <c r="AU35" s="602"/>
      <c r="AV35" s="602"/>
    </row>
    <row r="36" spans="2:48" s="40" customFormat="1" ht="12.75" customHeight="1" outlineLevel="1" x14ac:dyDescent="0.2">
      <c r="B36" s="200" t="s">
        <v>2599</v>
      </c>
      <c r="C36" s="201"/>
      <c r="D36" s="262">
        <f>J36</f>
        <v>0</v>
      </c>
      <c r="E36" s="265">
        <f>D36*12/44</f>
        <v>0</v>
      </c>
      <c r="F36" s="388"/>
      <c r="G36" s="182"/>
      <c r="H36" s="436"/>
      <c r="I36" s="273">
        <f>VLOOKUP(B36,'Emissions factors'!$B$1692:$M$1699,5,FALSE)</f>
        <v>33</v>
      </c>
      <c r="J36" s="210">
        <f>G36*I36</f>
        <v>0</v>
      </c>
      <c r="K36" s="446">
        <f>(1-H36)*VLOOKUP($B36,'Emissions factors'!$B$1692:$M$1699,10,FALSE)*(VLOOKUP($B36,'Emissions factors'!$B$1692:$M$1699,3,FALSE)-VLOOKUP($B36,'Emissions factors'!$B$1692:$M$1699,2,FALSE))</f>
        <v>0</v>
      </c>
      <c r="L36" s="447">
        <f>G36*K36</f>
        <v>0</v>
      </c>
      <c r="P36" s="314"/>
      <c r="V36" s="282">
        <f>VLOOKUP(B36,'Emissions factors'!$B$1692:$M$1699,12,FALSE)</f>
        <v>0.5</v>
      </c>
      <c r="W36" s="183"/>
      <c r="X36" s="211">
        <f>J36*SQRT(V36^2+W36^2)</f>
        <v>0</v>
      </c>
      <c r="AB36" s="184"/>
      <c r="AC36" s="210">
        <f>J36*AB36</f>
        <v>0</v>
      </c>
      <c r="AD36" s="184"/>
      <c r="AE36" s="211">
        <f>J36*AD36</f>
        <v>0</v>
      </c>
      <c r="AK36" s="717">
        <f>G36*VLOOKUP(B36,'Emissions factors'!$B$1692:$M$1699,6,FALSE)</f>
        <v>0</v>
      </c>
      <c r="AL36" s="718">
        <f>G36*VLOOKUP(B36,'Emissions factors'!$B$1692:$M$1699,7,FALSE)</f>
        <v>0</v>
      </c>
      <c r="AM36" s="718">
        <f>G36*VLOOKUP(B36,'Emissions factors'!$B$1692:$M$1699,8,FALSE)</f>
        <v>0</v>
      </c>
      <c r="AN36" s="718">
        <v>0</v>
      </c>
      <c r="AO36" s="720">
        <f>J36</f>
        <v>0</v>
      </c>
      <c r="AP36" s="748">
        <f>G36*VLOOKUP(B36,'Emissions factors'!$B$1692:$M$1699,9,FALSE)</f>
        <v>0</v>
      </c>
      <c r="AQ36" s="602"/>
      <c r="AR36" s="602"/>
      <c r="AS36" s="602"/>
      <c r="AT36" s="602"/>
      <c r="AU36" s="602"/>
      <c r="AV36" s="602"/>
    </row>
    <row r="37" spans="2:48" s="40" customFormat="1" ht="12.75" customHeight="1" outlineLevel="1" x14ac:dyDescent="0.2">
      <c r="B37" s="200" t="s">
        <v>159</v>
      </c>
      <c r="C37" s="201"/>
      <c r="D37" s="262">
        <f>J37</f>
        <v>0</v>
      </c>
      <c r="E37" s="265">
        <f>D37*12/44</f>
        <v>0</v>
      </c>
      <c r="F37" s="389"/>
      <c r="G37" s="185"/>
      <c r="H37" s="437"/>
      <c r="I37" s="273">
        <f>VLOOKUP(B37,'Emissions factors'!$B$1692:$M$1699,5,FALSE)</f>
        <v>33</v>
      </c>
      <c r="J37" s="210">
        <f>G37*I37</f>
        <v>0</v>
      </c>
      <c r="K37" s="446">
        <f>(1-H37)*VLOOKUP($B37,'Emissions factors'!$B$1692:$M$1699,10,FALSE)*(VLOOKUP($B37,'Emissions factors'!$B$1692:$M$1699,3,FALSE)-VLOOKUP($B37,'Emissions factors'!$B$1692:$M$1699,2,FALSE))</f>
        <v>-3726.8</v>
      </c>
      <c r="L37" s="447">
        <f>G37*K37</f>
        <v>0</v>
      </c>
      <c r="V37" s="282">
        <f>VLOOKUP(B37,'Emissions factors'!$B$1692:$M$1699,12,FALSE)</f>
        <v>0.5</v>
      </c>
      <c r="W37" s="186"/>
      <c r="X37" s="211">
        <f>J37*SQRT(V37^2+W37^2)</f>
        <v>0</v>
      </c>
      <c r="AB37" s="187"/>
      <c r="AC37" s="210">
        <f>J37*AB37</f>
        <v>0</v>
      </c>
      <c r="AD37" s="187"/>
      <c r="AE37" s="211">
        <f>J37*AD37</f>
        <v>0</v>
      </c>
      <c r="AK37" s="717">
        <f>G37*VLOOKUP(B37,'Emissions factors'!$B$1692:$M$1699,6,FALSE)</f>
        <v>0</v>
      </c>
      <c r="AL37" s="718">
        <f>G37*VLOOKUP(B37,'Emissions factors'!$B$1692:$M$1699,7,FALSE)</f>
        <v>0</v>
      </c>
      <c r="AM37" s="718">
        <f>G37*VLOOKUP(B37,'Emissions factors'!$B$1692:$M$1699,8,FALSE)</f>
        <v>0</v>
      </c>
      <c r="AN37" s="718">
        <v>0</v>
      </c>
      <c r="AO37" s="720">
        <f>J37</f>
        <v>0</v>
      </c>
      <c r="AP37" s="748">
        <f>G37*VLOOKUP(B37,'Emissions factors'!$B$1692:$M$1699,9,FALSE)</f>
        <v>0</v>
      </c>
      <c r="AQ37" s="602"/>
      <c r="AR37" s="602"/>
      <c r="AS37" s="602"/>
      <c r="AT37" s="602"/>
      <c r="AU37" s="602"/>
      <c r="AV37" s="602"/>
    </row>
    <row r="38" spans="2:48" s="40" customFormat="1" ht="12.75" customHeight="1" outlineLevel="1" x14ac:dyDescent="0.2">
      <c r="B38" s="200" t="s">
        <v>159</v>
      </c>
      <c r="C38" s="201"/>
      <c r="D38" s="262">
        <f>J38</f>
        <v>0</v>
      </c>
      <c r="E38" s="265">
        <f>D38*12/44</f>
        <v>0</v>
      </c>
      <c r="F38" s="389"/>
      <c r="G38" s="185"/>
      <c r="H38" s="437"/>
      <c r="I38" s="273">
        <f>VLOOKUP(B38,'Emissions factors'!$B$1692:$M$1699,5,FALSE)</f>
        <v>33</v>
      </c>
      <c r="J38" s="210">
        <f>G38*I38</f>
        <v>0</v>
      </c>
      <c r="K38" s="446">
        <f>(1-H38)*VLOOKUP($B38,'Emissions factors'!$B$1692:$M$1699,10,FALSE)*(VLOOKUP($B38,'Emissions factors'!$B$1692:$M$1699,3,FALSE)-VLOOKUP($B38,'Emissions factors'!$B$1692:$M$1699,2,FALSE))</f>
        <v>-3726.8</v>
      </c>
      <c r="L38" s="447">
        <f>G38*K38</f>
        <v>0</v>
      </c>
      <c r="V38" s="282">
        <f>VLOOKUP(B38,'Emissions factors'!$B$1692:$M$1699,12,FALSE)</f>
        <v>0.5</v>
      </c>
      <c r="W38" s="186"/>
      <c r="X38" s="211">
        <f>J38*SQRT(V38^2+W38^2)</f>
        <v>0</v>
      </c>
      <c r="AB38" s="187"/>
      <c r="AC38" s="210">
        <f>J38*AB38</f>
        <v>0</v>
      </c>
      <c r="AD38" s="187"/>
      <c r="AE38" s="211">
        <f>J38*AD38</f>
        <v>0</v>
      </c>
      <c r="AK38" s="717">
        <f>G38*VLOOKUP(B38,'Emissions factors'!$B$1692:$M$1699,6,FALSE)</f>
        <v>0</v>
      </c>
      <c r="AL38" s="718">
        <f>G38*VLOOKUP(B38,'Emissions factors'!$B$1692:$M$1699,7,FALSE)</f>
        <v>0</v>
      </c>
      <c r="AM38" s="718">
        <f>G38*VLOOKUP(B38,'Emissions factors'!$B$1692:$M$1699,8,FALSE)</f>
        <v>0</v>
      </c>
      <c r="AN38" s="718">
        <v>0</v>
      </c>
      <c r="AO38" s="720">
        <f>J38</f>
        <v>0</v>
      </c>
      <c r="AP38" s="748">
        <f>G38*VLOOKUP(B38,'Emissions factors'!$B$1692:$M$1699,9,FALSE)</f>
        <v>0</v>
      </c>
      <c r="AQ38" s="602"/>
      <c r="AR38" s="602"/>
      <c r="AS38" s="602"/>
      <c r="AT38" s="602"/>
      <c r="AU38" s="602"/>
      <c r="AV38" s="602"/>
    </row>
    <row r="39" spans="2:48" s="40" customFormat="1" ht="12.75" customHeight="1" outlineLevel="1" x14ac:dyDescent="0.2">
      <c r="B39" s="200" t="s">
        <v>1525</v>
      </c>
      <c r="C39" s="201"/>
      <c r="D39" s="262">
        <f>J39</f>
        <v>0</v>
      </c>
      <c r="E39" s="265">
        <f>D39*12/44</f>
        <v>0</v>
      </c>
      <c r="F39" s="390"/>
      <c r="G39" s="188"/>
      <c r="H39" s="438"/>
      <c r="I39" s="273">
        <f>VLOOKUP(B39,'Emissions factors'!$B$1692:$M$1699,5,FALSE)</f>
        <v>33</v>
      </c>
      <c r="J39" s="210">
        <f>G39*I39</f>
        <v>0</v>
      </c>
      <c r="K39" s="446">
        <f>(1-H39)*VLOOKUP($B39,'Emissions factors'!$B$1692:$M$1699,10,FALSE)*(VLOOKUP($B39,'Emissions factors'!$B$1692:$M$1699,3,FALSE)-VLOOKUP($B39,'Emissions factors'!$B$1692:$M$1699,2,FALSE))</f>
        <v>0</v>
      </c>
      <c r="L39" s="447">
        <f>G39*K39</f>
        <v>0</v>
      </c>
      <c r="V39" s="282">
        <f>VLOOKUP(B39,'Emissions factors'!$B$1692:$M$1699,12,FALSE)</f>
        <v>0.5</v>
      </c>
      <c r="W39" s="189"/>
      <c r="X39" s="211">
        <f>J39*SQRT(V39^2+W39^2)</f>
        <v>0</v>
      </c>
      <c r="AB39" s="190"/>
      <c r="AC39" s="210">
        <f>J39*AB39</f>
        <v>0</v>
      </c>
      <c r="AD39" s="190"/>
      <c r="AE39" s="211">
        <f>J39*AD39</f>
        <v>0</v>
      </c>
      <c r="AK39" s="717">
        <f>G39*VLOOKUP(B39,'Emissions factors'!$B$1692:$M$1699,6,FALSE)</f>
        <v>0</v>
      </c>
      <c r="AL39" s="718">
        <f>G39*VLOOKUP(B39,'Emissions factors'!$B$1692:$M$1699,7,FALSE)</f>
        <v>0</v>
      </c>
      <c r="AM39" s="718">
        <f>G39*VLOOKUP(B39,'Emissions factors'!$B$1692:$M$1699,8,FALSE)</f>
        <v>0</v>
      </c>
      <c r="AN39" s="718">
        <v>0</v>
      </c>
      <c r="AO39" s="720">
        <f>J39</f>
        <v>0</v>
      </c>
      <c r="AP39" s="748">
        <f>G39*VLOOKUP(B39,'Emissions factors'!$B$1692:$M$1699,9,FALSE)</f>
        <v>0</v>
      </c>
      <c r="AQ39" s="602"/>
      <c r="AR39" s="602"/>
      <c r="AS39" s="602"/>
      <c r="AT39" s="602"/>
      <c r="AU39" s="602"/>
      <c r="AV39" s="602"/>
    </row>
    <row r="40" spans="2:48" s="40" customFormat="1" ht="12.75" customHeight="1" outlineLevel="1" x14ac:dyDescent="0.2">
      <c r="B40" s="213"/>
      <c r="C40" s="214"/>
      <c r="D40" s="275"/>
      <c r="E40" s="268"/>
      <c r="F40" s="214"/>
      <c r="G40" s="214"/>
      <c r="H40" s="214"/>
      <c r="I40" s="269"/>
      <c r="J40" s="214"/>
      <c r="K40" s="448"/>
      <c r="L40" s="449"/>
      <c r="V40" s="200"/>
      <c r="W40" s="201"/>
      <c r="X40" s="226"/>
      <c r="AB40" s="200"/>
      <c r="AC40" s="503"/>
      <c r="AD40" s="201"/>
      <c r="AE40" s="211"/>
      <c r="AK40" s="717"/>
      <c r="AL40" s="718"/>
      <c r="AM40" s="718"/>
      <c r="AN40" s="718"/>
      <c r="AO40" s="720"/>
      <c r="AP40" s="749"/>
      <c r="AQ40" s="602"/>
      <c r="AR40" s="602"/>
      <c r="AS40" s="602"/>
      <c r="AT40" s="602"/>
      <c r="AU40" s="602"/>
      <c r="AV40" s="602"/>
    </row>
    <row r="41" spans="2:48" s="40" customFormat="1" ht="12.75" customHeight="1" outlineLevel="1" x14ac:dyDescent="0.2">
      <c r="B41" s="253" t="s">
        <v>44</v>
      </c>
      <c r="C41" s="254"/>
      <c r="D41" s="264">
        <f>SUM(D36:D40)</f>
        <v>0</v>
      </c>
      <c r="E41" s="267">
        <f>SUM(E36:E40)</f>
        <v>0</v>
      </c>
      <c r="F41" s="255"/>
      <c r="G41" s="256"/>
      <c r="H41" s="256"/>
      <c r="I41" s="259"/>
      <c r="J41" s="259">
        <f>SUM(J36:J40)</f>
        <v>0</v>
      </c>
      <c r="K41" s="450"/>
      <c r="L41" s="451">
        <f>SUM(L36:L40)</f>
        <v>0</v>
      </c>
      <c r="V41" s="258"/>
      <c r="W41" s="256"/>
      <c r="X41" s="257">
        <f>SQRT(SUMSQ(X36:X40))</f>
        <v>0</v>
      </c>
      <c r="AB41" s="258"/>
      <c r="AC41" s="259">
        <f>SUM(AC36:AC40)</f>
        <v>0</v>
      </c>
      <c r="AD41" s="256"/>
      <c r="AE41" s="257">
        <f>SUM(AE36:AE40)</f>
        <v>0</v>
      </c>
      <c r="AK41" s="724">
        <f t="shared" ref="AK41:AP41" si="4">SUM(AK36:AK40)</f>
        <v>0</v>
      </c>
      <c r="AL41" s="725">
        <f t="shared" si="4"/>
        <v>0</v>
      </c>
      <c r="AM41" s="725">
        <f t="shared" si="4"/>
        <v>0</v>
      </c>
      <c r="AN41" s="725">
        <f t="shared" si="4"/>
        <v>0</v>
      </c>
      <c r="AO41" s="727">
        <f t="shared" si="4"/>
        <v>0</v>
      </c>
      <c r="AP41" s="750">
        <f t="shared" si="4"/>
        <v>0</v>
      </c>
      <c r="AQ41" s="602"/>
      <c r="AR41" s="602"/>
      <c r="AS41" s="602"/>
      <c r="AT41" s="602"/>
      <c r="AU41" s="602"/>
      <c r="AV41" s="602"/>
    </row>
    <row r="42" spans="2:48" s="40" customFormat="1" ht="12.75" customHeight="1" outlineLevel="1" x14ac:dyDescent="0.2">
      <c r="K42" s="322"/>
      <c r="L42" s="315"/>
      <c r="AK42" s="602"/>
      <c r="AL42" s="602"/>
      <c r="AM42" s="602"/>
      <c r="AN42" s="602"/>
      <c r="AO42" s="602"/>
      <c r="AP42" s="602"/>
      <c r="AQ42" s="602"/>
      <c r="AR42" s="602"/>
      <c r="AS42" s="602"/>
      <c r="AT42" s="602"/>
      <c r="AU42" s="602"/>
      <c r="AV42" s="602"/>
    </row>
    <row r="43" spans="2:48" s="40" customFormat="1" ht="12.75" customHeight="1" outlineLevel="1" x14ac:dyDescent="0.2">
      <c r="B43" s="195" t="s">
        <v>3111</v>
      </c>
      <c r="C43" s="196"/>
      <c r="D43" s="198"/>
      <c r="E43" s="198"/>
      <c r="F43" s="500"/>
      <c r="G43" s="198"/>
      <c r="H43" s="198"/>
      <c r="I43" s="198"/>
      <c r="J43" s="198"/>
      <c r="K43" s="515"/>
      <c r="L43" s="516"/>
      <c r="V43" s="1746" t="s">
        <v>723</v>
      </c>
      <c r="W43" s="1747"/>
      <c r="X43" s="1748"/>
      <c r="AB43" s="1746" t="s">
        <v>2066</v>
      </c>
      <c r="AC43" s="1747"/>
      <c r="AD43" s="1747"/>
      <c r="AE43" s="1748"/>
      <c r="AK43" s="1755" t="s">
        <v>2073</v>
      </c>
      <c r="AL43" s="1756"/>
      <c r="AM43" s="1756"/>
      <c r="AN43" s="1756"/>
      <c r="AO43" s="1756"/>
      <c r="AP43" s="1757"/>
      <c r="AQ43" s="602"/>
      <c r="AR43" s="602"/>
      <c r="AS43" s="602"/>
      <c r="AT43" s="602"/>
      <c r="AU43" s="602"/>
      <c r="AV43" s="602"/>
    </row>
    <row r="44" spans="2:48" s="40" customFormat="1" ht="12.75" customHeight="1" outlineLevel="1" x14ac:dyDescent="0.2">
      <c r="B44" s="417"/>
      <c r="C44" s="225"/>
      <c r="D44" s="503"/>
      <c r="E44" s="503"/>
      <c r="F44" s="412"/>
      <c r="G44" s="214"/>
      <c r="H44" s="214"/>
      <c r="I44" s="201"/>
      <c r="J44" s="201"/>
      <c r="K44" s="444" t="s">
        <v>2619</v>
      </c>
      <c r="L44" s="445"/>
      <c r="V44" s="507"/>
      <c r="W44" s="504"/>
      <c r="X44" s="203"/>
      <c r="AB44" s="507"/>
      <c r="AC44" s="504"/>
      <c r="AD44" s="504"/>
      <c r="AE44" s="203"/>
      <c r="AK44" s="778"/>
      <c r="AL44" s="779"/>
      <c r="AM44" s="779"/>
      <c r="AN44" s="779"/>
      <c r="AO44" s="741"/>
      <c r="AP44" s="780"/>
      <c r="AQ44" s="602"/>
      <c r="AR44" s="602"/>
      <c r="AS44" s="602"/>
      <c r="AT44" s="602"/>
      <c r="AU44" s="602"/>
      <c r="AV44" s="602"/>
    </row>
    <row r="45" spans="2:48" s="40" customFormat="1" ht="12.75" customHeight="1" outlineLevel="1" x14ac:dyDescent="0.2">
      <c r="B45" s="507"/>
      <c r="C45" s="504"/>
      <c r="D45" s="504" t="s">
        <v>56</v>
      </c>
      <c r="E45" s="504" t="s">
        <v>56</v>
      </c>
      <c r="F45" s="205" t="s">
        <v>2055</v>
      </c>
      <c r="G45" s="205" t="s">
        <v>11</v>
      </c>
      <c r="H45" s="205" t="s">
        <v>2600</v>
      </c>
      <c r="I45" s="504" t="s">
        <v>2617</v>
      </c>
      <c r="J45" s="503" t="s">
        <v>61</v>
      </c>
      <c r="K45" s="444" t="s">
        <v>64</v>
      </c>
      <c r="L45" s="445" t="s">
        <v>61</v>
      </c>
      <c r="V45" s="1639" t="s">
        <v>2605</v>
      </c>
      <c r="W45" s="504" t="s">
        <v>2110</v>
      </c>
      <c r="X45" s="509" t="s">
        <v>61</v>
      </c>
      <c r="Y45" s="32"/>
      <c r="Z45" s="32"/>
      <c r="AA45" s="32"/>
      <c r="AB45" s="507" t="s">
        <v>2065</v>
      </c>
      <c r="AC45" s="503" t="s">
        <v>61</v>
      </c>
      <c r="AD45" s="504" t="s">
        <v>2558</v>
      </c>
      <c r="AE45" s="509" t="s">
        <v>61</v>
      </c>
      <c r="AK45" s="1739" t="s">
        <v>61</v>
      </c>
      <c r="AL45" s="1740"/>
      <c r="AM45" s="1740"/>
      <c r="AN45" s="1740"/>
      <c r="AO45" s="741" t="s">
        <v>61</v>
      </c>
      <c r="AP45" s="742"/>
      <c r="AQ45" s="602"/>
      <c r="AR45" s="602"/>
      <c r="AS45" s="602"/>
      <c r="AT45" s="602"/>
      <c r="AU45" s="602"/>
      <c r="AV45" s="602"/>
    </row>
    <row r="46" spans="2:48" s="40" customFormat="1" ht="12.75" customHeight="1" outlineLevel="1" x14ac:dyDescent="0.2">
      <c r="B46" s="507"/>
      <c r="C46" s="504"/>
      <c r="D46" s="504" t="s">
        <v>61</v>
      </c>
      <c r="E46" s="504" t="s">
        <v>63</v>
      </c>
      <c r="F46" s="208" t="s">
        <v>2741</v>
      </c>
      <c r="G46" s="208" t="s">
        <v>2687</v>
      </c>
      <c r="H46" s="208" t="s">
        <v>2602</v>
      </c>
      <c r="I46" s="504" t="s">
        <v>67</v>
      </c>
      <c r="J46" s="503"/>
      <c r="K46" s="444" t="s">
        <v>2058</v>
      </c>
      <c r="L46" s="445" t="s">
        <v>2618</v>
      </c>
      <c r="V46" s="1639" t="s">
        <v>2109</v>
      </c>
      <c r="W46" s="504"/>
      <c r="X46" s="509"/>
      <c r="Y46" s="32"/>
      <c r="Z46" s="32"/>
      <c r="AA46" s="32"/>
      <c r="AB46" s="507"/>
      <c r="AC46" s="503"/>
      <c r="AD46" s="504"/>
      <c r="AE46" s="509"/>
      <c r="AK46" s="744" t="s">
        <v>14</v>
      </c>
      <c r="AL46" s="745" t="s">
        <v>60</v>
      </c>
      <c r="AM46" s="745" t="s">
        <v>27</v>
      </c>
      <c r="AN46" s="745" t="s">
        <v>2074</v>
      </c>
      <c r="AO46" s="746" t="s">
        <v>41</v>
      </c>
      <c r="AP46" s="747" t="s">
        <v>85</v>
      </c>
      <c r="AQ46" s="602"/>
      <c r="AR46" s="602"/>
      <c r="AS46" s="602"/>
      <c r="AT46" s="602"/>
      <c r="AU46" s="602"/>
      <c r="AV46" s="602"/>
    </row>
    <row r="47" spans="2:48" s="40" customFormat="1" ht="12.75" customHeight="1" outlineLevel="1" x14ac:dyDescent="0.2">
      <c r="B47" s="200" t="s">
        <v>160</v>
      </c>
      <c r="C47" s="201"/>
      <c r="D47" s="262">
        <f>J47</f>
        <v>0</v>
      </c>
      <c r="E47" s="265">
        <f>D47*12/44</f>
        <v>0</v>
      </c>
      <c r="F47" s="388"/>
      <c r="G47" s="182"/>
      <c r="H47" s="436"/>
      <c r="I47" s="273">
        <f>VLOOKUP($B47,'Emissions factors'!$B$1719:$M$1730,5,FALSE)</f>
        <v>880.38133333651194</v>
      </c>
      <c r="J47" s="210">
        <f>G47*I47</f>
        <v>0</v>
      </c>
      <c r="K47" s="446">
        <f>(1-H47)*VLOOKUP($B47,'Emissions factors'!$B$1719:$M$1730,10,FALSE)*(VLOOKUP($B47,'Emissions factors'!$B$1719:$M$1730,3,FALSE)-VLOOKUP($B47,'Emissions factors'!$B$1719:$M$1730,2,FALSE))+'Emissions factors'!$H$2197*SUM('Emissions factors'!$C$2275:$G$2275)+'Emissions factors'!$H$2240*SUM('Emissions factors'!$H$2275:$K$2275)</f>
        <v>-836.30713337047359</v>
      </c>
      <c r="L47" s="447">
        <f>G47*K47</f>
        <v>0</v>
      </c>
      <c r="V47" s="282">
        <f>VLOOKUP($B47,'Emissions factors'!$B$1719:$M$1730,12,FALSE)</f>
        <v>0.3</v>
      </c>
      <c r="W47" s="183"/>
      <c r="X47" s="211">
        <f>J47*SQRT(V47^2+W47^2)</f>
        <v>0</v>
      </c>
      <c r="AB47" s="184"/>
      <c r="AC47" s="210">
        <f>J47*AB47</f>
        <v>0</v>
      </c>
      <c r="AD47" s="184"/>
      <c r="AE47" s="211">
        <f>J47*AD47</f>
        <v>0</v>
      </c>
      <c r="AK47" s="717">
        <f>G47*VLOOKUP($B47,'Emissions factors'!$B$1719:$M$1730,6,FALSE)</f>
        <v>0</v>
      </c>
      <c r="AL47" s="718">
        <f>G47*VLOOKUP($B47,'Emissions factors'!$B$1719:$M$1730,7,FALSE)</f>
        <v>0</v>
      </c>
      <c r="AM47" s="718">
        <f>G47*VLOOKUP($B47,'Emissions factors'!$B$1719:$M$1730,8,FALSE)</f>
        <v>0</v>
      </c>
      <c r="AN47" s="718">
        <v>0</v>
      </c>
      <c r="AO47" s="720">
        <f>J47</f>
        <v>0</v>
      </c>
      <c r="AP47" s="748">
        <f>G47*VLOOKUP($B47,'Emissions factors'!$B$1719:$M$1730,9,FALSE)</f>
        <v>0</v>
      </c>
      <c r="AQ47" s="602"/>
      <c r="AR47" s="602"/>
      <c r="AS47" s="602"/>
      <c r="AT47" s="602"/>
      <c r="AU47" s="602"/>
      <c r="AV47" s="602"/>
    </row>
    <row r="48" spans="2:48" s="40" customFormat="1" ht="12.75" customHeight="1" outlineLevel="1" x14ac:dyDescent="0.2">
      <c r="B48" s="200" t="s">
        <v>161</v>
      </c>
      <c r="C48" s="201"/>
      <c r="D48" s="262">
        <f>J48</f>
        <v>0</v>
      </c>
      <c r="E48" s="265">
        <f>D48*12/44</f>
        <v>0</v>
      </c>
      <c r="F48" s="389"/>
      <c r="G48" s="185"/>
      <c r="H48" s="437"/>
      <c r="I48" s="273">
        <f>VLOOKUP($B48,'Emissions factors'!$B$1719:$M$1730,5,FALSE)</f>
        <v>880.38133333651194</v>
      </c>
      <c r="J48" s="210">
        <f>G48*I48</f>
        <v>0</v>
      </c>
      <c r="K48" s="446">
        <f>(1-H48)*VLOOKUP($B48,'Emissions factors'!$B$1719:$M$1730,10,FALSE)*(VLOOKUP($B48,'Emissions factors'!$B$1719:$M$1730,3,FALSE)-VLOOKUP($B48,'Emissions factors'!$B$1719:$M$1730,2,FALSE))+'Emissions factors'!$H$2197*SUM('Emissions factors'!$C$2275:$G$2275)+'Emissions factors'!$H$2240*SUM('Emissions factors'!$H$2275:$K$2275)</f>
        <v>-676.20713337047357</v>
      </c>
      <c r="L48" s="447">
        <f>G48*K48</f>
        <v>0</v>
      </c>
      <c r="N48" s="314"/>
      <c r="V48" s="282">
        <f>VLOOKUP($B48,'Emissions factors'!$B$1719:$M$1730,12,FALSE)</f>
        <v>0.3</v>
      </c>
      <c r="W48" s="186"/>
      <c r="X48" s="211">
        <f>J48*SQRT(V48^2+W48^2)</f>
        <v>0</v>
      </c>
      <c r="AB48" s="187"/>
      <c r="AC48" s="210">
        <f>J48*AB48</f>
        <v>0</v>
      </c>
      <c r="AD48" s="187"/>
      <c r="AE48" s="211">
        <f>J48*AD48</f>
        <v>0</v>
      </c>
      <c r="AK48" s="717">
        <f>G48*VLOOKUP($B48,'Emissions factors'!$B$1719:$M$1730,6,FALSE)</f>
        <v>0</v>
      </c>
      <c r="AL48" s="718">
        <f>G48*VLOOKUP($B48,'Emissions factors'!$B$1719:$M$1730,7,FALSE)</f>
        <v>0</v>
      </c>
      <c r="AM48" s="718">
        <f>G48*VLOOKUP($B48,'Emissions factors'!$B$1719:$M$1730,8,FALSE)</f>
        <v>0</v>
      </c>
      <c r="AN48" s="718">
        <v>0</v>
      </c>
      <c r="AO48" s="720">
        <f>J48</f>
        <v>0</v>
      </c>
      <c r="AP48" s="748">
        <f>G48*VLOOKUP($B48,'Emissions factors'!$B$1719:$M$1730,9,FALSE)</f>
        <v>0</v>
      </c>
      <c r="AQ48" s="602"/>
      <c r="AR48" s="602"/>
      <c r="AS48" s="602"/>
      <c r="AT48" s="602"/>
      <c r="AU48" s="602"/>
      <c r="AV48" s="602"/>
    </row>
    <row r="49" spans="2:48" s="40" customFormat="1" ht="12.75" customHeight="1" outlineLevel="1" x14ac:dyDescent="0.2">
      <c r="B49" s="200" t="s">
        <v>161</v>
      </c>
      <c r="C49" s="201"/>
      <c r="D49" s="262">
        <f>J49</f>
        <v>0</v>
      </c>
      <c r="E49" s="265">
        <f>D49*12/44</f>
        <v>0</v>
      </c>
      <c r="F49" s="389"/>
      <c r="G49" s="185"/>
      <c r="H49" s="437"/>
      <c r="I49" s="273">
        <f>VLOOKUP($B49,'Emissions factors'!$B$1719:$M$1730,5,FALSE)</f>
        <v>880.38133333651194</v>
      </c>
      <c r="J49" s="210">
        <f>G49*I49</f>
        <v>0</v>
      </c>
      <c r="K49" s="446">
        <f>(1-H49)*VLOOKUP($B49,'Emissions factors'!$B$1719:$M$1730,10,FALSE)*(VLOOKUP($B49,'Emissions factors'!$B$1719:$M$1730,3,FALSE)-VLOOKUP($B49,'Emissions factors'!$B$1719:$M$1730,2,FALSE))+'Emissions factors'!$H$2197*SUM('Emissions factors'!$C$2275:$G$2275)+'Emissions factors'!$H$2240*SUM('Emissions factors'!$H$2275:$K$2275)</f>
        <v>-676.20713337047357</v>
      </c>
      <c r="L49" s="447">
        <f>G49*K49</f>
        <v>0</v>
      </c>
      <c r="V49" s="282">
        <f>VLOOKUP($B49,'Emissions factors'!$B$1719:$M$1730,12,FALSE)</f>
        <v>0.3</v>
      </c>
      <c r="W49" s="186"/>
      <c r="X49" s="211">
        <f>J49*SQRT(V49^2+W49^2)</f>
        <v>0</v>
      </c>
      <c r="AB49" s="187"/>
      <c r="AC49" s="210">
        <f>J49*AB49</f>
        <v>0</v>
      </c>
      <c r="AD49" s="187"/>
      <c r="AE49" s="211">
        <f>J49*AD49</f>
        <v>0</v>
      </c>
      <c r="AK49" s="717">
        <f>G49*VLOOKUP($B49,'Emissions factors'!$B$1719:$M$1730,6,FALSE)</f>
        <v>0</v>
      </c>
      <c r="AL49" s="718">
        <f>G49*VLOOKUP($B49,'Emissions factors'!$B$1719:$M$1730,7,FALSE)</f>
        <v>0</v>
      </c>
      <c r="AM49" s="718">
        <f>G49*VLOOKUP($B49,'Emissions factors'!$B$1719:$M$1730,8,FALSE)</f>
        <v>0</v>
      </c>
      <c r="AN49" s="718">
        <v>0</v>
      </c>
      <c r="AO49" s="720">
        <f>J49</f>
        <v>0</v>
      </c>
      <c r="AP49" s="748">
        <f>G49*VLOOKUP($B49,'Emissions factors'!$B$1719:$M$1730,9,FALSE)</f>
        <v>0</v>
      </c>
      <c r="AQ49" s="602"/>
      <c r="AR49" s="602"/>
      <c r="AS49" s="602"/>
      <c r="AT49" s="602"/>
      <c r="AU49" s="602"/>
      <c r="AV49" s="602"/>
    </row>
    <row r="50" spans="2:48" s="40" customFormat="1" ht="12.75" customHeight="1" outlineLevel="1" x14ac:dyDescent="0.2">
      <c r="B50" s="200" t="s">
        <v>161</v>
      </c>
      <c r="C50" s="201"/>
      <c r="D50" s="262">
        <f>J50</f>
        <v>0</v>
      </c>
      <c r="E50" s="265">
        <f>D50*12/44</f>
        <v>0</v>
      </c>
      <c r="F50" s="390"/>
      <c r="G50" s="188"/>
      <c r="H50" s="438"/>
      <c r="I50" s="273">
        <f>VLOOKUP($B50,'Emissions factors'!$B$1719:$M$1730,5,FALSE)</f>
        <v>880.38133333651194</v>
      </c>
      <c r="J50" s="210">
        <f>G50*I50</f>
        <v>0</v>
      </c>
      <c r="K50" s="446">
        <f>(1-H50)*VLOOKUP($B50,'Emissions factors'!$B$1719:$M$1730,10,FALSE)*(VLOOKUP($B50,'Emissions factors'!$B$1719:$M$1730,3,FALSE)-VLOOKUP($B50,'Emissions factors'!$B$1719:$M$1730,2,FALSE))+'Emissions factors'!$H$2197*SUM('Emissions factors'!$C$2275:$G$2275)+'Emissions factors'!$H$2240*SUM('Emissions factors'!$H$2275:$K$2275)</f>
        <v>-676.20713337047357</v>
      </c>
      <c r="L50" s="447">
        <f>G50*K50</f>
        <v>0</v>
      </c>
      <c r="V50" s="282">
        <f>VLOOKUP($B50,'Emissions factors'!$B$1719:$M$1730,12,FALSE)</f>
        <v>0.3</v>
      </c>
      <c r="W50" s="189"/>
      <c r="X50" s="211">
        <f>J50*SQRT(V50^2+W50^2)</f>
        <v>0</v>
      </c>
      <c r="AB50" s="190"/>
      <c r="AC50" s="210">
        <f>J50*AB50</f>
        <v>0</v>
      </c>
      <c r="AD50" s="190"/>
      <c r="AE50" s="211">
        <f>J50*AD50</f>
        <v>0</v>
      </c>
      <c r="AK50" s="717">
        <f>G50*VLOOKUP($B50,'Emissions factors'!$B$1719:$M$1730,6,FALSE)</f>
        <v>0</v>
      </c>
      <c r="AL50" s="718">
        <f>G50*VLOOKUP($B50,'Emissions factors'!$B$1719:$M$1730,7,FALSE)</f>
        <v>0</v>
      </c>
      <c r="AM50" s="718">
        <f>G50*VLOOKUP($B50,'Emissions factors'!$B$1719:$M$1730,8,FALSE)</f>
        <v>0</v>
      </c>
      <c r="AN50" s="718">
        <v>0</v>
      </c>
      <c r="AO50" s="720">
        <f>J50</f>
        <v>0</v>
      </c>
      <c r="AP50" s="748">
        <f>G50*VLOOKUP($B50,'Emissions factors'!$B$1719:$M$1730,9,FALSE)</f>
        <v>0</v>
      </c>
      <c r="AQ50" s="602"/>
      <c r="AR50" s="602"/>
      <c r="AS50" s="602"/>
      <c r="AT50" s="602"/>
      <c r="AU50" s="602"/>
      <c r="AV50" s="602"/>
    </row>
    <row r="51" spans="2:48" s="40" customFormat="1" ht="12.75" customHeight="1" outlineLevel="1" x14ac:dyDescent="0.2">
      <c r="B51" s="200"/>
      <c r="C51" s="201"/>
      <c r="D51" s="263"/>
      <c r="E51" s="266"/>
      <c r="F51" s="201"/>
      <c r="G51" s="201"/>
      <c r="H51" s="214"/>
      <c r="I51" s="201"/>
      <c r="J51" s="201"/>
      <c r="K51" s="452"/>
      <c r="L51" s="453"/>
      <c r="V51" s="200"/>
      <c r="W51" s="201"/>
      <c r="X51" s="226"/>
      <c r="AB51" s="200"/>
      <c r="AC51" s="503"/>
      <c r="AD51" s="201"/>
      <c r="AE51" s="211"/>
      <c r="AK51" s="717"/>
      <c r="AL51" s="718"/>
      <c r="AM51" s="718"/>
      <c r="AN51" s="718"/>
      <c r="AO51" s="720"/>
      <c r="AP51" s="749"/>
      <c r="AQ51" s="602"/>
      <c r="AR51" s="602"/>
      <c r="AS51" s="602"/>
      <c r="AT51" s="602"/>
      <c r="AU51" s="602"/>
      <c r="AV51" s="602"/>
    </row>
    <row r="52" spans="2:48" s="40" customFormat="1" ht="12.75" customHeight="1" outlineLevel="1" x14ac:dyDescent="0.2">
      <c r="B52" s="253" t="s">
        <v>44</v>
      </c>
      <c r="C52" s="254"/>
      <c r="D52" s="264">
        <f>SUM(D47:D51)</f>
        <v>0</v>
      </c>
      <c r="E52" s="267">
        <f>SUM(E47:E51)</f>
        <v>0</v>
      </c>
      <c r="F52" s="255"/>
      <c r="G52" s="256"/>
      <c r="H52" s="256"/>
      <c r="I52" s="256"/>
      <c r="J52" s="259">
        <f>SUM(J47:J51)</f>
        <v>0</v>
      </c>
      <c r="K52" s="450"/>
      <c r="L52" s="451">
        <f>SUM(L47:L51)</f>
        <v>0</v>
      </c>
      <c r="V52" s="258"/>
      <c r="W52" s="256"/>
      <c r="X52" s="257">
        <f>SQRT(SUMSQ(X47:X51))</f>
        <v>0</v>
      </c>
      <c r="AB52" s="258"/>
      <c r="AC52" s="259">
        <f>SUM(AC47:AC51)</f>
        <v>0</v>
      </c>
      <c r="AD52" s="256"/>
      <c r="AE52" s="257">
        <f>SUM(AE47:AE51)</f>
        <v>0</v>
      </c>
      <c r="AK52" s="724">
        <f t="shared" ref="AK52:AP52" si="5">SUM(AK47:AK51)</f>
        <v>0</v>
      </c>
      <c r="AL52" s="725">
        <f t="shared" si="5"/>
        <v>0</v>
      </c>
      <c r="AM52" s="725">
        <f t="shared" si="5"/>
        <v>0</v>
      </c>
      <c r="AN52" s="725">
        <f t="shared" si="5"/>
        <v>0</v>
      </c>
      <c r="AO52" s="727">
        <f t="shared" si="5"/>
        <v>0</v>
      </c>
      <c r="AP52" s="750">
        <f t="shared" si="5"/>
        <v>0</v>
      </c>
      <c r="AQ52" s="602"/>
      <c r="AR52" s="602"/>
      <c r="AS52" s="602"/>
      <c r="AT52" s="602"/>
      <c r="AU52" s="602"/>
      <c r="AV52" s="602"/>
    </row>
    <row r="53" spans="2:48" s="40" customFormat="1" ht="12.75" customHeight="1" outlineLevel="1" x14ac:dyDescent="0.2">
      <c r="K53" s="322"/>
      <c r="AK53" s="602"/>
      <c r="AL53" s="602"/>
      <c r="AM53" s="602"/>
      <c r="AN53" s="602"/>
      <c r="AO53" s="602"/>
      <c r="AP53" s="602"/>
      <c r="AQ53" s="602"/>
      <c r="AR53" s="602"/>
      <c r="AS53" s="602"/>
      <c r="AT53" s="602"/>
      <c r="AU53" s="602"/>
      <c r="AV53" s="602"/>
    </row>
    <row r="54" spans="2:48" s="40" customFormat="1" ht="12.75" customHeight="1" outlineLevel="1" x14ac:dyDescent="0.2">
      <c r="B54" s="195" t="s">
        <v>3112</v>
      </c>
      <c r="C54" s="196"/>
      <c r="D54" s="198"/>
      <c r="E54" s="198"/>
      <c r="F54" s="500"/>
      <c r="G54" s="198"/>
      <c r="H54" s="198"/>
      <c r="I54" s="198"/>
      <c r="J54" s="198"/>
      <c r="K54" s="515"/>
      <c r="L54" s="516"/>
      <c r="V54" s="1746" t="s">
        <v>723</v>
      </c>
      <c r="W54" s="1747"/>
      <c r="X54" s="1748"/>
      <c r="AB54" s="1746" t="s">
        <v>2066</v>
      </c>
      <c r="AC54" s="1747"/>
      <c r="AD54" s="1747"/>
      <c r="AE54" s="1748"/>
      <c r="AK54" s="1755" t="s">
        <v>2073</v>
      </c>
      <c r="AL54" s="1756"/>
      <c r="AM54" s="1756"/>
      <c r="AN54" s="1756"/>
      <c r="AO54" s="1756"/>
      <c r="AP54" s="1757"/>
      <c r="AQ54" s="602"/>
      <c r="AR54" s="602"/>
      <c r="AS54" s="602"/>
      <c r="AT54" s="602"/>
      <c r="AU54" s="602"/>
      <c r="AV54" s="602"/>
    </row>
    <row r="55" spans="2:48" s="40" customFormat="1" ht="12.75" customHeight="1" outlineLevel="1" x14ac:dyDescent="0.2">
      <c r="B55" s="417"/>
      <c r="C55" s="225"/>
      <c r="D55" s="503"/>
      <c r="E55" s="503"/>
      <c r="F55" s="412"/>
      <c r="G55" s="214"/>
      <c r="H55" s="214"/>
      <c r="I55" s="201"/>
      <c r="J55" s="201"/>
      <c r="K55" s="444" t="s">
        <v>2619</v>
      </c>
      <c r="L55" s="445"/>
      <c r="V55" s="507"/>
      <c r="W55" s="504"/>
      <c r="X55" s="203"/>
      <c r="AB55" s="507"/>
      <c r="AC55" s="504"/>
      <c r="AD55" s="504"/>
      <c r="AE55" s="203"/>
      <c r="AK55" s="778"/>
      <c r="AL55" s="779"/>
      <c r="AM55" s="779"/>
      <c r="AN55" s="779"/>
      <c r="AO55" s="741"/>
      <c r="AP55" s="780"/>
      <c r="AQ55" s="602"/>
      <c r="AR55" s="602"/>
      <c r="AS55" s="602"/>
      <c r="AT55" s="602"/>
      <c r="AU55" s="602"/>
      <c r="AV55" s="602"/>
    </row>
    <row r="56" spans="2:48" s="40" customFormat="1" ht="12.75" customHeight="1" outlineLevel="1" x14ac:dyDescent="0.2">
      <c r="B56" s="507"/>
      <c r="C56" s="504"/>
      <c r="D56" s="504" t="s">
        <v>56</v>
      </c>
      <c r="E56" s="504" t="s">
        <v>56</v>
      </c>
      <c r="F56" s="205" t="s">
        <v>2055</v>
      </c>
      <c r="G56" s="205" t="s">
        <v>11</v>
      </c>
      <c r="H56" s="205" t="s">
        <v>2600</v>
      </c>
      <c r="I56" s="504" t="s">
        <v>2617</v>
      </c>
      <c r="J56" s="503" t="s">
        <v>61</v>
      </c>
      <c r="K56" s="444" t="s">
        <v>64</v>
      </c>
      <c r="L56" s="445" t="s">
        <v>61</v>
      </c>
      <c r="V56" s="1639" t="s">
        <v>2605</v>
      </c>
      <c r="W56" s="504" t="s">
        <v>2110</v>
      </c>
      <c r="X56" s="509" t="s">
        <v>61</v>
      </c>
      <c r="Y56" s="32"/>
      <c r="Z56" s="32"/>
      <c r="AA56" s="32"/>
      <c r="AB56" s="507" t="s">
        <v>2065</v>
      </c>
      <c r="AC56" s="503" t="s">
        <v>61</v>
      </c>
      <c r="AD56" s="504" t="s">
        <v>2558</v>
      </c>
      <c r="AE56" s="509" t="s">
        <v>61</v>
      </c>
      <c r="AK56" s="1739" t="s">
        <v>61</v>
      </c>
      <c r="AL56" s="1740"/>
      <c r="AM56" s="1740"/>
      <c r="AN56" s="1740"/>
      <c r="AO56" s="741" t="s">
        <v>61</v>
      </c>
      <c r="AP56" s="742"/>
      <c r="AQ56" s="602"/>
      <c r="AR56" s="602"/>
      <c r="AS56" s="602"/>
      <c r="AT56" s="602"/>
      <c r="AU56" s="602"/>
      <c r="AV56" s="602"/>
    </row>
    <row r="57" spans="2:48" s="40" customFormat="1" ht="12.75" customHeight="1" outlineLevel="1" x14ac:dyDescent="0.2">
      <c r="B57" s="507"/>
      <c r="C57" s="504"/>
      <c r="D57" s="504" t="s">
        <v>61</v>
      </c>
      <c r="E57" s="504" t="s">
        <v>63</v>
      </c>
      <c r="F57" s="208" t="s">
        <v>2741</v>
      </c>
      <c r="G57" s="208" t="s">
        <v>2687</v>
      </c>
      <c r="H57" s="208" t="s">
        <v>2602</v>
      </c>
      <c r="I57" s="504" t="s">
        <v>67</v>
      </c>
      <c r="J57" s="503"/>
      <c r="K57" s="444" t="s">
        <v>2058</v>
      </c>
      <c r="L57" s="445" t="s">
        <v>2618</v>
      </c>
      <c r="V57" s="1639" t="s">
        <v>2109</v>
      </c>
      <c r="W57" s="504"/>
      <c r="X57" s="509"/>
      <c r="Y57" s="32"/>
      <c r="Z57" s="32"/>
      <c r="AA57" s="32"/>
      <c r="AB57" s="507"/>
      <c r="AC57" s="503"/>
      <c r="AD57" s="504"/>
      <c r="AE57" s="509"/>
      <c r="AK57" s="744" t="s">
        <v>14</v>
      </c>
      <c r="AL57" s="745" t="s">
        <v>60</v>
      </c>
      <c r="AM57" s="745" t="s">
        <v>27</v>
      </c>
      <c r="AN57" s="745" t="s">
        <v>2074</v>
      </c>
      <c r="AO57" s="746" t="s">
        <v>41</v>
      </c>
      <c r="AP57" s="747" t="s">
        <v>85</v>
      </c>
      <c r="AQ57" s="602"/>
      <c r="AR57" s="602"/>
      <c r="AS57" s="602"/>
      <c r="AT57" s="602"/>
      <c r="AU57" s="602"/>
      <c r="AV57" s="602"/>
    </row>
    <row r="58" spans="2:48" s="40" customFormat="1" ht="12.75" customHeight="1" outlineLevel="1" x14ac:dyDescent="0.2">
      <c r="B58" s="200" t="s">
        <v>1534</v>
      </c>
      <c r="C58" s="201"/>
      <c r="D58" s="262">
        <f>J58</f>
        <v>0</v>
      </c>
      <c r="E58" s="265">
        <f>D58*12/44</f>
        <v>0</v>
      </c>
      <c r="F58" s="388"/>
      <c r="G58" s="182"/>
      <c r="H58" s="436"/>
      <c r="I58" s="273">
        <f>VLOOKUP($B58,'Emissions factors'!$B$1704:$M$1714,5,FALSE)</f>
        <v>33</v>
      </c>
      <c r="J58" s="210">
        <f>G58*I58</f>
        <v>0</v>
      </c>
      <c r="K58" s="446">
        <f>(1-H58)*(VLOOKUP($B58,'Emissions factors'!$B$1704:$M$1714,3,FALSE)-VLOOKUP($B58,'Emissions factors'!$B$1704:$M$1714,2,FALSE))</f>
        <v>0</v>
      </c>
      <c r="L58" s="447">
        <f>G58*K58</f>
        <v>0</v>
      </c>
      <c r="V58" s="282">
        <f>VLOOKUP($B58,'Emissions factors'!$B$1704:$M$1714,12,FALSE)</f>
        <v>0.5</v>
      </c>
      <c r="W58" s="183"/>
      <c r="X58" s="211">
        <f>J58*SQRT(V58^2+W58^2)</f>
        <v>0</v>
      </c>
      <c r="AB58" s="184"/>
      <c r="AC58" s="210">
        <f>J58*AB58</f>
        <v>0</v>
      </c>
      <c r="AD58" s="184"/>
      <c r="AE58" s="211">
        <f>J58*AD58</f>
        <v>0</v>
      </c>
      <c r="AK58" s="717">
        <f>G58*VLOOKUP($B58,'Emissions factors'!$B$1704:$M$1714,6,FALSE)</f>
        <v>0</v>
      </c>
      <c r="AL58" s="718">
        <f>G58*VLOOKUP($B58,'Emissions factors'!$B$1704:$M$1714,7,FALSE)</f>
        <v>0</v>
      </c>
      <c r="AM58" s="718">
        <f>G58*VLOOKUP($B58,'Emissions factors'!$B$1704:$M$1714,8,FALSE)</f>
        <v>0</v>
      </c>
      <c r="AN58" s="718">
        <v>0</v>
      </c>
      <c r="AO58" s="720">
        <f>J58</f>
        <v>0</v>
      </c>
      <c r="AP58" s="748">
        <f>G58*VLOOKUP($B58,'Emissions factors'!$B$1704:$M$1714,9,FALSE)</f>
        <v>0</v>
      </c>
      <c r="AQ58" s="602"/>
      <c r="AR58" s="602"/>
      <c r="AS58" s="602"/>
      <c r="AT58" s="602"/>
      <c r="AU58" s="602"/>
      <c r="AV58" s="602"/>
    </row>
    <row r="59" spans="2:48" s="40" customFormat="1" ht="12.75" customHeight="1" outlineLevel="1" x14ac:dyDescent="0.2">
      <c r="B59" s="200" t="s">
        <v>1540</v>
      </c>
      <c r="C59" s="201"/>
      <c r="D59" s="262">
        <f>J59</f>
        <v>0</v>
      </c>
      <c r="E59" s="265">
        <f>D59*12/44</f>
        <v>0</v>
      </c>
      <c r="F59" s="389"/>
      <c r="G59" s="185"/>
      <c r="H59" s="437"/>
      <c r="I59" s="273">
        <f>VLOOKUP($B59,'Emissions factors'!$B$1704:$M$1714,5,FALSE)</f>
        <v>33</v>
      </c>
      <c r="J59" s="210">
        <f>G59*I59</f>
        <v>0</v>
      </c>
      <c r="K59" s="446">
        <f>(1-H59)*(VLOOKUP($B59,'Emissions factors'!$B$1704:$M$1714,3,FALSE)-VLOOKUP($B59,'Emissions factors'!$B$1704:$M$1714,2,FALSE))</f>
        <v>0</v>
      </c>
      <c r="L59" s="447">
        <f>G59*K59</f>
        <v>0</v>
      </c>
      <c r="V59" s="282">
        <f>VLOOKUP($B59,'Emissions factors'!$B$1704:$M$1714,12,FALSE)</f>
        <v>0.5</v>
      </c>
      <c r="W59" s="186"/>
      <c r="X59" s="211">
        <f>J59*SQRT(V59^2+W59^2)</f>
        <v>0</v>
      </c>
      <c r="AB59" s="187"/>
      <c r="AC59" s="210">
        <f>J59*AB59</f>
        <v>0</v>
      </c>
      <c r="AD59" s="187"/>
      <c r="AE59" s="211">
        <f>J59*AD59</f>
        <v>0</v>
      </c>
      <c r="AK59" s="717">
        <f>G59*VLOOKUP($B59,'Emissions factors'!$B$1704:$M$1714,6,FALSE)</f>
        <v>0</v>
      </c>
      <c r="AL59" s="718">
        <f>G59*VLOOKUP($B59,'Emissions factors'!$B$1704:$M$1714,7,FALSE)</f>
        <v>0</v>
      </c>
      <c r="AM59" s="718">
        <f>G59*VLOOKUP($B59,'Emissions factors'!$B$1704:$M$1714,8,FALSE)</f>
        <v>0</v>
      </c>
      <c r="AN59" s="718">
        <v>0</v>
      </c>
      <c r="AO59" s="720">
        <f>J59</f>
        <v>0</v>
      </c>
      <c r="AP59" s="748">
        <f>G59*VLOOKUP($B59,'Emissions factors'!$B$1704:$M$1714,9,FALSE)</f>
        <v>0</v>
      </c>
      <c r="AQ59" s="602"/>
      <c r="AR59" s="602"/>
      <c r="AS59" s="602"/>
      <c r="AT59" s="602"/>
      <c r="AU59" s="602"/>
      <c r="AV59" s="602"/>
    </row>
    <row r="60" spans="2:48" s="40" customFormat="1" ht="12.75" customHeight="1" outlineLevel="1" x14ac:dyDescent="0.2">
      <c r="B60" s="200" t="s">
        <v>1538</v>
      </c>
      <c r="C60" s="201"/>
      <c r="D60" s="262">
        <f>J60</f>
        <v>0</v>
      </c>
      <c r="E60" s="265">
        <f>D60*12/44</f>
        <v>0</v>
      </c>
      <c r="F60" s="389"/>
      <c r="G60" s="185"/>
      <c r="H60" s="437"/>
      <c r="I60" s="273">
        <f>VLOOKUP($B60,'Emissions factors'!$B$1704:$M$1714,5,FALSE)</f>
        <v>33</v>
      </c>
      <c r="J60" s="210">
        <f>G60*I60</f>
        <v>0</v>
      </c>
      <c r="K60" s="446">
        <f>(1-H60)*(VLOOKUP($B60,'Emissions factors'!$B$1704:$M$1714,3,FALSE)-VLOOKUP($B60,'Emissions factors'!$B$1704:$M$1714,2,FALSE))</f>
        <v>0</v>
      </c>
      <c r="L60" s="447">
        <f>G60*K60</f>
        <v>0</v>
      </c>
      <c r="V60" s="282">
        <f>VLOOKUP($B60,'Emissions factors'!$B$1704:$M$1714,12,FALSE)</f>
        <v>0.5</v>
      </c>
      <c r="W60" s="186"/>
      <c r="X60" s="211">
        <f>J60*SQRT(V60^2+W60^2)</f>
        <v>0</v>
      </c>
      <c r="AB60" s="187"/>
      <c r="AC60" s="210">
        <f>J60*AB60</f>
        <v>0</v>
      </c>
      <c r="AD60" s="187"/>
      <c r="AE60" s="211">
        <f>J60*AD60</f>
        <v>0</v>
      </c>
      <c r="AK60" s="717">
        <f>G60*VLOOKUP($B60,'Emissions factors'!$B$1704:$M$1714,6,FALSE)</f>
        <v>0</v>
      </c>
      <c r="AL60" s="718">
        <f>G60*VLOOKUP($B60,'Emissions factors'!$B$1704:$M$1714,7,FALSE)</f>
        <v>0</v>
      </c>
      <c r="AM60" s="718">
        <f>G60*VLOOKUP($B60,'Emissions factors'!$B$1704:$M$1714,8,FALSE)</f>
        <v>0</v>
      </c>
      <c r="AN60" s="718">
        <v>0</v>
      </c>
      <c r="AO60" s="720">
        <f>J60</f>
        <v>0</v>
      </c>
      <c r="AP60" s="748">
        <f>G60*VLOOKUP($B60,'Emissions factors'!$B$1704:$M$1714,9,FALSE)</f>
        <v>0</v>
      </c>
      <c r="AQ60" s="602"/>
      <c r="AR60" s="602"/>
      <c r="AS60" s="602"/>
      <c r="AT60" s="602"/>
      <c r="AU60" s="602"/>
      <c r="AV60" s="602"/>
    </row>
    <row r="61" spans="2:48" s="40" customFormat="1" ht="12.75" customHeight="1" outlineLevel="1" x14ac:dyDescent="0.2">
      <c r="B61" s="200" t="s">
        <v>1532</v>
      </c>
      <c r="C61" s="201"/>
      <c r="D61" s="262">
        <f>J61</f>
        <v>0</v>
      </c>
      <c r="E61" s="265">
        <f>D61*12/44</f>
        <v>0</v>
      </c>
      <c r="F61" s="390"/>
      <c r="G61" s="188"/>
      <c r="H61" s="438"/>
      <c r="I61" s="273">
        <f>VLOOKUP($B61,'Emissions factors'!$B$1704:$M$1714,5,FALSE)</f>
        <v>33</v>
      </c>
      <c r="J61" s="210">
        <f>G61*I61</f>
        <v>0</v>
      </c>
      <c r="K61" s="446">
        <f>(1-H61)*(VLOOKUP($B61,'Emissions factors'!$B$1704:$M$1714,3,FALSE)-VLOOKUP($B61,'Emissions factors'!$B$1704:$M$1714,2,FALSE))</f>
        <v>-914</v>
      </c>
      <c r="L61" s="447">
        <f>G61*K61</f>
        <v>0</v>
      </c>
      <c r="V61" s="282">
        <f>VLOOKUP($B61,'Emissions factors'!$B$1704:$M$1714,12,FALSE)</f>
        <v>0.5</v>
      </c>
      <c r="W61" s="189"/>
      <c r="X61" s="211">
        <f>J61*SQRT(V61^2+W61^2)</f>
        <v>0</v>
      </c>
      <c r="AB61" s="190"/>
      <c r="AC61" s="210">
        <f>J61*AB61</f>
        <v>0</v>
      </c>
      <c r="AD61" s="190"/>
      <c r="AE61" s="211">
        <f>J61*AD61</f>
        <v>0</v>
      </c>
      <c r="AK61" s="717">
        <f>G61*VLOOKUP($B61,'Emissions factors'!$B$1704:$M$1714,6,FALSE)</f>
        <v>0</v>
      </c>
      <c r="AL61" s="718">
        <f>G61*VLOOKUP($B61,'Emissions factors'!$B$1704:$M$1714,7,FALSE)</f>
        <v>0</v>
      </c>
      <c r="AM61" s="718">
        <f>G61*VLOOKUP($B61,'Emissions factors'!$B$1704:$M$1714,8,FALSE)</f>
        <v>0</v>
      </c>
      <c r="AN61" s="718">
        <v>0</v>
      </c>
      <c r="AO61" s="720">
        <f>J61</f>
        <v>0</v>
      </c>
      <c r="AP61" s="748">
        <f>G61*VLOOKUP($B61,'Emissions factors'!$B$1704:$M$1714,9,FALSE)</f>
        <v>0</v>
      </c>
      <c r="AQ61" s="602"/>
      <c r="AR61" s="602"/>
      <c r="AS61" s="602"/>
      <c r="AT61" s="602"/>
      <c r="AU61" s="602"/>
      <c r="AV61" s="602"/>
    </row>
    <row r="62" spans="2:48" s="40" customFormat="1" ht="12.75" customHeight="1" outlineLevel="1" x14ac:dyDescent="0.2">
      <c r="B62" s="200"/>
      <c r="C62" s="201"/>
      <c r="D62" s="263"/>
      <c r="E62" s="266"/>
      <c r="F62" s="201"/>
      <c r="G62" s="201"/>
      <c r="H62" s="214"/>
      <c r="I62" s="201"/>
      <c r="J62" s="201"/>
      <c r="K62" s="448"/>
      <c r="L62" s="449"/>
      <c r="V62" s="200"/>
      <c r="W62" s="201"/>
      <c r="X62" s="226"/>
      <c r="AB62" s="200"/>
      <c r="AC62" s="503"/>
      <c r="AD62" s="201"/>
      <c r="AE62" s="211"/>
      <c r="AK62" s="717"/>
      <c r="AL62" s="718"/>
      <c r="AM62" s="718"/>
      <c r="AN62" s="718"/>
      <c r="AO62" s="720"/>
      <c r="AP62" s="749"/>
      <c r="AQ62" s="602"/>
      <c r="AR62" s="602"/>
      <c r="AS62" s="602"/>
      <c r="AT62" s="602"/>
      <c r="AU62" s="602"/>
      <c r="AV62" s="602"/>
    </row>
    <row r="63" spans="2:48" s="40" customFormat="1" ht="12.75" customHeight="1" outlineLevel="1" x14ac:dyDescent="0.2">
      <c r="B63" s="253" t="s">
        <v>44</v>
      </c>
      <c r="C63" s="254"/>
      <c r="D63" s="264">
        <f>SUM(D58:D62)</f>
        <v>0</v>
      </c>
      <c r="E63" s="267">
        <f>SUM(E58:E62)</f>
        <v>0</v>
      </c>
      <c r="F63" s="255"/>
      <c r="G63" s="256"/>
      <c r="H63" s="256"/>
      <c r="I63" s="256"/>
      <c r="J63" s="259">
        <f>SUM(J58:J62)</f>
        <v>0</v>
      </c>
      <c r="K63" s="450"/>
      <c r="L63" s="451">
        <f>SUM(L58:L62)</f>
        <v>0</v>
      </c>
      <c r="V63" s="258"/>
      <c r="W63" s="256"/>
      <c r="X63" s="257">
        <f>SQRT(SUMSQ(X58:X62))</f>
        <v>0</v>
      </c>
      <c r="AB63" s="258"/>
      <c r="AC63" s="259">
        <f>SUM(AC58:AC62)</f>
        <v>0</v>
      </c>
      <c r="AD63" s="256"/>
      <c r="AE63" s="257">
        <f>SUM(AE58:AE62)</f>
        <v>0</v>
      </c>
      <c r="AK63" s="724">
        <f t="shared" ref="AK63:AP63" si="6">SUM(AK58:AK62)</f>
        <v>0</v>
      </c>
      <c r="AL63" s="725">
        <f t="shared" si="6"/>
        <v>0</v>
      </c>
      <c r="AM63" s="725">
        <f t="shared" si="6"/>
        <v>0</v>
      </c>
      <c r="AN63" s="725">
        <f t="shared" si="6"/>
        <v>0</v>
      </c>
      <c r="AO63" s="727">
        <f t="shared" si="6"/>
        <v>0</v>
      </c>
      <c r="AP63" s="750">
        <f t="shared" si="6"/>
        <v>0</v>
      </c>
      <c r="AQ63" s="602"/>
      <c r="AR63" s="602"/>
      <c r="AS63" s="602"/>
      <c r="AT63" s="602"/>
      <c r="AU63" s="602"/>
      <c r="AV63" s="602"/>
    </row>
    <row r="64" spans="2:48" s="40" customFormat="1" ht="12.75" customHeight="1" outlineLevel="1" x14ac:dyDescent="0.2">
      <c r="K64" s="322"/>
      <c r="AK64" s="602"/>
      <c r="AL64" s="602"/>
      <c r="AM64" s="602"/>
      <c r="AN64" s="602"/>
      <c r="AO64" s="602"/>
      <c r="AP64" s="602"/>
      <c r="AQ64" s="602"/>
      <c r="AR64" s="602"/>
      <c r="AS64" s="602"/>
      <c r="AT64" s="602"/>
      <c r="AU64" s="602"/>
      <c r="AV64" s="602"/>
    </row>
    <row r="65" spans="2:48" s="40" customFormat="1" ht="12.75" customHeight="1" outlineLevel="1" x14ac:dyDescent="0.2">
      <c r="B65" s="195" t="s">
        <v>3113</v>
      </c>
      <c r="C65" s="196"/>
      <c r="D65" s="198"/>
      <c r="E65" s="198"/>
      <c r="F65" s="500"/>
      <c r="G65" s="198"/>
      <c r="H65" s="198"/>
      <c r="I65" s="198"/>
      <c r="J65" s="198"/>
      <c r="K65" s="515"/>
      <c r="L65" s="516"/>
      <c r="V65" s="1746" t="s">
        <v>723</v>
      </c>
      <c r="W65" s="1747"/>
      <c r="X65" s="1748"/>
      <c r="AB65" s="1746" t="s">
        <v>2066</v>
      </c>
      <c r="AC65" s="1747"/>
      <c r="AD65" s="1747"/>
      <c r="AE65" s="1748"/>
      <c r="AK65" s="1755" t="s">
        <v>2073</v>
      </c>
      <c r="AL65" s="1756"/>
      <c r="AM65" s="1756"/>
      <c r="AN65" s="1756"/>
      <c r="AO65" s="1756"/>
      <c r="AP65" s="1757"/>
      <c r="AQ65" s="602"/>
      <c r="AR65" s="602"/>
      <c r="AS65" s="602"/>
      <c r="AT65" s="602"/>
      <c r="AU65" s="602"/>
      <c r="AV65" s="602"/>
    </row>
    <row r="66" spans="2:48" s="40" customFormat="1" ht="12.75" customHeight="1" outlineLevel="1" x14ac:dyDescent="0.2">
      <c r="B66" s="417"/>
      <c r="C66" s="225"/>
      <c r="D66" s="503"/>
      <c r="E66" s="503"/>
      <c r="F66" s="412"/>
      <c r="G66" s="214"/>
      <c r="H66" s="214"/>
      <c r="I66" s="201"/>
      <c r="J66" s="201"/>
      <c r="K66" s="444" t="s">
        <v>2619</v>
      </c>
      <c r="L66" s="445"/>
      <c r="V66" s="507"/>
      <c r="W66" s="504"/>
      <c r="X66" s="203"/>
      <c r="AB66" s="507"/>
      <c r="AC66" s="504"/>
      <c r="AD66" s="504"/>
      <c r="AE66" s="203"/>
      <c r="AK66" s="778"/>
      <c r="AL66" s="779"/>
      <c r="AM66" s="779"/>
      <c r="AN66" s="779"/>
      <c r="AO66" s="741"/>
      <c r="AP66" s="780"/>
      <c r="AQ66" s="602"/>
      <c r="AR66" s="602"/>
      <c r="AS66" s="602"/>
      <c r="AT66" s="602"/>
      <c r="AU66" s="602"/>
      <c r="AV66" s="602"/>
    </row>
    <row r="67" spans="2:48" s="40" customFormat="1" ht="12.75" customHeight="1" outlineLevel="1" x14ac:dyDescent="0.2">
      <c r="B67" s="507"/>
      <c r="C67" s="504"/>
      <c r="D67" s="504" t="s">
        <v>56</v>
      </c>
      <c r="E67" s="504" t="s">
        <v>56</v>
      </c>
      <c r="F67" s="205" t="s">
        <v>2055</v>
      </c>
      <c r="G67" s="205" t="s">
        <v>11</v>
      </c>
      <c r="H67" s="205" t="s">
        <v>2600</v>
      </c>
      <c r="I67" s="504" t="s">
        <v>2617</v>
      </c>
      <c r="J67" s="503" t="s">
        <v>61</v>
      </c>
      <c r="K67" s="444" t="s">
        <v>64</v>
      </c>
      <c r="L67" s="445" t="s">
        <v>61</v>
      </c>
      <c r="V67" s="1639" t="s">
        <v>2605</v>
      </c>
      <c r="W67" s="504" t="s">
        <v>2110</v>
      </c>
      <c r="X67" s="509" t="s">
        <v>61</v>
      </c>
      <c r="Y67" s="32"/>
      <c r="Z67" s="32"/>
      <c r="AA67" s="32"/>
      <c r="AB67" s="507" t="s">
        <v>2065</v>
      </c>
      <c r="AC67" s="503" t="s">
        <v>61</v>
      </c>
      <c r="AD67" s="504" t="s">
        <v>2558</v>
      </c>
      <c r="AE67" s="509" t="s">
        <v>61</v>
      </c>
      <c r="AK67" s="1739" t="s">
        <v>61</v>
      </c>
      <c r="AL67" s="1740"/>
      <c r="AM67" s="1740"/>
      <c r="AN67" s="1740"/>
      <c r="AO67" s="741" t="s">
        <v>61</v>
      </c>
      <c r="AP67" s="742"/>
      <c r="AQ67" s="602"/>
      <c r="AR67" s="602"/>
      <c r="AS67" s="602"/>
      <c r="AT67" s="602"/>
      <c r="AU67" s="602"/>
      <c r="AV67" s="602"/>
    </row>
    <row r="68" spans="2:48" s="40" customFormat="1" ht="12.75" customHeight="1" outlineLevel="1" x14ac:dyDescent="0.2">
      <c r="B68" s="507"/>
      <c r="C68" s="504"/>
      <c r="D68" s="504" t="s">
        <v>61</v>
      </c>
      <c r="E68" s="504" t="s">
        <v>63</v>
      </c>
      <c r="F68" s="208" t="s">
        <v>2741</v>
      </c>
      <c r="G68" s="208" t="s">
        <v>2687</v>
      </c>
      <c r="H68" s="208" t="s">
        <v>2602</v>
      </c>
      <c r="I68" s="504" t="s">
        <v>67</v>
      </c>
      <c r="J68" s="503"/>
      <c r="K68" s="444" t="s">
        <v>2058</v>
      </c>
      <c r="L68" s="445" t="s">
        <v>2618</v>
      </c>
      <c r="V68" s="1639" t="s">
        <v>2109</v>
      </c>
      <c r="W68" s="504"/>
      <c r="X68" s="509"/>
      <c r="Y68" s="32"/>
      <c r="Z68" s="32"/>
      <c r="AA68" s="32"/>
      <c r="AB68" s="507"/>
      <c r="AC68" s="503"/>
      <c r="AD68" s="504"/>
      <c r="AE68" s="509"/>
      <c r="AK68" s="744" t="s">
        <v>14</v>
      </c>
      <c r="AL68" s="745" t="s">
        <v>60</v>
      </c>
      <c r="AM68" s="745" t="s">
        <v>27</v>
      </c>
      <c r="AN68" s="745" t="s">
        <v>2074</v>
      </c>
      <c r="AO68" s="746" t="s">
        <v>41</v>
      </c>
      <c r="AP68" s="747" t="s">
        <v>85</v>
      </c>
      <c r="AQ68" s="602"/>
      <c r="AR68" s="602"/>
      <c r="AS68" s="602"/>
      <c r="AT68" s="602"/>
      <c r="AU68" s="602"/>
      <c r="AV68" s="602"/>
    </row>
    <row r="69" spans="2:48" s="40" customFormat="1" ht="12.75" customHeight="1" outlineLevel="1" x14ac:dyDescent="0.2">
      <c r="B69" s="200" t="s">
        <v>1549</v>
      </c>
      <c r="C69" s="201"/>
      <c r="D69" s="262">
        <f>J69</f>
        <v>0</v>
      </c>
      <c r="E69" s="265">
        <f>D69*12/44</f>
        <v>0</v>
      </c>
      <c r="F69" s="388"/>
      <c r="G69" s="182"/>
      <c r="H69" s="436"/>
      <c r="I69" s="273">
        <f>VLOOKUP($B69,'Emissions factors'!$B$1735:$Q$1741,5,FALSE)</f>
        <v>234.56223333424799</v>
      </c>
      <c r="J69" s="210">
        <f>G69*I69</f>
        <v>0</v>
      </c>
      <c r="K69" s="446">
        <f>(1-H69)*VLOOKUP($B69,'Emissions factors'!$B$1735:$Q$1741,10,FALSE)*(VLOOKUP($B69,'Emissions factors'!$B$1735:$Q$1741,3,FALSE)-VLOOKUP($B69,'Emissions factors'!$B$1735:$Q$1741,2,FALSE))+VLOOKUP($B69,'Emissions factors'!$B$1735:$Q$1741,11,FALSE)*VLOOKUP($B69,'Emissions factors'!$B$2195:$J$2209,7,FALSE)+VLOOKUP($B69,'Emissions factors'!$B$1735:$Q$1741,12,FALSE)*VLOOKUP($B69,'Emissions factors'!$B$2238:$J$2252,7,FALSE)+VLOOKUP($B69,'Emissions factors'!$B$1735:$Q$1741,13,FALSE)*'Emissions factors'!$H$2265+VLOOKUP($B69,'Emissions factors'!$B$1735:$Q$1741,14,FALSE)*'Emissions factors'!$H$2268</f>
        <v>-109.42432383574641</v>
      </c>
      <c r="L69" s="447">
        <f>G69*K69</f>
        <v>0</v>
      </c>
      <c r="V69" s="282">
        <f>VLOOKUP($B69,'Emissions factors'!$B$1735:$Q$1741,16,FALSE)</f>
        <v>0.5</v>
      </c>
      <c r="W69" s="183"/>
      <c r="X69" s="211">
        <f>J69*SQRT(V69^2+W69^2)</f>
        <v>0</v>
      </c>
      <c r="AB69" s="184"/>
      <c r="AC69" s="210">
        <f>J69*AB69</f>
        <v>0</v>
      </c>
      <c r="AD69" s="184"/>
      <c r="AE69" s="211">
        <f>J69*AD69</f>
        <v>0</v>
      </c>
      <c r="AK69" s="717">
        <f>G69*VLOOKUP($B69,'Emissions factors'!$B$1735:$Q$1741,6,FALSE)</f>
        <v>0</v>
      </c>
      <c r="AL69" s="718">
        <f>G69*VLOOKUP($B69,'Emissions factors'!$B$1735:$Q$1741,7,FALSE)</f>
        <v>0</v>
      </c>
      <c r="AM69" s="718">
        <f>G69*VLOOKUP($B69,'Emissions factors'!$B$1735:$Q$1741,8,FALSE)</f>
        <v>0</v>
      </c>
      <c r="AN69" s="718">
        <v>0</v>
      </c>
      <c r="AO69" s="720">
        <f>J69</f>
        <v>0</v>
      </c>
      <c r="AP69" s="748">
        <f>G69*VLOOKUP($B69,'Emissions factors'!$B$1735:$Q$1741,9,FALSE)</f>
        <v>0</v>
      </c>
      <c r="AQ69" s="602"/>
      <c r="AR69" s="602"/>
      <c r="AS69" s="602"/>
      <c r="AT69" s="602"/>
      <c r="AU69" s="602"/>
      <c r="AV69" s="602"/>
    </row>
    <row r="70" spans="2:48" s="40" customFormat="1" ht="12.75" customHeight="1" outlineLevel="1" x14ac:dyDescent="0.2">
      <c r="B70" s="200" t="s">
        <v>1548</v>
      </c>
      <c r="C70" s="201"/>
      <c r="D70" s="262">
        <f>J70</f>
        <v>0</v>
      </c>
      <c r="E70" s="265">
        <f>D70*12/44</f>
        <v>0</v>
      </c>
      <c r="F70" s="389"/>
      <c r="G70" s="185"/>
      <c r="H70" s="437"/>
      <c r="I70" s="273">
        <f>VLOOKUP($B70,'Emissions factors'!$B$1735:$Q$1741,5,FALSE)</f>
        <v>129.82111666712399</v>
      </c>
      <c r="J70" s="210">
        <f>G70*I70</f>
        <v>0</v>
      </c>
      <c r="K70" s="446">
        <f>(1-H70)*VLOOKUP($B70,'Emissions factors'!$B$1735:$Q$1741,10,FALSE)*(VLOOKUP($B70,'Emissions factors'!$B$1735:$Q$1741,3,FALSE)-VLOOKUP($B70,'Emissions factors'!$B$1735:$Q$1741,2,FALSE))+VLOOKUP($B70,'Emissions factors'!$B$1735:$Q$1741,11,FALSE)*VLOOKUP($B70,'Emissions factors'!$B$2195:$J$2209,7,FALSE)+VLOOKUP($B70,'Emissions factors'!$B$1735:$Q$1741,12,FALSE)*VLOOKUP($B70,'Emissions factors'!$B$2238:$J$2252,7,FALSE)+VLOOKUP($B70,'Emissions factors'!$B$1735:$Q$1741,13,FALSE)*'Emissions factors'!$H$2265+VLOOKUP($B70,'Emissions factors'!$B$1735:$Q$1741,14,FALSE)*'Emissions factors'!$H$2268</f>
        <v>-57.580849378556728</v>
      </c>
      <c r="L70" s="447">
        <f>G70*K70</f>
        <v>0</v>
      </c>
      <c r="V70" s="282">
        <f>VLOOKUP($B70,'Emissions factors'!$B$1735:$Q$1741,16,FALSE)</f>
        <v>0.5</v>
      </c>
      <c r="W70" s="186"/>
      <c r="X70" s="211">
        <f>J70*SQRT(V70^2+W70^2)</f>
        <v>0</v>
      </c>
      <c r="AB70" s="187"/>
      <c r="AC70" s="210">
        <f>J70*AB70</f>
        <v>0</v>
      </c>
      <c r="AD70" s="187"/>
      <c r="AE70" s="211">
        <f>J70*AD70</f>
        <v>0</v>
      </c>
      <c r="AK70" s="717">
        <f>G70*VLOOKUP($B70,'Emissions factors'!$B$1735:$Q$1741,6,FALSE)</f>
        <v>0</v>
      </c>
      <c r="AL70" s="718">
        <f>G70*VLOOKUP($B70,'Emissions factors'!$B$1735:$Q$1741,7,FALSE)</f>
        <v>0</v>
      </c>
      <c r="AM70" s="718">
        <f>G70*VLOOKUP($B70,'Emissions factors'!$B$1735:$Q$1741,8,FALSE)</f>
        <v>0</v>
      </c>
      <c r="AN70" s="718">
        <v>0</v>
      </c>
      <c r="AO70" s="720">
        <f>J70</f>
        <v>0</v>
      </c>
      <c r="AP70" s="748">
        <f>G70*VLOOKUP($B70,'Emissions factors'!$B$1735:$Q$1741,9,FALSE)</f>
        <v>0</v>
      </c>
      <c r="AQ70" s="602"/>
      <c r="AR70" s="602"/>
      <c r="AS70" s="602"/>
      <c r="AT70" s="602"/>
      <c r="AU70" s="602"/>
      <c r="AV70" s="602"/>
    </row>
    <row r="71" spans="2:48" s="40" customFormat="1" ht="12.75" customHeight="1" outlineLevel="1" x14ac:dyDescent="0.2">
      <c r="B71" s="200" t="s">
        <v>1548</v>
      </c>
      <c r="C71" s="201"/>
      <c r="D71" s="262">
        <f>J71</f>
        <v>0</v>
      </c>
      <c r="E71" s="265">
        <f>D71*12/44</f>
        <v>0</v>
      </c>
      <c r="F71" s="390"/>
      <c r="G71" s="188"/>
      <c r="H71" s="438"/>
      <c r="I71" s="273">
        <f>VLOOKUP($B71,'Emissions factors'!$B$1735:$Q$1741,5,FALSE)</f>
        <v>129.82111666712399</v>
      </c>
      <c r="J71" s="210">
        <f>G71*I71</f>
        <v>0</v>
      </c>
      <c r="K71" s="446">
        <f>(1-H71)*VLOOKUP($B71,'Emissions factors'!$B$1735:$Q$1741,10,FALSE)*(VLOOKUP($B71,'Emissions factors'!$B$1735:$Q$1741,3,FALSE)-VLOOKUP($B71,'Emissions factors'!$B$1735:$Q$1741,2,FALSE))+VLOOKUP($B71,'Emissions factors'!$B$1735:$Q$1741,11,FALSE)*VLOOKUP($B71,'Emissions factors'!$B$2195:$J$2209,7,FALSE)+VLOOKUP($B71,'Emissions factors'!$B$1735:$Q$1741,12,FALSE)*VLOOKUP($B71,'Emissions factors'!$B$2238:$J$2252,7,FALSE)+VLOOKUP($B71,'Emissions factors'!$B$1735:$Q$1741,13,FALSE)*'Emissions factors'!$H$2265+VLOOKUP($B71,'Emissions factors'!$B$1735:$Q$1741,14,FALSE)*'Emissions factors'!$H$2268</f>
        <v>-57.580849378556728</v>
      </c>
      <c r="L71" s="447">
        <f>G71*K71</f>
        <v>0</v>
      </c>
      <c r="V71" s="282">
        <f>VLOOKUP($B71,'Emissions factors'!$B$1735:$Q$1741,16,FALSE)</f>
        <v>0.5</v>
      </c>
      <c r="W71" s="189"/>
      <c r="X71" s="211">
        <f>J71*SQRT(V71^2+W71^2)</f>
        <v>0</v>
      </c>
      <c r="AB71" s="190"/>
      <c r="AC71" s="210">
        <f>J71*AB71</f>
        <v>0</v>
      </c>
      <c r="AD71" s="190"/>
      <c r="AE71" s="211">
        <f>J71*AD71</f>
        <v>0</v>
      </c>
      <c r="AK71" s="717">
        <f>G71*VLOOKUP($B71,'Emissions factors'!$B$1735:$Q$1741,6,FALSE)</f>
        <v>0</v>
      </c>
      <c r="AL71" s="718">
        <f>G71*VLOOKUP($B71,'Emissions factors'!$B$1735:$Q$1741,7,FALSE)</f>
        <v>0</v>
      </c>
      <c r="AM71" s="718">
        <f>G71*VLOOKUP($B71,'Emissions factors'!$B$1735:$Q$1741,8,FALSE)</f>
        <v>0</v>
      </c>
      <c r="AN71" s="718">
        <v>0</v>
      </c>
      <c r="AO71" s="720">
        <f>J71</f>
        <v>0</v>
      </c>
      <c r="AP71" s="748">
        <f>G71*VLOOKUP($B71,'Emissions factors'!$B$1735:$Q$1741,9,FALSE)</f>
        <v>0</v>
      </c>
      <c r="AQ71" s="602"/>
      <c r="AR71" s="602"/>
      <c r="AS71" s="602"/>
      <c r="AT71" s="602"/>
      <c r="AU71" s="602"/>
      <c r="AV71" s="602"/>
    </row>
    <row r="72" spans="2:48" s="40" customFormat="1" ht="12.75" customHeight="1" outlineLevel="1" x14ac:dyDescent="0.2">
      <c r="B72" s="200"/>
      <c r="C72" s="201"/>
      <c r="D72" s="263"/>
      <c r="E72" s="266"/>
      <c r="F72" s="201"/>
      <c r="G72" s="201"/>
      <c r="H72" s="214"/>
      <c r="I72" s="201"/>
      <c r="J72" s="201"/>
      <c r="K72" s="452"/>
      <c r="L72" s="447"/>
      <c r="V72" s="200"/>
      <c r="W72" s="201"/>
      <c r="X72" s="226"/>
      <c r="AB72" s="200"/>
      <c r="AC72" s="503"/>
      <c r="AD72" s="201"/>
      <c r="AE72" s="211"/>
      <c r="AK72" s="717"/>
      <c r="AL72" s="718"/>
      <c r="AM72" s="718"/>
      <c r="AN72" s="718"/>
      <c r="AO72" s="720"/>
      <c r="AP72" s="749"/>
      <c r="AQ72" s="602"/>
      <c r="AR72" s="602"/>
      <c r="AS72" s="602"/>
      <c r="AT72" s="602"/>
      <c r="AU72" s="602"/>
      <c r="AV72" s="602"/>
    </row>
    <row r="73" spans="2:48" s="40" customFormat="1" ht="12.75" customHeight="1" outlineLevel="1" x14ac:dyDescent="0.2">
      <c r="B73" s="253" t="s">
        <v>44</v>
      </c>
      <c r="C73" s="254"/>
      <c r="D73" s="264">
        <f>SUM(D69:D72)</f>
        <v>0</v>
      </c>
      <c r="E73" s="267">
        <f>SUM(E69:E72)</f>
        <v>0</v>
      </c>
      <c r="F73" s="255"/>
      <c r="G73" s="256"/>
      <c r="H73" s="256"/>
      <c r="I73" s="256"/>
      <c r="J73" s="259">
        <f>SUM(J69:J72)</f>
        <v>0</v>
      </c>
      <c r="K73" s="450"/>
      <c r="L73" s="451">
        <f>SUM(L69:L72)</f>
        <v>0</v>
      </c>
      <c r="V73" s="258"/>
      <c r="W73" s="256"/>
      <c r="X73" s="257">
        <f>SQRT(SUMSQ(X68:X72))</f>
        <v>0</v>
      </c>
      <c r="AB73" s="258"/>
      <c r="AC73" s="259">
        <f>SUM(AC69:AC72)</f>
        <v>0</v>
      </c>
      <c r="AD73" s="256"/>
      <c r="AE73" s="257">
        <f>SUM(AE69:AE72)</f>
        <v>0</v>
      </c>
      <c r="AK73" s="724">
        <f t="shared" ref="AK73:AP73" si="7">SUM(AK69:AK72)</f>
        <v>0</v>
      </c>
      <c r="AL73" s="725">
        <f t="shared" si="7"/>
        <v>0</v>
      </c>
      <c r="AM73" s="725">
        <f t="shared" si="7"/>
        <v>0</v>
      </c>
      <c r="AN73" s="725">
        <f t="shared" si="7"/>
        <v>0</v>
      </c>
      <c r="AO73" s="727">
        <f t="shared" si="7"/>
        <v>0</v>
      </c>
      <c r="AP73" s="750">
        <f t="shared" si="7"/>
        <v>0</v>
      </c>
      <c r="AQ73" s="602"/>
      <c r="AR73" s="602"/>
      <c r="AS73" s="602"/>
      <c r="AT73" s="602"/>
      <c r="AU73" s="602"/>
      <c r="AV73" s="602"/>
    </row>
    <row r="74" spans="2:48" s="40" customFormat="1" ht="12.75" customHeight="1" outlineLevel="1" x14ac:dyDescent="0.2">
      <c r="K74" s="322"/>
      <c r="AK74" s="602"/>
      <c r="AL74" s="602"/>
      <c r="AM74" s="602"/>
      <c r="AN74" s="602"/>
      <c r="AO74" s="602"/>
      <c r="AP74" s="602"/>
      <c r="AQ74" s="602"/>
      <c r="AR74" s="602"/>
      <c r="AS74" s="602"/>
      <c r="AT74" s="602"/>
      <c r="AU74" s="602"/>
      <c r="AV74" s="602"/>
    </row>
    <row r="75" spans="2:48" s="40" customFormat="1" ht="12.75" customHeight="1" outlineLevel="1" x14ac:dyDescent="0.2">
      <c r="B75" s="1705" t="s">
        <v>3302</v>
      </c>
      <c r="C75" s="415"/>
      <c r="D75" s="198"/>
      <c r="E75" s="198"/>
      <c r="F75" s="500"/>
      <c r="G75" s="198"/>
      <c r="H75" s="198"/>
      <c r="I75" s="198"/>
      <c r="J75" s="198"/>
      <c r="K75" s="515"/>
      <c r="L75" s="516"/>
      <c r="T75" s="42"/>
      <c r="V75" s="1746" t="s">
        <v>723</v>
      </c>
      <c r="W75" s="1747"/>
      <c r="X75" s="1748"/>
      <c r="AB75" s="1746" t="s">
        <v>2066</v>
      </c>
      <c r="AC75" s="1747"/>
      <c r="AD75" s="1747"/>
      <c r="AE75" s="1748"/>
      <c r="AK75" s="1755" t="s">
        <v>2073</v>
      </c>
      <c r="AL75" s="1756"/>
      <c r="AM75" s="1756"/>
      <c r="AN75" s="1756"/>
      <c r="AO75" s="1756"/>
      <c r="AP75" s="1757"/>
      <c r="AQ75" s="602"/>
      <c r="AR75" s="602"/>
      <c r="AS75" s="602"/>
      <c r="AT75" s="602"/>
      <c r="AU75" s="602"/>
      <c r="AV75" s="602"/>
    </row>
    <row r="76" spans="2:48" s="40" customFormat="1" ht="12.75" customHeight="1" outlineLevel="1" x14ac:dyDescent="0.2">
      <c r="B76" s="418"/>
      <c r="C76" s="419"/>
      <c r="D76" s="503"/>
      <c r="E76" s="503"/>
      <c r="F76" s="412"/>
      <c r="G76" s="214"/>
      <c r="H76" s="214"/>
      <c r="I76" s="201"/>
      <c r="J76" s="201"/>
      <c r="K76" s="444" t="s">
        <v>2619</v>
      </c>
      <c r="L76" s="445"/>
      <c r="T76" s="42"/>
      <c r="V76" s="507"/>
      <c r="W76" s="504"/>
      <c r="X76" s="203"/>
      <c r="AB76" s="507"/>
      <c r="AC76" s="504"/>
      <c r="AD76" s="504"/>
      <c r="AE76" s="203"/>
      <c r="AK76" s="778"/>
      <c r="AL76" s="779"/>
      <c r="AM76" s="779"/>
      <c r="AN76" s="779"/>
      <c r="AO76" s="741"/>
      <c r="AP76" s="780"/>
      <c r="AQ76" s="602"/>
      <c r="AR76" s="602"/>
      <c r="AS76" s="602"/>
      <c r="AT76" s="602"/>
      <c r="AU76" s="602"/>
      <c r="AV76" s="602"/>
    </row>
    <row r="77" spans="2:48" s="40" customFormat="1" ht="12.75" customHeight="1" outlineLevel="1" x14ac:dyDescent="0.2">
      <c r="B77" s="236"/>
      <c r="C77" s="237"/>
      <c r="D77" s="504" t="s">
        <v>56</v>
      </c>
      <c r="E77" s="504" t="s">
        <v>56</v>
      </c>
      <c r="F77" s="205" t="s">
        <v>2055</v>
      </c>
      <c r="G77" s="205" t="s">
        <v>11</v>
      </c>
      <c r="H77" s="205" t="s">
        <v>2600</v>
      </c>
      <c r="I77" s="504" t="s">
        <v>2617</v>
      </c>
      <c r="J77" s="503" t="s">
        <v>61</v>
      </c>
      <c r="K77" s="444" t="s">
        <v>64</v>
      </c>
      <c r="L77" s="445" t="s">
        <v>61</v>
      </c>
      <c r="T77" s="42"/>
      <c r="V77" s="1639" t="s">
        <v>2605</v>
      </c>
      <c r="W77" s="504" t="s">
        <v>2110</v>
      </c>
      <c r="X77" s="509" t="s">
        <v>61</v>
      </c>
      <c r="Y77" s="32"/>
      <c r="Z77" s="32"/>
      <c r="AA77" s="32"/>
      <c r="AB77" s="507" t="s">
        <v>2065</v>
      </c>
      <c r="AC77" s="503" t="s">
        <v>61</v>
      </c>
      <c r="AD77" s="504" t="s">
        <v>2558</v>
      </c>
      <c r="AE77" s="509" t="s">
        <v>61</v>
      </c>
      <c r="AK77" s="1739" t="s">
        <v>61</v>
      </c>
      <c r="AL77" s="1740"/>
      <c r="AM77" s="1740"/>
      <c r="AN77" s="1740"/>
      <c r="AO77" s="741" t="s">
        <v>61</v>
      </c>
      <c r="AP77" s="742"/>
      <c r="AQ77" s="602"/>
      <c r="AR77" s="602"/>
      <c r="AS77" s="602"/>
      <c r="AT77" s="602"/>
      <c r="AU77" s="602"/>
      <c r="AV77" s="602"/>
    </row>
    <row r="78" spans="2:48" s="40" customFormat="1" ht="12.75" customHeight="1" outlineLevel="1" x14ac:dyDescent="0.2">
      <c r="B78" s="236"/>
      <c r="C78" s="237"/>
      <c r="D78" s="504" t="s">
        <v>61</v>
      </c>
      <c r="E78" s="504" t="s">
        <v>63</v>
      </c>
      <c r="F78" s="208" t="s">
        <v>2741</v>
      </c>
      <c r="G78" s="208" t="s">
        <v>2687</v>
      </c>
      <c r="H78" s="208" t="s">
        <v>2602</v>
      </c>
      <c r="I78" s="504" t="s">
        <v>67</v>
      </c>
      <c r="J78" s="503"/>
      <c r="K78" s="444" t="s">
        <v>2058</v>
      </c>
      <c r="L78" s="445" t="s">
        <v>2618</v>
      </c>
      <c r="T78" s="42"/>
      <c r="V78" s="1639" t="s">
        <v>2109</v>
      </c>
      <c r="W78" s="504"/>
      <c r="X78" s="509"/>
      <c r="Y78" s="32"/>
      <c r="Z78" s="32"/>
      <c r="AA78" s="32"/>
      <c r="AB78" s="507"/>
      <c r="AC78" s="503"/>
      <c r="AD78" s="504"/>
      <c r="AE78" s="509"/>
      <c r="AK78" s="744" t="s">
        <v>14</v>
      </c>
      <c r="AL78" s="745" t="s">
        <v>60</v>
      </c>
      <c r="AM78" s="745" t="s">
        <v>27</v>
      </c>
      <c r="AN78" s="745" t="s">
        <v>2074</v>
      </c>
      <c r="AO78" s="746" t="s">
        <v>41</v>
      </c>
      <c r="AP78" s="747" t="s">
        <v>85</v>
      </c>
      <c r="AQ78" s="602"/>
      <c r="AR78" s="602"/>
      <c r="AS78" s="602"/>
      <c r="AT78" s="602"/>
      <c r="AU78" s="602"/>
      <c r="AV78" s="602"/>
    </row>
    <row r="79" spans="2:48" s="40" customFormat="1" ht="12.75" customHeight="1" outlineLevel="1" x14ac:dyDescent="0.2">
      <c r="B79" s="236" t="s">
        <v>3256</v>
      </c>
      <c r="C79" s="237"/>
      <c r="D79" s="262">
        <f>J79</f>
        <v>143</v>
      </c>
      <c r="E79" s="265">
        <f>D79*12/44</f>
        <v>39</v>
      </c>
      <c r="F79" s="388"/>
      <c r="G79" s="182">
        <v>10</v>
      </c>
      <c r="H79" s="436"/>
      <c r="I79" s="273">
        <f>VLOOKUP($B79,'Emissions factors'!$B$2299:$J$2310,2,FALSE)</f>
        <v>14.3</v>
      </c>
      <c r="J79" s="210">
        <f>G79*I79</f>
        <v>143</v>
      </c>
      <c r="K79" s="446">
        <f>VLOOKUP($B79,'Emissions factors'!$B$2299:$J$2310,7,FALSE)</f>
        <v>-26.51</v>
      </c>
      <c r="L79" s="447">
        <f>G79*K79</f>
        <v>-265.10000000000002</v>
      </c>
      <c r="T79" s="42"/>
      <c r="V79" s="282">
        <f>VLOOKUP($B79,'Emissions factors'!$B$2299:$J$2310,9,FALSE)</f>
        <v>0.5</v>
      </c>
      <c r="W79" s="183"/>
      <c r="X79" s="211">
        <f>J79*SQRT(V79^2+W79^2)</f>
        <v>71.5</v>
      </c>
      <c r="AB79" s="184"/>
      <c r="AC79" s="210">
        <f>J79*AB79</f>
        <v>0</v>
      </c>
      <c r="AD79" s="184"/>
      <c r="AE79" s="211">
        <f>J79*AD79</f>
        <v>0</v>
      </c>
      <c r="AK79" s="717">
        <f>$G79*VLOOKUP($B79,'Emissions factors'!$B$2299:$J$2310,3,FALSE)</f>
        <v>0</v>
      </c>
      <c r="AL79" s="718">
        <f>$G79*VLOOKUP($B79,'Emissions factors'!$B$2299:$J$2310,4,FALSE)</f>
        <v>8.1999999999999993</v>
      </c>
      <c r="AM79" s="718">
        <f>$G79*VLOOKUP($B79,'Emissions factors'!$B$2299:$J$2310,5,FALSE)</f>
        <v>135</v>
      </c>
      <c r="AN79" s="718">
        <v>0</v>
      </c>
      <c r="AO79" s="720">
        <f>J79</f>
        <v>143</v>
      </c>
      <c r="AP79" s="748">
        <f>$G79*VLOOKUP($B79,'Emissions factors'!$B$2299:$J$2310,6,FALSE)</f>
        <v>5320.3899999999994</v>
      </c>
      <c r="AQ79" s="602"/>
      <c r="AR79" s="602"/>
      <c r="AS79" s="602"/>
      <c r="AT79" s="602"/>
      <c r="AU79" s="602"/>
      <c r="AV79" s="602"/>
    </row>
    <row r="80" spans="2:48" s="40" customFormat="1" ht="12.75" customHeight="1" outlineLevel="1" x14ac:dyDescent="0.2">
      <c r="B80" s="236" t="s">
        <v>2025</v>
      </c>
      <c r="C80" s="237"/>
      <c r="D80" s="262">
        <f>J80</f>
        <v>0</v>
      </c>
      <c r="E80" s="265">
        <f>D80*12/44</f>
        <v>0</v>
      </c>
      <c r="F80" s="389"/>
      <c r="G80" s="442"/>
      <c r="H80" s="437"/>
      <c r="I80" s="273">
        <f>VLOOKUP($B80,'Emissions factors'!$B$2299:$J$2310,2,FALSE)</f>
        <v>336.29740666869202</v>
      </c>
      <c r="J80" s="210">
        <f>G80*I80</f>
        <v>0</v>
      </c>
      <c r="K80" s="446">
        <f>VLOOKUP($B80,'Emissions factors'!$B$2299:$J$2310,7,FALSE)</f>
        <v>-69.755031118848663</v>
      </c>
      <c r="L80" s="447">
        <f>G80*K80</f>
        <v>0</v>
      </c>
      <c r="T80" s="42"/>
      <c r="V80" s="282">
        <f>VLOOKUP($B80,'Emissions factors'!$B$2299:$J$2310,9,FALSE)</f>
        <v>0.5</v>
      </c>
      <c r="W80" s="186"/>
      <c r="X80" s="211">
        <f>J80*SQRT(V80^2+W80^2)</f>
        <v>0</v>
      </c>
      <c r="AB80" s="187"/>
      <c r="AC80" s="210">
        <f>J80*AB80</f>
        <v>0</v>
      </c>
      <c r="AD80" s="187"/>
      <c r="AE80" s="211">
        <f>J80*AD80</f>
        <v>0</v>
      </c>
      <c r="AK80" s="717">
        <f>$G80*VLOOKUP($B80,'Emissions factors'!$B$2299:$J$2310,3,FALSE)</f>
        <v>0</v>
      </c>
      <c r="AL80" s="718">
        <f>$G80*VLOOKUP($B80,'Emissions factors'!$B$2299:$J$2310,4,FALSE)</f>
        <v>0</v>
      </c>
      <c r="AM80" s="718">
        <f>$G80*VLOOKUP($B80,'Emissions factors'!$B$2299:$J$2310,5,FALSE)</f>
        <v>0</v>
      </c>
      <c r="AN80" s="718">
        <v>0</v>
      </c>
      <c r="AO80" s="720">
        <f>J80</f>
        <v>0</v>
      </c>
      <c r="AP80" s="748">
        <f>$G80*VLOOKUP($B80,'Emissions factors'!$B$2299:$J$2310,6,FALSE)</f>
        <v>0</v>
      </c>
      <c r="AQ80" s="602"/>
      <c r="AR80" s="602"/>
      <c r="AS80" s="602"/>
      <c r="AT80" s="602"/>
      <c r="AU80" s="602"/>
      <c r="AV80" s="602"/>
    </row>
    <row r="81" spans="2:48" s="40" customFormat="1" ht="12.75" customHeight="1" outlineLevel="1" x14ac:dyDescent="0.2">
      <c r="B81" s="236" t="s">
        <v>2025</v>
      </c>
      <c r="C81" s="237"/>
      <c r="D81" s="262">
        <f>J81</f>
        <v>0</v>
      </c>
      <c r="E81" s="265">
        <f>D81*12/44</f>
        <v>0</v>
      </c>
      <c r="F81" s="390"/>
      <c r="G81" s="443"/>
      <c r="H81" s="438"/>
      <c r="I81" s="273">
        <f>VLOOKUP($B81,'Emissions factors'!$B$2299:$J$2310,2,FALSE)</f>
        <v>336.29740666869202</v>
      </c>
      <c r="J81" s="210">
        <f>G81*I81</f>
        <v>0</v>
      </c>
      <c r="K81" s="446">
        <f>VLOOKUP($B81,'Emissions factors'!$B$2299:$J$2310,7,FALSE)</f>
        <v>-69.755031118848663</v>
      </c>
      <c r="L81" s="447">
        <f>G81*K81</f>
        <v>0</v>
      </c>
      <c r="T81" s="42"/>
      <c r="V81" s="282">
        <f>VLOOKUP($B81,'Emissions factors'!$B$2299:$J$2310,9,FALSE)</f>
        <v>0.5</v>
      </c>
      <c r="W81" s="189"/>
      <c r="X81" s="211">
        <f>J81*SQRT(V81^2+W81^2)</f>
        <v>0</v>
      </c>
      <c r="AB81" s="190"/>
      <c r="AC81" s="210">
        <f>J81*AB81</f>
        <v>0</v>
      </c>
      <c r="AD81" s="190"/>
      <c r="AE81" s="211">
        <f>J81*AD81</f>
        <v>0</v>
      </c>
      <c r="AK81" s="717">
        <f>$G81*VLOOKUP($B81,'Emissions factors'!$B$2299:$J$2310,3,FALSE)</f>
        <v>0</v>
      </c>
      <c r="AL81" s="718">
        <f>$G81*VLOOKUP($B81,'Emissions factors'!$B$2299:$J$2310,4,FALSE)</f>
        <v>0</v>
      </c>
      <c r="AM81" s="718">
        <f>$G81*VLOOKUP($B81,'Emissions factors'!$B$2299:$J$2310,5,FALSE)</f>
        <v>0</v>
      </c>
      <c r="AN81" s="718">
        <v>0</v>
      </c>
      <c r="AO81" s="720">
        <f>J81</f>
        <v>0</v>
      </c>
      <c r="AP81" s="748">
        <f>$G81*VLOOKUP($B81,'Emissions factors'!$B$2299:$J$2310,6,FALSE)</f>
        <v>0</v>
      </c>
      <c r="AQ81" s="602"/>
      <c r="AR81" s="602"/>
      <c r="AS81" s="602"/>
      <c r="AT81" s="602"/>
      <c r="AU81" s="602"/>
      <c r="AV81" s="602"/>
    </row>
    <row r="82" spans="2:48" s="40" customFormat="1" ht="12.75" customHeight="1" outlineLevel="1" x14ac:dyDescent="0.2">
      <c r="B82" s="236"/>
      <c r="C82" s="237"/>
      <c r="D82" s="263"/>
      <c r="E82" s="266"/>
      <c r="F82" s="201"/>
      <c r="G82" s="201"/>
      <c r="H82" s="214"/>
      <c r="I82" s="201"/>
      <c r="J82" s="201"/>
      <c r="K82" s="452"/>
      <c r="L82" s="453"/>
      <c r="T82" s="42"/>
      <c r="V82" s="200"/>
      <c r="W82" s="201"/>
      <c r="X82" s="226"/>
      <c r="AB82" s="200"/>
      <c r="AC82" s="503"/>
      <c r="AD82" s="201"/>
      <c r="AE82" s="211"/>
      <c r="AK82" s="717"/>
      <c r="AL82" s="718"/>
      <c r="AM82" s="718"/>
      <c r="AN82" s="718"/>
      <c r="AO82" s="720"/>
      <c r="AP82" s="749"/>
      <c r="AQ82" s="602"/>
      <c r="AR82" s="602"/>
      <c r="AS82" s="602"/>
      <c r="AT82" s="602"/>
      <c r="AU82" s="602"/>
      <c r="AV82" s="602"/>
    </row>
    <row r="83" spans="2:48" s="40" customFormat="1" ht="12.75" customHeight="1" outlineLevel="1" x14ac:dyDescent="0.2">
      <c r="B83" s="253" t="s">
        <v>44</v>
      </c>
      <c r="C83" s="254"/>
      <c r="D83" s="264">
        <f>SUM(D79:D82)</f>
        <v>143</v>
      </c>
      <c r="E83" s="267">
        <f>SUM(E79:E82)</f>
        <v>39</v>
      </c>
      <c r="F83" s="255"/>
      <c r="G83" s="256"/>
      <c r="H83" s="256"/>
      <c r="I83" s="256"/>
      <c r="J83" s="259">
        <f>SUM(J78:J82)</f>
        <v>143</v>
      </c>
      <c r="K83" s="450"/>
      <c r="L83" s="451">
        <f>SUM(L78:L82)</f>
        <v>-265.10000000000002</v>
      </c>
      <c r="T83" s="42"/>
      <c r="V83" s="258"/>
      <c r="W83" s="256"/>
      <c r="X83" s="257">
        <f>SQRT(SUMSQ(X78:X82))</f>
        <v>71.5</v>
      </c>
      <c r="AB83" s="258"/>
      <c r="AC83" s="259">
        <f>SUM(AC79:AC82)</f>
        <v>0</v>
      </c>
      <c r="AD83" s="256"/>
      <c r="AE83" s="257">
        <f>SUM(AE79:AE82)</f>
        <v>0</v>
      </c>
      <c r="AK83" s="724">
        <f t="shared" ref="AK83:AP83" si="8">SUM(AK79:AK82)</f>
        <v>0</v>
      </c>
      <c r="AL83" s="725">
        <f t="shared" si="8"/>
        <v>8.1999999999999993</v>
      </c>
      <c r="AM83" s="725">
        <f t="shared" si="8"/>
        <v>135</v>
      </c>
      <c r="AN83" s="725">
        <f t="shared" si="8"/>
        <v>0</v>
      </c>
      <c r="AO83" s="727">
        <f t="shared" si="8"/>
        <v>143</v>
      </c>
      <c r="AP83" s="750">
        <f t="shared" si="8"/>
        <v>5320.3899999999994</v>
      </c>
      <c r="AQ83" s="602"/>
      <c r="AR83" s="602"/>
      <c r="AS83" s="602"/>
      <c r="AT83" s="602"/>
      <c r="AU83" s="602"/>
      <c r="AV83" s="602"/>
    </row>
    <row r="84" spans="2:48" s="40" customFormat="1" ht="12.75" customHeight="1" outlineLevel="1" x14ac:dyDescent="0.2">
      <c r="AK84" s="602"/>
      <c r="AL84" s="602"/>
      <c r="AM84" s="602"/>
      <c r="AN84" s="602"/>
      <c r="AO84" s="602"/>
      <c r="AP84" s="602"/>
      <c r="AQ84" s="602"/>
      <c r="AR84" s="602"/>
      <c r="AS84" s="602"/>
      <c r="AT84" s="602"/>
      <c r="AU84" s="602"/>
      <c r="AV84" s="602"/>
    </row>
    <row r="85" spans="2:48" s="40" customFormat="1" ht="13" x14ac:dyDescent="0.2">
      <c r="AK85" s="602"/>
      <c r="AL85" s="602"/>
      <c r="AM85" s="602"/>
      <c r="AN85" s="602"/>
      <c r="AO85" s="602"/>
      <c r="AP85" s="602"/>
      <c r="AQ85" s="602"/>
      <c r="AR85" s="602"/>
      <c r="AS85" s="602"/>
      <c r="AT85" s="602"/>
      <c r="AU85" s="602"/>
      <c r="AV85" s="602"/>
    </row>
    <row r="86" spans="2:48" s="40" customFormat="1" ht="16" x14ac:dyDescent="0.2">
      <c r="B86" s="1795" t="s">
        <v>3114</v>
      </c>
      <c r="C86" s="1795"/>
      <c r="D86" s="1795"/>
      <c r="E86" s="1795"/>
      <c r="F86" s="1795"/>
      <c r="G86" s="1795"/>
      <c r="H86" s="1795"/>
      <c r="I86" s="1795"/>
      <c r="J86" s="1795"/>
      <c r="K86" s="1795"/>
      <c r="L86" s="1795"/>
      <c r="M86" s="1795"/>
      <c r="N86" s="1795"/>
      <c r="O86" s="1795"/>
      <c r="AK86" s="602"/>
      <c r="AL86" s="602"/>
      <c r="AM86" s="602"/>
      <c r="AN86" s="602"/>
      <c r="AO86" s="602"/>
      <c r="AP86" s="602"/>
      <c r="AQ86" s="602"/>
      <c r="AR86" s="602"/>
      <c r="AS86" s="602"/>
      <c r="AT86" s="602"/>
      <c r="AU86" s="602"/>
      <c r="AV86" s="602"/>
    </row>
    <row r="87" spans="2:48" s="40" customFormat="1" ht="12.75" customHeight="1" outlineLevel="1" x14ac:dyDescent="0.2">
      <c r="AK87" s="602"/>
      <c r="AL87" s="602"/>
      <c r="AM87" s="602"/>
      <c r="AN87" s="602"/>
      <c r="AO87" s="602"/>
      <c r="AP87" s="602"/>
      <c r="AQ87" s="602"/>
      <c r="AR87" s="602"/>
      <c r="AS87" s="602"/>
      <c r="AT87" s="602"/>
      <c r="AU87" s="602"/>
      <c r="AV87" s="602"/>
    </row>
    <row r="88" spans="2:48" s="40" customFormat="1" ht="12.75" customHeight="1" outlineLevel="1" x14ac:dyDescent="0.2">
      <c r="B88" s="195" t="s">
        <v>3115</v>
      </c>
      <c r="C88" s="196"/>
      <c r="D88" s="198"/>
      <c r="E88" s="198"/>
      <c r="F88" s="500"/>
      <c r="G88" s="217"/>
      <c r="H88" s="217"/>
      <c r="I88" s="218"/>
      <c r="J88" s="50"/>
      <c r="N88" s="50"/>
      <c r="V88" s="1746" t="s">
        <v>723</v>
      </c>
      <c r="W88" s="1747"/>
      <c r="X88" s="1748"/>
      <c r="AB88" s="1746" t="s">
        <v>2066</v>
      </c>
      <c r="AC88" s="1747"/>
      <c r="AD88" s="1747"/>
      <c r="AE88" s="1748"/>
      <c r="AK88" s="1755" t="s">
        <v>2073</v>
      </c>
      <c r="AL88" s="1756"/>
      <c r="AM88" s="1756"/>
      <c r="AN88" s="1756"/>
      <c r="AO88" s="1756"/>
      <c r="AP88" s="1757"/>
      <c r="AQ88" s="602"/>
      <c r="AR88" s="602"/>
      <c r="AS88" s="602"/>
      <c r="AT88" s="602"/>
      <c r="AU88" s="602"/>
      <c r="AV88" s="602"/>
    </row>
    <row r="89" spans="2:48" s="40" customFormat="1" ht="12.75" customHeight="1" outlineLevel="1" x14ac:dyDescent="0.2">
      <c r="B89" s="417" t="s">
        <v>3116</v>
      </c>
      <c r="C89" s="225"/>
      <c r="D89" s="503"/>
      <c r="E89" s="503"/>
      <c r="F89" s="412"/>
      <c r="G89" s="413"/>
      <c r="H89" s="504"/>
      <c r="I89" s="508"/>
      <c r="J89" s="50"/>
      <c r="N89" s="50"/>
      <c r="V89" s="507"/>
      <c r="W89" s="504"/>
      <c r="X89" s="203"/>
      <c r="AB89" s="507"/>
      <c r="AC89" s="504"/>
      <c r="AD89" s="504"/>
      <c r="AE89" s="203"/>
      <c r="AK89" s="778"/>
      <c r="AL89" s="779"/>
      <c r="AM89" s="779"/>
      <c r="AN89" s="779"/>
      <c r="AO89" s="741"/>
      <c r="AP89" s="780"/>
      <c r="AQ89" s="602"/>
      <c r="AR89" s="602"/>
      <c r="AS89" s="602"/>
      <c r="AT89" s="602"/>
      <c r="AU89" s="602"/>
      <c r="AV89" s="602"/>
    </row>
    <row r="90" spans="2:48" s="40" customFormat="1" ht="12.75" customHeight="1" outlineLevel="1" x14ac:dyDescent="0.2">
      <c r="B90" s="507"/>
      <c r="C90" s="225"/>
      <c r="D90" s="504" t="s">
        <v>56</v>
      </c>
      <c r="E90" s="504" t="s">
        <v>56</v>
      </c>
      <c r="F90" s="205" t="s">
        <v>2055</v>
      </c>
      <c r="G90" s="205" t="s">
        <v>11</v>
      </c>
      <c r="H90" s="504" t="s">
        <v>61</v>
      </c>
      <c r="I90" s="509" t="s">
        <v>61</v>
      </c>
      <c r="J90" s="50"/>
      <c r="N90" s="50"/>
      <c r="V90" s="1640" t="s">
        <v>2605</v>
      </c>
      <c r="W90" s="504" t="s">
        <v>2110</v>
      </c>
      <c r="X90" s="509" t="s">
        <v>61</v>
      </c>
      <c r="Y90" s="32"/>
      <c r="Z90" s="32"/>
      <c r="AA90" s="32"/>
      <c r="AB90" s="507" t="s">
        <v>2065</v>
      </c>
      <c r="AC90" s="503" t="s">
        <v>61</v>
      </c>
      <c r="AD90" s="504" t="s">
        <v>2558</v>
      </c>
      <c r="AE90" s="509" t="s">
        <v>61</v>
      </c>
      <c r="AK90" s="1739" t="s">
        <v>61</v>
      </c>
      <c r="AL90" s="1740"/>
      <c r="AM90" s="1740"/>
      <c r="AN90" s="1740"/>
      <c r="AO90" s="741" t="s">
        <v>61</v>
      </c>
      <c r="AP90" s="742"/>
      <c r="AQ90" s="602"/>
      <c r="AR90" s="602"/>
      <c r="AS90" s="602"/>
      <c r="AT90" s="602"/>
      <c r="AU90" s="602"/>
      <c r="AV90" s="602"/>
    </row>
    <row r="91" spans="2:48" s="40" customFormat="1" ht="12.75" customHeight="1" outlineLevel="1" x14ac:dyDescent="0.2">
      <c r="B91" s="507"/>
      <c r="C91" s="504"/>
      <c r="D91" s="504" t="s">
        <v>61</v>
      </c>
      <c r="E91" s="504" t="s">
        <v>63</v>
      </c>
      <c r="F91" s="208" t="s">
        <v>2741</v>
      </c>
      <c r="G91" s="208" t="s">
        <v>2694</v>
      </c>
      <c r="H91" s="504" t="s">
        <v>2544</v>
      </c>
      <c r="I91" s="509"/>
      <c r="J91" s="50"/>
      <c r="N91" s="42"/>
      <c r="V91" s="1640" t="s">
        <v>2109</v>
      </c>
      <c r="W91" s="504"/>
      <c r="X91" s="509"/>
      <c r="Y91" s="32"/>
      <c r="Z91" s="32"/>
      <c r="AA91" s="32"/>
      <c r="AB91" s="507"/>
      <c r="AC91" s="503"/>
      <c r="AD91" s="504"/>
      <c r="AE91" s="509"/>
      <c r="AK91" s="744" t="s">
        <v>14</v>
      </c>
      <c r="AL91" s="745" t="s">
        <v>60</v>
      </c>
      <c r="AM91" s="745" t="s">
        <v>27</v>
      </c>
      <c r="AN91" s="745" t="s">
        <v>2074</v>
      </c>
      <c r="AO91" s="746" t="s">
        <v>41</v>
      </c>
      <c r="AP91" s="747" t="s">
        <v>85</v>
      </c>
      <c r="AQ91" s="602"/>
      <c r="AR91" s="602"/>
      <c r="AS91" s="602"/>
      <c r="AT91" s="602"/>
      <c r="AU91" s="602"/>
      <c r="AV91" s="602"/>
    </row>
    <row r="92" spans="2:48" s="40" customFormat="1" ht="12.75" customHeight="1" outlineLevel="1" x14ac:dyDescent="0.2">
      <c r="B92" s="200" t="s">
        <v>2561</v>
      </c>
      <c r="C92" s="201"/>
      <c r="D92" s="262">
        <f t="shared" ref="D92:D99" si="9">I92</f>
        <v>0</v>
      </c>
      <c r="E92" s="265">
        <f t="shared" ref="E92:E99" si="10">D92*12/44</f>
        <v>0</v>
      </c>
      <c r="F92" s="388"/>
      <c r="G92" s="182"/>
      <c r="H92" s="273">
        <f>1000</f>
        <v>1000</v>
      </c>
      <c r="I92" s="211">
        <f>G92*H92</f>
        <v>0</v>
      </c>
      <c r="J92" s="42"/>
      <c r="N92" s="42"/>
      <c r="V92" s="282">
        <f>'Emissions factors'!D11</f>
        <v>0</v>
      </c>
      <c r="W92" s="183"/>
      <c r="X92" s="211">
        <f>I92*SQRT(V92^2+W92^2)</f>
        <v>0</v>
      </c>
      <c r="AB92" s="184"/>
      <c r="AC92" s="210">
        <f t="shared" ref="AC92:AC99" si="11">I92*AB92</f>
        <v>0</v>
      </c>
      <c r="AD92" s="184"/>
      <c r="AE92" s="211">
        <f t="shared" ref="AE92:AE99" si="12">I92*AD92</f>
        <v>0</v>
      </c>
      <c r="AK92" s="717">
        <f>I92</f>
        <v>0</v>
      </c>
      <c r="AL92" s="718">
        <v>0</v>
      </c>
      <c r="AM92" s="718">
        <v>0</v>
      </c>
      <c r="AN92" s="718">
        <v>0</v>
      </c>
      <c r="AO92" s="720">
        <f>I92</f>
        <v>0</v>
      </c>
      <c r="AP92" s="748">
        <v>0</v>
      </c>
      <c r="AQ92" s="602"/>
      <c r="AR92" s="602"/>
      <c r="AS92" s="602"/>
      <c r="AT92" s="602"/>
      <c r="AU92" s="602"/>
      <c r="AV92" s="602"/>
    </row>
    <row r="93" spans="2:48" s="40" customFormat="1" ht="12.75" customHeight="1" outlineLevel="1" x14ac:dyDescent="0.2">
      <c r="B93" s="200" t="s">
        <v>2580</v>
      </c>
      <c r="C93" s="201"/>
      <c r="D93" s="262">
        <f t="shared" si="9"/>
        <v>0</v>
      </c>
      <c r="E93" s="265">
        <f t="shared" si="10"/>
        <v>0</v>
      </c>
      <c r="F93" s="389"/>
      <c r="G93" s="185"/>
      <c r="H93" s="273">
        <f>1000*'Emissions factors'!$C$12</f>
        <v>265000</v>
      </c>
      <c r="I93" s="211">
        <f>G93*H93</f>
        <v>0</v>
      </c>
      <c r="J93" s="42"/>
      <c r="N93" s="42"/>
      <c r="V93" s="282">
        <f>'Emissions factors'!D12</f>
        <v>0.3</v>
      </c>
      <c r="W93" s="186"/>
      <c r="X93" s="211">
        <f t="shared" ref="X93:X98" si="13">I93*SQRT(V93^2+W93^2)</f>
        <v>0</v>
      </c>
      <c r="AB93" s="187"/>
      <c r="AC93" s="210">
        <f t="shared" si="11"/>
        <v>0</v>
      </c>
      <c r="AD93" s="187"/>
      <c r="AE93" s="211">
        <f t="shared" si="12"/>
        <v>0</v>
      </c>
      <c r="AK93" s="717">
        <v>0</v>
      </c>
      <c r="AL93" s="718">
        <v>0</v>
      </c>
      <c r="AM93" s="718">
        <f>I93</f>
        <v>0</v>
      </c>
      <c r="AN93" s="718">
        <v>0</v>
      </c>
      <c r="AO93" s="720">
        <f t="shared" ref="AO93:AO99" si="14">I93</f>
        <v>0</v>
      </c>
      <c r="AP93" s="748">
        <v>0</v>
      </c>
      <c r="AQ93" s="602"/>
      <c r="AR93" s="602"/>
      <c r="AS93" s="602"/>
      <c r="AT93" s="602"/>
      <c r="AU93" s="602"/>
      <c r="AV93" s="602"/>
    </row>
    <row r="94" spans="2:48" s="40" customFormat="1" ht="12.75" customHeight="1" outlineLevel="1" x14ac:dyDescent="0.2">
      <c r="B94" s="200" t="s">
        <v>2578</v>
      </c>
      <c r="C94" s="201"/>
      <c r="D94" s="262">
        <f>I94</f>
        <v>0</v>
      </c>
      <c r="E94" s="265">
        <f>D94*12/44</f>
        <v>0</v>
      </c>
      <c r="F94" s="389"/>
      <c r="G94" s="185"/>
      <c r="H94" s="273">
        <f>1000*'Emissions factors'!$C$13</f>
        <v>30000</v>
      </c>
      <c r="I94" s="211">
        <f>G94*H94</f>
        <v>0</v>
      </c>
      <c r="J94" s="42"/>
      <c r="N94" s="42"/>
      <c r="V94" s="282">
        <f>'Emissions factors'!D13</f>
        <v>0.3</v>
      </c>
      <c r="W94" s="186"/>
      <c r="X94" s="211">
        <f>I94*SQRT(V94^2+W94^2)</f>
        <v>0</v>
      </c>
      <c r="AB94" s="187"/>
      <c r="AC94" s="210">
        <f>I94*AB94</f>
        <v>0</v>
      </c>
      <c r="AD94" s="187"/>
      <c r="AE94" s="211">
        <f>I94*AD94</f>
        <v>0</v>
      </c>
      <c r="AK94" s="717">
        <v>0</v>
      </c>
      <c r="AL94" s="718">
        <f>I94</f>
        <v>0</v>
      </c>
      <c r="AM94" s="718">
        <v>0</v>
      </c>
      <c r="AN94" s="718">
        <v>0</v>
      </c>
      <c r="AO94" s="720">
        <f>I94</f>
        <v>0</v>
      </c>
      <c r="AP94" s="748">
        <v>0</v>
      </c>
      <c r="AQ94" s="602"/>
      <c r="AR94" s="602"/>
      <c r="AS94" s="602"/>
      <c r="AT94" s="602"/>
      <c r="AU94" s="602"/>
      <c r="AV94" s="602"/>
    </row>
    <row r="95" spans="2:48" s="40" customFormat="1" ht="12.75" customHeight="1" outlineLevel="1" x14ac:dyDescent="0.2">
      <c r="B95" s="200" t="s">
        <v>2579</v>
      </c>
      <c r="C95" s="201"/>
      <c r="D95" s="262">
        <f t="shared" si="9"/>
        <v>0</v>
      </c>
      <c r="E95" s="265">
        <f t="shared" si="10"/>
        <v>0</v>
      </c>
      <c r="F95" s="390"/>
      <c r="G95" s="185"/>
      <c r="H95" s="273">
        <f>1000*'Emissions factors'!$C$14</f>
        <v>28000</v>
      </c>
      <c r="I95" s="211">
        <f>G95*H95</f>
        <v>0</v>
      </c>
      <c r="J95" s="42"/>
      <c r="N95" s="42"/>
      <c r="V95" s="282">
        <f>'Emissions factors'!D14</f>
        <v>0.3</v>
      </c>
      <c r="W95" s="186"/>
      <c r="X95" s="211">
        <f t="shared" si="13"/>
        <v>0</v>
      </c>
      <c r="AB95" s="187"/>
      <c r="AC95" s="210">
        <f t="shared" si="11"/>
        <v>0</v>
      </c>
      <c r="AD95" s="187"/>
      <c r="AE95" s="211">
        <f t="shared" si="12"/>
        <v>0</v>
      </c>
      <c r="AK95" s="717">
        <v>0</v>
      </c>
      <c r="AL95" s="718">
        <f>I95</f>
        <v>0</v>
      </c>
      <c r="AM95" s="718">
        <v>0</v>
      </c>
      <c r="AN95" s="718">
        <v>0</v>
      </c>
      <c r="AO95" s="720">
        <f t="shared" si="14"/>
        <v>0</v>
      </c>
      <c r="AP95" s="748">
        <v>0</v>
      </c>
      <c r="AQ95" s="602"/>
      <c r="AR95" s="602"/>
      <c r="AS95" s="602"/>
      <c r="AT95" s="602"/>
      <c r="AU95" s="602"/>
      <c r="AV95" s="602"/>
    </row>
    <row r="96" spans="2:48" s="40" customFormat="1" ht="12.75" customHeight="1" outlineLevel="1" x14ac:dyDescent="0.2">
      <c r="B96" s="200"/>
      <c r="C96" s="201"/>
      <c r="D96" s="262"/>
      <c r="E96" s="265"/>
      <c r="F96" s="1231"/>
      <c r="G96" s="532"/>
      <c r="H96" s="273"/>
      <c r="I96" s="211"/>
      <c r="J96" s="42"/>
      <c r="N96" s="42"/>
      <c r="V96" s="282"/>
      <c r="W96" s="532"/>
      <c r="X96" s="211"/>
      <c r="AB96" s="537"/>
      <c r="AC96" s="210"/>
      <c r="AD96" s="532"/>
      <c r="AE96" s="211"/>
      <c r="AK96" s="717"/>
      <c r="AL96" s="718"/>
      <c r="AM96" s="718"/>
      <c r="AN96" s="718"/>
      <c r="AO96" s="720"/>
      <c r="AP96" s="748"/>
      <c r="AQ96" s="602"/>
      <c r="AR96" s="602"/>
      <c r="AS96" s="602"/>
      <c r="AT96" s="602"/>
      <c r="AU96" s="602"/>
      <c r="AV96" s="602"/>
    </row>
    <row r="97" spans="2:48" s="40" customFormat="1" ht="12.75" customHeight="1" outlineLevel="1" x14ac:dyDescent="0.2">
      <c r="B97" s="200" t="s">
        <v>727</v>
      </c>
      <c r="C97" s="201"/>
      <c r="D97" s="262">
        <f t="shared" si="9"/>
        <v>0</v>
      </c>
      <c r="E97" s="265">
        <f t="shared" si="10"/>
        <v>0</v>
      </c>
      <c r="F97" s="388"/>
      <c r="G97" s="526"/>
      <c r="H97" s="273">
        <f>1000*VLOOKUP($B97,'Emissions factors'!$B$18:$D$44,2,FALSE)</f>
        <v>1550000</v>
      </c>
      <c r="I97" s="211">
        <f>G97*H97</f>
        <v>0</v>
      </c>
      <c r="J97" s="42"/>
      <c r="N97" s="324"/>
      <c r="V97" s="282">
        <f>VLOOKUP($B97,'Emissions factors'!$B$18:$D$44,3,FALSE)</f>
        <v>0.3</v>
      </c>
      <c r="W97" s="186"/>
      <c r="X97" s="211">
        <f t="shared" si="13"/>
        <v>0</v>
      </c>
      <c r="AB97" s="187"/>
      <c r="AC97" s="210">
        <f t="shared" si="11"/>
        <v>0</v>
      </c>
      <c r="AD97" s="187"/>
      <c r="AE97" s="211">
        <f t="shared" si="12"/>
        <v>0</v>
      </c>
      <c r="AK97" s="717">
        <v>0</v>
      </c>
      <c r="AL97" s="718">
        <v>0</v>
      </c>
      <c r="AM97" s="718">
        <v>0</v>
      </c>
      <c r="AN97" s="718">
        <f>I97</f>
        <v>0</v>
      </c>
      <c r="AO97" s="720">
        <f t="shared" si="14"/>
        <v>0</v>
      </c>
      <c r="AP97" s="748">
        <v>0</v>
      </c>
      <c r="AQ97" s="602"/>
      <c r="AR97" s="602"/>
      <c r="AS97" s="602"/>
      <c r="AT97" s="602"/>
      <c r="AU97" s="602"/>
      <c r="AV97" s="602"/>
    </row>
    <row r="98" spans="2:48" s="40" customFormat="1" ht="12.75" customHeight="1" outlineLevel="1" x14ac:dyDescent="0.2">
      <c r="B98" s="200" t="s">
        <v>728</v>
      </c>
      <c r="C98" s="201"/>
      <c r="D98" s="262">
        <f t="shared" si="9"/>
        <v>0</v>
      </c>
      <c r="E98" s="265">
        <f t="shared" si="10"/>
        <v>0</v>
      </c>
      <c r="F98" s="389"/>
      <c r="G98" s="526"/>
      <c r="H98" s="273">
        <f>1000*VLOOKUP($B98,'Emissions factors'!$B$18:$D$44,2,FALSE)</f>
        <v>7350000</v>
      </c>
      <c r="I98" s="211">
        <f>G98*H98</f>
        <v>0</v>
      </c>
      <c r="J98" s="42"/>
      <c r="N98" s="324"/>
      <c r="V98" s="282">
        <f>VLOOKUP($B98,'Emissions factors'!$B$18:$D$44,3,FALSE)</f>
        <v>0.3</v>
      </c>
      <c r="W98" s="186"/>
      <c r="X98" s="211">
        <f t="shared" si="13"/>
        <v>0</v>
      </c>
      <c r="AB98" s="187"/>
      <c r="AC98" s="210">
        <f t="shared" si="11"/>
        <v>0</v>
      </c>
      <c r="AD98" s="187"/>
      <c r="AE98" s="211">
        <f t="shared" si="12"/>
        <v>0</v>
      </c>
      <c r="AK98" s="717">
        <v>0</v>
      </c>
      <c r="AL98" s="718">
        <v>0</v>
      </c>
      <c r="AM98" s="718">
        <v>0</v>
      </c>
      <c r="AN98" s="718">
        <f>I98</f>
        <v>0</v>
      </c>
      <c r="AO98" s="720">
        <f t="shared" si="14"/>
        <v>0</v>
      </c>
      <c r="AP98" s="748">
        <v>0</v>
      </c>
      <c r="AQ98" s="602"/>
      <c r="AR98" s="602"/>
      <c r="AS98" s="602"/>
      <c r="AT98" s="602"/>
      <c r="AU98" s="602"/>
      <c r="AV98" s="602"/>
    </row>
    <row r="99" spans="2:48" s="40" customFormat="1" ht="12.75" customHeight="1" outlineLevel="1" x14ac:dyDescent="0.2">
      <c r="B99" s="200" t="s">
        <v>42</v>
      </c>
      <c r="C99" s="201"/>
      <c r="D99" s="262">
        <f t="shared" si="9"/>
        <v>0</v>
      </c>
      <c r="E99" s="265">
        <f t="shared" si="10"/>
        <v>0</v>
      </c>
      <c r="F99" s="390"/>
      <c r="G99" s="527"/>
      <c r="H99" s="273">
        <f>1000*VLOOKUP($B99,'Emissions factors'!$B$18:$D$44,2,FALSE)</f>
        <v>1920000</v>
      </c>
      <c r="I99" s="211">
        <f>G99*H99</f>
        <v>0</v>
      </c>
      <c r="J99" s="42"/>
      <c r="N99" s="324"/>
      <c r="V99" s="282">
        <f>VLOOKUP($B99,'Emissions factors'!$B$18:$D$44,3,FALSE)</f>
        <v>0.3</v>
      </c>
      <c r="W99" s="189"/>
      <c r="X99" s="211">
        <f>I99*SQRT(V99^2+W99^2)</f>
        <v>0</v>
      </c>
      <c r="AB99" s="190"/>
      <c r="AC99" s="210">
        <f t="shared" si="11"/>
        <v>0</v>
      </c>
      <c r="AD99" s="190"/>
      <c r="AE99" s="211">
        <f t="shared" si="12"/>
        <v>0</v>
      </c>
      <c r="AK99" s="717">
        <v>0</v>
      </c>
      <c r="AL99" s="718">
        <v>0</v>
      </c>
      <c r="AM99" s="718">
        <v>0</v>
      </c>
      <c r="AN99" s="718">
        <f>I99</f>
        <v>0</v>
      </c>
      <c r="AO99" s="720">
        <f t="shared" si="14"/>
        <v>0</v>
      </c>
      <c r="AP99" s="748">
        <v>0</v>
      </c>
      <c r="AQ99" s="602"/>
      <c r="AR99" s="602"/>
      <c r="AS99" s="602"/>
      <c r="AT99" s="602"/>
      <c r="AU99" s="602"/>
      <c r="AV99" s="602"/>
    </row>
    <row r="100" spans="2:48" s="40" customFormat="1" ht="12.75" customHeight="1" outlineLevel="1" x14ac:dyDescent="0.2">
      <c r="B100" s="200"/>
      <c r="C100" s="201"/>
      <c r="D100" s="263"/>
      <c r="E100" s="266"/>
      <c r="F100" s="201"/>
      <c r="G100" s="201"/>
      <c r="H100" s="201"/>
      <c r="I100" s="226"/>
      <c r="J100" s="42"/>
      <c r="N100" s="42"/>
      <c r="V100" s="200"/>
      <c r="W100" s="201"/>
      <c r="X100" s="222"/>
      <c r="AB100" s="200"/>
      <c r="AC100" s="504"/>
      <c r="AD100" s="201"/>
      <c r="AE100" s="222"/>
      <c r="AK100" s="717"/>
      <c r="AL100" s="718"/>
      <c r="AM100" s="718"/>
      <c r="AN100" s="718"/>
      <c r="AO100" s="720"/>
      <c r="AP100" s="749"/>
      <c r="AQ100" s="602"/>
      <c r="AR100" s="602"/>
      <c r="AS100" s="602"/>
      <c r="AT100" s="602"/>
      <c r="AU100" s="602"/>
      <c r="AV100" s="602"/>
    </row>
    <row r="101" spans="2:48" s="40" customFormat="1" ht="12.75" customHeight="1" outlineLevel="1" x14ac:dyDescent="0.2">
      <c r="B101" s="253" t="s">
        <v>44</v>
      </c>
      <c r="C101" s="254"/>
      <c r="D101" s="264">
        <f>SUM(D92:D100)</f>
        <v>0</v>
      </c>
      <c r="E101" s="267">
        <f>SUM(E92:E100)</f>
        <v>0</v>
      </c>
      <c r="F101" s="255"/>
      <c r="G101" s="254"/>
      <c r="H101" s="254"/>
      <c r="I101" s="257">
        <f>SUM(I92:I100)</f>
        <v>0</v>
      </c>
      <c r="J101" s="42"/>
      <c r="N101" s="42"/>
      <c r="V101" s="258"/>
      <c r="W101" s="256"/>
      <c r="X101" s="257">
        <f>SQRT(SUMSQ(X92:X100))</f>
        <v>0</v>
      </c>
      <c r="AB101" s="258"/>
      <c r="AC101" s="259">
        <f>SUM(AC92:AC100)</f>
        <v>0</v>
      </c>
      <c r="AD101" s="256"/>
      <c r="AE101" s="257">
        <f>SUM(AE92:AE100)</f>
        <v>0</v>
      </c>
      <c r="AK101" s="724">
        <f t="shared" ref="AK101:AP101" si="15">SUM(AK92:AK100)</f>
        <v>0</v>
      </c>
      <c r="AL101" s="725">
        <f t="shared" si="15"/>
        <v>0</v>
      </c>
      <c r="AM101" s="725">
        <f t="shared" si="15"/>
        <v>0</v>
      </c>
      <c r="AN101" s="725">
        <f t="shared" si="15"/>
        <v>0</v>
      </c>
      <c r="AO101" s="727">
        <f t="shared" si="15"/>
        <v>0</v>
      </c>
      <c r="AP101" s="750">
        <f t="shared" si="15"/>
        <v>0</v>
      </c>
      <c r="AQ101" s="602"/>
      <c r="AR101" s="602"/>
      <c r="AS101" s="602"/>
      <c r="AT101" s="602"/>
      <c r="AU101" s="602"/>
      <c r="AV101" s="602"/>
    </row>
    <row r="102" spans="2:48" s="40" customFormat="1" ht="12.75" customHeight="1" outlineLevel="1" x14ac:dyDescent="0.2">
      <c r="B102" s="42"/>
      <c r="C102" s="42"/>
      <c r="D102" s="341"/>
      <c r="E102" s="341"/>
      <c r="F102" s="341"/>
      <c r="G102" s="341"/>
      <c r="H102" s="42"/>
      <c r="I102" s="324"/>
      <c r="AK102" s="602"/>
      <c r="AL102" s="602"/>
      <c r="AM102" s="602"/>
      <c r="AN102" s="602"/>
      <c r="AO102" s="602"/>
      <c r="AP102" s="602"/>
      <c r="AQ102" s="602"/>
      <c r="AR102" s="602"/>
      <c r="AS102" s="602"/>
      <c r="AT102" s="602"/>
      <c r="AU102" s="602"/>
      <c r="AV102" s="602"/>
    </row>
    <row r="103" spans="2:48" s="40" customFormat="1" ht="12.75" customHeight="1" outlineLevel="1" x14ac:dyDescent="0.2">
      <c r="B103" s="195" t="s">
        <v>3115</v>
      </c>
      <c r="C103" s="196"/>
      <c r="D103" s="500"/>
      <c r="E103" s="500"/>
      <c r="F103" s="500"/>
      <c r="G103" s="217"/>
      <c r="H103" s="217"/>
      <c r="I103" s="218"/>
      <c r="J103" s="50"/>
      <c r="N103" s="50"/>
      <c r="V103" s="1746" t="s">
        <v>723</v>
      </c>
      <c r="W103" s="1747"/>
      <c r="X103" s="1748"/>
      <c r="AB103" s="1746" t="s">
        <v>2066</v>
      </c>
      <c r="AC103" s="1747"/>
      <c r="AD103" s="1747"/>
      <c r="AE103" s="1748"/>
      <c r="AK103" s="1755" t="s">
        <v>2073</v>
      </c>
      <c r="AL103" s="1756"/>
      <c r="AM103" s="1756"/>
      <c r="AN103" s="1756"/>
      <c r="AO103" s="1756"/>
      <c r="AP103" s="1757"/>
      <c r="AQ103" s="602"/>
      <c r="AR103" s="602"/>
      <c r="AS103" s="602"/>
      <c r="AT103" s="602"/>
      <c r="AU103" s="602"/>
      <c r="AV103" s="602"/>
    </row>
    <row r="104" spans="2:48" s="40" customFormat="1" ht="12.75" customHeight="1" outlineLevel="1" x14ac:dyDescent="0.2">
      <c r="B104" s="417" t="s">
        <v>3117</v>
      </c>
      <c r="C104" s="225"/>
      <c r="D104" s="503"/>
      <c r="E104" s="503"/>
      <c r="F104" s="503"/>
      <c r="G104" s="504"/>
      <c r="H104" s="504"/>
      <c r="I104" s="508"/>
      <c r="J104" s="50"/>
      <c r="N104" s="50"/>
      <c r="V104" s="507"/>
      <c r="W104" s="504"/>
      <c r="X104" s="203"/>
      <c r="AB104" s="507"/>
      <c r="AC104" s="504"/>
      <c r="AD104" s="504"/>
      <c r="AE104" s="203"/>
      <c r="AK104" s="778"/>
      <c r="AL104" s="779"/>
      <c r="AM104" s="779"/>
      <c r="AN104" s="779"/>
      <c r="AO104" s="741"/>
      <c r="AP104" s="780"/>
      <c r="AQ104" s="602"/>
      <c r="AR104" s="602"/>
      <c r="AS104" s="602"/>
      <c r="AT104" s="602"/>
      <c r="AU104" s="602"/>
      <c r="AV104" s="602"/>
    </row>
    <row r="105" spans="2:48" s="40" customFormat="1" ht="12.75" customHeight="1" outlineLevel="1" x14ac:dyDescent="0.2">
      <c r="B105" s="507"/>
      <c r="C105" s="504"/>
      <c r="D105" s="504" t="s">
        <v>56</v>
      </c>
      <c r="E105" s="504" t="s">
        <v>56</v>
      </c>
      <c r="F105" s="205" t="s">
        <v>2055</v>
      </c>
      <c r="G105" s="205" t="s">
        <v>11</v>
      </c>
      <c r="H105" s="504" t="s">
        <v>61</v>
      </c>
      <c r="I105" s="509" t="s">
        <v>61</v>
      </c>
      <c r="J105" s="50"/>
      <c r="N105" s="50"/>
      <c r="V105" s="1640" t="s">
        <v>2605</v>
      </c>
      <c r="W105" s="504" t="s">
        <v>2110</v>
      </c>
      <c r="X105" s="509" t="s">
        <v>61</v>
      </c>
      <c r="Y105" s="32"/>
      <c r="Z105" s="32"/>
      <c r="AA105" s="32"/>
      <c r="AB105" s="507" t="s">
        <v>2065</v>
      </c>
      <c r="AC105" s="503" t="s">
        <v>61</v>
      </c>
      <c r="AD105" s="504" t="s">
        <v>2558</v>
      </c>
      <c r="AE105" s="509" t="s">
        <v>61</v>
      </c>
      <c r="AK105" s="1739" t="s">
        <v>61</v>
      </c>
      <c r="AL105" s="1740"/>
      <c r="AM105" s="1740"/>
      <c r="AN105" s="1740"/>
      <c r="AO105" s="741" t="s">
        <v>61</v>
      </c>
      <c r="AP105" s="742"/>
      <c r="AQ105" s="602"/>
      <c r="AR105" s="602"/>
      <c r="AS105" s="602"/>
      <c r="AT105" s="602"/>
      <c r="AU105" s="602"/>
      <c r="AV105" s="602"/>
    </row>
    <row r="106" spans="2:48" s="40" customFormat="1" ht="12.75" customHeight="1" outlineLevel="1" x14ac:dyDescent="0.2">
      <c r="B106" s="507"/>
      <c r="C106" s="504"/>
      <c r="D106" s="504" t="s">
        <v>61</v>
      </c>
      <c r="E106" s="504" t="s">
        <v>63</v>
      </c>
      <c r="F106" s="208" t="s">
        <v>2741</v>
      </c>
      <c r="G106" s="208" t="s">
        <v>2694</v>
      </c>
      <c r="H106" s="504" t="s">
        <v>2544</v>
      </c>
      <c r="I106" s="509"/>
      <c r="J106" s="50"/>
      <c r="N106" s="42"/>
      <c r="V106" s="1640" t="s">
        <v>2109</v>
      </c>
      <c r="W106" s="504"/>
      <c r="X106" s="509"/>
      <c r="Y106" s="32"/>
      <c r="Z106" s="32"/>
      <c r="AA106" s="32"/>
      <c r="AB106" s="507"/>
      <c r="AC106" s="503"/>
      <c r="AD106" s="504"/>
      <c r="AE106" s="509"/>
      <c r="AK106" s="744" t="s">
        <v>14</v>
      </c>
      <c r="AL106" s="745" t="s">
        <v>60</v>
      </c>
      <c r="AM106" s="745" t="s">
        <v>27</v>
      </c>
      <c r="AN106" s="745" t="s">
        <v>2074</v>
      </c>
      <c r="AO106" s="746" t="s">
        <v>41</v>
      </c>
      <c r="AP106" s="747" t="s">
        <v>85</v>
      </c>
      <c r="AQ106" s="602"/>
      <c r="AR106" s="602"/>
      <c r="AS106" s="602"/>
      <c r="AT106" s="602"/>
      <c r="AU106" s="602"/>
      <c r="AV106" s="602"/>
    </row>
    <row r="107" spans="2:48" s="40" customFormat="1" ht="12.75" customHeight="1" outlineLevel="1" x14ac:dyDescent="0.2">
      <c r="B107" s="200" t="s">
        <v>749</v>
      </c>
      <c r="C107" s="201"/>
      <c r="D107" s="262">
        <f>I107</f>
        <v>0</v>
      </c>
      <c r="E107" s="265">
        <f>D107*12/44</f>
        <v>0</v>
      </c>
      <c r="F107" s="388"/>
      <c r="G107" s="528"/>
      <c r="H107" s="273">
        <f>1000*VLOOKUP($B107,'Emissions factors'!$B$47:$D$74,2,FALSE)</f>
        <v>11500000</v>
      </c>
      <c r="I107" s="211">
        <f>G107*H107</f>
        <v>0</v>
      </c>
      <c r="N107" s="42"/>
      <c r="V107" s="282">
        <f>VLOOKUP($B107,'Emissions factors'!$B$47:$D$74,3,FALSE)</f>
        <v>0.3</v>
      </c>
      <c r="W107" s="183"/>
      <c r="X107" s="211">
        <f>I107*SQRT(V107^2+W107^2)</f>
        <v>0</v>
      </c>
      <c r="AB107" s="184"/>
      <c r="AC107" s="210">
        <f>I107*AB107</f>
        <v>0</v>
      </c>
      <c r="AD107" s="184"/>
      <c r="AE107" s="211">
        <f>I107*AD107</f>
        <v>0</v>
      </c>
      <c r="AK107" s="717">
        <v>0</v>
      </c>
      <c r="AL107" s="718">
        <v>0</v>
      </c>
      <c r="AM107" s="718">
        <v>0</v>
      </c>
      <c r="AN107" s="718">
        <f>I107</f>
        <v>0</v>
      </c>
      <c r="AO107" s="720">
        <f>I107</f>
        <v>0</v>
      </c>
      <c r="AP107" s="748">
        <v>0</v>
      </c>
      <c r="AQ107" s="602"/>
      <c r="AR107" s="602"/>
      <c r="AS107" s="602"/>
      <c r="AT107" s="602"/>
      <c r="AU107" s="602"/>
      <c r="AV107" s="602"/>
    </row>
    <row r="108" spans="2:48" s="40" customFormat="1" ht="12.75" customHeight="1" outlineLevel="1" x14ac:dyDescent="0.2">
      <c r="B108" s="200" t="s">
        <v>750</v>
      </c>
      <c r="C108" s="201"/>
      <c r="D108" s="262">
        <f>I108</f>
        <v>0</v>
      </c>
      <c r="E108" s="265">
        <f>D108*12/44</f>
        <v>0</v>
      </c>
      <c r="F108" s="389"/>
      <c r="G108" s="526"/>
      <c r="H108" s="273">
        <f>1000*VLOOKUP($B108,'Emissions factors'!$B$47:$D$74,2,FALSE)</f>
        <v>72000</v>
      </c>
      <c r="I108" s="211">
        <f>G108*H108</f>
        <v>0</v>
      </c>
      <c r="N108" s="42"/>
      <c r="V108" s="282">
        <f>VLOOKUP($B108,'Emissions factors'!$B$47:$D$74,3,FALSE)</f>
        <v>0.3</v>
      </c>
      <c r="W108" s="186"/>
      <c r="X108" s="211">
        <f>I108*SQRT(V108^2+W108^2)</f>
        <v>0</v>
      </c>
      <c r="AB108" s="187"/>
      <c r="AC108" s="210">
        <f>I108*AB108</f>
        <v>0</v>
      </c>
      <c r="AD108" s="187"/>
      <c r="AE108" s="211">
        <f>I108*AD108</f>
        <v>0</v>
      </c>
      <c r="AK108" s="717">
        <v>0</v>
      </c>
      <c r="AL108" s="718">
        <v>0</v>
      </c>
      <c r="AM108" s="718">
        <v>0</v>
      </c>
      <c r="AN108" s="718">
        <f>I108</f>
        <v>0</v>
      </c>
      <c r="AO108" s="720">
        <f>I108</f>
        <v>0</v>
      </c>
      <c r="AP108" s="748">
        <v>0</v>
      </c>
      <c r="AQ108" s="602"/>
      <c r="AR108" s="602"/>
      <c r="AS108" s="602"/>
      <c r="AT108" s="602"/>
      <c r="AU108" s="602"/>
      <c r="AV108" s="602"/>
    </row>
    <row r="109" spans="2:48" s="40" customFormat="1" ht="12.75" customHeight="1" outlineLevel="1" x14ac:dyDescent="0.2">
      <c r="B109" s="200" t="s">
        <v>760</v>
      </c>
      <c r="C109" s="201"/>
      <c r="D109" s="262">
        <f>I109</f>
        <v>0</v>
      </c>
      <c r="E109" s="265">
        <f>D109*12/44</f>
        <v>0</v>
      </c>
      <c r="F109" s="390"/>
      <c r="G109" s="527"/>
      <c r="H109" s="273">
        <f>1000*VLOOKUP($B109,'Emissions factors'!$B$47:$D$74,2,FALSE)</f>
        <v>2110000</v>
      </c>
      <c r="I109" s="211">
        <f>G109*H109</f>
        <v>0</v>
      </c>
      <c r="N109" s="42"/>
      <c r="V109" s="282">
        <f>VLOOKUP($B109,'Emissions factors'!$B$47:$D$74,3,FALSE)</f>
        <v>0.3</v>
      </c>
      <c r="W109" s="189"/>
      <c r="X109" s="211">
        <f>I109*SQRT(V109^2+W109^2)</f>
        <v>0</v>
      </c>
      <c r="AB109" s="190"/>
      <c r="AC109" s="210">
        <f>I109*AB109</f>
        <v>0</v>
      </c>
      <c r="AD109" s="190"/>
      <c r="AE109" s="211">
        <f>I109*AD109</f>
        <v>0</v>
      </c>
      <c r="AK109" s="717">
        <v>0</v>
      </c>
      <c r="AL109" s="718">
        <v>0</v>
      </c>
      <c r="AM109" s="718">
        <v>0</v>
      </c>
      <c r="AN109" s="718">
        <f>I109</f>
        <v>0</v>
      </c>
      <c r="AO109" s="720">
        <f>I109</f>
        <v>0</v>
      </c>
      <c r="AP109" s="748">
        <v>0</v>
      </c>
      <c r="AQ109" s="602"/>
      <c r="AR109" s="602"/>
      <c r="AS109" s="602"/>
      <c r="AT109" s="602"/>
      <c r="AU109" s="602"/>
      <c r="AV109" s="602"/>
    </row>
    <row r="110" spans="2:48" s="40" customFormat="1" ht="12.75" customHeight="1" outlineLevel="1" x14ac:dyDescent="0.2">
      <c r="B110" s="200"/>
      <c r="C110" s="201"/>
      <c r="D110" s="263"/>
      <c r="E110" s="266"/>
      <c r="F110" s="201"/>
      <c r="G110" s="201"/>
      <c r="H110" s="201"/>
      <c r="I110" s="226"/>
      <c r="J110" s="42"/>
      <c r="N110" s="42"/>
      <c r="V110" s="200"/>
      <c r="W110" s="201"/>
      <c r="X110" s="222"/>
      <c r="AB110" s="200"/>
      <c r="AC110" s="504"/>
      <c r="AD110" s="201"/>
      <c r="AE110" s="222"/>
      <c r="AK110" s="717"/>
      <c r="AL110" s="718"/>
      <c r="AM110" s="718"/>
      <c r="AN110" s="718"/>
      <c r="AO110" s="720"/>
      <c r="AP110" s="749"/>
      <c r="AQ110" s="602"/>
      <c r="AR110" s="602"/>
      <c r="AS110" s="602"/>
      <c r="AT110" s="602"/>
      <c r="AU110" s="602"/>
      <c r="AV110" s="602"/>
    </row>
    <row r="111" spans="2:48" s="40" customFormat="1" ht="12.75" customHeight="1" outlineLevel="1" x14ac:dyDescent="0.2">
      <c r="B111" s="253" t="s">
        <v>44</v>
      </c>
      <c r="C111" s="254"/>
      <c r="D111" s="264">
        <f>SUM(D107:D110)</f>
        <v>0</v>
      </c>
      <c r="E111" s="267">
        <f>SUM(E107:E110)</f>
        <v>0</v>
      </c>
      <c r="F111" s="255"/>
      <c r="G111" s="254"/>
      <c r="H111" s="254"/>
      <c r="I111" s="257">
        <f>SUM(I107:I110)</f>
        <v>0</v>
      </c>
      <c r="J111" s="42"/>
      <c r="N111" s="42"/>
      <c r="V111" s="258"/>
      <c r="W111" s="256"/>
      <c r="X111" s="257">
        <f>SQRT(SUMSQ(X103:X110))</f>
        <v>0</v>
      </c>
      <c r="AB111" s="258"/>
      <c r="AC111" s="259">
        <f>SUM(AC107:AC110)</f>
        <v>0</v>
      </c>
      <c r="AD111" s="256"/>
      <c r="AE111" s="257">
        <f>SUM(AE107:AE110)</f>
        <v>0</v>
      </c>
      <c r="AK111" s="724">
        <f t="shared" ref="AK111:AP111" si="16">SUM(AK107:AK110)</f>
        <v>0</v>
      </c>
      <c r="AL111" s="725">
        <f t="shared" si="16"/>
        <v>0</v>
      </c>
      <c r="AM111" s="725">
        <f t="shared" si="16"/>
        <v>0</v>
      </c>
      <c r="AN111" s="725">
        <f t="shared" si="16"/>
        <v>0</v>
      </c>
      <c r="AO111" s="727">
        <f t="shared" si="16"/>
        <v>0</v>
      </c>
      <c r="AP111" s="750">
        <f t="shared" si="16"/>
        <v>0</v>
      </c>
      <c r="AQ111" s="602"/>
      <c r="AR111" s="602"/>
      <c r="AS111" s="602"/>
      <c r="AT111" s="602"/>
      <c r="AU111" s="602"/>
      <c r="AV111" s="602"/>
    </row>
    <row r="112" spans="2:48" s="40" customFormat="1" ht="12.75" customHeight="1" outlineLevel="1" x14ac:dyDescent="0.2">
      <c r="F112" s="314"/>
      <c r="AK112" s="602"/>
      <c r="AL112" s="602"/>
      <c r="AM112" s="602"/>
      <c r="AN112" s="602"/>
      <c r="AO112" s="602"/>
      <c r="AP112" s="602"/>
      <c r="AQ112" s="602"/>
      <c r="AR112" s="602"/>
      <c r="AS112" s="602"/>
      <c r="AT112" s="602"/>
      <c r="AU112" s="602"/>
      <c r="AV112" s="602"/>
    </row>
    <row r="113" spans="2:48" s="40" customFormat="1" ht="13" x14ac:dyDescent="0.2">
      <c r="AK113" s="602"/>
      <c r="AL113" s="602"/>
      <c r="AM113" s="602"/>
      <c r="AN113" s="602"/>
      <c r="AO113" s="602"/>
      <c r="AP113" s="602"/>
      <c r="AQ113" s="602"/>
      <c r="AR113" s="602"/>
      <c r="AS113" s="602"/>
      <c r="AT113" s="602"/>
      <c r="AU113" s="602"/>
      <c r="AV113" s="602"/>
    </row>
    <row r="114" spans="2:48" s="40" customFormat="1" ht="16" x14ac:dyDescent="0.2">
      <c r="B114" s="1795" t="s">
        <v>3118</v>
      </c>
      <c r="C114" s="1795"/>
      <c r="D114" s="1795"/>
      <c r="E114" s="1795"/>
      <c r="F114" s="1795"/>
      <c r="G114" s="1795"/>
      <c r="H114" s="1795"/>
      <c r="I114" s="1795"/>
      <c r="J114" s="1795"/>
      <c r="K114" s="1795"/>
      <c r="L114" s="1795"/>
      <c r="M114" s="1795"/>
      <c r="N114" s="1795"/>
      <c r="O114" s="1795"/>
      <c r="AK114" s="602"/>
      <c r="AL114" s="602"/>
      <c r="AM114" s="602"/>
      <c r="AN114" s="602"/>
      <c r="AO114" s="602"/>
      <c r="AP114" s="602"/>
      <c r="AQ114" s="602"/>
      <c r="AR114" s="602"/>
      <c r="AS114" s="602"/>
      <c r="AT114" s="602"/>
      <c r="AU114" s="602"/>
      <c r="AV114" s="602"/>
    </row>
    <row r="115" spans="2:48" s="40" customFormat="1" ht="12.75" customHeight="1" outlineLevel="1" x14ac:dyDescent="0.2">
      <c r="B115" s="321"/>
      <c r="C115" s="321"/>
      <c r="D115" s="321"/>
      <c r="E115" s="321"/>
      <c r="F115" s="321"/>
      <c r="H115" s="314"/>
      <c r="AK115" s="602"/>
      <c r="AL115" s="602"/>
      <c r="AM115" s="602"/>
      <c r="AN115" s="602"/>
      <c r="AO115" s="602"/>
      <c r="AP115" s="602"/>
      <c r="AQ115" s="602"/>
      <c r="AR115" s="602"/>
      <c r="AS115" s="602"/>
      <c r="AT115" s="602"/>
      <c r="AU115" s="602"/>
      <c r="AV115" s="602"/>
    </row>
    <row r="116" spans="2:48" s="40" customFormat="1" ht="12.75" customHeight="1" outlineLevel="1" x14ac:dyDescent="0.2">
      <c r="B116" s="195" t="s">
        <v>2946</v>
      </c>
      <c r="C116" s="196"/>
      <c r="D116" s="198"/>
      <c r="E116" s="198"/>
      <c r="F116" s="500"/>
      <c r="G116" s="198"/>
      <c r="H116" s="198"/>
      <c r="I116" s="199"/>
      <c r="V116" s="1746" t="s">
        <v>723</v>
      </c>
      <c r="W116" s="1747"/>
      <c r="X116" s="1748"/>
      <c r="AB116" s="1746" t="s">
        <v>2066</v>
      </c>
      <c r="AC116" s="1747"/>
      <c r="AD116" s="1747"/>
      <c r="AE116" s="1748"/>
      <c r="AK116" s="1755" t="s">
        <v>2073</v>
      </c>
      <c r="AL116" s="1756"/>
      <c r="AM116" s="1756"/>
      <c r="AN116" s="1756"/>
      <c r="AO116" s="1756"/>
      <c r="AP116" s="1757"/>
      <c r="AQ116" s="602"/>
      <c r="AR116" s="602"/>
      <c r="AS116" s="602"/>
      <c r="AT116" s="602"/>
      <c r="AU116" s="602"/>
      <c r="AV116" s="602"/>
    </row>
    <row r="117" spans="2:48" s="40" customFormat="1" ht="12.75" customHeight="1" outlineLevel="1" x14ac:dyDescent="0.2">
      <c r="B117" s="417"/>
      <c r="C117" s="225"/>
      <c r="D117" s="503"/>
      <c r="E117" s="503"/>
      <c r="F117" s="412"/>
      <c r="G117" s="214"/>
      <c r="H117" s="201"/>
      <c r="I117" s="203"/>
      <c r="V117" s="507"/>
      <c r="W117" s="504"/>
      <c r="X117" s="203"/>
      <c r="AB117" s="507"/>
      <c r="AC117" s="504"/>
      <c r="AD117" s="504"/>
      <c r="AE117" s="203"/>
      <c r="AK117" s="778"/>
      <c r="AL117" s="779"/>
      <c r="AM117" s="779"/>
      <c r="AN117" s="779"/>
      <c r="AO117" s="741"/>
      <c r="AP117" s="780"/>
      <c r="AQ117" s="602"/>
      <c r="AR117" s="602"/>
      <c r="AS117" s="602"/>
      <c r="AT117" s="602"/>
      <c r="AU117" s="602"/>
      <c r="AV117" s="602"/>
    </row>
    <row r="118" spans="2:48" s="40" customFormat="1" ht="12.75" customHeight="1" outlineLevel="1" x14ac:dyDescent="0.2">
      <c r="B118" s="507"/>
      <c r="C118" s="504"/>
      <c r="D118" s="504" t="s">
        <v>56</v>
      </c>
      <c r="E118" s="504" t="s">
        <v>56</v>
      </c>
      <c r="F118" s="205" t="s">
        <v>2055</v>
      </c>
      <c r="G118" s="205" t="s">
        <v>11</v>
      </c>
      <c r="H118" s="682" t="s">
        <v>64</v>
      </c>
      <c r="I118" s="509" t="s">
        <v>61</v>
      </c>
      <c r="V118" s="1640" t="s">
        <v>2605</v>
      </c>
      <c r="W118" s="504" t="s">
        <v>2110</v>
      </c>
      <c r="X118" s="509" t="s">
        <v>61</v>
      </c>
      <c r="Y118" s="32"/>
      <c r="Z118" s="32"/>
      <c r="AA118" s="32"/>
      <c r="AB118" s="507" t="s">
        <v>2065</v>
      </c>
      <c r="AC118" s="503" t="s">
        <v>61</v>
      </c>
      <c r="AD118" s="504" t="s">
        <v>2558</v>
      </c>
      <c r="AE118" s="509" t="s">
        <v>61</v>
      </c>
      <c r="AK118" s="1739" t="s">
        <v>61</v>
      </c>
      <c r="AL118" s="1740"/>
      <c r="AM118" s="1740"/>
      <c r="AN118" s="1740"/>
      <c r="AO118" s="741" t="s">
        <v>61</v>
      </c>
      <c r="AP118" s="742"/>
      <c r="AQ118" s="602"/>
      <c r="AR118" s="602"/>
      <c r="AS118" s="602"/>
      <c r="AT118" s="602"/>
      <c r="AU118" s="602"/>
      <c r="AV118" s="602"/>
    </row>
    <row r="119" spans="2:48" s="40" customFormat="1" ht="12.75" customHeight="1" outlineLevel="1" x14ac:dyDescent="0.2">
      <c r="B119" s="507"/>
      <c r="C119" s="504"/>
      <c r="D119" s="504" t="s">
        <v>61</v>
      </c>
      <c r="E119" s="504" t="s">
        <v>63</v>
      </c>
      <c r="F119" s="208" t="s">
        <v>2741</v>
      </c>
      <c r="G119" s="208" t="s">
        <v>2687</v>
      </c>
      <c r="H119" s="504" t="s">
        <v>2058</v>
      </c>
      <c r="I119" s="509"/>
      <c r="V119" s="1640" t="s">
        <v>2109</v>
      </c>
      <c r="W119" s="504"/>
      <c r="X119" s="509"/>
      <c r="Y119" s="32"/>
      <c r="Z119" s="32"/>
      <c r="AA119" s="32"/>
      <c r="AB119" s="507"/>
      <c r="AC119" s="503"/>
      <c r="AD119" s="504"/>
      <c r="AE119" s="509"/>
      <c r="AK119" s="744" t="s">
        <v>14</v>
      </c>
      <c r="AL119" s="745" t="s">
        <v>60</v>
      </c>
      <c r="AM119" s="745" t="s">
        <v>27</v>
      </c>
      <c r="AN119" s="745" t="s">
        <v>2074</v>
      </c>
      <c r="AO119" s="746" t="s">
        <v>41</v>
      </c>
      <c r="AP119" s="747" t="s">
        <v>85</v>
      </c>
      <c r="AQ119" s="602"/>
      <c r="AR119" s="602"/>
      <c r="AS119" s="602"/>
      <c r="AT119" s="602"/>
      <c r="AU119" s="602"/>
      <c r="AV119" s="602"/>
    </row>
    <row r="120" spans="2:48" s="40" customFormat="1" ht="12.75" customHeight="1" outlineLevel="1" x14ac:dyDescent="0.2">
      <c r="B120" s="480" t="s">
        <v>3276</v>
      </c>
      <c r="C120" s="221"/>
      <c r="D120" s="262">
        <f>I120</f>
        <v>0</v>
      </c>
      <c r="E120" s="265">
        <f>D120*12/44</f>
        <v>0</v>
      </c>
      <c r="F120" s="388"/>
      <c r="G120" s="182"/>
      <c r="H120" s="273">
        <f>VLOOKUP($B120,'Emissions factors'!$B$2317:$H$2321,2,FALSE)</f>
        <v>1228.3</v>
      </c>
      <c r="I120" s="211">
        <f>G120*H120</f>
        <v>0</v>
      </c>
      <c r="V120" s="282">
        <f>VLOOKUP($B120,'Emissions factors'!$B$2317:$H$2321,7,FALSE)</f>
        <v>0</v>
      </c>
      <c r="W120" s="436"/>
      <c r="X120" s="211">
        <f>I120*SQRT(V120^2+W120^2)</f>
        <v>0</v>
      </c>
      <c r="AB120" s="436"/>
      <c r="AC120" s="210">
        <f>I120*AB120</f>
        <v>0</v>
      </c>
      <c r="AD120" s="436"/>
      <c r="AE120" s="211">
        <f>I120*AD120</f>
        <v>0</v>
      </c>
      <c r="AK120" s="717">
        <f>$G120*VLOOKUP($B120,'Emissions factors'!$B$2317:$H$2321,3,FALSE)</f>
        <v>0</v>
      </c>
      <c r="AL120" s="718">
        <f>$G120*VLOOKUP($B120,'Emissions factors'!$B$2317:$H$2321,4,FALSE)</f>
        <v>0</v>
      </c>
      <c r="AM120" s="718">
        <f>$G120*VLOOKUP($B120,'Emissions factors'!$B$2317:$H$2321,5,FALSE)</f>
        <v>0</v>
      </c>
      <c r="AN120" s="718">
        <v>0</v>
      </c>
      <c r="AO120" s="720">
        <f>I120</f>
        <v>0</v>
      </c>
      <c r="AP120" s="748">
        <f>$G120*VLOOKUP($B120,'Emissions factors'!$B$2317:$H$2321,6,FALSE)</f>
        <v>0</v>
      </c>
      <c r="AQ120" s="602"/>
      <c r="AR120" s="602"/>
      <c r="AS120" s="602"/>
      <c r="AT120" s="602"/>
      <c r="AU120" s="602"/>
      <c r="AV120" s="602"/>
    </row>
    <row r="121" spans="2:48" s="40" customFormat="1" ht="12.75" customHeight="1" outlineLevel="1" x14ac:dyDescent="0.2">
      <c r="B121" s="480" t="s">
        <v>3278</v>
      </c>
      <c r="C121" s="221"/>
      <c r="D121" s="262">
        <f>I121</f>
        <v>0</v>
      </c>
      <c r="E121" s="265">
        <f>D121*12/44</f>
        <v>0</v>
      </c>
      <c r="F121" s="389"/>
      <c r="G121" s="185"/>
      <c r="H121" s="273">
        <f>VLOOKUP($B121,'Emissions factors'!$B$2317:$H$2321,2,FALSE)</f>
        <v>3062</v>
      </c>
      <c r="I121" s="211">
        <f>G121*H121</f>
        <v>0</v>
      </c>
      <c r="V121" s="282">
        <f>VLOOKUP($B121,'Emissions factors'!$B$2317:$H$2321,7,FALSE)</f>
        <v>0</v>
      </c>
      <c r="W121" s="437"/>
      <c r="X121" s="211">
        <f>I121*SQRT(V121^2+W121^2)</f>
        <v>0</v>
      </c>
      <c r="AB121" s="437"/>
      <c r="AC121" s="210">
        <f>I121*AB121</f>
        <v>0</v>
      </c>
      <c r="AD121" s="437"/>
      <c r="AE121" s="211">
        <f>I121*AD121</f>
        <v>0</v>
      </c>
      <c r="AK121" s="717">
        <f>$G121*VLOOKUP($B121,'Emissions factors'!$B$2317:$H$2321,3,FALSE)</f>
        <v>0</v>
      </c>
      <c r="AL121" s="718">
        <f>$G121*VLOOKUP($B121,'Emissions factors'!$B$2317:$H$2321,4,FALSE)</f>
        <v>0</v>
      </c>
      <c r="AM121" s="718">
        <f>$G121*VLOOKUP($B121,'Emissions factors'!$B$2317:$H$2321,5,FALSE)</f>
        <v>0</v>
      </c>
      <c r="AN121" s="718">
        <v>0</v>
      </c>
      <c r="AO121" s="720">
        <f>I121</f>
        <v>0</v>
      </c>
      <c r="AP121" s="748">
        <f>$G121*VLOOKUP($B121,'Emissions factors'!$B$2317:$H$2321,6,FALSE)</f>
        <v>0</v>
      </c>
      <c r="AQ121" s="602"/>
      <c r="AR121" s="602"/>
      <c r="AS121" s="602"/>
      <c r="AT121" s="602"/>
      <c r="AU121" s="602"/>
      <c r="AV121" s="602"/>
    </row>
    <row r="122" spans="2:48" s="40" customFormat="1" ht="12.75" customHeight="1" outlineLevel="1" x14ac:dyDescent="0.2">
      <c r="B122" s="480" t="s">
        <v>1950</v>
      </c>
      <c r="C122" s="221"/>
      <c r="D122" s="262">
        <f>I122</f>
        <v>0</v>
      </c>
      <c r="E122" s="265">
        <f>D122*12/44</f>
        <v>0</v>
      </c>
      <c r="F122" s="390"/>
      <c r="G122" s="188"/>
      <c r="H122" s="273">
        <f>VLOOKUP($B122,'Emissions factors'!$B$2317:$H$2321,2,FALSE)</f>
        <v>954.54666666599996</v>
      </c>
      <c r="I122" s="211">
        <f>G122*H122</f>
        <v>0</v>
      </c>
      <c r="V122" s="282">
        <f>VLOOKUP($B122,'Emissions factors'!$B$2317:$H$2321,7,FALSE)</f>
        <v>0.5</v>
      </c>
      <c r="W122" s="438"/>
      <c r="X122" s="211">
        <f>I122*SQRT(V122^2+W122^2)</f>
        <v>0</v>
      </c>
      <c r="AB122" s="438"/>
      <c r="AC122" s="210">
        <f>I122*AB122</f>
        <v>0</v>
      </c>
      <c r="AD122" s="438"/>
      <c r="AE122" s="211">
        <f>I122*AD122</f>
        <v>0</v>
      </c>
      <c r="AK122" s="717">
        <f>$G122*VLOOKUP($B122,'Emissions factors'!$B$2317:$H$2321,3,FALSE)</f>
        <v>0</v>
      </c>
      <c r="AL122" s="718">
        <f>$G122*VLOOKUP($B122,'Emissions factors'!$B$2317:$H$2321,4,FALSE)</f>
        <v>0</v>
      </c>
      <c r="AM122" s="718">
        <f>$G122*VLOOKUP($B122,'Emissions factors'!$B$2317:$H$2321,5,FALSE)</f>
        <v>0</v>
      </c>
      <c r="AN122" s="718">
        <v>0</v>
      </c>
      <c r="AO122" s="720">
        <f>I122</f>
        <v>0</v>
      </c>
      <c r="AP122" s="748">
        <f>$G122*VLOOKUP($B122,'Emissions factors'!$B$2317:$H$2321,6,FALSE)</f>
        <v>0</v>
      </c>
      <c r="AQ122" s="602"/>
      <c r="AR122" s="602"/>
      <c r="AS122" s="602"/>
      <c r="AT122" s="602"/>
      <c r="AU122" s="602"/>
      <c r="AV122" s="602"/>
    </row>
    <row r="123" spans="2:48" s="40" customFormat="1" ht="12.75" customHeight="1" outlineLevel="1" x14ac:dyDescent="0.2">
      <c r="B123" s="200"/>
      <c r="C123" s="201"/>
      <c r="D123" s="519"/>
      <c r="E123" s="520"/>
      <c r="F123" s="410"/>
      <c r="G123" s="201"/>
      <c r="H123" s="410"/>
      <c r="I123" s="211"/>
      <c r="V123" s="220"/>
      <c r="W123" s="221"/>
      <c r="X123" s="222"/>
      <c r="AB123" s="200"/>
      <c r="AC123" s="504"/>
      <c r="AD123" s="201"/>
      <c r="AE123" s="222"/>
      <c r="AK123" s="717"/>
      <c r="AL123" s="718"/>
      <c r="AM123" s="718"/>
      <c r="AN123" s="718"/>
      <c r="AO123" s="720"/>
      <c r="AP123" s="749"/>
      <c r="AQ123" s="602"/>
      <c r="AR123" s="602"/>
      <c r="AS123" s="602"/>
      <c r="AT123" s="602"/>
      <c r="AU123" s="602"/>
      <c r="AV123" s="602"/>
    </row>
    <row r="124" spans="2:48" s="40" customFormat="1" ht="12.75" customHeight="1" outlineLevel="1" x14ac:dyDescent="0.2">
      <c r="B124" s="253" t="s">
        <v>44</v>
      </c>
      <c r="C124" s="254"/>
      <c r="D124" s="264">
        <f>SUM(D120:D123)</f>
        <v>0</v>
      </c>
      <c r="E124" s="267">
        <f>SUM(E120:E123)</f>
        <v>0</v>
      </c>
      <c r="F124" s="255"/>
      <c r="G124" s="256"/>
      <c r="H124" s="256"/>
      <c r="I124" s="257">
        <f>SUM(I120:I123)</f>
        <v>0</v>
      </c>
      <c r="V124" s="258"/>
      <c r="W124" s="260"/>
      <c r="X124" s="257">
        <f>SQRT(SUMSQ(X116:X123))</f>
        <v>0</v>
      </c>
      <c r="AB124" s="258"/>
      <c r="AC124" s="259">
        <f>SUM(AC120:AC123)</f>
        <v>0</v>
      </c>
      <c r="AD124" s="256"/>
      <c r="AE124" s="257">
        <f>SUM(AE120:AE123)</f>
        <v>0</v>
      </c>
      <c r="AK124" s="724">
        <f t="shared" ref="AK124:AP124" si="17">SUM(AK120:AK123)</f>
        <v>0</v>
      </c>
      <c r="AL124" s="725">
        <f t="shared" si="17"/>
        <v>0</v>
      </c>
      <c r="AM124" s="725">
        <f t="shared" si="17"/>
        <v>0</v>
      </c>
      <c r="AN124" s="725">
        <f t="shared" si="17"/>
        <v>0</v>
      </c>
      <c r="AO124" s="727">
        <f t="shared" si="17"/>
        <v>0</v>
      </c>
      <c r="AP124" s="750">
        <f t="shared" si="17"/>
        <v>0</v>
      </c>
      <c r="AQ124" s="602"/>
      <c r="AR124" s="602"/>
      <c r="AS124" s="602"/>
      <c r="AT124" s="602"/>
      <c r="AU124" s="602"/>
      <c r="AV124" s="602"/>
    </row>
    <row r="125" spans="2:48" s="40" customFormat="1" ht="12.75" customHeight="1" outlineLevel="1" x14ac:dyDescent="0.2">
      <c r="AK125" s="602"/>
      <c r="AL125" s="602"/>
      <c r="AM125" s="602"/>
      <c r="AN125" s="602"/>
      <c r="AO125" s="602"/>
      <c r="AP125" s="602"/>
      <c r="AQ125" s="602"/>
      <c r="AR125" s="602"/>
      <c r="AS125" s="602"/>
      <c r="AT125" s="602"/>
      <c r="AU125" s="602"/>
      <c r="AV125" s="602"/>
    </row>
    <row r="126" spans="2:48" s="40" customFormat="1" ht="13" x14ac:dyDescent="0.2">
      <c r="AK126" s="602"/>
      <c r="AL126" s="602"/>
      <c r="AM126" s="602"/>
      <c r="AN126" s="602"/>
      <c r="AO126" s="602"/>
      <c r="AP126" s="602"/>
      <c r="AQ126" s="602"/>
      <c r="AR126" s="602"/>
      <c r="AS126" s="602"/>
      <c r="AT126" s="729"/>
      <c r="AU126" s="729"/>
      <c r="AV126" s="602"/>
    </row>
    <row r="127" spans="2:48" s="40" customFormat="1" ht="13" x14ac:dyDescent="0.2">
      <c r="AK127" s="602"/>
      <c r="AL127" s="602"/>
      <c r="AM127" s="602"/>
      <c r="AN127" s="602"/>
      <c r="AO127" s="602"/>
      <c r="AP127" s="602"/>
      <c r="AQ127" s="602"/>
      <c r="AR127" s="602"/>
      <c r="AS127" s="602"/>
      <c r="AT127" s="729"/>
      <c r="AU127" s="729"/>
      <c r="AV127" s="602"/>
    </row>
    <row r="128" spans="2:48" s="40" customFormat="1" ht="13" x14ac:dyDescent="0.2">
      <c r="AK128" s="602"/>
      <c r="AL128" s="602"/>
      <c r="AM128" s="602"/>
      <c r="AN128" s="602"/>
      <c r="AO128" s="602"/>
      <c r="AP128" s="602"/>
      <c r="AQ128" s="602"/>
      <c r="AR128" s="602"/>
      <c r="AS128" s="602"/>
      <c r="AT128" s="729"/>
      <c r="AU128" s="729"/>
      <c r="AV128" s="602"/>
    </row>
    <row r="129" spans="2:48" ht="20" customHeight="1" x14ac:dyDescent="0.2">
      <c r="B129" s="1780" t="str">
        <f>+Energia!B137</f>
        <v>Panoramica delle sorgenti di emissione di CO2e</v>
      </c>
      <c r="C129" s="1780"/>
      <c r="D129" s="1780"/>
      <c r="E129" s="1780"/>
      <c r="F129" s="1780"/>
      <c r="G129" s="1780"/>
      <c r="H129" s="1780"/>
      <c r="I129" s="1780"/>
      <c r="J129" s="1780"/>
      <c r="K129" s="1780"/>
      <c r="L129" s="1780"/>
      <c r="M129" s="1780"/>
      <c r="N129" s="1780"/>
      <c r="O129" s="1780"/>
      <c r="AJ129" s="40"/>
      <c r="AK129" s="602"/>
      <c r="AL129" s="602"/>
      <c r="AM129" s="602"/>
      <c r="AN129" s="602"/>
      <c r="AO129" s="602"/>
      <c r="AP129" s="602"/>
      <c r="AQ129" s="602"/>
      <c r="AR129" s="602"/>
      <c r="AS129" s="602"/>
      <c r="AT129" s="602"/>
      <c r="AU129" s="602"/>
    </row>
    <row r="130" spans="2:48" s="40" customFormat="1" ht="13" x14ac:dyDescent="0.2">
      <c r="B130" s="51"/>
      <c r="C130" s="51"/>
      <c r="D130" s="51"/>
      <c r="E130" s="51"/>
      <c r="F130" s="51"/>
      <c r="G130" s="51"/>
      <c r="H130" s="51"/>
      <c r="I130" s="51"/>
      <c r="J130" s="51"/>
      <c r="K130" s="51"/>
      <c r="L130" s="51"/>
      <c r="M130" s="51"/>
      <c r="N130" s="51"/>
      <c r="O130" s="51"/>
      <c r="AK130" s="602"/>
      <c r="AL130" s="602"/>
      <c r="AM130" s="602"/>
      <c r="AN130" s="602"/>
      <c r="AO130" s="602"/>
      <c r="AP130" s="602"/>
      <c r="AQ130" s="602"/>
      <c r="AR130" s="602"/>
      <c r="AS130" s="602"/>
      <c r="AT130" s="602"/>
      <c r="AU130" s="602"/>
      <c r="AV130" s="602"/>
    </row>
    <row r="131" spans="2:48" s="40" customFormat="1" ht="13" x14ac:dyDescent="0.2">
      <c r="B131" s="1781" t="str">
        <f>Description!C25</f>
        <v>Fine vita</v>
      </c>
      <c r="C131" s="1782"/>
      <c r="D131" s="1794" t="s">
        <v>56</v>
      </c>
      <c r="E131" s="1794"/>
      <c r="F131" s="1794"/>
      <c r="G131" s="52"/>
      <c r="H131" s="1794" t="s">
        <v>723</v>
      </c>
      <c r="I131" s="1794"/>
      <c r="J131" s="228"/>
      <c r="K131" s="1792" t="s">
        <v>2489</v>
      </c>
      <c r="L131" s="1793"/>
      <c r="M131" s="228"/>
      <c r="N131" s="194" t="s">
        <v>2491</v>
      </c>
      <c r="O131" s="194" t="s">
        <v>2492</v>
      </c>
      <c r="P131" s="229"/>
      <c r="Q131" s="1812" t="s">
        <v>2493</v>
      </c>
      <c r="R131" s="1812"/>
      <c r="S131" s="1812"/>
      <c r="T131" s="1812"/>
      <c r="AK131" s="602"/>
      <c r="AL131" s="602"/>
      <c r="AM131" s="602"/>
      <c r="AN131" s="602"/>
      <c r="AO131" s="602"/>
      <c r="AP131" s="602"/>
      <c r="AQ131" s="602"/>
      <c r="AR131" s="602"/>
      <c r="AS131" s="602"/>
      <c r="AT131" s="602"/>
      <c r="AU131" s="602"/>
      <c r="AV131" s="602"/>
    </row>
    <row r="132" spans="2:48" s="40" customFormat="1" ht="13" x14ac:dyDescent="0.2">
      <c r="B132" s="1783"/>
      <c r="C132" s="1784"/>
      <c r="D132" s="346" t="s">
        <v>61</v>
      </c>
      <c r="E132" s="345" t="s">
        <v>66</v>
      </c>
      <c r="F132" s="346" t="s">
        <v>73</v>
      </c>
      <c r="G132" s="52"/>
      <c r="H132" s="346" t="s">
        <v>61</v>
      </c>
      <c r="I132" s="346" t="s">
        <v>47</v>
      </c>
      <c r="J132" s="228"/>
      <c r="K132" s="346" t="s">
        <v>2065</v>
      </c>
      <c r="L132" s="346" t="s">
        <v>2558</v>
      </c>
      <c r="M132" s="228"/>
      <c r="N132" s="230" t="s">
        <v>66</v>
      </c>
      <c r="O132" s="230" t="s">
        <v>66</v>
      </c>
      <c r="P132" s="229"/>
      <c r="Q132" s="347" t="s">
        <v>2494</v>
      </c>
      <c r="R132" s="347" t="s">
        <v>72</v>
      </c>
      <c r="S132" s="347" t="s">
        <v>72</v>
      </c>
      <c r="T132" s="347" t="s">
        <v>2495</v>
      </c>
      <c r="AK132" s="602"/>
      <c r="AL132" s="602"/>
      <c r="AM132" s="602"/>
      <c r="AN132" s="602"/>
      <c r="AO132" s="602"/>
      <c r="AP132" s="602"/>
      <c r="AQ132" s="602"/>
      <c r="AR132" s="602"/>
      <c r="AS132" s="602"/>
      <c r="AT132" s="602"/>
      <c r="AU132" s="602"/>
      <c r="AV132" s="602"/>
    </row>
    <row r="133" spans="2:48" s="4" customFormat="1" ht="13" x14ac:dyDescent="0.15">
      <c r="B133" s="1788" t="s">
        <v>3025</v>
      </c>
      <c r="C133" s="1789"/>
      <c r="D133" s="241">
        <f>D17+D27</f>
        <v>0</v>
      </c>
      <c r="E133" s="242">
        <f t="shared" ref="E133:E140" si="18">D133/1000</f>
        <v>0</v>
      </c>
      <c r="F133" s="243">
        <f>IF($D$141=0,"",D133/$D$141)</f>
        <v>0</v>
      </c>
      <c r="G133" s="51"/>
      <c r="H133" s="193">
        <f>SQRT(Z17^2+Z27^2)</f>
        <v>0</v>
      </c>
      <c r="I133" s="243" t="str">
        <f t="shared" ref="I133:I141" si="19">IF(D133=0,"",H133/D133)</f>
        <v/>
      </c>
      <c r="J133" s="229"/>
      <c r="K133" s="193">
        <f>AE17+AE27</f>
        <v>0</v>
      </c>
      <c r="L133" s="193">
        <f>AI17+AI27</f>
        <v>0</v>
      </c>
      <c r="M133" s="229"/>
      <c r="N133" s="193">
        <f t="shared" ref="N133:N140" si="20">L133/1000</f>
        <v>0</v>
      </c>
      <c r="O133" s="233">
        <f t="shared" ref="O133:O140" si="21">E133-N133</f>
        <v>0</v>
      </c>
      <c r="P133" s="229"/>
      <c r="Q133" s="245">
        <f t="shared" ref="Q133:Q141" si="22">(D133-H133)/1000</f>
        <v>0</v>
      </c>
      <c r="R133" s="245">
        <f>E133</f>
        <v>0</v>
      </c>
      <c r="S133" s="245">
        <f>E133</f>
        <v>0</v>
      </c>
      <c r="T133" s="245">
        <f t="shared" ref="T133:T141" si="23">(D133+H133)/1000</f>
        <v>0</v>
      </c>
      <c r="AK133" s="754"/>
      <c r="AL133" s="754"/>
      <c r="AM133" s="754"/>
      <c r="AN133" s="754"/>
      <c r="AO133" s="754"/>
      <c r="AP133" s="754"/>
      <c r="AQ133" s="754"/>
      <c r="AR133" s="754"/>
      <c r="AS133" s="754"/>
      <c r="AT133" s="754"/>
      <c r="AU133" s="754"/>
      <c r="AV133" s="754"/>
    </row>
    <row r="134" spans="2:48" s="4" customFormat="1" ht="13" x14ac:dyDescent="0.15">
      <c r="B134" s="1788" t="s">
        <v>2840</v>
      </c>
      <c r="C134" s="1789"/>
      <c r="D134" s="241">
        <f>D41</f>
        <v>0</v>
      </c>
      <c r="E134" s="242">
        <f t="shared" si="18"/>
        <v>0</v>
      </c>
      <c r="F134" s="243">
        <f t="shared" ref="F134:F141" si="24">IF($D$141=0,"",D134/$D$141)</f>
        <v>0</v>
      </c>
      <c r="G134" s="51"/>
      <c r="H134" s="193">
        <f>X41</f>
        <v>0</v>
      </c>
      <c r="I134" s="243" t="str">
        <f t="shared" si="19"/>
        <v/>
      </c>
      <c r="J134" s="229"/>
      <c r="K134" s="193">
        <f>AC41</f>
        <v>0</v>
      </c>
      <c r="L134" s="193">
        <f>AE41</f>
        <v>0</v>
      </c>
      <c r="M134" s="229"/>
      <c r="N134" s="193">
        <f t="shared" si="20"/>
        <v>0</v>
      </c>
      <c r="O134" s="233">
        <f t="shared" si="21"/>
        <v>0</v>
      </c>
      <c r="P134" s="229"/>
      <c r="Q134" s="245">
        <f t="shared" si="22"/>
        <v>0</v>
      </c>
      <c r="R134" s="245">
        <f>E134</f>
        <v>0</v>
      </c>
      <c r="S134" s="245">
        <f>E134</f>
        <v>0</v>
      </c>
      <c r="T134" s="245">
        <f t="shared" si="23"/>
        <v>0</v>
      </c>
      <c r="AK134" s="754"/>
      <c r="AL134" s="754"/>
      <c r="AM134" s="754"/>
      <c r="AN134" s="754"/>
      <c r="AO134" s="754"/>
      <c r="AP134" s="754"/>
      <c r="AQ134" s="754"/>
      <c r="AR134" s="754"/>
      <c r="AS134" s="754"/>
      <c r="AT134" s="754"/>
      <c r="AU134" s="754"/>
      <c r="AV134" s="754"/>
    </row>
    <row r="135" spans="2:48" s="4" customFormat="1" ht="13" x14ac:dyDescent="0.15">
      <c r="B135" s="1788" t="s">
        <v>2841</v>
      </c>
      <c r="C135" s="1789"/>
      <c r="D135" s="241">
        <f>D52</f>
        <v>0</v>
      </c>
      <c r="E135" s="242">
        <f t="shared" si="18"/>
        <v>0</v>
      </c>
      <c r="F135" s="243">
        <f t="shared" si="24"/>
        <v>0</v>
      </c>
      <c r="G135" s="51"/>
      <c r="H135" s="193">
        <f>X52</f>
        <v>0</v>
      </c>
      <c r="I135" s="243" t="str">
        <f t="shared" si="19"/>
        <v/>
      </c>
      <c r="J135" s="229"/>
      <c r="K135" s="193">
        <f>AC52</f>
        <v>0</v>
      </c>
      <c r="L135" s="193">
        <f>AE52</f>
        <v>0</v>
      </c>
      <c r="M135" s="229"/>
      <c r="N135" s="193">
        <f t="shared" si="20"/>
        <v>0</v>
      </c>
      <c r="O135" s="233">
        <f t="shared" si="21"/>
        <v>0</v>
      </c>
      <c r="P135" s="229"/>
      <c r="Q135" s="245">
        <f t="shared" si="22"/>
        <v>0</v>
      </c>
      <c r="R135" s="245">
        <f t="shared" ref="R135:R141" si="25">E135</f>
        <v>0</v>
      </c>
      <c r="S135" s="245">
        <f t="shared" ref="S135:S141" si="26">E135</f>
        <v>0</v>
      </c>
      <c r="T135" s="245">
        <f t="shared" si="23"/>
        <v>0</v>
      </c>
      <c r="AK135" s="754"/>
      <c r="AL135" s="754"/>
      <c r="AM135" s="754"/>
      <c r="AN135" s="754"/>
      <c r="AO135" s="754"/>
      <c r="AP135" s="754"/>
      <c r="AQ135" s="754"/>
      <c r="AR135" s="754"/>
      <c r="AS135" s="754"/>
      <c r="AT135" s="754"/>
      <c r="AU135" s="754"/>
      <c r="AV135" s="754"/>
    </row>
    <row r="136" spans="2:48" s="4" customFormat="1" ht="13" x14ac:dyDescent="0.15">
      <c r="B136" s="1788" t="s">
        <v>2842</v>
      </c>
      <c r="C136" s="1789"/>
      <c r="D136" s="241">
        <f>D63</f>
        <v>0</v>
      </c>
      <c r="E136" s="242">
        <f t="shared" si="18"/>
        <v>0</v>
      </c>
      <c r="F136" s="243">
        <f t="shared" si="24"/>
        <v>0</v>
      </c>
      <c r="G136" s="51"/>
      <c r="H136" s="193">
        <f>X63</f>
        <v>0</v>
      </c>
      <c r="I136" s="243" t="str">
        <f t="shared" si="19"/>
        <v/>
      </c>
      <c r="J136" s="229"/>
      <c r="K136" s="193">
        <f>AC63</f>
        <v>0</v>
      </c>
      <c r="L136" s="193">
        <f>AE63</f>
        <v>0</v>
      </c>
      <c r="M136" s="229"/>
      <c r="N136" s="193">
        <f t="shared" si="20"/>
        <v>0</v>
      </c>
      <c r="O136" s="233">
        <f t="shared" si="21"/>
        <v>0</v>
      </c>
      <c r="P136" s="229"/>
      <c r="Q136" s="245">
        <f t="shared" si="22"/>
        <v>0</v>
      </c>
      <c r="R136" s="245">
        <f t="shared" si="25"/>
        <v>0</v>
      </c>
      <c r="S136" s="245">
        <f t="shared" si="26"/>
        <v>0</v>
      </c>
      <c r="T136" s="245">
        <f t="shared" si="23"/>
        <v>0</v>
      </c>
      <c r="AK136" s="754"/>
      <c r="AL136" s="754"/>
      <c r="AM136" s="754"/>
      <c r="AN136" s="754"/>
      <c r="AO136" s="754"/>
      <c r="AP136" s="754"/>
      <c r="AQ136" s="754"/>
      <c r="AR136" s="754"/>
      <c r="AS136" s="754"/>
      <c r="AT136" s="754"/>
      <c r="AU136" s="754"/>
      <c r="AV136" s="754"/>
    </row>
    <row r="137" spans="2:48" s="4" customFormat="1" ht="13" x14ac:dyDescent="0.15">
      <c r="B137" s="1788" t="s">
        <v>3119</v>
      </c>
      <c r="C137" s="1789"/>
      <c r="D137" s="241">
        <f>D73</f>
        <v>0</v>
      </c>
      <c r="E137" s="242">
        <f t="shared" si="18"/>
        <v>0</v>
      </c>
      <c r="F137" s="243">
        <f t="shared" si="24"/>
        <v>0</v>
      </c>
      <c r="G137" s="51"/>
      <c r="H137" s="193">
        <f>X73</f>
        <v>0</v>
      </c>
      <c r="I137" s="243" t="str">
        <f t="shared" si="19"/>
        <v/>
      </c>
      <c r="J137" s="229"/>
      <c r="K137" s="193">
        <f>AC73</f>
        <v>0</v>
      </c>
      <c r="L137" s="193">
        <f>AE73</f>
        <v>0</v>
      </c>
      <c r="M137" s="229"/>
      <c r="N137" s="193">
        <f t="shared" si="20"/>
        <v>0</v>
      </c>
      <c r="O137" s="233">
        <f t="shared" si="21"/>
        <v>0</v>
      </c>
      <c r="P137" s="229"/>
      <c r="Q137" s="245">
        <f t="shared" si="22"/>
        <v>0</v>
      </c>
      <c r="R137" s="245">
        <f t="shared" si="25"/>
        <v>0</v>
      </c>
      <c r="S137" s="245">
        <f t="shared" si="26"/>
        <v>0</v>
      </c>
      <c r="T137" s="245">
        <f t="shared" si="23"/>
        <v>0</v>
      </c>
      <c r="AK137" s="754"/>
      <c r="AL137" s="754"/>
      <c r="AM137" s="754"/>
      <c r="AN137" s="754"/>
      <c r="AO137" s="754"/>
      <c r="AP137" s="754"/>
      <c r="AQ137" s="754"/>
      <c r="AR137" s="754"/>
      <c r="AS137" s="754"/>
      <c r="AT137" s="754"/>
      <c r="AU137" s="754"/>
      <c r="AV137" s="754"/>
    </row>
    <row r="138" spans="2:48" s="4" customFormat="1" ht="13" x14ac:dyDescent="0.15">
      <c r="B138" s="1788" t="s">
        <v>3120</v>
      </c>
      <c r="C138" s="1789"/>
      <c r="D138" s="241">
        <f>D83</f>
        <v>143</v>
      </c>
      <c r="E138" s="242">
        <f t="shared" si="18"/>
        <v>0.14299999999999999</v>
      </c>
      <c r="F138" s="243">
        <f t="shared" si="24"/>
        <v>1</v>
      </c>
      <c r="G138" s="51"/>
      <c r="H138" s="193">
        <f>X83</f>
        <v>71.5</v>
      </c>
      <c r="I138" s="243">
        <f t="shared" si="19"/>
        <v>0.5</v>
      </c>
      <c r="J138" s="229"/>
      <c r="K138" s="193">
        <f>AC83</f>
        <v>0</v>
      </c>
      <c r="L138" s="193">
        <f>AE83</f>
        <v>0</v>
      </c>
      <c r="M138" s="229"/>
      <c r="N138" s="193">
        <f>L138/1000</f>
        <v>0</v>
      </c>
      <c r="O138" s="233">
        <f>E138-N138</f>
        <v>0.14299999999999999</v>
      </c>
      <c r="P138" s="229"/>
      <c r="Q138" s="245">
        <f>(D138-H138)/1000</f>
        <v>7.1499999999999994E-2</v>
      </c>
      <c r="R138" s="245">
        <f>E138</f>
        <v>0.14299999999999999</v>
      </c>
      <c r="S138" s="245">
        <f>E138</f>
        <v>0.14299999999999999</v>
      </c>
      <c r="T138" s="245">
        <f>(D138+H138)/1000</f>
        <v>0.2145</v>
      </c>
      <c r="AK138" s="754"/>
      <c r="AL138" s="754"/>
      <c r="AM138" s="754"/>
      <c r="AN138" s="754"/>
      <c r="AO138" s="754"/>
      <c r="AP138" s="754"/>
      <c r="AQ138" s="754"/>
      <c r="AR138" s="754"/>
      <c r="AS138" s="754"/>
      <c r="AT138" s="754"/>
      <c r="AU138" s="754"/>
      <c r="AV138" s="754"/>
    </row>
    <row r="139" spans="2:48" s="4" customFormat="1" ht="13" x14ac:dyDescent="0.15">
      <c r="B139" s="1788" t="s">
        <v>3121</v>
      </c>
      <c r="C139" s="1789"/>
      <c r="D139" s="241">
        <f>D101+D111</f>
        <v>0</v>
      </c>
      <c r="E139" s="242">
        <f t="shared" si="18"/>
        <v>0</v>
      </c>
      <c r="F139" s="243">
        <f t="shared" si="24"/>
        <v>0</v>
      </c>
      <c r="G139" s="51"/>
      <c r="H139" s="193">
        <f>SQRT(X101^2+X111^2)</f>
        <v>0</v>
      </c>
      <c r="I139" s="243" t="str">
        <f t="shared" si="19"/>
        <v/>
      </c>
      <c r="J139" s="229"/>
      <c r="K139" s="193">
        <f>AC101+AC111</f>
        <v>0</v>
      </c>
      <c r="L139" s="193">
        <f>AE101+AE111</f>
        <v>0</v>
      </c>
      <c r="M139" s="229"/>
      <c r="N139" s="193">
        <f t="shared" si="20"/>
        <v>0</v>
      </c>
      <c r="O139" s="233">
        <f t="shared" si="21"/>
        <v>0</v>
      </c>
      <c r="P139" s="229"/>
      <c r="Q139" s="245">
        <f t="shared" si="22"/>
        <v>0</v>
      </c>
      <c r="R139" s="245">
        <f t="shared" si="25"/>
        <v>0</v>
      </c>
      <c r="S139" s="245">
        <f t="shared" si="26"/>
        <v>0</v>
      </c>
      <c r="T139" s="245">
        <f t="shared" si="23"/>
        <v>0</v>
      </c>
      <c r="AK139" s="754"/>
      <c r="AL139" s="754"/>
      <c r="AM139" s="754"/>
      <c r="AN139" s="754"/>
      <c r="AO139" s="754"/>
      <c r="AP139" s="754"/>
      <c r="AQ139" s="754"/>
      <c r="AR139" s="754"/>
      <c r="AS139" s="754"/>
      <c r="AT139" s="754"/>
      <c r="AU139" s="754"/>
      <c r="AV139" s="754"/>
    </row>
    <row r="140" spans="2:48" s="4" customFormat="1" ht="13" x14ac:dyDescent="0.15">
      <c r="B140" s="1788" t="s">
        <v>2946</v>
      </c>
      <c r="C140" s="1789"/>
      <c r="D140" s="241">
        <f>D124</f>
        <v>0</v>
      </c>
      <c r="E140" s="242">
        <f t="shared" si="18"/>
        <v>0</v>
      </c>
      <c r="F140" s="243">
        <f t="shared" si="24"/>
        <v>0</v>
      </c>
      <c r="G140" s="51"/>
      <c r="H140" s="193">
        <f>X124</f>
        <v>0</v>
      </c>
      <c r="I140" s="243" t="str">
        <f t="shared" si="19"/>
        <v/>
      </c>
      <c r="J140" s="229"/>
      <c r="K140" s="193">
        <f>AC124</f>
        <v>0</v>
      </c>
      <c r="L140" s="193">
        <f>AE124</f>
        <v>0</v>
      </c>
      <c r="M140" s="229"/>
      <c r="N140" s="193">
        <f t="shared" si="20"/>
        <v>0</v>
      </c>
      <c r="O140" s="233">
        <f t="shared" si="21"/>
        <v>0</v>
      </c>
      <c r="P140" s="229"/>
      <c r="Q140" s="245">
        <f t="shared" si="22"/>
        <v>0</v>
      </c>
      <c r="R140" s="245">
        <f t="shared" si="25"/>
        <v>0</v>
      </c>
      <c r="S140" s="245">
        <f t="shared" si="26"/>
        <v>0</v>
      </c>
      <c r="T140" s="245">
        <f t="shared" si="23"/>
        <v>0</v>
      </c>
      <c r="AK140" s="754"/>
      <c r="AL140" s="754"/>
      <c r="AM140" s="754"/>
      <c r="AN140" s="754"/>
      <c r="AO140" s="754"/>
      <c r="AP140" s="754"/>
      <c r="AQ140" s="754"/>
      <c r="AR140" s="754"/>
      <c r="AS140" s="754"/>
      <c r="AT140" s="754"/>
      <c r="AU140" s="754"/>
      <c r="AV140" s="754"/>
    </row>
    <row r="141" spans="2:48" s="14" customFormat="1" ht="16" x14ac:dyDescent="0.2">
      <c r="B141" s="1790" t="s">
        <v>44</v>
      </c>
      <c r="C141" s="1791"/>
      <c r="D141" s="246">
        <f>SUM(D133:D140)</f>
        <v>143</v>
      </c>
      <c r="E141" s="247">
        <f>SUM(E133:E140)</f>
        <v>0.14299999999999999</v>
      </c>
      <c r="F141" s="248">
        <f t="shared" si="24"/>
        <v>1</v>
      </c>
      <c r="G141" s="249"/>
      <c r="H141" s="246">
        <f>SQRT(SUMSQ(H133:H140))</f>
        <v>71.5</v>
      </c>
      <c r="I141" s="248">
        <f t="shared" si="19"/>
        <v>0.5</v>
      </c>
      <c r="J141" s="229"/>
      <c r="K141" s="246">
        <f>SUM(K133:K140)</f>
        <v>0</v>
      </c>
      <c r="L141" s="246">
        <f>SUM(L133:L140)</f>
        <v>0</v>
      </c>
      <c r="M141" s="250"/>
      <c r="N141" s="246">
        <f>SUM(N133:N140)</f>
        <v>0</v>
      </c>
      <c r="O141" s="251">
        <f>SUM(O133:O140)</f>
        <v>0.14299999999999999</v>
      </c>
      <c r="P141" s="252"/>
      <c r="Q141" s="245">
        <f t="shared" si="22"/>
        <v>7.1499999999999994E-2</v>
      </c>
      <c r="R141" s="245">
        <f t="shared" si="25"/>
        <v>0.14299999999999999</v>
      </c>
      <c r="S141" s="245">
        <f t="shared" si="26"/>
        <v>0.14299999999999999</v>
      </c>
      <c r="T141" s="245">
        <f t="shared" si="23"/>
        <v>0.2145</v>
      </c>
      <c r="AK141" s="776"/>
      <c r="AL141" s="776"/>
      <c r="AM141" s="776"/>
      <c r="AN141" s="776"/>
      <c r="AO141" s="776"/>
      <c r="AP141" s="776"/>
      <c r="AQ141" s="776"/>
      <c r="AR141" s="776"/>
      <c r="AS141" s="776"/>
      <c r="AT141" s="776"/>
      <c r="AU141" s="776"/>
      <c r="AV141" s="776"/>
    </row>
    <row r="142" spans="2:48" s="4" customFormat="1" ht="13" x14ac:dyDescent="0.15">
      <c r="B142" s="192"/>
      <c r="C142" s="192"/>
      <c r="D142" s="192"/>
      <c r="E142" s="192"/>
      <c r="F142" s="192"/>
      <c r="G142" s="192"/>
      <c r="H142" s="231"/>
      <c r="I142" s="231"/>
      <c r="J142" s="287" t="s">
        <v>2496</v>
      </c>
      <c r="K142" s="288">
        <f>IF($D141=0,"",K141/$D141)</f>
        <v>0</v>
      </c>
      <c r="L142" s="288">
        <f>IF($D141=0,"",L141/$D141)</f>
        <v>0</v>
      </c>
      <c r="M142" s="231"/>
      <c r="N142" s="231"/>
      <c r="O142" s="231"/>
      <c r="P142" s="232"/>
      <c r="Q142" s="232"/>
      <c r="R142" s="232"/>
      <c r="S142" s="232"/>
      <c r="T142" s="232"/>
      <c r="AK142" s="754"/>
      <c r="AL142" s="754"/>
      <c r="AM142" s="754"/>
      <c r="AN142" s="754"/>
      <c r="AO142" s="754"/>
      <c r="AP142" s="754"/>
      <c r="AQ142" s="754"/>
      <c r="AR142" s="754"/>
      <c r="AS142" s="754"/>
      <c r="AT142" s="754"/>
      <c r="AU142" s="754"/>
      <c r="AV142" s="754"/>
    </row>
    <row r="143" spans="2:48" s="40" customFormat="1" ht="13" x14ac:dyDescent="0.2">
      <c r="B143" s="322"/>
      <c r="C143" s="322"/>
      <c r="D143" s="293"/>
      <c r="E143" s="293"/>
      <c r="F143" s="293"/>
      <c r="H143" s="39"/>
      <c r="I143" s="39"/>
      <c r="M143" s="293"/>
      <c r="N143" s="293"/>
      <c r="O143" s="293"/>
      <c r="AK143" s="602"/>
      <c r="AL143" s="602"/>
      <c r="AM143" s="602"/>
      <c r="AN143" s="602"/>
      <c r="AO143" s="602"/>
      <c r="AP143" s="602"/>
      <c r="AQ143" s="602"/>
      <c r="AR143" s="602"/>
      <c r="AS143" s="602"/>
      <c r="AT143" s="602"/>
      <c r="AU143" s="602"/>
      <c r="AV143" s="602"/>
    </row>
    <row r="144" spans="2:48" s="40" customFormat="1" ht="14" x14ac:dyDescent="0.2">
      <c r="B144" s="1816" t="s">
        <v>2961</v>
      </c>
      <c r="C144" s="1817"/>
      <c r="D144" s="595" t="s">
        <v>61</v>
      </c>
      <c r="E144" s="595" t="s">
        <v>66</v>
      </c>
      <c r="G144" s="39"/>
      <c r="H144" s="39"/>
      <c r="I144" s="293"/>
      <c r="J144" s="293"/>
      <c r="K144" s="293"/>
      <c r="L144" s="293"/>
      <c r="M144" s="293"/>
      <c r="N144" s="293"/>
      <c r="AK144" s="602"/>
      <c r="AL144" s="602"/>
      <c r="AM144" s="602"/>
      <c r="AN144" s="602"/>
      <c r="AO144" s="602"/>
      <c r="AP144" s="602"/>
      <c r="AQ144" s="602"/>
      <c r="AR144" s="602"/>
      <c r="AS144" s="602"/>
      <c r="AT144" s="602"/>
      <c r="AU144" s="602"/>
      <c r="AV144" s="602"/>
    </row>
    <row r="145" spans="2:51" s="40" customFormat="1" ht="13" x14ac:dyDescent="0.2">
      <c r="B145" s="1818" t="s">
        <v>3122</v>
      </c>
      <c r="C145" s="1819"/>
      <c r="D145" s="596">
        <f>L41</f>
        <v>0</v>
      </c>
      <c r="E145" s="597">
        <f>D145/1000</f>
        <v>0</v>
      </c>
      <c r="F145" s="293"/>
      <c r="G145" s="39"/>
      <c r="H145" s="39"/>
      <c r="I145" s="293"/>
      <c r="J145" s="293"/>
      <c r="K145" s="293"/>
      <c r="L145" s="293"/>
      <c r="M145" s="293"/>
      <c r="N145" s="293"/>
      <c r="AK145" s="602"/>
      <c r="AL145" s="602"/>
      <c r="AM145" s="602"/>
      <c r="AN145" s="602"/>
      <c r="AO145" s="602"/>
      <c r="AP145" s="602"/>
      <c r="AQ145" s="602"/>
      <c r="AR145" s="602"/>
      <c r="AS145" s="602"/>
      <c r="AT145" s="602"/>
      <c r="AU145" s="602"/>
      <c r="AV145" s="602"/>
    </row>
    <row r="146" spans="2:51" s="40" customFormat="1" ht="13" x14ac:dyDescent="0.2">
      <c r="B146" s="1818" t="s">
        <v>3123</v>
      </c>
      <c r="C146" s="1819"/>
      <c r="D146" s="596">
        <f>L52</f>
        <v>0</v>
      </c>
      <c r="E146" s="597">
        <f>D146/1000</f>
        <v>0</v>
      </c>
      <c r="F146" s="293"/>
      <c r="G146" s="39"/>
      <c r="H146" s="39"/>
      <c r="I146" s="293"/>
      <c r="J146" s="293"/>
      <c r="K146" s="293"/>
      <c r="L146" s="293"/>
      <c r="M146" s="293"/>
      <c r="N146" s="293"/>
      <c r="AK146" s="602"/>
      <c r="AL146" s="602"/>
      <c r="AM146" s="602"/>
      <c r="AN146" s="729"/>
      <c r="AO146" s="729"/>
      <c r="AP146" s="729"/>
      <c r="AQ146" s="729"/>
      <c r="AR146" s="729"/>
      <c r="AS146" s="602"/>
      <c r="AT146" s="602"/>
      <c r="AU146" s="602"/>
      <c r="AV146" s="602"/>
    </row>
    <row r="147" spans="2:51" s="40" customFormat="1" ht="13" x14ac:dyDescent="0.2">
      <c r="B147" s="1818" t="s">
        <v>3124</v>
      </c>
      <c r="C147" s="1819"/>
      <c r="D147" s="596">
        <f>L63</f>
        <v>0</v>
      </c>
      <c r="E147" s="597">
        <f>D147/1000</f>
        <v>0</v>
      </c>
      <c r="F147" s="293"/>
      <c r="G147" s="39"/>
      <c r="H147" s="39"/>
      <c r="I147" s="293"/>
      <c r="J147" s="293"/>
      <c r="K147" s="293"/>
      <c r="L147" s="293"/>
      <c r="M147" s="293"/>
      <c r="N147" s="293"/>
      <c r="AI147" s="39"/>
      <c r="AJ147" s="39"/>
      <c r="AK147" s="729"/>
      <c r="AL147" s="729"/>
      <c r="AM147" s="729"/>
      <c r="AN147" s="729"/>
      <c r="AO147" s="729"/>
      <c r="AP147" s="729"/>
      <c r="AQ147" s="729"/>
      <c r="AR147" s="729"/>
      <c r="AS147" s="602"/>
      <c r="AT147" s="602"/>
      <c r="AU147" s="602"/>
      <c r="AV147" s="602"/>
    </row>
    <row r="148" spans="2:51" s="40" customFormat="1" ht="13" x14ac:dyDescent="0.2">
      <c r="B148" s="1818" t="s">
        <v>3125</v>
      </c>
      <c r="C148" s="1819"/>
      <c r="D148" s="596">
        <f>L73</f>
        <v>0</v>
      </c>
      <c r="E148" s="597">
        <f>D148/1000</f>
        <v>0</v>
      </c>
      <c r="F148" s="293"/>
      <c r="G148" s="39"/>
      <c r="H148" s="39"/>
      <c r="I148" s="293"/>
      <c r="J148" s="293"/>
      <c r="K148" s="293"/>
      <c r="L148" s="293"/>
      <c r="M148" s="293"/>
      <c r="N148" s="293"/>
      <c r="AI148" s="39"/>
      <c r="AJ148" s="39"/>
      <c r="AK148" s="729"/>
      <c r="AL148" s="729"/>
      <c r="AM148" s="729"/>
      <c r="AN148" s="729"/>
      <c r="AO148" s="729"/>
      <c r="AP148" s="729"/>
      <c r="AQ148" s="729"/>
      <c r="AR148" s="729"/>
      <c r="AS148" s="602"/>
      <c r="AT148" s="602"/>
      <c r="AU148" s="602"/>
      <c r="AV148" s="602"/>
    </row>
    <row r="149" spans="2:51" s="40" customFormat="1" ht="13" x14ac:dyDescent="0.2">
      <c r="B149" s="1818" t="s">
        <v>3126</v>
      </c>
      <c r="C149" s="1819"/>
      <c r="D149" s="596">
        <f>L83</f>
        <v>-265.10000000000002</v>
      </c>
      <c r="E149" s="597">
        <f>D149/1000</f>
        <v>-0.2651</v>
      </c>
      <c r="F149" s="293"/>
      <c r="G149" s="39"/>
      <c r="H149" s="39"/>
      <c r="I149" s="293"/>
      <c r="J149" s="293"/>
      <c r="K149" s="293"/>
      <c r="L149" s="293"/>
      <c r="M149" s="293"/>
      <c r="N149" s="293"/>
      <c r="AI149" s="39"/>
      <c r="AJ149" s="39"/>
      <c r="AK149" s="729"/>
      <c r="AL149" s="729"/>
      <c r="AM149" s="729"/>
      <c r="AN149" s="729"/>
      <c r="AO149" s="729"/>
      <c r="AP149" s="729"/>
      <c r="AQ149" s="729"/>
      <c r="AR149" s="729"/>
      <c r="AS149" s="729"/>
      <c r="AT149" s="729"/>
      <c r="AU149" s="602"/>
      <c r="AV149" s="602"/>
    </row>
    <row r="150" spans="2:51" ht="15" customHeight="1" x14ac:dyDescent="0.2">
      <c r="B150" s="1826" t="s">
        <v>44</v>
      </c>
      <c r="C150" s="1827"/>
      <c r="D150" s="598">
        <f>SUM(D145:D149)</f>
        <v>-265.10000000000002</v>
      </c>
      <c r="E150" s="598">
        <f>SUM(E145:E149)</f>
        <v>-0.2651</v>
      </c>
      <c r="F150" s="192"/>
      <c r="G150" s="192"/>
      <c r="H150" s="192"/>
      <c r="L150" s="165"/>
      <c r="M150" s="165"/>
      <c r="N150" s="165"/>
    </row>
    <row r="151" spans="2:51" ht="13" customHeight="1" x14ac:dyDescent="0.2">
      <c r="B151" s="165"/>
      <c r="C151" s="165"/>
      <c r="D151" s="165"/>
      <c r="E151" s="165"/>
      <c r="F151" s="165"/>
      <c r="G151" s="192"/>
      <c r="H151" s="165"/>
      <c r="I151" s="165"/>
      <c r="J151" s="165"/>
      <c r="K151" s="165"/>
      <c r="L151" s="165"/>
      <c r="M151" s="165"/>
      <c r="N151" s="165"/>
      <c r="O151" s="165"/>
    </row>
    <row r="152" spans="2:51" ht="13" x14ac:dyDescent="0.2">
      <c r="AJ152" s="40"/>
      <c r="AK152" s="602"/>
      <c r="AL152" s="602"/>
      <c r="AM152" s="602"/>
      <c r="AN152" s="602"/>
      <c r="AO152" s="602"/>
      <c r="AP152" s="602"/>
      <c r="AQ152" s="602"/>
      <c r="AR152" s="602"/>
      <c r="AS152" s="602"/>
      <c r="AT152" s="752"/>
      <c r="AU152" s="752"/>
    </row>
    <row r="153" spans="2:51" ht="16" x14ac:dyDescent="0.2">
      <c r="B153" s="1774" t="str">
        <f>+Energia!B150</f>
        <v>Panoramica delle categorie definite nel  GHG Protocol</v>
      </c>
      <c r="C153" s="1775"/>
      <c r="D153" s="1775"/>
      <c r="E153" s="1775"/>
      <c r="F153" s="1775"/>
      <c r="G153" s="1775"/>
      <c r="H153" s="1775"/>
      <c r="I153" s="1775"/>
      <c r="J153" s="1775"/>
      <c r="K153" s="1775"/>
      <c r="L153" s="1775"/>
      <c r="M153" s="1775"/>
      <c r="N153" s="1775"/>
      <c r="O153" s="1776"/>
      <c r="W153" s="1162"/>
      <c r="AB153" s="1162"/>
      <c r="AF153" s="1162"/>
    </row>
    <row r="154" spans="2:51" ht="12" customHeight="1" outlineLevel="1" x14ac:dyDescent="0.2">
      <c r="W154" s="1162"/>
      <c r="AB154" s="1162"/>
      <c r="AF154" s="1162"/>
    </row>
    <row r="155" spans="2:51" ht="38.25" customHeight="1" outlineLevel="1" x14ac:dyDescent="0.2">
      <c r="B155" s="118"/>
      <c r="C155" s="118"/>
      <c r="D155" s="118"/>
      <c r="E155" s="1777" t="s">
        <v>2498</v>
      </c>
      <c r="F155" s="1779"/>
      <c r="G155" s="1779"/>
      <c r="H155" s="1779"/>
      <c r="I155" s="1779"/>
      <c r="J155" s="1779"/>
      <c r="K155" s="1779"/>
      <c r="L155" s="1779"/>
      <c r="M155" s="1779"/>
      <c r="N155" s="1778"/>
      <c r="O155" s="1249" t="s">
        <v>2517</v>
      </c>
      <c r="W155" s="1162"/>
      <c r="AB155" s="1162"/>
      <c r="AF155" s="1162"/>
    </row>
    <row r="156" spans="2:51" ht="25.5" customHeight="1" outlineLevel="1" x14ac:dyDescent="0.2">
      <c r="B156" s="1777" t="str">
        <f>+Energia!B153</f>
        <v>Sorgenti di emissione</v>
      </c>
      <c r="C156" s="1778"/>
      <c r="D156" s="1251" t="s">
        <v>2500</v>
      </c>
      <c r="E156" s="1250" t="s">
        <v>666</v>
      </c>
      <c r="F156" s="1250" t="s">
        <v>667</v>
      </c>
      <c r="G156" s="1250" t="s">
        <v>668</v>
      </c>
      <c r="H156" s="1250" t="s">
        <v>670</v>
      </c>
      <c r="I156" s="1250" t="s">
        <v>671</v>
      </c>
      <c r="J156" s="1250" t="s">
        <v>672</v>
      </c>
      <c r="K156" s="1250" t="s">
        <v>2584</v>
      </c>
      <c r="L156" s="1251" t="s">
        <v>69</v>
      </c>
      <c r="M156" s="1250" t="s">
        <v>669</v>
      </c>
      <c r="N156" s="1250" t="s">
        <v>2586</v>
      </c>
      <c r="O156" s="1251" t="s">
        <v>69</v>
      </c>
      <c r="Z156" s="1162"/>
      <c r="AE156" s="1162"/>
      <c r="AI156" s="1162"/>
      <c r="AK156" s="39"/>
      <c r="AL156" s="39"/>
      <c r="AM156" s="39"/>
      <c r="AW156" s="729"/>
      <c r="AX156" s="729"/>
      <c r="AY156" s="729"/>
    </row>
    <row r="157" spans="2:51" ht="12.75" customHeight="1" outlineLevel="1" x14ac:dyDescent="0.2">
      <c r="B157" s="1749" t="str">
        <f>+Energia!B154</f>
        <v xml:space="preserve">Emissioni dirette da sorgenti di combustione stazionarie </v>
      </c>
      <c r="C157" s="1749"/>
      <c r="D157" s="1245" t="s">
        <v>99</v>
      </c>
      <c r="E157" s="1239"/>
      <c r="F157" s="1239"/>
      <c r="G157" s="1239"/>
      <c r="H157" s="1239"/>
      <c r="I157" s="1239"/>
      <c r="J157" s="1239"/>
      <c r="K157" s="1239"/>
      <c r="L157" s="1248"/>
      <c r="M157" s="1237"/>
      <c r="N157" s="1242"/>
      <c r="O157" s="1241"/>
      <c r="Z157" s="1162"/>
      <c r="AE157" s="1162"/>
      <c r="AI157" s="1162"/>
      <c r="AK157" s="39"/>
      <c r="AL157" s="39"/>
      <c r="AM157" s="39"/>
      <c r="AW157" s="729"/>
      <c r="AX157" s="729"/>
      <c r="AY157" s="729"/>
    </row>
    <row r="158" spans="2:51" ht="12.75" customHeight="1" outlineLevel="1" x14ac:dyDescent="0.2">
      <c r="B158" s="1749" t="str">
        <f>+Energia!B155</f>
        <v>Emissioni dirette da sorgenti di combustione mobili</v>
      </c>
      <c r="C158" s="1749"/>
      <c r="D158" s="1246" t="s">
        <v>100</v>
      </c>
      <c r="E158" s="1239"/>
      <c r="F158" s="1239"/>
      <c r="G158" s="1239"/>
      <c r="H158" s="1239"/>
      <c r="I158" s="1239"/>
      <c r="J158" s="1239"/>
      <c r="K158" s="1239"/>
      <c r="L158" s="1248"/>
      <c r="M158" s="1237"/>
      <c r="N158" s="1242"/>
      <c r="O158" s="1241"/>
      <c r="Z158" s="1162"/>
      <c r="AE158" s="1162"/>
      <c r="AI158" s="1162"/>
      <c r="AK158" s="39"/>
      <c r="AL158" s="39"/>
      <c r="AM158" s="39"/>
      <c r="AW158" s="729"/>
      <c r="AX158" s="729"/>
      <c r="AY158" s="729"/>
    </row>
    <row r="159" spans="2:51" ht="12.75" customHeight="1" outlineLevel="1" x14ac:dyDescent="0.2">
      <c r="B159" s="1749" t="str">
        <f>+Energia!B156</f>
        <v>Emissioni dirette da  processi</v>
      </c>
      <c r="C159" s="1749"/>
      <c r="D159" s="1246" t="s">
        <v>101</v>
      </c>
      <c r="E159" s="1239"/>
      <c r="F159" s="1239"/>
      <c r="G159" s="1239"/>
      <c r="H159" s="1239"/>
      <c r="I159" s="1239"/>
      <c r="J159" s="1239"/>
      <c r="K159" s="1239"/>
      <c r="L159" s="1248"/>
      <c r="M159" s="1237"/>
      <c r="N159" s="1242"/>
      <c r="O159" s="1241"/>
      <c r="Z159" s="1162"/>
      <c r="AE159" s="1162"/>
      <c r="AI159" s="1162"/>
      <c r="AK159" s="39"/>
      <c r="AL159" s="39"/>
      <c r="AM159" s="39"/>
      <c r="AW159" s="729"/>
      <c r="AX159" s="729"/>
      <c r="AY159" s="729"/>
    </row>
    <row r="160" spans="2:51" ht="12.75" customHeight="1" outlineLevel="1" x14ac:dyDescent="0.2">
      <c r="B160" s="1749" t="str">
        <f>+Energia!B157</f>
        <v>Emissioni dirette da  fonti fugitive</v>
      </c>
      <c r="C160" s="1749"/>
      <c r="D160" s="1246" t="s">
        <v>102</v>
      </c>
      <c r="E160" s="1239"/>
      <c r="F160" s="1239"/>
      <c r="G160" s="1239"/>
      <c r="H160" s="1239"/>
      <c r="I160" s="1239"/>
      <c r="J160" s="1239"/>
      <c r="K160" s="1239"/>
      <c r="L160" s="1248"/>
      <c r="M160" s="1237"/>
      <c r="N160" s="1242"/>
      <c r="O160" s="1241"/>
      <c r="Z160" s="1162"/>
      <c r="AE160" s="1162"/>
      <c r="AI160" s="1162"/>
      <c r="AK160" s="39"/>
      <c r="AL160" s="39"/>
      <c r="AM160" s="39"/>
      <c r="AW160" s="729"/>
      <c r="AX160" s="729"/>
      <c r="AY160" s="729"/>
    </row>
    <row r="161" spans="2:51" ht="12.75" customHeight="1" outlineLevel="1" x14ac:dyDescent="0.2">
      <c r="B161" s="1766" t="s">
        <v>98</v>
      </c>
      <c r="C161" s="1767"/>
      <c r="D161" s="1768"/>
      <c r="E161" s="1236">
        <f t="shared" ref="E161:O161" si="27">SUM(E157:E160)</f>
        <v>0</v>
      </c>
      <c r="F161" s="1236">
        <f t="shared" si="27"/>
        <v>0</v>
      </c>
      <c r="G161" s="1236">
        <f t="shared" si="27"/>
        <v>0</v>
      </c>
      <c r="H161" s="1236">
        <f t="shared" si="27"/>
        <v>0</v>
      </c>
      <c r="I161" s="1236">
        <f t="shared" si="27"/>
        <v>0</v>
      </c>
      <c r="J161" s="1236">
        <f t="shared" si="27"/>
        <v>0</v>
      </c>
      <c r="K161" s="1236">
        <f t="shared" si="27"/>
        <v>0</v>
      </c>
      <c r="L161" s="1236">
        <f t="shared" si="27"/>
        <v>0</v>
      </c>
      <c r="M161" s="1247">
        <f t="shared" si="27"/>
        <v>0</v>
      </c>
      <c r="N161" s="1243">
        <f>SQRT(SUMSQ(N157:N160))</f>
        <v>0</v>
      </c>
      <c r="O161" s="1244">
        <f t="shared" si="27"/>
        <v>0</v>
      </c>
      <c r="Z161" s="1162"/>
      <c r="AE161" s="1162"/>
      <c r="AI161" s="1162"/>
      <c r="AK161" s="39"/>
      <c r="AL161" s="39"/>
      <c r="AM161" s="39"/>
      <c r="AW161" s="729"/>
      <c r="AX161" s="729"/>
      <c r="AY161" s="729"/>
    </row>
    <row r="162" spans="2:51" ht="12.75" customHeight="1" outlineLevel="1" x14ac:dyDescent="0.2">
      <c r="B162" s="1749" t="str">
        <f>+Energia!B159</f>
        <v xml:space="preserve">Emissioni indirette da consumo di elettricità </v>
      </c>
      <c r="C162" s="1749"/>
      <c r="D162" s="1246" t="s">
        <v>103</v>
      </c>
      <c r="E162" s="1239"/>
      <c r="F162" s="1239"/>
      <c r="G162" s="1239"/>
      <c r="H162" s="1239"/>
      <c r="I162" s="1239"/>
      <c r="J162" s="1239"/>
      <c r="K162" s="1239"/>
      <c r="L162" s="1248"/>
      <c r="M162" s="1237"/>
      <c r="N162" s="1242"/>
      <c r="O162" s="1240"/>
      <c r="Z162" s="1162"/>
      <c r="AE162" s="1162"/>
      <c r="AI162" s="1162"/>
      <c r="AK162" s="39"/>
      <c r="AL162" s="39"/>
      <c r="AM162" s="39"/>
      <c r="AW162" s="729"/>
      <c r="AX162" s="729"/>
      <c r="AY162" s="729"/>
    </row>
    <row r="163" spans="2:51" ht="12.75" customHeight="1" outlineLevel="1" x14ac:dyDescent="0.2">
      <c r="B163" s="1749" t="str">
        <f>+Energia!B160</f>
        <v xml:space="preserve">Emissioni indirette da consumo di vapore, calore o raffrescamento </v>
      </c>
      <c r="C163" s="1749"/>
      <c r="D163" s="1246" t="s">
        <v>104</v>
      </c>
      <c r="E163" s="1239"/>
      <c r="F163" s="1239"/>
      <c r="G163" s="1239"/>
      <c r="H163" s="1239"/>
      <c r="I163" s="1239"/>
      <c r="J163" s="1239"/>
      <c r="K163" s="1239"/>
      <c r="L163" s="1248"/>
      <c r="M163" s="1237"/>
      <c r="N163" s="1242"/>
      <c r="O163" s="1240"/>
      <c r="Z163" s="1162"/>
      <c r="AE163" s="1162"/>
      <c r="AI163" s="1162"/>
      <c r="AK163" s="39"/>
      <c r="AL163" s="39"/>
      <c r="AM163" s="39"/>
      <c r="AW163" s="729"/>
      <c r="AX163" s="729"/>
      <c r="AY163" s="729"/>
    </row>
    <row r="164" spans="2:51" ht="12.75" customHeight="1" outlineLevel="1" x14ac:dyDescent="0.2">
      <c r="B164" s="1766" t="s">
        <v>97</v>
      </c>
      <c r="C164" s="1767"/>
      <c r="D164" s="1768"/>
      <c r="E164" s="1236">
        <f t="shared" ref="E164:L164" si="28">SUM(E162:E163)</f>
        <v>0</v>
      </c>
      <c r="F164" s="1236">
        <f t="shared" si="28"/>
        <v>0</v>
      </c>
      <c r="G164" s="1236">
        <f t="shared" si="28"/>
        <v>0</v>
      </c>
      <c r="H164" s="1236">
        <f t="shared" si="28"/>
        <v>0</v>
      </c>
      <c r="I164" s="1236">
        <f t="shared" si="28"/>
        <v>0</v>
      </c>
      <c r="J164" s="1236">
        <f t="shared" si="28"/>
        <v>0</v>
      </c>
      <c r="K164" s="1236">
        <f t="shared" si="28"/>
        <v>0</v>
      </c>
      <c r="L164" s="1236">
        <f t="shared" si="28"/>
        <v>0</v>
      </c>
      <c r="M164" s="1247">
        <f>SUM(M162:M163)</f>
        <v>0</v>
      </c>
      <c r="N164" s="1243">
        <f>SQRT(SUMSQ(N162:N163))</f>
        <v>0</v>
      </c>
      <c r="O164" s="1244">
        <f>SUM(O162:O163)</f>
        <v>0</v>
      </c>
      <c r="Z164" s="1162"/>
      <c r="AE164" s="1162"/>
      <c r="AI164" s="1162"/>
      <c r="AK164" s="39"/>
      <c r="AL164" s="39"/>
      <c r="AM164" s="39"/>
      <c r="AW164" s="729"/>
      <c r="AX164" s="729"/>
      <c r="AY164" s="729"/>
    </row>
    <row r="165" spans="2:51" ht="12.75" customHeight="1" outlineLevel="1" x14ac:dyDescent="0.2">
      <c r="B165" s="1771" t="s">
        <v>2527</v>
      </c>
      <c r="C165" s="1772"/>
      <c r="D165" s="1772"/>
      <c r="E165" s="1772"/>
      <c r="F165" s="1772"/>
      <c r="G165" s="1772"/>
      <c r="H165" s="1772"/>
      <c r="I165" s="1772"/>
      <c r="J165" s="1772"/>
      <c r="K165" s="1772"/>
      <c r="L165" s="1772"/>
      <c r="M165" s="1772"/>
      <c r="N165" s="1772"/>
      <c r="O165" s="1773"/>
      <c r="Z165" s="1162"/>
      <c r="AE165" s="1162"/>
      <c r="AI165" s="1162"/>
      <c r="AK165" s="39"/>
      <c r="AL165" s="39"/>
      <c r="AM165" s="39"/>
      <c r="AW165" s="729"/>
      <c r="AX165" s="729"/>
      <c r="AY165" s="729"/>
    </row>
    <row r="166" spans="2:51" ht="12.75" customHeight="1" outlineLevel="1" x14ac:dyDescent="0.2">
      <c r="B166" s="1749" t="str">
        <f>+Energia!B163</f>
        <v xml:space="preserve">Beni o servizi acquistati </v>
      </c>
      <c r="C166" s="1749"/>
      <c r="D166" s="1246" t="s">
        <v>106</v>
      </c>
      <c r="E166" s="1239"/>
      <c r="F166" s="1239"/>
      <c r="G166" s="1239"/>
      <c r="H166" s="1239"/>
      <c r="I166" s="1239"/>
      <c r="J166" s="1239"/>
      <c r="K166" s="1239"/>
      <c r="L166" s="1248"/>
      <c r="M166" s="1237"/>
      <c r="N166" s="1242"/>
      <c r="O166" s="1240"/>
      <c r="Z166" s="1162"/>
      <c r="AE166" s="1162"/>
      <c r="AI166" s="1162"/>
      <c r="AK166" s="39"/>
      <c r="AL166" s="39"/>
      <c r="AM166" s="39"/>
      <c r="AW166" s="729"/>
      <c r="AX166" s="729"/>
      <c r="AY166" s="729"/>
    </row>
    <row r="167" spans="2:51" ht="12.75" customHeight="1" outlineLevel="1" x14ac:dyDescent="0.2">
      <c r="B167" s="1749" t="str">
        <f>+Energia!B164</f>
        <v xml:space="preserve">Beni di consumo </v>
      </c>
      <c r="C167" s="1749"/>
      <c r="D167" s="1246" t="s">
        <v>107</v>
      </c>
      <c r="E167" s="1239"/>
      <c r="F167" s="1239"/>
      <c r="G167" s="1239"/>
      <c r="H167" s="1239"/>
      <c r="I167" s="1239"/>
      <c r="J167" s="1239"/>
      <c r="K167" s="1239"/>
      <c r="L167" s="1248"/>
      <c r="M167" s="1237"/>
      <c r="N167" s="1242"/>
      <c r="O167" s="1240"/>
      <c r="Z167" s="1162"/>
      <c r="AE167" s="1162"/>
      <c r="AI167" s="1162"/>
      <c r="AK167" s="39"/>
      <c r="AL167" s="39"/>
      <c r="AM167" s="39"/>
      <c r="AW167" s="729"/>
      <c r="AX167" s="729"/>
      <c r="AY167" s="729"/>
    </row>
    <row r="168" spans="2:51" ht="12.75" customHeight="1" outlineLevel="1" x14ac:dyDescent="0.2">
      <c r="B168" s="1749" t="str">
        <f>+Energia!B165</f>
        <v xml:space="preserve">Emissioni dovute a combustibili e energia (non incluse nello scope 1 e 2) </v>
      </c>
      <c r="C168" s="1749"/>
      <c r="D168" s="1246" t="s">
        <v>108</v>
      </c>
      <c r="E168" s="1239"/>
      <c r="F168" s="1239"/>
      <c r="G168" s="1239"/>
      <c r="H168" s="1239"/>
      <c r="I168" s="1239"/>
      <c r="J168" s="1239"/>
      <c r="K168" s="1239"/>
      <c r="L168" s="1248"/>
      <c r="M168" s="1237"/>
      <c r="N168" s="1242"/>
      <c r="O168" s="1240"/>
      <c r="Z168" s="1162"/>
      <c r="AE168" s="1162"/>
      <c r="AI168" s="1162"/>
      <c r="AK168" s="39"/>
      <c r="AL168" s="39"/>
      <c r="AM168" s="39"/>
      <c r="AW168" s="729"/>
      <c r="AX168" s="729"/>
      <c r="AY168" s="729"/>
    </row>
    <row r="169" spans="2:51" ht="12.75" customHeight="1" outlineLevel="1" x14ac:dyDescent="0.2">
      <c r="B169" s="1749" t="str">
        <f>+Energia!B166</f>
        <v>Trasporto e distribuzione premanifattura</v>
      </c>
      <c r="C169" s="1749"/>
      <c r="D169" s="1246" t="s">
        <v>109</v>
      </c>
      <c r="E169" s="1239"/>
      <c r="F169" s="1239"/>
      <c r="G169" s="1239"/>
      <c r="H169" s="1239"/>
      <c r="I169" s="1239"/>
      <c r="J169" s="1239"/>
      <c r="K169" s="1239"/>
      <c r="L169" s="1248"/>
      <c r="M169" s="1237"/>
      <c r="N169" s="1242"/>
      <c r="O169" s="1240"/>
      <c r="Z169" s="1162"/>
      <c r="AE169" s="1162"/>
      <c r="AI169" s="1162"/>
      <c r="AK169" s="39"/>
      <c r="AL169" s="39"/>
      <c r="AM169" s="39"/>
      <c r="AW169" s="729"/>
      <c r="AX169" s="729"/>
      <c r="AY169" s="729"/>
    </row>
    <row r="170" spans="2:51" ht="12.75" customHeight="1" outlineLevel="1" x14ac:dyDescent="0.2">
      <c r="B170" s="1749" t="str">
        <f>+Energia!B167</f>
        <v>Rifiuti prodotti</v>
      </c>
      <c r="C170" s="1749"/>
      <c r="D170" s="1246" t="s">
        <v>110</v>
      </c>
      <c r="E170" s="1239"/>
      <c r="F170" s="1239"/>
      <c r="G170" s="1239"/>
      <c r="H170" s="1239"/>
      <c r="I170" s="1239"/>
      <c r="J170" s="1239"/>
      <c r="K170" s="1239"/>
      <c r="L170" s="1248"/>
      <c r="M170" s="1237"/>
      <c r="N170" s="1242"/>
      <c r="O170" s="1240"/>
      <c r="Z170" s="1162"/>
      <c r="AE170" s="1162"/>
      <c r="AI170" s="1162"/>
      <c r="AK170" s="39"/>
      <c r="AL170" s="39"/>
      <c r="AM170" s="39"/>
      <c r="AW170" s="729"/>
      <c r="AX170" s="729"/>
      <c r="AY170" s="729"/>
    </row>
    <row r="171" spans="2:51" ht="12.75" customHeight="1" outlineLevel="1" x14ac:dyDescent="0.2">
      <c r="B171" s="1749" t="str">
        <f>+Energia!B168</f>
        <v>Viaggi di lavoro</v>
      </c>
      <c r="C171" s="1749"/>
      <c r="D171" s="1246" t="s">
        <v>111</v>
      </c>
      <c r="E171" s="1239"/>
      <c r="F171" s="1239"/>
      <c r="G171" s="1239"/>
      <c r="H171" s="1239"/>
      <c r="I171" s="1239"/>
      <c r="J171" s="1239"/>
      <c r="K171" s="1239"/>
      <c r="L171" s="1248"/>
      <c r="M171" s="1237"/>
      <c r="N171" s="1242"/>
      <c r="O171" s="1240"/>
      <c r="Z171" s="1162"/>
      <c r="AE171" s="1162"/>
      <c r="AI171" s="1162"/>
      <c r="AK171" s="39"/>
      <c r="AL171" s="39"/>
      <c r="AM171" s="39"/>
      <c r="AW171" s="729"/>
      <c r="AX171" s="729"/>
      <c r="AY171" s="729"/>
    </row>
    <row r="172" spans="2:51" ht="12.75" customHeight="1" outlineLevel="1" x14ac:dyDescent="0.2">
      <c r="B172" s="1749" t="str">
        <f>+Energia!B169</f>
        <v>Impiegati pendolari</v>
      </c>
      <c r="C172" s="1749"/>
      <c r="D172" s="1246" t="s">
        <v>112</v>
      </c>
      <c r="E172" s="1239"/>
      <c r="F172" s="1239"/>
      <c r="G172" s="1239"/>
      <c r="H172" s="1239"/>
      <c r="I172" s="1239"/>
      <c r="J172" s="1239"/>
      <c r="K172" s="1239"/>
      <c r="L172" s="1248"/>
      <c r="M172" s="1237"/>
      <c r="N172" s="1242"/>
      <c r="O172" s="1240"/>
      <c r="Z172" s="1162"/>
      <c r="AE172" s="1162"/>
      <c r="AI172" s="1162"/>
      <c r="AK172" s="39"/>
      <c r="AL172" s="39"/>
      <c r="AM172" s="39"/>
      <c r="AW172" s="729"/>
      <c r="AX172" s="729"/>
      <c r="AY172" s="729"/>
    </row>
    <row r="173" spans="2:51" ht="12.75" customHeight="1" outlineLevel="1" x14ac:dyDescent="0.2">
      <c r="B173" s="1749" t="str">
        <f>+Energia!B170</f>
        <v>Upstream leased assets</v>
      </c>
      <c r="C173" s="1749"/>
      <c r="D173" s="1246" t="s">
        <v>113</v>
      </c>
      <c r="E173" s="1239"/>
      <c r="F173" s="1239"/>
      <c r="G173" s="1239"/>
      <c r="H173" s="1239"/>
      <c r="I173" s="1239"/>
      <c r="J173" s="1239"/>
      <c r="K173" s="1239"/>
      <c r="L173" s="1248"/>
      <c r="M173" s="1237"/>
      <c r="N173" s="1242"/>
      <c r="O173" s="1240"/>
      <c r="Z173" s="1162"/>
      <c r="AE173" s="1162"/>
      <c r="AI173" s="1162"/>
      <c r="AK173" s="39"/>
      <c r="AL173" s="39"/>
      <c r="AM173" s="39"/>
      <c r="AW173" s="729"/>
      <c r="AX173" s="729"/>
      <c r="AY173" s="729"/>
    </row>
    <row r="174" spans="2:51" ht="12.75" customHeight="1" outlineLevel="1" x14ac:dyDescent="0.2">
      <c r="B174" s="1749" t="str">
        <f>+Energia!B171</f>
        <v>Altre emissioni indirette premanifattura</v>
      </c>
      <c r="C174" s="1749"/>
      <c r="D174" s="1238"/>
      <c r="E174" s="1239"/>
      <c r="F174" s="1239"/>
      <c r="G174" s="1239"/>
      <c r="H174" s="1239"/>
      <c r="I174" s="1239"/>
      <c r="J174" s="1239"/>
      <c r="K174" s="1239"/>
      <c r="L174" s="1248"/>
      <c r="M174" s="1237"/>
      <c r="N174" s="1242"/>
      <c r="O174" s="1240"/>
      <c r="Z174" s="1162"/>
      <c r="AE174" s="1162"/>
      <c r="AI174" s="1162"/>
      <c r="AK174" s="39"/>
      <c r="AL174" s="39"/>
      <c r="AM174" s="39"/>
      <c r="AW174" s="729"/>
      <c r="AX174" s="729"/>
      <c r="AY174" s="729"/>
    </row>
    <row r="175" spans="2:51" ht="12.75" customHeight="1" outlineLevel="1" x14ac:dyDescent="0.2">
      <c r="B175" s="1771" t="s">
        <v>2742</v>
      </c>
      <c r="C175" s="1772"/>
      <c r="D175" s="1772"/>
      <c r="E175" s="1772"/>
      <c r="F175" s="1772"/>
      <c r="G175" s="1772"/>
      <c r="H175" s="1772"/>
      <c r="I175" s="1772"/>
      <c r="J175" s="1772"/>
      <c r="K175" s="1772"/>
      <c r="L175" s="1772"/>
      <c r="M175" s="1772"/>
      <c r="N175" s="1772"/>
      <c r="O175" s="1773"/>
      <c r="Z175" s="1162"/>
      <c r="AE175" s="1162"/>
      <c r="AI175" s="1162"/>
      <c r="AK175" s="39"/>
      <c r="AL175" s="39"/>
      <c r="AM175" s="39"/>
      <c r="AW175" s="729"/>
      <c r="AX175" s="729"/>
      <c r="AY175" s="729"/>
    </row>
    <row r="176" spans="2:51" ht="12.75" customHeight="1" outlineLevel="1" x14ac:dyDescent="0.2">
      <c r="B176" s="1749" t="str">
        <f>+Energia!B173</f>
        <v>Trasporto di merci e distribuzione in fase d’uso e fine vita</v>
      </c>
      <c r="C176" s="1749"/>
      <c r="D176" s="1246" t="s">
        <v>114</v>
      </c>
      <c r="E176" s="1239"/>
      <c r="F176" s="1239"/>
      <c r="G176" s="1239"/>
      <c r="H176" s="1239"/>
      <c r="I176" s="1239"/>
      <c r="J176" s="1239"/>
      <c r="K176" s="1239"/>
      <c r="L176" s="1248"/>
      <c r="M176" s="1237"/>
      <c r="N176" s="1242"/>
      <c r="O176" s="1240"/>
      <c r="Z176" s="1162"/>
      <c r="AE176" s="1162"/>
      <c r="AI176" s="1162"/>
      <c r="AK176" s="39"/>
      <c r="AL176" s="39"/>
      <c r="AM176" s="39"/>
      <c r="AW176" s="729"/>
      <c r="AX176" s="729"/>
      <c r="AY176" s="729"/>
    </row>
    <row r="177" spans="2:51" ht="12.75" customHeight="1" outlineLevel="1" x14ac:dyDescent="0.2">
      <c r="B177" s="1749" t="str">
        <f>+Energia!B174</f>
        <v>Lavorazioni dei prodotti venduti</v>
      </c>
      <c r="C177" s="1749"/>
      <c r="D177" s="1246" t="s">
        <v>115</v>
      </c>
      <c r="E177" s="1239"/>
      <c r="F177" s="1239"/>
      <c r="G177" s="1239"/>
      <c r="H177" s="1239"/>
      <c r="I177" s="1239"/>
      <c r="J177" s="1239"/>
      <c r="K177" s="1239"/>
      <c r="L177" s="1248"/>
      <c r="M177" s="1237"/>
      <c r="N177" s="1242"/>
      <c r="O177" s="1240"/>
      <c r="Z177" s="1162"/>
      <c r="AE177" s="1162"/>
      <c r="AI177" s="1162"/>
      <c r="AK177" s="39"/>
      <c r="AL177" s="39"/>
      <c r="AM177" s="39"/>
      <c r="AW177" s="729"/>
      <c r="AX177" s="729"/>
      <c r="AY177" s="729"/>
    </row>
    <row r="178" spans="2:51" ht="12.75" customHeight="1" outlineLevel="1" x14ac:dyDescent="0.2">
      <c r="B178" s="1749" t="str">
        <f>+Energia!B175</f>
        <v xml:space="preserve">Uso dei prodotto venduti  </v>
      </c>
      <c r="C178" s="1749"/>
      <c r="D178" s="1246" t="s">
        <v>116</v>
      </c>
      <c r="E178" s="1239"/>
      <c r="F178" s="1239"/>
      <c r="G178" s="1239"/>
      <c r="H178" s="1239"/>
      <c r="I178" s="1239"/>
      <c r="J178" s="1239"/>
      <c r="K178" s="1239"/>
      <c r="L178" s="1248"/>
      <c r="M178" s="1237"/>
      <c r="N178" s="1242"/>
      <c r="O178" s="1240"/>
      <c r="Z178" s="1162"/>
      <c r="AE178" s="1162"/>
      <c r="AI178" s="1162"/>
      <c r="AK178" s="39"/>
      <c r="AL178" s="39"/>
      <c r="AM178" s="39"/>
      <c r="AW178" s="729"/>
      <c r="AX178" s="729"/>
      <c r="AY178" s="729"/>
    </row>
    <row r="179" spans="2:51" ht="12.75" customHeight="1" outlineLevel="1" x14ac:dyDescent="0.2">
      <c r="B179" s="1749" t="str">
        <f>+Energia!B176</f>
        <v>Fine vita dei prodotti venduti</v>
      </c>
      <c r="C179" s="1749"/>
      <c r="D179" s="1246" t="s">
        <v>117</v>
      </c>
      <c r="E179" s="1239">
        <f>AK17+AL17+AK27+AL27+AK41+AK52+AK63+AK73+AK83+AK101+AK111+AK124-E180</f>
        <v>0</v>
      </c>
      <c r="F179" s="1239">
        <f>AM17+AN17+AM27+AN27+AL41+AL52+AL63+AL73+AL83+AL101+AL111+AL124-F180</f>
        <v>8.1999999999999993</v>
      </c>
      <c r="G179" s="1239">
        <f>AO17+AP17+AO27+AP27+AM41+AM52+AM63+AM73+AM83+AM101+AM111+AM124-G180</f>
        <v>135</v>
      </c>
      <c r="H179" s="1239">
        <f>SUMPRODUCT((LEFT($B$97:$B$100,3)&lt;&gt;"Per")*(LEFT($B$97:$B$100,3)&lt;&gt;"SF6")*(AN$97:AN$100))-H180</f>
        <v>0</v>
      </c>
      <c r="I179" s="1239">
        <f>SUMPRODUCT((LEFT($B$97:$B$100,3)="Per")*(AN$97:AN$100))-I180</f>
        <v>0</v>
      </c>
      <c r="J179" s="1239">
        <f>SUMPRODUCT((LEFT($B$97:$B$100,3)="SF6")*(AN$97:AN$100))-J180</f>
        <v>0</v>
      </c>
      <c r="K179" s="1239">
        <f>AN111-K180</f>
        <v>0</v>
      </c>
      <c r="L179" s="1248">
        <f>AS17+AT17+AS27+AT27+AO41+AO52+AO63+AO73+AO83+AO101+AO111+AO124-L180</f>
        <v>143</v>
      </c>
      <c r="M179" s="1237">
        <f>AU17+AV17+AU27+AV27+AP41+AP52+AP63+AP73+AP83+AP101+AP111+AP124-M180</f>
        <v>5320.3899999999994</v>
      </c>
      <c r="N179" s="1242">
        <f>SQRT(X17^2+Y17^2+X27^2+Y27^2+X41^2+X52^2+X63^2+X73^2+X83^2+X101^2+X111^2+X124^2-N180^2)</f>
        <v>71.5</v>
      </c>
      <c r="O179" s="1240"/>
      <c r="Z179" s="1162"/>
      <c r="AE179" s="1162"/>
      <c r="AI179" s="1162"/>
      <c r="AK179" s="39"/>
      <c r="AL179" s="39"/>
      <c r="AM179" s="39"/>
      <c r="AW179" s="729"/>
      <c r="AX179" s="729"/>
      <c r="AY179" s="729"/>
    </row>
    <row r="180" spans="2:51" ht="12.75" customHeight="1" outlineLevel="1" x14ac:dyDescent="0.2">
      <c r="B180" s="1749" t="str">
        <f>+Energia!B177</f>
        <v>Downstream leased assets</v>
      </c>
      <c r="C180" s="1749"/>
      <c r="D180" s="1246" t="s">
        <v>118</v>
      </c>
      <c r="E180" s="1239">
        <f>SUMIF($F$9:$F$27,"Yes",AK9:AK27)+SUMIF($F$9:$F$27,"Yes",AL9:AL27)+SUMIF($F$32:$F$124,"Yes",AK32:AK124)</f>
        <v>0</v>
      </c>
      <c r="F180" s="1239">
        <f>SUMIF($F$9:$F$27,"Yes",AM9:AM27)+SUMIF($F$9:$F$27,"Yes",AN9:AN27)+SUMIF($F$32:$F$124,"Yes",AL32:AL124)</f>
        <v>0</v>
      </c>
      <c r="G180" s="1239">
        <f>SUMIF($F$9:$F$27,"Yes",AO9:AO27)+SUMIF($F$9:$F$27,"Yes",AP9:AP27)+SUMIF($F$32:$F$124,"Yes",AM32:AM124)</f>
        <v>0</v>
      </c>
      <c r="H180" s="1239">
        <f>SUMPRODUCT(($F$97:$F$100="Yes")*(LEFT($B$97:$B$100,3)&lt;&gt;"Per")*(LEFT($B$97:$B$100,3)&lt;&gt;"SF6")*(AN$97:AN$100))</f>
        <v>0</v>
      </c>
      <c r="I180" s="1239">
        <f>SUMPRODUCT(($F$97:$F$100="Yes")*(LEFT($B$97:$B$100,3)="Per")*(AN$97:AN$100))</f>
        <v>0</v>
      </c>
      <c r="J180" s="1239">
        <f>SUMPRODUCT(($F$97:$F$100="Yes")*(LEFT($B$97:$B$100,3)="SF6")*(AN$97:AN$100))</f>
        <v>0</v>
      </c>
      <c r="K180" s="1239">
        <f>SUMIF($F$103:$F$111,"Yes",AN$103:AN$111)</f>
        <v>0</v>
      </c>
      <c r="L180" s="1248">
        <f>SUMIF($F$9:$F$27,"Yes",AS9:AS27)+SUMIF($F$9:$F$27,"Yes",AT9:AT27)+SUMIF($F$32:$F$124,"Yes",AO32:AO124)</f>
        <v>0</v>
      </c>
      <c r="M180" s="1237">
        <f>SUMIF($F$9:$F$27,"Yes",AU9:AU27)+SUMIF($F$9:$F$27,"Yes",AV9:AV27)+SUMIF($F$32:$F$124,"Yes",AP32:AP124)</f>
        <v>0</v>
      </c>
      <c r="N180" s="1242">
        <f>SQRT(SUMPRODUCT(($F$9:$F$27="Yes")*1,X9:X27,X9:X27)+SUMPRODUCT(($F$9:$F$27="Yes")*1,Y9:Y27,Y9:Y27)+SUMPRODUCT(($F$32:$F$124="Yes")*1,X32:X124,X32:X124))</f>
        <v>0</v>
      </c>
      <c r="O180" s="1240"/>
      <c r="Z180" s="1162"/>
      <c r="AE180" s="1162"/>
      <c r="AI180" s="1162"/>
      <c r="AK180" s="39"/>
      <c r="AL180" s="39"/>
      <c r="AM180" s="39"/>
      <c r="AW180" s="729"/>
      <c r="AX180" s="729"/>
      <c r="AY180" s="729"/>
    </row>
    <row r="181" spans="2:51" ht="12.75" customHeight="1" outlineLevel="1" x14ac:dyDescent="0.2">
      <c r="B181" s="1749" t="str">
        <f>+Energia!B178</f>
        <v>Franchises</v>
      </c>
      <c r="C181" s="1749"/>
      <c r="D181" s="1246" t="s">
        <v>119</v>
      </c>
      <c r="E181" s="1239"/>
      <c r="F181" s="1239"/>
      <c r="G181" s="1239"/>
      <c r="H181" s="1239"/>
      <c r="I181" s="1239"/>
      <c r="J181" s="1239"/>
      <c r="K181" s="1239"/>
      <c r="L181" s="1248"/>
      <c r="M181" s="1237"/>
      <c r="N181" s="1242"/>
      <c r="O181" s="1240"/>
      <c r="Z181" s="1162"/>
      <c r="AE181" s="1162"/>
      <c r="AI181" s="1162"/>
      <c r="AK181" s="39"/>
      <c r="AL181" s="39"/>
      <c r="AM181" s="39"/>
      <c r="AW181" s="729"/>
      <c r="AX181" s="729"/>
      <c r="AY181" s="729"/>
    </row>
    <row r="182" spans="2:51" ht="12.75" customHeight="1" outlineLevel="1" x14ac:dyDescent="0.2">
      <c r="B182" s="1749" t="str">
        <f>+Energia!B179</f>
        <v>Investimenti</v>
      </c>
      <c r="C182" s="1749"/>
      <c r="D182" s="1246" t="s">
        <v>120</v>
      </c>
      <c r="E182" s="1239"/>
      <c r="F182" s="1239"/>
      <c r="G182" s="1239"/>
      <c r="H182" s="1239"/>
      <c r="I182" s="1239"/>
      <c r="J182" s="1239"/>
      <c r="K182" s="1239"/>
      <c r="L182" s="1248"/>
      <c r="M182" s="1237"/>
      <c r="N182" s="1242"/>
      <c r="O182" s="1240"/>
      <c r="Z182" s="1162"/>
      <c r="AE182" s="1162"/>
      <c r="AI182" s="1162"/>
      <c r="AK182" s="39"/>
      <c r="AL182" s="39"/>
      <c r="AM182" s="39"/>
      <c r="AW182" s="729"/>
      <c r="AX182" s="729"/>
      <c r="AY182" s="729"/>
    </row>
    <row r="183" spans="2:51" ht="12.75" customHeight="1" outlineLevel="1" x14ac:dyDescent="0.2">
      <c r="B183" s="1749" t="str">
        <f>+Energia!B180</f>
        <v xml:space="preserve">Altre emissioni indirette in fase d'uso e fine vita </v>
      </c>
      <c r="C183" s="1749"/>
      <c r="D183" s="1238"/>
      <c r="E183" s="1239"/>
      <c r="F183" s="1239"/>
      <c r="G183" s="1239"/>
      <c r="H183" s="1239"/>
      <c r="I183" s="1239"/>
      <c r="J183" s="1239"/>
      <c r="K183" s="1239"/>
      <c r="L183" s="1248"/>
      <c r="M183" s="1237"/>
      <c r="N183" s="1242"/>
      <c r="O183" s="1240"/>
      <c r="Z183" s="1162"/>
      <c r="AE183" s="1162"/>
      <c r="AI183" s="1162"/>
      <c r="AK183" s="39"/>
      <c r="AL183" s="39"/>
      <c r="AM183" s="39"/>
      <c r="AW183" s="729"/>
      <c r="AX183" s="729"/>
      <c r="AY183" s="729"/>
    </row>
    <row r="184" spans="2:51" ht="12.75" customHeight="1" outlineLevel="1" x14ac:dyDescent="0.2">
      <c r="B184" s="1766" t="s">
        <v>96</v>
      </c>
      <c r="C184" s="1767"/>
      <c r="D184" s="1768"/>
      <c r="E184" s="1236">
        <f t="shared" ref="E184:O184" si="29">SUM(E166:E183)</f>
        <v>0</v>
      </c>
      <c r="F184" s="1236">
        <f t="shared" si="29"/>
        <v>8.1999999999999993</v>
      </c>
      <c r="G184" s="1236">
        <f t="shared" si="29"/>
        <v>135</v>
      </c>
      <c r="H184" s="1236">
        <f t="shared" si="29"/>
        <v>0</v>
      </c>
      <c r="I184" s="1236">
        <f t="shared" si="29"/>
        <v>0</v>
      </c>
      <c r="J184" s="1236">
        <f t="shared" si="29"/>
        <v>0</v>
      </c>
      <c r="K184" s="1236">
        <f t="shared" si="29"/>
        <v>0</v>
      </c>
      <c r="L184" s="1236">
        <f t="shared" si="29"/>
        <v>143</v>
      </c>
      <c r="M184" s="1247">
        <f t="shared" si="29"/>
        <v>5320.3899999999994</v>
      </c>
      <c r="N184" s="1243">
        <f>SQRT(SUMSQ(N166:N183))</f>
        <v>71.5</v>
      </c>
      <c r="O184" s="1244">
        <f t="shared" si="29"/>
        <v>0</v>
      </c>
      <c r="Z184" s="1162"/>
      <c r="AE184" s="1162"/>
      <c r="AI184" s="1162"/>
      <c r="AK184" s="39"/>
      <c r="AL184" s="39"/>
      <c r="AM184" s="39"/>
      <c r="AW184" s="729"/>
      <c r="AX184" s="729"/>
      <c r="AY184" s="729"/>
    </row>
    <row r="185" spans="2:51" ht="12" customHeight="1" outlineLevel="1" x14ac:dyDescent="0.2">
      <c r="W185" s="1162"/>
      <c r="AB185" s="1162"/>
      <c r="AF185" s="1162"/>
    </row>
    <row r="187" spans="2:51" ht="15.75" customHeight="1" collapsed="1" x14ac:dyDescent="0.2">
      <c r="B187" s="1741" t="str">
        <f>+Energia!B184</f>
        <v xml:space="preserve">Panoramica delle categorie definite nella  ISO/TR 14069:2013 </v>
      </c>
      <c r="C187" s="1742"/>
      <c r="D187" s="1742"/>
      <c r="E187" s="1742"/>
      <c r="F187" s="1742"/>
      <c r="G187" s="1742"/>
      <c r="H187" s="1742"/>
      <c r="I187" s="1742"/>
      <c r="J187" s="1742"/>
      <c r="K187" s="1742"/>
      <c r="L187" s="1742"/>
      <c r="M187" s="1742"/>
      <c r="N187" s="1742"/>
      <c r="O187" s="1743"/>
      <c r="W187" s="1162"/>
      <c r="AB187" s="1162"/>
      <c r="AF187" s="1162"/>
    </row>
    <row r="188" spans="2:51" ht="12" hidden="1" customHeight="1" outlineLevel="1" x14ac:dyDescent="0.2">
      <c r="Q188" s="1317"/>
      <c r="R188" s="1317"/>
      <c r="W188" s="1162"/>
      <c r="AB188" s="1162"/>
      <c r="AF188" s="1162"/>
    </row>
    <row r="189" spans="2:51" ht="38.25" hidden="1" customHeight="1" outlineLevel="1" x14ac:dyDescent="0.2">
      <c r="B189" s="118"/>
      <c r="C189" s="118"/>
      <c r="D189" s="118"/>
      <c r="E189" s="1735" t="s">
        <v>2498</v>
      </c>
      <c r="F189" s="1737"/>
      <c r="G189" s="1737"/>
      <c r="H189" s="1737"/>
      <c r="I189" s="1737"/>
      <c r="J189" s="1737"/>
      <c r="K189" s="1737"/>
      <c r="L189" s="1737"/>
      <c r="M189" s="1736"/>
      <c r="N189" s="1433" t="s">
        <v>2743</v>
      </c>
      <c r="O189" s="1430" t="s">
        <v>2517</v>
      </c>
      <c r="Q189" s="1317"/>
      <c r="R189" s="1317"/>
      <c r="W189" s="1162"/>
      <c r="AB189" s="1162"/>
      <c r="AF189" s="1162"/>
    </row>
    <row r="190" spans="2:51" ht="38.25" hidden="1" customHeight="1" outlineLevel="1" x14ac:dyDescent="0.2">
      <c r="B190" s="1735" t="str">
        <f>+Energia!B187</f>
        <v>Sorgenti di emissione</v>
      </c>
      <c r="C190" s="1736"/>
      <c r="D190" s="1432" t="s">
        <v>2500</v>
      </c>
      <c r="E190" s="1431" t="s">
        <v>666</v>
      </c>
      <c r="F190" s="1431" t="s">
        <v>667</v>
      </c>
      <c r="G190" s="1431" t="s">
        <v>668</v>
      </c>
      <c r="H190" s="1431" t="s">
        <v>2582</v>
      </c>
      <c r="I190" s="1431" t="s">
        <v>2584</v>
      </c>
      <c r="J190" s="1432" t="s">
        <v>69</v>
      </c>
      <c r="K190" s="1431" t="s">
        <v>673</v>
      </c>
      <c r="L190" s="1431" t="s">
        <v>2588</v>
      </c>
      <c r="M190" s="1431" t="s">
        <v>2586</v>
      </c>
      <c r="N190" s="1434" t="s">
        <v>669</v>
      </c>
      <c r="O190" s="1436" t="s">
        <v>69</v>
      </c>
      <c r="Q190" s="1317"/>
      <c r="R190" s="1317"/>
      <c r="W190" s="1162"/>
      <c r="AB190" s="1162"/>
      <c r="AF190" s="1162"/>
    </row>
    <row r="191" spans="2:51" ht="12.75" hidden="1" customHeight="1" outlineLevel="1" x14ac:dyDescent="0.2">
      <c r="B191" s="1733" t="str">
        <f>+Energia!B188</f>
        <v xml:space="preserve">Emissioni dirette da sorgenti di combustione stazionarie </v>
      </c>
      <c r="C191" s="1734"/>
      <c r="D191" s="1435">
        <v>1</v>
      </c>
      <c r="E191" s="1441"/>
      <c r="F191" s="1441"/>
      <c r="G191" s="1441"/>
      <c r="H191" s="1441"/>
      <c r="I191" s="1441"/>
      <c r="J191" s="1442"/>
      <c r="K191" s="1443"/>
      <c r="L191" s="1443"/>
      <c r="M191" s="1444"/>
      <c r="N191" s="1445"/>
      <c r="O191" s="1730" t="s">
        <v>2773</v>
      </c>
      <c r="Q191" s="1317"/>
      <c r="R191" s="1317"/>
      <c r="W191" s="1162"/>
      <c r="AB191" s="1162"/>
      <c r="AF191" s="1162"/>
    </row>
    <row r="192" spans="2:51" ht="12.75" hidden="1" customHeight="1" outlineLevel="1" x14ac:dyDescent="0.2">
      <c r="B192" s="1733" t="str">
        <f>+Energia!B189</f>
        <v>Emissioni dirette da sorgenti di combustione mobili</v>
      </c>
      <c r="C192" s="1734"/>
      <c r="D192" s="1435">
        <v>2</v>
      </c>
      <c r="E192" s="1441"/>
      <c r="F192" s="1441"/>
      <c r="G192" s="1441"/>
      <c r="H192" s="1441"/>
      <c r="I192" s="1441"/>
      <c r="J192" s="1442"/>
      <c r="K192" s="1443"/>
      <c r="L192" s="1443"/>
      <c r="M192" s="1444"/>
      <c r="N192" s="1445"/>
      <c r="O192" s="1731"/>
      <c r="Q192" s="1317"/>
      <c r="R192" s="1317"/>
      <c r="W192" s="1162"/>
      <c r="AB192" s="1162"/>
      <c r="AF192" s="1162"/>
    </row>
    <row r="193" spans="2:32" ht="12.75" hidden="1" customHeight="1" outlineLevel="1" x14ac:dyDescent="0.2">
      <c r="B193" s="1733" t="str">
        <f>+Energia!B190</f>
        <v>Emissioni dirette da  processi</v>
      </c>
      <c r="C193" s="1734"/>
      <c r="D193" s="1435">
        <v>3</v>
      </c>
      <c r="E193" s="1441"/>
      <c r="F193" s="1441"/>
      <c r="G193" s="1441"/>
      <c r="H193" s="1441"/>
      <c r="I193" s="1441"/>
      <c r="J193" s="1442"/>
      <c r="K193" s="1443"/>
      <c r="L193" s="1443"/>
      <c r="M193" s="1444"/>
      <c r="N193" s="1445"/>
      <c r="O193" s="1731"/>
      <c r="Q193" s="1317"/>
      <c r="R193" s="1317"/>
      <c r="W193" s="1162"/>
      <c r="AB193" s="1162"/>
      <c r="AF193" s="1162"/>
    </row>
    <row r="194" spans="2:32" ht="12.75" hidden="1" customHeight="1" outlineLevel="1" x14ac:dyDescent="0.2">
      <c r="B194" s="1733" t="str">
        <f>+Energia!B191</f>
        <v>Emissioni dirette da  fonti fugitive</v>
      </c>
      <c r="C194" s="1734"/>
      <c r="D194" s="1435">
        <v>4</v>
      </c>
      <c r="E194" s="1441"/>
      <c r="F194" s="1441"/>
      <c r="G194" s="1441"/>
      <c r="H194" s="1441"/>
      <c r="I194" s="1441"/>
      <c r="J194" s="1442"/>
      <c r="K194" s="1443"/>
      <c r="L194" s="1443"/>
      <c r="M194" s="1444"/>
      <c r="N194" s="1445"/>
      <c r="O194" s="1731"/>
      <c r="Q194" s="1317"/>
      <c r="R194" s="1317"/>
      <c r="W194" s="1162"/>
      <c r="AB194" s="1162"/>
      <c r="AF194" s="1162"/>
    </row>
    <row r="195" spans="2:32" ht="12.75" hidden="1" customHeight="1" outlineLevel="1" x14ac:dyDescent="0.2">
      <c r="B195" s="1733" t="str">
        <f>+Energia!B192</f>
        <v>Emissioni dirette da LULUCF</v>
      </c>
      <c r="C195" s="1734"/>
      <c r="D195" s="1435">
        <v>5</v>
      </c>
      <c r="E195" s="1441"/>
      <c r="F195" s="1441"/>
      <c r="G195" s="1441"/>
      <c r="H195" s="1441"/>
      <c r="I195" s="1441"/>
      <c r="J195" s="1442"/>
      <c r="K195" s="1443"/>
      <c r="L195" s="1443"/>
      <c r="M195" s="1444"/>
      <c r="N195" s="1446"/>
      <c r="O195" s="1731"/>
      <c r="Q195" s="1317"/>
      <c r="R195" s="1317"/>
      <c r="W195" s="1162"/>
      <c r="AB195" s="1162"/>
      <c r="AF195" s="1162"/>
    </row>
    <row r="196" spans="2:32" ht="12.75" hidden="1" customHeight="1" outlineLevel="1" x14ac:dyDescent="0.2">
      <c r="B196" s="1738" t="s">
        <v>98</v>
      </c>
      <c r="C196" s="1738"/>
      <c r="D196" s="1738"/>
      <c r="E196" s="1447">
        <f>SUM(E191:E195)</f>
        <v>0</v>
      </c>
      <c r="F196" s="1447">
        <f t="shared" ref="F196:N196" si="30">SUM(F191:F195)</f>
        <v>0</v>
      </c>
      <c r="G196" s="1447">
        <f t="shared" si="30"/>
        <v>0</v>
      </c>
      <c r="H196" s="1447">
        <f t="shared" si="30"/>
        <v>0</v>
      </c>
      <c r="I196" s="1447">
        <f t="shared" si="30"/>
        <v>0</v>
      </c>
      <c r="J196" s="1447">
        <f t="shared" si="30"/>
        <v>0</v>
      </c>
      <c r="K196" s="1448">
        <f t="shared" si="30"/>
        <v>0</v>
      </c>
      <c r="L196" s="1448">
        <f t="shared" si="30"/>
        <v>0</v>
      </c>
      <c r="M196" s="1449">
        <f>SQRT(SUMSQ(M191:M195))</f>
        <v>0</v>
      </c>
      <c r="N196" s="1450">
        <f t="shared" si="30"/>
        <v>0</v>
      </c>
      <c r="O196" s="1732"/>
      <c r="Q196" s="1317"/>
      <c r="R196" s="1317"/>
      <c r="W196" s="1162"/>
      <c r="AB196" s="1162"/>
      <c r="AF196" s="1162"/>
    </row>
    <row r="197" spans="2:32" ht="12.75" hidden="1" customHeight="1" outlineLevel="1" x14ac:dyDescent="0.2">
      <c r="B197" s="1733" t="str">
        <f>+Energia!B194</f>
        <v xml:space="preserve">Emissioni indirette da consumo di elettricità </v>
      </c>
      <c r="C197" s="1734"/>
      <c r="D197" s="1435">
        <v>6</v>
      </c>
      <c r="E197" s="1441"/>
      <c r="F197" s="1441"/>
      <c r="G197" s="1441"/>
      <c r="H197" s="1441"/>
      <c r="I197" s="1441"/>
      <c r="J197" s="1442"/>
      <c r="K197" s="1443"/>
      <c r="L197" s="1443"/>
      <c r="M197" s="1444"/>
      <c r="N197" s="1445"/>
      <c r="O197" s="1451"/>
      <c r="Q197" s="1317"/>
      <c r="R197" s="1317"/>
      <c r="W197" s="1162"/>
      <c r="AB197" s="1162"/>
      <c r="AF197" s="1162"/>
    </row>
    <row r="198" spans="2:32" ht="12.75" hidden="1" customHeight="1" outlineLevel="1" x14ac:dyDescent="0.2">
      <c r="B198" s="1733" t="str">
        <f>+Energia!B195</f>
        <v xml:space="preserve">Emissioni indirette da consumi di energia di rete (senza l'eletricita) </v>
      </c>
      <c r="C198" s="1734"/>
      <c r="D198" s="1435">
        <v>7</v>
      </c>
      <c r="E198" s="1441"/>
      <c r="F198" s="1441"/>
      <c r="G198" s="1441"/>
      <c r="H198" s="1441"/>
      <c r="I198" s="1441"/>
      <c r="J198" s="1442"/>
      <c r="K198" s="1443"/>
      <c r="L198" s="1443"/>
      <c r="M198" s="1444"/>
      <c r="N198" s="1445"/>
      <c r="O198" s="1445"/>
      <c r="Q198" s="1317"/>
      <c r="R198" s="1317"/>
      <c r="W198" s="1162"/>
      <c r="AB198" s="1162"/>
      <c r="AF198" s="1162"/>
    </row>
    <row r="199" spans="2:32" ht="12.75" hidden="1" customHeight="1" outlineLevel="1" x14ac:dyDescent="0.2">
      <c r="B199" s="1738" t="s">
        <v>97</v>
      </c>
      <c r="C199" s="1738"/>
      <c r="D199" s="1738"/>
      <c r="E199" s="1447">
        <f>SUM(E197:E198)</f>
        <v>0</v>
      </c>
      <c r="F199" s="1447">
        <f t="shared" ref="F199:O199" si="31">SUM(F197:F198)</f>
        <v>0</v>
      </c>
      <c r="G199" s="1447">
        <f t="shared" si="31"/>
        <v>0</v>
      </c>
      <c r="H199" s="1447">
        <f t="shared" si="31"/>
        <v>0</v>
      </c>
      <c r="I199" s="1447">
        <f t="shared" si="31"/>
        <v>0</v>
      </c>
      <c r="J199" s="1447">
        <f t="shared" si="31"/>
        <v>0</v>
      </c>
      <c r="K199" s="1448">
        <f t="shared" si="31"/>
        <v>0</v>
      </c>
      <c r="L199" s="1448">
        <f t="shared" si="31"/>
        <v>0</v>
      </c>
      <c r="M199" s="1449">
        <f>SQRT(SUMSQ(M197:M198))</f>
        <v>0</v>
      </c>
      <c r="N199" s="1450">
        <f t="shared" si="31"/>
        <v>0</v>
      </c>
      <c r="O199" s="1450">
        <f t="shared" si="31"/>
        <v>0</v>
      </c>
      <c r="Q199" s="1317"/>
      <c r="R199" s="1317"/>
      <c r="W199" s="1162"/>
      <c r="AB199" s="1162"/>
      <c r="AF199" s="1162"/>
    </row>
    <row r="200" spans="2:32" ht="12.75" hidden="1" customHeight="1" outlineLevel="1" x14ac:dyDescent="0.2">
      <c r="B200" s="1733" t="str">
        <f>+Energia!B197</f>
        <v>Emissioni dovute all'energia non coperte dalle sorgenti da 1 a 7</v>
      </c>
      <c r="C200" s="1734"/>
      <c r="D200" s="1435">
        <v>8</v>
      </c>
      <c r="E200" s="1441"/>
      <c r="F200" s="1441"/>
      <c r="G200" s="1441"/>
      <c r="H200" s="1441"/>
      <c r="I200" s="1441"/>
      <c r="J200" s="1442"/>
      <c r="K200" s="1443"/>
      <c r="L200" s="1443"/>
      <c r="M200" s="1444"/>
      <c r="N200" s="1445"/>
      <c r="O200" s="1445"/>
      <c r="Q200" s="1317"/>
      <c r="R200" s="1317"/>
      <c r="W200" s="1162"/>
      <c r="AB200" s="1162"/>
      <c r="AF200" s="1162"/>
    </row>
    <row r="201" spans="2:32" ht="12.75" hidden="1" customHeight="1" outlineLevel="1" x14ac:dyDescent="0.2">
      <c r="B201" s="1733" t="str">
        <f>+Energia!B198</f>
        <v>Beni acquistati</v>
      </c>
      <c r="C201" s="1734"/>
      <c r="D201" s="1435">
        <v>9</v>
      </c>
      <c r="E201" s="1441"/>
      <c r="F201" s="1441"/>
      <c r="G201" s="1441"/>
      <c r="H201" s="1441"/>
      <c r="I201" s="1441"/>
      <c r="J201" s="1442"/>
      <c r="K201" s="1443"/>
      <c r="L201" s="1443"/>
      <c r="M201" s="1444"/>
      <c r="N201" s="1445"/>
      <c r="O201" s="1445"/>
      <c r="Q201" s="1317"/>
      <c r="R201" s="1317"/>
      <c r="W201" s="1162"/>
      <c r="AB201" s="1162"/>
      <c r="AF201" s="1162"/>
    </row>
    <row r="202" spans="2:32" ht="12.75" hidden="1" customHeight="1" outlineLevel="1" x14ac:dyDescent="0.2">
      <c r="B202" s="1733" t="str">
        <f>+Energia!B199</f>
        <v>Beni di consumo</v>
      </c>
      <c r="C202" s="1734"/>
      <c r="D202" s="1435">
        <v>10</v>
      </c>
      <c r="E202" s="1441"/>
      <c r="F202" s="1441"/>
      <c r="G202" s="1441"/>
      <c r="H202" s="1441"/>
      <c r="I202" s="1441"/>
      <c r="J202" s="1442"/>
      <c r="K202" s="1443"/>
      <c r="L202" s="1443"/>
      <c r="M202" s="1444"/>
      <c r="N202" s="1445"/>
      <c r="O202" s="1445"/>
      <c r="Q202" s="1317"/>
      <c r="R202" s="1317"/>
      <c r="W202" s="1162"/>
      <c r="AB202" s="1162"/>
      <c r="AF202" s="1162"/>
    </row>
    <row r="203" spans="2:32" ht="12.75" hidden="1" customHeight="1" outlineLevel="1" x14ac:dyDescent="0.2">
      <c r="B203" s="1733" t="str">
        <f>+Energia!B200</f>
        <v xml:space="preserve">Rifiuti prodotti </v>
      </c>
      <c r="C203" s="1734"/>
      <c r="D203" s="1435">
        <v>11</v>
      </c>
      <c r="E203" s="1441"/>
      <c r="F203" s="1441"/>
      <c r="G203" s="1441"/>
      <c r="H203" s="1441"/>
      <c r="I203" s="1441"/>
      <c r="J203" s="1442"/>
      <c r="K203" s="1443"/>
      <c r="L203" s="1443"/>
      <c r="M203" s="1444"/>
      <c r="N203" s="1445"/>
      <c r="O203" s="1445"/>
      <c r="Q203" s="1317"/>
      <c r="R203" s="1317"/>
      <c r="W203" s="1162"/>
      <c r="AB203" s="1162"/>
      <c r="AF203" s="1162"/>
    </row>
    <row r="204" spans="2:32" ht="12.75" hidden="1" customHeight="1" outlineLevel="1" x14ac:dyDescent="0.2">
      <c r="B204" s="1733" t="str">
        <f>+Energia!B201</f>
        <v>Trasporto e distribuzione premanifattura</v>
      </c>
      <c r="C204" s="1734"/>
      <c r="D204" s="1435">
        <v>12</v>
      </c>
      <c r="E204" s="1441"/>
      <c r="F204" s="1441"/>
      <c r="G204" s="1441"/>
      <c r="H204" s="1441"/>
      <c r="I204" s="1441"/>
      <c r="J204" s="1442"/>
      <c r="K204" s="1443"/>
      <c r="L204" s="1443"/>
      <c r="M204" s="1444"/>
      <c r="N204" s="1445"/>
      <c r="O204" s="1445"/>
      <c r="Q204" s="1317"/>
      <c r="R204" s="1317"/>
      <c r="W204" s="1162"/>
      <c r="AB204" s="1162"/>
      <c r="AF204" s="1162"/>
    </row>
    <row r="205" spans="2:32" ht="12.75" hidden="1" customHeight="1" outlineLevel="1" x14ac:dyDescent="0.2">
      <c r="B205" s="1733" t="str">
        <f>+Energia!B202</f>
        <v>Viaggi di lavoro</v>
      </c>
      <c r="C205" s="1734"/>
      <c r="D205" s="1435">
        <v>13</v>
      </c>
      <c r="E205" s="1441"/>
      <c r="F205" s="1441"/>
      <c r="G205" s="1441"/>
      <c r="H205" s="1441"/>
      <c r="I205" s="1441"/>
      <c r="J205" s="1442"/>
      <c r="K205" s="1443"/>
      <c r="L205" s="1443"/>
      <c r="M205" s="1444"/>
      <c r="N205" s="1445"/>
      <c r="O205" s="1445"/>
      <c r="Q205" s="1317"/>
      <c r="R205" s="1317"/>
      <c r="W205" s="1162"/>
      <c r="AB205" s="1162"/>
      <c r="AF205" s="1162"/>
    </row>
    <row r="206" spans="2:32" ht="12.75" hidden="1" customHeight="1" outlineLevel="1" x14ac:dyDescent="0.2">
      <c r="B206" s="1733" t="str">
        <f>+Energia!B203</f>
        <v>Upstream leased assets</v>
      </c>
      <c r="C206" s="1734"/>
      <c r="D206" s="1435">
        <v>14</v>
      </c>
      <c r="E206" s="1441"/>
      <c r="F206" s="1441"/>
      <c r="G206" s="1441"/>
      <c r="H206" s="1441"/>
      <c r="I206" s="1441"/>
      <c r="J206" s="1442"/>
      <c r="K206" s="1443"/>
      <c r="L206" s="1443"/>
      <c r="M206" s="1444"/>
      <c r="N206" s="1445"/>
      <c r="O206" s="1445"/>
      <c r="Q206" s="1317"/>
      <c r="R206" s="1317"/>
      <c r="W206" s="1162"/>
      <c r="AB206" s="1162"/>
      <c r="AF206" s="1162"/>
    </row>
    <row r="207" spans="2:32" ht="12.75" hidden="1" customHeight="1" outlineLevel="1" x14ac:dyDescent="0.2">
      <c r="B207" s="1733" t="str">
        <f>+Energia!B204</f>
        <v>Investimenti</v>
      </c>
      <c r="C207" s="1734"/>
      <c r="D207" s="1435">
        <v>15</v>
      </c>
      <c r="E207" s="1441"/>
      <c r="F207" s="1441"/>
      <c r="G207" s="1441"/>
      <c r="H207" s="1441"/>
      <c r="I207" s="1441"/>
      <c r="J207" s="1442"/>
      <c r="K207" s="1443"/>
      <c r="L207" s="1443"/>
      <c r="M207" s="1444"/>
      <c r="N207" s="1445"/>
      <c r="O207" s="1445"/>
      <c r="Q207" s="1317"/>
      <c r="R207" s="1317"/>
      <c r="W207" s="1162"/>
      <c r="AB207" s="1162"/>
      <c r="AF207" s="1162"/>
    </row>
    <row r="208" spans="2:32" ht="12.75" hidden="1" customHeight="1" outlineLevel="1" x14ac:dyDescent="0.2">
      <c r="B208" s="1733" t="str">
        <f>+Energia!B205</f>
        <v xml:space="preserve">Trasporto di clienti e visitatori </v>
      </c>
      <c r="C208" s="1734"/>
      <c r="D208" s="1435">
        <v>16</v>
      </c>
      <c r="E208" s="1441"/>
      <c r="F208" s="1441"/>
      <c r="G208" s="1441"/>
      <c r="H208" s="1441"/>
      <c r="I208" s="1441"/>
      <c r="J208" s="1442"/>
      <c r="K208" s="1443"/>
      <c r="L208" s="1443"/>
      <c r="M208" s="1444"/>
      <c r="N208" s="1445"/>
      <c r="O208" s="1445"/>
      <c r="Q208" s="1317"/>
      <c r="R208" s="1317"/>
      <c r="W208" s="1162"/>
      <c r="AB208" s="1162"/>
      <c r="AF208" s="1162"/>
    </row>
    <row r="209" spans="2:32" ht="12.75" hidden="1" customHeight="1" outlineLevel="1" x14ac:dyDescent="0.2">
      <c r="B209" s="1733" t="str">
        <f>+Energia!B206</f>
        <v>Trasporto di merci e distribuzione in fase d’uso e fine vita</v>
      </c>
      <c r="C209" s="1734"/>
      <c r="D209" s="1435">
        <v>17</v>
      </c>
      <c r="E209" s="1441"/>
      <c r="F209" s="1441"/>
      <c r="G209" s="1441"/>
      <c r="H209" s="1441"/>
      <c r="I209" s="1441"/>
      <c r="J209" s="1442"/>
      <c r="K209" s="1443"/>
      <c r="L209" s="1443"/>
      <c r="M209" s="1444"/>
      <c r="N209" s="1445"/>
      <c r="O209" s="1445"/>
      <c r="Q209" s="1317"/>
      <c r="R209" s="1317"/>
      <c r="W209" s="1162"/>
      <c r="AB209" s="1162"/>
      <c r="AF209" s="1162"/>
    </row>
    <row r="210" spans="2:32" ht="12.75" hidden="1" customHeight="1" outlineLevel="1" x14ac:dyDescent="0.2">
      <c r="B210" s="1733" t="str">
        <f>+Energia!B207</f>
        <v xml:space="preserve">Uso dei prodotto venduti  </v>
      </c>
      <c r="C210" s="1734"/>
      <c r="D210" s="1435">
        <v>18</v>
      </c>
      <c r="E210" s="1441"/>
      <c r="F210" s="1441"/>
      <c r="G210" s="1441"/>
      <c r="H210" s="1441"/>
      <c r="I210" s="1441"/>
      <c r="J210" s="1442"/>
      <c r="K210" s="1443"/>
      <c r="L210" s="1443"/>
      <c r="M210" s="1444"/>
      <c r="N210" s="1445"/>
      <c r="O210" s="1445"/>
      <c r="Q210" s="1317"/>
      <c r="R210" s="1317"/>
      <c r="W210" s="1162"/>
      <c r="AB210" s="1162"/>
      <c r="AF210" s="1162"/>
    </row>
    <row r="211" spans="2:32" ht="12.75" hidden="1" customHeight="1" outlineLevel="1" x14ac:dyDescent="0.2">
      <c r="B211" s="1733" t="str">
        <f>+Energia!B208</f>
        <v>Fine vita dei prodotti venduti</v>
      </c>
      <c r="C211" s="1734"/>
      <c r="D211" s="1435">
        <v>19</v>
      </c>
      <c r="E211" s="1441">
        <f>AK17+AL17+AK27+AL27+AK41+AK52+AK63+AK73+AK83+AK101+AK111+AK124-E213</f>
        <v>0</v>
      </c>
      <c r="F211" s="1441">
        <f>AM17+AN17+AM27+AN27+AL41+AL52+AL63+AL73+AL83+AL101+AL111+AL124-F213</f>
        <v>8.1999999999999993</v>
      </c>
      <c r="G211" s="1441">
        <f>AO17+AP17+AO27+AP27+AM41+AM52+AM63+AM73+AM83+AM101+AM111+AM124-G213</f>
        <v>135</v>
      </c>
      <c r="H211" s="1441">
        <f>AN101-H213</f>
        <v>0</v>
      </c>
      <c r="I211" s="1441">
        <f>AN111-I213</f>
        <v>0</v>
      </c>
      <c r="J211" s="1442">
        <f>AS17+AT17+AS27+AT27+AO41+AO52+AO63+AO73+AO83+AO101+AO111+AO124-J213</f>
        <v>143</v>
      </c>
      <c r="K211" s="1443">
        <f>AU17+AV17+AU27+AV27+AP41+AP52+AP63+AP73+AP83+AP101+AP111+AP124-K213</f>
        <v>5320.3899999999994</v>
      </c>
      <c r="L211" s="1443">
        <v>0</v>
      </c>
      <c r="M211" s="1444">
        <f>SQRT(X17^2+Y17^2+X27^2+Y27^2+X41^2+X52^2+X63^2+X73^2+X83^2+X101^2+X111^2+X124^2-M213^2)</f>
        <v>71.5</v>
      </c>
      <c r="N211" s="1445"/>
      <c r="O211" s="1445"/>
      <c r="Q211" s="1317"/>
      <c r="R211" s="1317"/>
      <c r="W211" s="1162"/>
      <c r="AB211" s="1162"/>
      <c r="AF211" s="1162"/>
    </row>
    <row r="212" spans="2:32" ht="12.75" hidden="1" customHeight="1" outlineLevel="1" x14ac:dyDescent="0.2">
      <c r="B212" s="1733" t="str">
        <f>+Energia!B209</f>
        <v xml:space="preserve">Downstream franchises </v>
      </c>
      <c r="C212" s="1734"/>
      <c r="D212" s="1435">
        <v>20</v>
      </c>
      <c r="E212" s="1441"/>
      <c r="F212" s="1441"/>
      <c r="G212" s="1441"/>
      <c r="H212" s="1441"/>
      <c r="I212" s="1441"/>
      <c r="J212" s="1442"/>
      <c r="K212" s="1443"/>
      <c r="L212" s="1443"/>
      <c r="M212" s="1444"/>
      <c r="N212" s="1445"/>
      <c r="O212" s="1445"/>
      <c r="Q212" s="1317"/>
      <c r="R212" s="1317"/>
      <c r="W212" s="1162"/>
      <c r="AB212" s="1162"/>
      <c r="AF212" s="1162"/>
    </row>
    <row r="213" spans="2:32" ht="12.75" hidden="1" customHeight="1" outlineLevel="1" x14ac:dyDescent="0.2">
      <c r="B213" s="1733" t="str">
        <f>+Energia!B210</f>
        <v>Downstream leased assets</v>
      </c>
      <c r="C213" s="1734"/>
      <c r="D213" s="1435">
        <v>21</v>
      </c>
      <c r="E213" s="1441">
        <f>SUMIF($F$9:$F$27,"Yes",AK9:AK27)+SUMIF($F$9:$F$27,"Yes",AL9:AL27)+SUMIF($F$32:$F$124,"Yes",AK32:AK124)</f>
        <v>0</v>
      </c>
      <c r="F213" s="1441">
        <f>SUMIF($F$9:$F$27,"Yes",AM9:AM27)+SUMIF($F$9:$F$27,"Yes",AN9:AN27)+SUMIF($F$32:$F$124,"Yes",AL32:AL124)</f>
        <v>0</v>
      </c>
      <c r="G213" s="1441">
        <f>SUMIF($F$9:$F$27,"Yes",AO9:AO27)+SUMIF($F$9:$F$27,"Yes",AP9:AP27)+SUMIF($F$32:$F$124,"Yes",AM32:AM124)</f>
        <v>0</v>
      </c>
      <c r="H213" s="1441">
        <f>SUMIF($F$97:$F$100,"Yes",AN$97:AN$100)</f>
        <v>0</v>
      </c>
      <c r="I213" s="1441">
        <f>SUMIF($F$107:$F$110,"Yes",AN$107:AN$110)</f>
        <v>0</v>
      </c>
      <c r="J213" s="1442">
        <f>SUMIF($F$9:$F$27,"Yes",AS9:AS27)+SUMIF($F$9:$F$27,"Yes",AT9:AT27)+SUMIF($F$32:$F$124,"Yes",AO32:AO124)</f>
        <v>0</v>
      </c>
      <c r="K213" s="1443">
        <f>SUMIF($F$9:$F$27,"Yes",AU9:AU27)+SUMIF($F$9:$F$27,"Yes",AV9:AV27)+SUMIF($F$32:$F$124,"Yes",AP32:AP124)</f>
        <v>0</v>
      </c>
      <c r="L213" s="1443">
        <v>0</v>
      </c>
      <c r="M213" s="1444">
        <f>SQRT(SUMPRODUCT(($F$9:$F$27="Yes")*1,X9:X27,X9:X27)+SUMPRODUCT(($F$9:$F$27="Yes")*1,Y9:Y27,Y9:Y27)+SUMPRODUCT(($F$32:$F$124="Yes")*1,X32:X124,X32:X124))</f>
        <v>0</v>
      </c>
      <c r="N213" s="1445"/>
      <c r="O213" s="1445"/>
      <c r="Q213" s="1317"/>
      <c r="R213" s="1317"/>
      <c r="W213" s="1162"/>
      <c r="AB213" s="1162"/>
      <c r="AF213" s="1162"/>
    </row>
    <row r="214" spans="2:32" ht="12.75" hidden="1" customHeight="1" outlineLevel="1" x14ac:dyDescent="0.2">
      <c r="B214" s="1733" t="str">
        <f>+Energia!B211</f>
        <v>Impiegati pendolari</v>
      </c>
      <c r="C214" s="1734"/>
      <c r="D214" s="1435">
        <v>22</v>
      </c>
      <c r="E214" s="1441"/>
      <c r="F214" s="1441"/>
      <c r="G214" s="1441"/>
      <c r="H214" s="1441"/>
      <c r="I214" s="1441"/>
      <c r="J214" s="1442"/>
      <c r="K214" s="1443"/>
      <c r="L214" s="1443"/>
      <c r="M214" s="1444"/>
      <c r="N214" s="1445"/>
      <c r="O214" s="1445"/>
      <c r="Q214" s="1317"/>
      <c r="R214" s="1317"/>
      <c r="W214" s="1162"/>
      <c r="AB214" s="1162"/>
      <c r="AF214" s="1162"/>
    </row>
    <row r="215" spans="2:32" ht="12.75" hidden="1" customHeight="1" outlineLevel="1" x14ac:dyDescent="0.2">
      <c r="B215" s="1733" t="str">
        <f>+Energia!B212</f>
        <v xml:space="preserve">Altre emissioni indirette </v>
      </c>
      <c r="C215" s="1734"/>
      <c r="D215" s="1435">
        <v>23</v>
      </c>
      <c r="E215" s="1441"/>
      <c r="F215" s="1441"/>
      <c r="G215" s="1441"/>
      <c r="H215" s="1441"/>
      <c r="I215" s="1441"/>
      <c r="J215" s="1442"/>
      <c r="K215" s="1443"/>
      <c r="L215" s="1443"/>
      <c r="M215" s="1444"/>
      <c r="N215" s="1445"/>
      <c r="O215" s="1445"/>
      <c r="Q215" s="1317"/>
      <c r="R215" s="1317"/>
      <c r="W215" s="1162"/>
      <c r="AB215" s="1162"/>
      <c r="AF215" s="1162"/>
    </row>
    <row r="216" spans="2:32" ht="12.75" hidden="1" customHeight="1" outlineLevel="1" x14ac:dyDescent="0.2">
      <c r="B216" s="1738" t="s">
        <v>96</v>
      </c>
      <c r="C216" s="1738"/>
      <c r="D216" s="1738"/>
      <c r="E216" s="1447">
        <f>SUM(E200:E215)</f>
        <v>0</v>
      </c>
      <c r="F216" s="1447">
        <f t="shared" ref="F216:O216" si="32">SUM(F200:F215)</f>
        <v>8.1999999999999993</v>
      </c>
      <c r="G216" s="1447">
        <f t="shared" si="32"/>
        <v>135</v>
      </c>
      <c r="H216" s="1447">
        <f t="shared" si="32"/>
        <v>0</v>
      </c>
      <c r="I216" s="1447">
        <f t="shared" si="32"/>
        <v>0</v>
      </c>
      <c r="J216" s="1447">
        <f t="shared" si="32"/>
        <v>143</v>
      </c>
      <c r="K216" s="1448">
        <f t="shared" si="32"/>
        <v>5320.3899999999994</v>
      </c>
      <c r="L216" s="1448">
        <f t="shared" si="32"/>
        <v>0</v>
      </c>
      <c r="M216" s="1449">
        <f>SQRT(SUMSQ(M200:M215))</f>
        <v>71.5</v>
      </c>
      <c r="N216" s="1450">
        <f t="shared" si="32"/>
        <v>0</v>
      </c>
      <c r="O216" s="1450">
        <f t="shared" si="32"/>
        <v>0</v>
      </c>
      <c r="Q216" s="1317"/>
      <c r="R216" s="1317"/>
      <c r="W216" s="1162"/>
      <c r="AB216" s="1162"/>
      <c r="AF216" s="1162"/>
    </row>
    <row r="217" spans="2:32" ht="12" hidden="1" customHeight="1" outlineLevel="1" x14ac:dyDescent="0.2">
      <c r="Q217" s="1317"/>
      <c r="R217" s="1317"/>
      <c r="W217" s="1162"/>
      <c r="AB217" s="1162"/>
      <c r="AF217" s="1162"/>
    </row>
    <row r="219" spans="2:32" ht="17" x14ac:dyDescent="0.2">
      <c r="B219" s="1649" t="s">
        <v>2768</v>
      </c>
    </row>
    <row r="220" spans="2:32" ht="17" x14ac:dyDescent="0.2">
      <c r="B220" s="1649" t="s">
        <v>2769</v>
      </c>
    </row>
    <row r="221" spans="2:32" ht="17" x14ac:dyDescent="0.2">
      <c r="B221" s="1650" t="s">
        <v>2770</v>
      </c>
    </row>
    <row r="222" spans="2:32" ht="16" x14ac:dyDescent="0.2">
      <c r="B222" s="1651" t="s">
        <v>2771</v>
      </c>
    </row>
    <row r="223" spans="2:32" ht="17" x14ac:dyDescent="0.2">
      <c r="B223" s="1649" t="s">
        <v>2772</v>
      </c>
    </row>
  </sheetData>
  <mergeCells count="157">
    <mergeCell ref="AU11:AV11"/>
    <mergeCell ref="AM11:AN11"/>
    <mergeCell ref="B2:O2"/>
    <mergeCell ref="B7:O7"/>
    <mergeCell ref="B30:O30"/>
    <mergeCell ref="AK19:AV19"/>
    <mergeCell ref="AS20:AT20"/>
    <mergeCell ref="AU21:AV21"/>
    <mergeCell ref="AK9:AV9"/>
    <mergeCell ref="D4:E4"/>
    <mergeCell ref="F4:G4"/>
    <mergeCell ref="H11:I11"/>
    <mergeCell ref="AS21:AT21"/>
    <mergeCell ref="AK21:AL21"/>
    <mergeCell ref="AM21:AN21"/>
    <mergeCell ref="AO21:AP21"/>
    <mergeCell ref="AQ21:AR21"/>
    <mergeCell ref="H4:I4"/>
    <mergeCell ref="J4:K4"/>
    <mergeCell ref="D5:E5"/>
    <mergeCell ref="H5:I5"/>
    <mergeCell ref="K11:L11"/>
    <mergeCell ref="V9:Z9"/>
    <mergeCell ref="AB9:AI9"/>
    <mergeCell ref="AS11:AT11"/>
    <mergeCell ref="AK10:AR10"/>
    <mergeCell ref="V54:X54"/>
    <mergeCell ref="V65:X65"/>
    <mergeCell ref="V19:Z19"/>
    <mergeCell ref="AB19:AI19"/>
    <mergeCell ref="Q11:R11"/>
    <mergeCell ref="AO11:AP11"/>
    <mergeCell ref="AQ11:AR11"/>
    <mergeCell ref="AS10:AT10"/>
    <mergeCell ref="AK11:AL11"/>
    <mergeCell ref="V43:X43"/>
    <mergeCell ref="AB43:AE43"/>
    <mergeCell ref="AK32:AP32"/>
    <mergeCell ref="AB32:AE32"/>
    <mergeCell ref="B86:O86"/>
    <mergeCell ref="B114:O114"/>
    <mergeCell ref="H131:I131"/>
    <mergeCell ref="D131:F131"/>
    <mergeCell ref="N11:O11"/>
    <mergeCell ref="AB75:AE75"/>
    <mergeCell ref="AB103:AE103"/>
    <mergeCell ref="AB116:AE116"/>
    <mergeCell ref="Q21:R21"/>
    <mergeCell ref="Q131:T131"/>
    <mergeCell ref="H21:I21"/>
    <mergeCell ref="K21:L21"/>
    <mergeCell ref="V32:X32"/>
    <mergeCell ref="AB54:AE54"/>
    <mergeCell ref="AB65:AE65"/>
    <mergeCell ref="AB88:AE88"/>
    <mergeCell ref="B129:O129"/>
    <mergeCell ref="N21:O21"/>
    <mergeCell ref="V75:X75"/>
    <mergeCell ref="V88:X88"/>
    <mergeCell ref="V103:X103"/>
    <mergeCell ref="V116:X116"/>
    <mergeCell ref="K131:L131"/>
    <mergeCell ref="B149:C149"/>
    <mergeCell ref="B150:C150"/>
    <mergeCell ref="B144:C144"/>
    <mergeCell ref="B131:C132"/>
    <mergeCell ref="B133:C133"/>
    <mergeCell ref="B145:C145"/>
    <mergeCell ref="B146:C146"/>
    <mergeCell ref="B141:C141"/>
    <mergeCell ref="B147:C147"/>
    <mergeCell ref="B148:C148"/>
    <mergeCell ref="B134:C134"/>
    <mergeCell ref="B137:C137"/>
    <mergeCell ref="B138:C138"/>
    <mergeCell ref="B139:C139"/>
    <mergeCell ref="B140:C140"/>
    <mergeCell ref="B135:C135"/>
    <mergeCell ref="B136:C136"/>
    <mergeCell ref="E155:N155"/>
    <mergeCell ref="B156:C156"/>
    <mergeCell ref="B157:C157"/>
    <mergeCell ref="B158:C158"/>
    <mergeCell ref="B159:C159"/>
    <mergeCell ref="B160:C160"/>
    <mergeCell ref="B161:D161"/>
    <mergeCell ref="B162:C162"/>
    <mergeCell ref="AK20:AR20"/>
    <mergeCell ref="AK34:AN34"/>
    <mergeCell ref="AK45:AN45"/>
    <mergeCell ref="AK56:AN56"/>
    <mergeCell ref="AK67:AN67"/>
    <mergeCell ref="AK77:AN77"/>
    <mergeCell ref="AK90:AN90"/>
    <mergeCell ref="AK105:AN105"/>
    <mergeCell ref="AK118:AN118"/>
    <mergeCell ref="AK65:AP65"/>
    <mergeCell ref="AK75:AP75"/>
    <mergeCell ref="AK103:AP103"/>
    <mergeCell ref="AK116:AP116"/>
    <mergeCell ref="AK43:AP43"/>
    <mergeCell ref="AK54:AP54"/>
    <mergeCell ref="AK88:AP88"/>
    <mergeCell ref="B181:C181"/>
    <mergeCell ref="B182:C182"/>
    <mergeCell ref="B183:C183"/>
    <mergeCell ref="B184:D184"/>
    <mergeCell ref="F5:G5"/>
    <mergeCell ref="B172:C172"/>
    <mergeCell ref="B173:C173"/>
    <mergeCell ref="B174:C174"/>
    <mergeCell ref="B175:O175"/>
    <mergeCell ref="B176:C176"/>
    <mergeCell ref="B177:C177"/>
    <mergeCell ref="B178:C178"/>
    <mergeCell ref="B179:C179"/>
    <mergeCell ref="B180:C180"/>
    <mergeCell ref="B163:C163"/>
    <mergeCell ref="B164:D164"/>
    <mergeCell ref="B165:O165"/>
    <mergeCell ref="B166:C166"/>
    <mergeCell ref="B167:C167"/>
    <mergeCell ref="B168:C168"/>
    <mergeCell ref="B169:C169"/>
    <mergeCell ref="B170:C170"/>
    <mergeCell ref="B171:C171"/>
    <mergeCell ref="B153:O153"/>
    <mergeCell ref="B187:O187"/>
    <mergeCell ref="E189:M189"/>
    <mergeCell ref="B190:C190"/>
    <mergeCell ref="B191:C191"/>
    <mergeCell ref="O191:O196"/>
    <mergeCell ref="B192:C192"/>
    <mergeCell ref="B193:C193"/>
    <mergeCell ref="B194:C194"/>
    <mergeCell ref="B195:C195"/>
    <mergeCell ref="B196:D196"/>
    <mergeCell ref="B197:C197"/>
    <mergeCell ref="B198:C198"/>
    <mergeCell ref="B199:D199"/>
    <mergeCell ref="B200:C200"/>
    <mergeCell ref="B201:C201"/>
    <mergeCell ref="B202:C202"/>
    <mergeCell ref="B203:C203"/>
    <mergeCell ref="B204:C204"/>
    <mergeCell ref="B205:C205"/>
    <mergeCell ref="B215:C215"/>
    <mergeCell ref="B216:D216"/>
    <mergeCell ref="B206:C206"/>
    <mergeCell ref="B207:C207"/>
    <mergeCell ref="B208:C208"/>
    <mergeCell ref="B209:C209"/>
    <mergeCell ref="B210:C210"/>
    <mergeCell ref="B211:C211"/>
    <mergeCell ref="B212:C212"/>
    <mergeCell ref="B213:C213"/>
    <mergeCell ref="B214:C214"/>
  </mergeCells>
  <phoneticPr fontId="9" type="noConversion"/>
  <dataValidations count="12">
    <dataValidation type="list" allowBlank="1" showInputMessage="1" showErrorMessage="1" sqref="B97:B99" xr:uid="{00000000-0002-0000-0A00-000000000000}">
      <formula1>halocarbure_kyoto</formula1>
    </dataValidation>
    <dataValidation type="list" allowBlank="1" showInputMessage="1" showErrorMessage="1" sqref="B107:B109" xr:uid="{00000000-0002-0000-0A00-000001000000}">
      <formula1>halocarbure_hors_kyoto</formula1>
    </dataValidation>
    <dataValidation type="list" allowBlank="1" showInputMessage="1" showErrorMessage="1" sqref="B120:B122" xr:uid="{00000000-0002-0000-0A00-000002000000}">
      <formula1>DIS</formula1>
    </dataValidation>
    <dataValidation type="list" allowBlank="1" showInputMessage="1" showErrorMessage="1" sqref="B13:B15" xr:uid="{00000000-0002-0000-0A00-000003000000}">
      <formula1>combustibles</formula1>
    </dataValidation>
    <dataValidation type="list" allowBlank="1" showInputMessage="1" showErrorMessage="1" sqref="B23:B25" xr:uid="{00000000-0002-0000-0A00-000004000000}">
      <formula1>biocombustibles</formula1>
    </dataValidation>
    <dataValidation type="list" allowBlank="1" showInputMessage="1" showErrorMessage="1" sqref="B36:B39" xr:uid="{00000000-0002-0000-0A00-000005000000}">
      <formula1>metaux</formula1>
    </dataValidation>
    <dataValidation type="list" allowBlank="1" showInputMessage="1" showErrorMessage="1" sqref="B47:B50" xr:uid="{00000000-0002-0000-0A00-000006000000}">
      <formula1>plastiques</formula1>
    </dataValidation>
    <dataValidation type="list" allowBlank="1" showInputMessage="1" showErrorMessage="1" sqref="B58:B61" xr:uid="{00000000-0002-0000-0A00-000007000000}">
      <formula1>verres</formula1>
    </dataValidation>
    <dataValidation type="list" allowBlank="1" showInputMessage="1" showErrorMessage="1" sqref="B79:B81" xr:uid="{00000000-0002-0000-0A00-000008000000}">
      <formula1>divers_mix</formula1>
    </dataValidation>
    <dataValidation allowBlank="1" showInputMessage="1" showErrorMessage="1" sqref="C120:C122 C107:C109 C36:C39 C47:C50 C58:C61 C69:C71 C79:C81 C97:C99 F13:F15 F23:F25" xr:uid="{00000000-0002-0000-0A00-000009000000}"/>
    <dataValidation type="list" allowBlank="1" showInputMessage="1" showErrorMessage="1" sqref="F120:F122 F47:F50 F58:F61 F69:F71 F79:F81 F92:F95 F97:F99 F107:F109 F37:F39" xr:uid="{00000000-0002-0000-0A00-00000A000000}">
      <formula1>"Yes,No"</formula1>
    </dataValidation>
    <dataValidation type="list" allowBlank="1" showInputMessage="1" showErrorMessage="1" sqref="F36" xr:uid="{00000000-0002-0000-0A00-00000B000000}">
      <formula1>"Yes,No,"</formula1>
    </dataValidation>
  </dataValidations>
  <hyperlinks>
    <hyperlink ref="D4" location="fin_de_vie_haut" display="Combustibles" xr:uid="{00000000-0004-0000-0A00-000000000000}"/>
    <hyperlink ref="D5" location="fin_de_vie_recap" display="total" xr:uid="{00000000-0004-0000-0A00-000001000000}"/>
    <hyperlink ref="F4" location="fin_de_vie_banals" display="banals" xr:uid="{00000000-0004-0000-0A00-000002000000}"/>
    <hyperlink ref="H4" location="fuites_DIS" display="fuites et DIS" xr:uid="{00000000-0004-0000-0A00-000003000000}"/>
    <hyperlink ref="J4:K4" location="fin_de_vie_dangereux" display="Déchets dangereux" xr:uid="{00000000-0004-0000-0A00-000004000000}"/>
    <hyperlink ref="F5" location="findevie_GHGProtocol" display="GHG Protocol" xr:uid="{00000000-0004-0000-0A00-000005000000}"/>
    <hyperlink ref="H5:I5" location="findevie_ISO14069" display="ISO 14069" xr:uid="{00000000-0004-0000-0A00-000006000000}"/>
    <hyperlink ref="B222" r:id="rId1" xr:uid="{00000000-0004-0000-0A00-000007000000}"/>
    <hyperlink ref="B221" r:id="rId2" xr:uid="{00000000-0004-0000-0A00-000008000000}"/>
  </hyperlinks>
  <pageMargins left="0.78740157499999996" right="0.78740157499999996" top="0.984251969" bottom="0.984251969" header="0.5" footer="0.5"/>
  <pageSetup paperSize="9" orientation="portrait" horizontalDpi="4294967292" verticalDpi="4294967292"/>
  <headerFooter alignWithMargins="0"/>
  <ignoredErrors>
    <ignoredError sqref="D180:D182" twoDigitTextYear="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C000000}">
          <x14:formula1>
            <xm:f>'Emissions factors'!$B$1735:$B$1736</xm:f>
          </x14:formula1>
          <xm:sqref>B69:B71</xm:sqref>
        </x14:dataValidation>
      </x14:dataValidations>
    </ex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20">
    <tabColor theme="9" tint="-0.249977111117893"/>
    <outlinePr summaryBelow="0"/>
  </sheetPr>
  <dimension ref="A2:IV2424"/>
  <sheetViews>
    <sheetView showGridLines="0" tabSelected="1" workbookViewId="0">
      <pane xSplit="2" ySplit="7" topLeftCell="C2220" activePane="bottomRight" state="frozenSplit"/>
      <selection activeCell="G90" sqref="G90"/>
      <selection pane="topRight" activeCell="G90" sqref="G90"/>
      <selection pane="bottomLeft" activeCell="G90" sqref="G90"/>
      <selection pane="bottomRight" activeCell="A77" sqref="A77:XFD77"/>
    </sheetView>
  </sheetViews>
  <sheetFormatPr baseColWidth="10" defaultColWidth="0" defaultRowHeight="13" outlineLevelRow="2" x14ac:dyDescent="0.15"/>
  <cols>
    <col min="1" max="1" width="2.6640625" style="13" customWidth="1"/>
    <col min="2" max="2" width="53.1640625" style="4" customWidth="1"/>
    <col min="3" max="22" width="16.6640625" style="4" customWidth="1"/>
    <col min="23" max="44" width="16.6640625" style="13" customWidth="1"/>
    <col min="45" max="45" width="16.6640625" style="13" hidden="1" customWidth="1"/>
    <col min="46" max="16384" width="0" style="13" hidden="1"/>
  </cols>
  <sheetData>
    <row r="2" spans="2:256" s="26" customFormat="1" ht="30" customHeight="1" x14ac:dyDescent="0.15">
      <c r="B2" s="1840" t="s">
        <v>711</v>
      </c>
      <c r="C2" s="1840"/>
      <c r="D2" s="1840"/>
      <c r="E2" s="1840"/>
      <c r="F2" s="1840"/>
      <c r="G2" s="1840"/>
      <c r="H2" s="1840"/>
      <c r="I2" s="1840"/>
      <c r="J2" s="1840"/>
      <c r="K2" s="12"/>
      <c r="L2" s="12"/>
      <c r="M2" s="12"/>
      <c r="N2" s="12"/>
      <c r="O2" s="12"/>
      <c r="P2" s="12"/>
      <c r="Q2" s="12"/>
      <c r="R2" s="12"/>
      <c r="S2" s="12"/>
      <c r="T2" s="12"/>
      <c r="U2" s="12"/>
      <c r="V2" s="12"/>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row>
    <row r="3" spans="2:256" s="26" customFormat="1" ht="12.75" customHeight="1" x14ac:dyDescent="0.15">
      <c r="G3" s="28"/>
      <c r="H3" s="28"/>
      <c r="I3" s="28"/>
      <c r="J3" s="28"/>
      <c r="K3" s="28"/>
      <c r="L3" s="28"/>
      <c r="M3" s="28"/>
      <c r="N3" s="28"/>
      <c r="O3" s="28"/>
      <c r="P3" s="28"/>
      <c r="Q3" s="28"/>
      <c r="R3" s="28"/>
      <c r="S3" s="28"/>
      <c r="T3" s="28"/>
      <c r="U3" s="28"/>
      <c r="V3" s="28"/>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2:256" s="26" customFormat="1" ht="15" customHeight="1" x14ac:dyDescent="0.15">
      <c r="B4" s="119" t="s">
        <v>712</v>
      </c>
      <c r="C4" s="1906" t="s">
        <v>713</v>
      </c>
      <c r="D4" s="1906"/>
      <c r="E4" s="1906" t="s">
        <v>716</v>
      </c>
      <c r="F4" s="1906"/>
      <c r="G4" s="1906" t="s">
        <v>10</v>
      </c>
      <c r="H4" s="1906"/>
      <c r="I4" s="1906" t="s">
        <v>719</v>
      </c>
      <c r="J4" s="1907"/>
      <c r="K4" s="28"/>
      <c r="L4" s="28"/>
      <c r="M4" s="28"/>
      <c r="N4" s="28"/>
      <c r="O4" s="28"/>
      <c r="P4" s="28"/>
      <c r="Q4" s="28"/>
      <c r="R4" s="28"/>
      <c r="S4" s="28"/>
      <c r="T4" s="28"/>
      <c r="U4" s="28"/>
      <c r="V4" s="28"/>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2:256" s="26" customFormat="1" ht="15" customHeight="1" x14ac:dyDescent="0.15">
      <c r="B5" s="455"/>
      <c r="C5" s="1904" t="s">
        <v>714</v>
      </c>
      <c r="D5" s="1904"/>
      <c r="E5" s="1904" t="s">
        <v>715</v>
      </c>
      <c r="F5" s="1904"/>
      <c r="G5" s="1904" t="s">
        <v>717</v>
      </c>
      <c r="H5" s="1904"/>
      <c r="I5" s="1904" t="s">
        <v>720</v>
      </c>
      <c r="J5" s="1905"/>
      <c r="K5" s="28"/>
      <c r="L5" s="28"/>
      <c r="M5" s="28"/>
      <c r="N5" s="28"/>
      <c r="O5" s="28"/>
      <c r="P5" s="28"/>
      <c r="Q5" s="28"/>
      <c r="R5" s="28"/>
      <c r="S5" s="28"/>
      <c r="T5" s="28"/>
      <c r="U5" s="28"/>
      <c r="V5" s="28"/>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2:256" s="26" customFormat="1" ht="15" customHeight="1" x14ac:dyDescent="0.15">
      <c r="B6" s="106" t="s">
        <v>133</v>
      </c>
      <c r="C6" s="1798" t="s">
        <v>134</v>
      </c>
      <c r="D6" s="1798"/>
      <c r="E6" s="1460"/>
      <c r="F6" s="1460"/>
      <c r="G6" s="1460"/>
      <c r="H6" s="1460"/>
      <c r="I6" s="1460"/>
      <c r="J6" s="1461"/>
      <c r="K6" s="28"/>
      <c r="L6" s="28"/>
      <c r="M6" s="28"/>
      <c r="N6" s="28"/>
      <c r="O6" s="28"/>
      <c r="P6" s="28"/>
      <c r="Q6" s="28"/>
      <c r="R6" s="28"/>
      <c r="S6" s="28"/>
      <c r="T6" s="28"/>
      <c r="U6" s="28"/>
      <c r="V6" s="28"/>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2:256" s="26" customFormat="1" ht="13" customHeight="1" x14ac:dyDescent="0.15">
      <c r="B7" s="572"/>
      <c r="C7" s="572"/>
      <c r="D7" s="572"/>
      <c r="E7" s="572"/>
      <c r="F7" s="572"/>
      <c r="G7" s="1091"/>
      <c r="H7" s="1091"/>
      <c r="I7" s="1091"/>
      <c r="J7" s="1091"/>
      <c r="K7" s="28"/>
      <c r="L7" s="28"/>
      <c r="M7" s="28"/>
      <c r="N7" s="28"/>
      <c r="O7" s="28"/>
      <c r="P7" s="28"/>
      <c r="Q7" s="28"/>
      <c r="R7" s="28"/>
      <c r="S7" s="28"/>
      <c r="T7" s="28"/>
      <c r="U7" s="28"/>
      <c r="V7" s="28"/>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2:256" s="26" customFormat="1" ht="20" customHeight="1" collapsed="1" x14ac:dyDescent="0.15">
      <c r="B8" s="1868" t="s">
        <v>718</v>
      </c>
      <c r="C8" s="1869"/>
      <c r="D8" s="1869"/>
      <c r="E8" s="1869"/>
      <c r="F8" s="1869"/>
      <c r="G8" s="1869"/>
      <c r="H8" s="1869"/>
      <c r="I8" s="1869"/>
      <c r="J8" s="1870"/>
      <c r="K8" s="28"/>
      <c r="L8" s="28"/>
      <c r="M8" s="28"/>
      <c r="N8" s="28"/>
      <c r="O8" s="28"/>
      <c r="P8" s="28"/>
      <c r="Q8" s="28"/>
      <c r="R8" s="28"/>
      <c r="S8" s="28"/>
      <c r="T8" s="28"/>
      <c r="U8" s="28"/>
      <c r="V8" s="28"/>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2:256" s="26" customFormat="1" ht="13" hidden="1" customHeight="1" outlineLevel="1" x14ac:dyDescent="0.15">
      <c r="G9" s="28"/>
      <c r="H9" s="28"/>
      <c r="I9" s="28"/>
      <c r="J9" s="28"/>
      <c r="K9" s="28"/>
      <c r="L9" s="28"/>
      <c r="M9" s="28"/>
      <c r="N9" s="28"/>
      <c r="O9" s="28"/>
      <c r="P9" s="28"/>
      <c r="Q9" s="28"/>
      <c r="R9" s="28"/>
      <c r="S9" s="28"/>
      <c r="T9" s="28"/>
      <c r="U9" s="28"/>
      <c r="V9" s="28"/>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2:256" s="26" customFormat="1" ht="12.75" hidden="1" customHeight="1" outlineLevel="1" x14ac:dyDescent="0.15">
      <c r="B10" s="818" t="s">
        <v>721</v>
      </c>
      <c r="C10" s="795" t="s">
        <v>722</v>
      </c>
      <c r="D10" s="795" t="s">
        <v>723</v>
      </c>
      <c r="G10" s="28"/>
      <c r="H10" s="28"/>
      <c r="I10" s="28"/>
      <c r="J10" s="28"/>
      <c r="K10" s="28"/>
      <c r="L10" s="28"/>
      <c r="M10" s="28"/>
      <c r="N10" s="28"/>
      <c r="O10" s="28"/>
      <c r="P10" s="28"/>
      <c r="Q10" s="28"/>
      <c r="R10" s="28"/>
      <c r="S10" s="28"/>
      <c r="T10" s="28"/>
      <c r="U10" s="28"/>
      <c r="V10" s="28"/>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2:256" s="26" customFormat="1" ht="13" hidden="1" customHeight="1" outlineLevel="1" x14ac:dyDescent="0.15">
      <c r="B11" s="808" t="s">
        <v>14</v>
      </c>
      <c r="C11" s="810">
        <v>1</v>
      </c>
      <c r="D11" s="811">
        <v>0</v>
      </c>
      <c r="G11" s="28"/>
      <c r="H11" s="28"/>
      <c r="I11" s="28"/>
      <c r="J11" s="28"/>
      <c r="K11" s="28"/>
      <c r="L11" s="28"/>
      <c r="M11" s="28"/>
      <c r="N11" s="28"/>
      <c r="O11" s="28"/>
      <c r="P11" s="28"/>
      <c r="Q11" s="28"/>
      <c r="R11" s="28"/>
      <c r="S11" s="28"/>
      <c r="T11" s="28"/>
      <c r="U11" s="28"/>
      <c r="V11" s="28"/>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2:256" s="26" customFormat="1" ht="13" hidden="1" customHeight="1" outlineLevel="1" x14ac:dyDescent="0.15">
      <c r="B12" s="800" t="s">
        <v>27</v>
      </c>
      <c r="C12" s="806">
        <v>265</v>
      </c>
      <c r="D12" s="807">
        <v>0.3</v>
      </c>
      <c r="G12" s="28"/>
      <c r="H12" s="28"/>
      <c r="I12" s="28"/>
      <c r="J12" s="28"/>
      <c r="K12" s="28"/>
      <c r="L12" s="28"/>
      <c r="M12" s="28"/>
      <c r="N12" s="28"/>
      <c r="O12" s="28"/>
      <c r="P12" s="28"/>
      <c r="Q12" s="28"/>
      <c r="R12" s="28"/>
      <c r="S12" s="28"/>
      <c r="T12" s="28"/>
      <c r="U12" s="28"/>
      <c r="V12" s="28"/>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2:256" s="26" customFormat="1" ht="13" hidden="1" customHeight="1" outlineLevel="1" x14ac:dyDescent="0.15">
      <c r="B13" s="800" t="s">
        <v>741</v>
      </c>
      <c r="C13" s="806">
        <v>30</v>
      </c>
      <c r="D13" s="807">
        <v>0.3</v>
      </c>
      <c r="G13" s="28"/>
      <c r="H13" s="28"/>
      <c r="I13" s="28"/>
      <c r="J13" s="28"/>
      <c r="K13" s="28"/>
      <c r="L13" s="28"/>
      <c r="M13" s="28"/>
      <c r="N13" s="28"/>
      <c r="O13" s="28"/>
      <c r="P13" s="28"/>
      <c r="Q13" s="28"/>
      <c r="R13" s="28"/>
      <c r="S13" s="28"/>
      <c r="T13" s="28"/>
      <c r="U13" s="28"/>
      <c r="V13" s="28"/>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row>
    <row r="14" spans="2:256" s="26" customFormat="1" ht="13" hidden="1" customHeight="1" outlineLevel="1" x14ac:dyDescent="0.15">
      <c r="B14" s="800" t="s">
        <v>740</v>
      </c>
      <c r="C14" s="806">
        <v>28</v>
      </c>
      <c r="D14" s="807">
        <v>0.3</v>
      </c>
      <c r="G14" s="28"/>
      <c r="H14" s="28"/>
      <c r="I14" s="28"/>
      <c r="J14" s="28"/>
      <c r="K14" s="28"/>
      <c r="L14" s="28"/>
      <c r="M14" s="28"/>
      <c r="N14" s="28"/>
      <c r="O14" s="28"/>
      <c r="P14" s="28"/>
      <c r="Q14" s="28"/>
      <c r="R14" s="28"/>
      <c r="S14" s="28"/>
      <c r="T14" s="28"/>
      <c r="U14" s="28"/>
      <c r="V14" s="28"/>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row r="15" spans="2:256" s="26" customFormat="1" ht="13" hidden="1" customHeight="1" outlineLevel="1" x14ac:dyDescent="0.15">
      <c r="B15" s="801"/>
      <c r="C15" s="802"/>
      <c r="D15" s="803"/>
      <c r="G15" s="28"/>
      <c r="H15" s="28"/>
      <c r="I15" s="28"/>
      <c r="J15" s="28"/>
      <c r="K15" s="28"/>
      <c r="L15" s="28"/>
      <c r="M15" s="28"/>
      <c r="N15" s="28"/>
      <c r="O15" s="28"/>
      <c r="P15" s="28"/>
      <c r="Q15" s="28"/>
      <c r="R15" s="28"/>
      <c r="S15" s="28"/>
      <c r="T15" s="28"/>
      <c r="U15" s="28"/>
      <c r="V15" s="28"/>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row>
    <row r="16" spans="2:256" s="26" customFormat="1" ht="13" hidden="1" customHeight="1" outlineLevel="1" x14ac:dyDescent="0.15">
      <c r="B16" s="6"/>
      <c r="C16" s="6"/>
      <c r="D16" s="6"/>
      <c r="G16" s="28"/>
      <c r="H16" s="28"/>
      <c r="I16" s="28"/>
      <c r="J16" s="28"/>
      <c r="K16" s="28"/>
      <c r="L16" s="28"/>
      <c r="M16" s="28"/>
      <c r="N16" s="28"/>
      <c r="O16" s="28"/>
      <c r="P16" s="28"/>
      <c r="Q16" s="28"/>
      <c r="R16" s="28"/>
      <c r="S16" s="28"/>
      <c r="T16" s="28"/>
      <c r="U16" s="28"/>
      <c r="V16" s="28"/>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row>
    <row r="17" spans="2:256" s="26" customFormat="1" ht="13" hidden="1" customHeight="1" outlineLevel="1" x14ac:dyDescent="0.15">
      <c r="B17" s="819" t="s">
        <v>724</v>
      </c>
      <c r="C17" s="1469" t="s">
        <v>722</v>
      </c>
      <c r="D17" s="1548" t="s">
        <v>723</v>
      </c>
      <c r="G17" s="28"/>
      <c r="H17" s="28"/>
      <c r="I17" s="28"/>
      <c r="J17" s="28"/>
      <c r="K17" s="28"/>
      <c r="L17" s="28"/>
      <c r="M17" s="28"/>
      <c r="N17" s="28"/>
      <c r="O17" s="28"/>
      <c r="P17" s="28"/>
      <c r="Q17" s="28"/>
      <c r="R17" s="28"/>
      <c r="S17" s="28"/>
      <c r="T17" s="28"/>
      <c r="U17" s="28"/>
      <c r="V17" s="28"/>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row>
    <row r="18" spans="2:256" s="26" customFormat="1" ht="13" hidden="1" customHeight="1" outlineLevel="1" x14ac:dyDescent="0.15">
      <c r="B18" s="800" t="s">
        <v>725</v>
      </c>
      <c r="C18" s="812">
        <v>12300</v>
      </c>
      <c r="D18" s="807">
        <v>0.3</v>
      </c>
      <c r="G18" s="28"/>
      <c r="H18" s="28"/>
      <c r="I18" s="28"/>
      <c r="J18" s="28"/>
      <c r="K18" s="28"/>
      <c r="L18" s="28"/>
      <c r="M18" s="28"/>
      <c r="N18" s="28"/>
      <c r="O18" s="28"/>
      <c r="P18" s="28"/>
      <c r="Q18" s="28"/>
      <c r="R18" s="28"/>
      <c r="S18" s="28"/>
      <c r="T18" s="28"/>
      <c r="U18" s="28"/>
      <c r="V18" s="28"/>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row>
    <row r="19" spans="2:256" s="26" customFormat="1" ht="13" hidden="1" customHeight="1" outlineLevel="1" x14ac:dyDescent="0.15">
      <c r="B19" s="800" t="s">
        <v>726</v>
      </c>
      <c r="C19" s="812">
        <v>3690</v>
      </c>
      <c r="D19" s="807">
        <v>0.3</v>
      </c>
      <c r="G19" s="28"/>
      <c r="H19" s="28"/>
      <c r="I19" s="28"/>
      <c r="J19" s="28"/>
      <c r="K19" s="28"/>
      <c r="L19" s="28"/>
      <c r="M19" s="28"/>
      <c r="N19" s="28"/>
      <c r="O19" s="28"/>
      <c r="P19" s="28"/>
      <c r="Q19" s="28"/>
      <c r="R19" s="28"/>
      <c r="S19" s="28"/>
      <c r="T19" s="28"/>
      <c r="U19" s="28"/>
      <c r="V19" s="28"/>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row>
    <row r="20" spans="2:256" s="26" customFormat="1" ht="13" hidden="1" customHeight="1" outlineLevel="1" x14ac:dyDescent="0.15">
      <c r="B20" s="800" t="s">
        <v>727</v>
      </c>
      <c r="C20" s="812">
        <v>1550</v>
      </c>
      <c r="D20" s="807">
        <v>0.3</v>
      </c>
      <c r="G20" s="28"/>
      <c r="H20" s="28"/>
      <c r="I20" s="28"/>
      <c r="J20" s="28"/>
      <c r="K20" s="28"/>
      <c r="L20" s="28"/>
      <c r="M20" s="28"/>
      <c r="N20" s="28"/>
      <c r="O20" s="28"/>
      <c r="P20" s="28"/>
      <c r="Q20" s="28"/>
      <c r="R20" s="28"/>
      <c r="S20" s="28"/>
      <c r="T20" s="28"/>
      <c r="U20" s="28"/>
      <c r="V20" s="28"/>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row>
    <row r="21" spans="2:256" s="26" customFormat="1" ht="13" hidden="1" customHeight="1" outlineLevel="1" x14ac:dyDescent="0.15">
      <c r="B21" s="800" t="s">
        <v>728</v>
      </c>
      <c r="C21" s="812">
        <v>7350</v>
      </c>
      <c r="D21" s="807">
        <v>0.3</v>
      </c>
      <c r="G21" s="28"/>
      <c r="H21" s="28"/>
      <c r="I21" s="28"/>
      <c r="J21" s="28"/>
      <c r="K21" s="28"/>
      <c r="L21" s="28"/>
      <c r="M21" s="28"/>
      <c r="N21" s="28"/>
      <c r="O21" s="28"/>
      <c r="P21" s="28"/>
      <c r="Q21" s="28"/>
      <c r="R21" s="28"/>
      <c r="S21" s="28"/>
      <c r="T21" s="28"/>
      <c r="U21" s="28"/>
      <c r="V21" s="28"/>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row>
    <row r="22" spans="2:256" s="26" customFormat="1" ht="13" hidden="1" customHeight="1" outlineLevel="1" x14ac:dyDescent="0.15">
      <c r="B22" s="800" t="s">
        <v>729</v>
      </c>
      <c r="C22" s="812">
        <v>5510</v>
      </c>
      <c r="D22" s="807">
        <v>0.3</v>
      </c>
      <c r="G22" s="28"/>
      <c r="H22" s="28"/>
      <c r="I22" s="28"/>
      <c r="J22" s="28"/>
      <c r="K22" s="28"/>
      <c r="L22" s="28"/>
      <c r="M22" s="28"/>
      <c r="N22" s="28"/>
      <c r="O22" s="28"/>
      <c r="P22" s="28"/>
      <c r="Q22" s="28"/>
      <c r="R22" s="28"/>
      <c r="S22" s="28"/>
      <c r="T22" s="28"/>
      <c r="U22" s="28"/>
      <c r="V22" s="28"/>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row>
    <row r="23" spans="2:256" s="26" customFormat="1" ht="13" hidden="1" customHeight="1" outlineLevel="1" x14ac:dyDescent="0.15">
      <c r="B23" s="800" t="s">
        <v>730</v>
      </c>
      <c r="C23" s="812">
        <v>167</v>
      </c>
      <c r="D23" s="807">
        <v>0.3</v>
      </c>
      <c r="G23" s="28"/>
      <c r="H23" s="28"/>
      <c r="I23" s="28"/>
      <c r="J23" s="28"/>
      <c r="K23" s="28"/>
      <c r="L23" s="28"/>
      <c r="M23" s="28"/>
      <c r="N23" s="28"/>
      <c r="O23" s="28"/>
      <c r="P23" s="28"/>
      <c r="Q23" s="28"/>
      <c r="R23" s="28"/>
      <c r="S23" s="28"/>
      <c r="T23" s="28"/>
      <c r="U23" s="28"/>
      <c r="V23" s="28"/>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row>
    <row r="24" spans="2:256" s="26" customFormat="1" ht="13" hidden="1" customHeight="1" outlineLevel="1" x14ac:dyDescent="0.15">
      <c r="B24" s="800" t="s">
        <v>731</v>
      </c>
      <c r="C24" s="812">
        <v>9880</v>
      </c>
      <c r="D24" s="807">
        <v>0.3</v>
      </c>
      <c r="G24" s="28"/>
      <c r="H24" s="28"/>
      <c r="I24" s="28"/>
      <c r="J24" s="28"/>
      <c r="K24" s="28"/>
      <c r="L24" s="28"/>
      <c r="M24" s="28"/>
      <c r="N24" s="28"/>
      <c r="O24" s="28"/>
      <c r="P24" s="28"/>
      <c r="Q24" s="28"/>
      <c r="R24" s="28"/>
      <c r="S24" s="28"/>
      <c r="T24" s="28"/>
      <c r="U24" s="28"/>
      <c r="V24" s="28"/>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row>
    <row r="25" spans="2:256" s="26" customFormat="1" ht="13" hidden="1" customHeight="1" outlineLevel="1" x14ac:dyDescent="0.15">
      <c r="B25" s="800" t="s">
        <v>732</v>
      </c>
      <c r="C25" s="812">
        <v>3860</v>
      </c>
      <c r="D25" s="807">
        <v>0.3</v>
      </c>
      <c r="G25" s="28"/>
      <c r="H25" s="28"/>
      <c r="I25" s="28"/>
      <c r="J25" s="28"/>
      <c r="K25" s="28"/>
      <c r="L25" s="28"/>
      <c r="M25" s="28"/>
      <c r="N25" s="28"/>
      <c r="O25" s="28"/>
      <c r="P25" s="28"/>
      <c r="Q25" s="28"/>
      <c r="R25" s="28"/>
      <c r="S25" s="28"/>
      <c r="T25" s="28"/>
      <c r="U25" s="28"/>
      <c r="V25" s="28"/>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row>
    <row r="26" spans="2:256" s="26" customFormat="1" ht="13" hidden="1" customHeight="1" outlineLevel="1" x14ac:dyDescent="0.15">
      <c r="B26" s="800" t="s">
        <v>733</v>
      </c>
      <c r="C26" s="812">
        <v>13900</v>
      </c>
      <c r="D26" s="807">
        <v>0.3</v>
      </c>
      <c r="G26" s="28"/>
      <c r="H26" s="28"/>
      <c r="I26" s="28"/>
      <c r="J26" s="28"/>
      <c r="K26" s="28"/>
      <c r="L26" s="28"/>
      <c r="M26" s="28"/>
      <c r="N26" s="28"/>
      <c r="O26" s="28"/>
      <c r="P26" s="28"/>
      <c r="Q26" s="28"/>
      <c r="R26" s="28"/>
      <c r="S26" s="28"/>
      <c r="T26" s="28"/>
      <c r="U26" s="28"/>
      <c r="V26" s="28"/>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row>
    <row r="27" spans="2:256" s="26" customFormat="1" ht="13" hidden="1" customHeight="1" outlineLevel="1" x14ac:dyDescent="0.15">
      <c r="B27" s="800" t="s">
        <v>734</v>
      </c>
      <c r="C27" s="812">
        <v>10600</v>
      </c>
      <c r="D27" s="807">
        <v>0.3</v>
      </c>
      <c r="G27" s="28"/>
      <c r="H27" s="28"/>
      <c r="I27" s="28"/>
      <c r="J27" s="28"/>
      <c r="K27" s="28"/>
      <c r="L27" s="28"/>
      <c r="M27" s="28"/>
      <c r="N27" s="28"/>
      <c r="O27" s="28"/>
      <c r="P27" s="28"/>
      <c r="Q27" s="28"/>
      <c r="R27" s="28"/>
      <c r="S27" s="28"/>
      <c r="T27" s="28"/>
      <c r="U27" s="28"/>
      <c r="V27" s="28"/>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row>
    <row r="28" spans="2:256" s="26" customFormat="1" ht="13" hidden="1" customHeight="1" outlineLevel="1" x14ac:dyDescent="0.15">
      <c r="B28" s="800" t="s">
        <v>735</v>
      </c>
      <c r="C28" s="812">
        <v>817</v>
      </c>
      <c r="D28" s="807">
        <v>0.3</v>
      </c>
      <c r="G28" s="28"/>
      <c r="H28" s="28"/>
      <c r="I28" s="28"/>
      <c r="J28" s="28"/>
      <c r="K28" s="28"/>
      <c r="L28" s="28"/>
      <c r="M28" s="28"/>
      <c r="N28" s="28"/>
      <c r="O28" s="28"/>
      <c r="P28" s="28"/>
      <c r="Q28" s="28"/>
      <c r="R28" s="28"/>
      <c r="S28" s="28"/>
      <c r="T28" s="28"/>
      <c r="U28" s="28"/>
      <c r="V28" s="28"/>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row>
    <row r="29" spans="2:256" s="26" customFormat="1" ht="13" hidden="1" customHeight="1" outlineLevel="1" x14ac:dyDescent="0.15">
      <c r="B29" s="800" t="s">
        <v>36</v>
      </c>
      <c r="C29" s="812">
        <v>4550</v>
      </c>
      <c r="D29" s="807">
        <v>0.3</v>
      </c>
      <c r="G29" s="28"/>
      <c r="H29" s="28"/>
      <c r="I29" s="28"/>
      <c r="J29" s="28"/>
      <c r="K29" s="28"/>
      <c r="L29" s="28"/>
      <c r="M29" s="28"/>
      <c r="N29" s="28"/>
      <c r="O29" s="28"/>
      <c r="P29" s="28"/>
      <c r="Q29" s="28"/>
      <c r="R29" s="28"/>
      <c r="S29" s="28"/>
      <c r="T29" s="28"/>
      <c r="U29" s="28"/>
      <c r="V29" s="28"/>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row>
    <row r="30" spans="2:256" s="26" customFormat="1" ht="13" hidden="1" customHeight="1" outlineLevel="1" x14ac:dyDescent="0.15">
      <c r="B30" s="800" t="s">
        <v>237</v>
      </c>
      <c r="C30" s="812">
        <v>2260</v>
      </c>
      <c r="D30" s="807">
        <v>0.3</v>
      </c>
      <c r="G30" s="28"/>
      <c r="H30" s="28"/>
      <c r="I30" s="28"/>
      <c r="J30" s="28"/>
      <c r="K30" s="28"/>
      <c r="L30" s="28"/>
      <c r="M30" s="28"/>
      <c r="N30" s="28"/>
      <c r="O30" s="28"/>
      <c r="P30" s="28"/>
      <c r="Q30" s="28"/>
      <c r="R30" s="28"/>
      <c r="S30" s="28"/>
      <c r="T30" s="28"/>
      <c r="U30" s="28"/>
      <c r="V30" s="28"/>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row>
    <row r="31" spans="2:256" s="26" customFormat="1" ht="13" hidden="1" customHeight="1" outlineLevel="1" x14ac:dyDescent="0.15">
      <c r="B31" s="800" t="s">
        <v>42</v>
      </c>
      <c r="C31" s="812">
        <v>1920</v>
      </c>
      <c r="D31" s="807">
        <v>0.3</v>
      </c>
      <c r="G31" s="28"/>
      <c r="H31" s="28"/>
      <c r="I31" s="28"/>
      <c r="J31" s="28"/>
      <c r="K31" s="28"/>
      <c r="L31" s="28"/>
      <c r="M31" s="28"/>
      <c r="N31" s="28"/>
      <c r="O31" s="28"/>
      <c r="P31" s="28"/>
      <c r="Q31" s="28"/>
      <c r="R31" s="28"/>
      <c r="S31" s="28"/>
      <c r="T31" s="28"/>
      <c r="U31" s="28"/>
      <c r="V31" s="28"/>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row>
    <row r="32" spans="2:256" s="26" customFormat="1" ht="13" hidden="1" customHeight="1" outlineLevel="1" x14ac:dyDescent="0.15">
      <c r="B32" s="800" t="s">
        <v>238</v>
      </c>
      <c r="C32" s="812">
        <v>1970</v>
      </c>
      <c r="D32" s="807">
        <v>0.3</v>
      </c>
      <c r="G32" s="28"/>
      <c r="H32" s="28"/>
      <c r="I32" s="28"/>
      <c r="J32" s="28"/>
      <c r="K32" s="28"/>
      <c r="L32" s="28"/>
      <c r="M32" s="28"/>
      <c r="N32" s="28"/>
      <c r="O32" s="28"/>
      <c r="P32" s="28"/>
      <c r="Q32" s="28"/>
      <c r="R32" s="28"/>
      <c r="S32" s="28"/>
      <c r="T32" s="28"/>
      <c r="U32" s="28"/>
      <c r="V32" s="28"/>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row>
    <row r="33" spans="2:256" s="26" customFormat="1" ht="13" hidden="1" customHeight="1" outlineLevel="1" x14ac:dyDescent="0.15">
      <c r="B33" s="800" t="s">
        <v>6</v>
      </c>
      <c r="C33" s="812">
        <v>2250</v>
      </c>
      <c r="D33" s="807">
        <v>0.3</v>
      </c>
      <c r="G33" s="28"/>
      <c r="H33" s="28"/>
      <c r="I33" s="28"/>
      <c r="J33" s="28"/>
      <c r="K33" s="28"/>
      <c r="L33" s="28"/>
      <c r="M33" s="28"/>
      <c r="N33" s="28"/>
      <c r="O33" s="28"/>
      <c r="P33" s="28"/>
      <c r="Q33" s="28"/>
      <c r="R33" s="28"/>
      <c r="S33" s="28"/>
      <c r="T33" s="28"/>
      <c r="U33" s="28"/>
      <c r="V33" s="28"/>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row>
    <row r="34" spans="2:256" s="26" customFormat="1" ht="13" hidden="1" customHeight="1" outlineLevel="1" x14ac:dyDescent="0.15">
      <c r="B34" s="800" t="s">
        <v>239</v>
      </c>
      <c r="C34" s="812">
        <v>2490</v>
      </c>
      <c r="D34" s="807">
        <v>0.3</v>
      </c>
      <c r="G34" s="28"/>
      <c r="H34" s="28"/>
      <c r="I34" s="28"/>
      <c r="J34" s="28"/>
      <c r="K34" s="28"/>
      <c r="L34" s="28"/>
      <c r="M34" s="28"/>
      <c r="N34" s="28"/>
      <c r="O34" s="28"/>
      <c r="P34" s="28"/>
      <c r="Q34" s="28"/>
      <c r="R34" s="28"/>
      <c r="S34" s="28"/>
      <c r="T34" s="28"/>
      <c r="U34" s="28"/>
      <c r="V34" s="28"/>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row>
    <row r="35" spans="2:256" s="26" customFormat="1" ht="13" hidden="1" customHeight="1" outlineLevel="1" x14ac:dyDescent="0.15">
      <c r="B35" s="800" t="s">
        <v>240</v>
      </c>
      <c r="C35" s="812">
        <v>3320</v>
      </c>
      <c r="D35" s="807">
        <v>0.3</v>
      </c>
      <c r="G35" s="28"/>
      <c r="H35" s="28"/>
      <c r="I35" s="28"/>
      <c r="J35" s="28"/>
      <c r="K35" s="28"/>
      <c r="L35" s="28"/>
      <c r="M35" s="28"/>
      <c r="N35" s="28"/>
      <c r="O35" s="28"/>
      <c r="P35" s="28"/>
      <c r="Q35" s="28"/>
      <c r="R35" s="28"/>
      <c r="S35" s="28"/>
      <c r="T35" s="28"/>
      <c r="U35" s="28"/>
      <c r="V35" s="28"/>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row>
    <row r="36" spans="2:256" s="26" customFormat="1" ht="13" hidden="1" customHeight="1" outlineLevel="1" x14ac:dyDescent="0.15">
      <c r="B36" s="800" t="s">
        <v>241</v>
      </c>
      <c r="C36" s="812">
        <v>2890</v>
      </c>
      <c r="D36" s="807">
        <v>0.3</v>
      </c>
      <c r="G36" s="28"/>
      <c r="H36" s="28"/>
      <c r="I36" s="28"/>
      <c r="J36" s="28"/>
      <c r="K36" s="28"/>
      <c r="L36" s="28"/>
      <c r="M36" s="28"/>
      <c r="N36" s="28"/>
      <c r="O36" s="28"/>
      <c r="P36" s="28"/>
      <c r="Q36" s="28"/>
      <c r="R36" s="28"/>
      <c r="S36" s="28"/>
      <c r="T36" s="28"/>
      <c r="U36" s="28"/>
      <c r="V36" s="28"/>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row>
    <row r="37" spans="2:256" s="26" customFormat="1" ht="13" hidden="1" customHeight="1" outlineLevel="1" x14ac:dyDescent="0.15">
      <c r="B37" s="800" t="s">
        <v>242</v>
      </c>
      <c r="C37" s="812">
        <v>2370</v>
      </c>
      <c r="D37" s="807">
        <v>0.3</v>
      </c>
      <c r="G37" s="28"/>
      <c r="H37" s="28"/>
      <c r="I37" s="28"/>
      <c r="J37" s="28"/>
      <c r="K37" s="28"/>
      <c r="L37" s="28"/>
      <c r="M37" s="28"/>
      <c r="N37" s="28"/>
      <c r="O37" s="28"/>
      <c r="P37" s="28"/>
      <c r="Q37" s="28"/>
      <c r="R37" s="28"/>
      <c r="S37" s="28"/>
      <c r="T37" s="28"/>
      <c r="U37" s="28"/>
      <c r="V37" s="28"/>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row>
    <row r="38" spans="2:256" s="26" customFormat="1" ht="13" hidden="1" customHeight="1" outlineLevel="1" x14ac:dyDescent="0.15">
      <c r="B38" s="800" t="s">
        <v>736</v>
      </c>
      <c r="C38" s="812">
        <v>1950</v>
      </c>
      <c r="D38" s="807">
        <v>0.3</v>
      </c>
      <c r="G38" s="28"/>
      <c r="H38" s="28"/>
      <c r="I38" s="28"/>
      <c r="J38" s="28"/>
      <c r="K38" s="28"/>
      <c r="L38" s="28"/>
      <c r="M38" s="28"/>
      <c r="N38" s="28"/>
      <c r="O38" s="28"/>
      <c r="P38" s="28"/>
      <c r="Q38" s="28"/>
      <c r="R38" s="28"/>
      <c r="S38" s="28"/>
      <c r="T38" s="28"/>
      <c r="U38" s="28"/>
      <c r="V38" s="28"/>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row>
    <row r="39" spans="2:256" s="26" customFormat="1" ht="13" hidden="1" customHeight="1" outlineLevel="1" x14ac:dyDescent="0.15">
      <c r="B39" s="800" t="s">
        <v>12</v>
      </c>
      <c r="C39" s="812">
        <v>4600</v>
      </c>
      <c r="D39" s="807">
        <v>0.3</v>
      </c>
      <c r="G39" s="28"/>
      <c r="H39" s="28"/>
      <c r="I39" s="28"/>
      <c r="J39" s="28"/>
      <c r="K39" s="28"/>
      <c r="L39" s="28"/>
      <c r="M39" s="28"/>
      <c r="N39" s="28"/>
      <c r="O39" s="28"/>
      <c r="P39" s="28"/>
      <c r="Q39" s="28"/>
      <c r="R39" s="28"/>
      <c r="S39" s="28"/>
      <c r="T39" s="28"/>
      <c r="U39" s="28"/>
      <c r="V39" s="28"/>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row>
    <row r="40" spans="2:256" s="26" customFormat="1" ht="13" hidden="1" customHeight="1" outlineLevel="1" x14ac:dyDescent="0.15">
      <c r="B40" s="800" t="s">
        <v>243</v>
      </c>
      <c r="C40" s="812">
        <v>2620</v>
      </c>
      <c r="D40" s="807">
        <v>0.3</v>
      </c>
      <c r="G40" s="28"/>
      <c r="H40" s="28"/>
      <c r="I40" s="28"/>
      <c r="J40" s="28"/>
      <c r="K40" s="28"/>
      <c r="L40" s="28"/>
      <c r="M40" s="28"/>
      <c r="N40" s="28"/>
      <c r="O40" s="28"/>
      <c r="P40" s="28"/>
      <c r="Q40" s="28"/>
      <c r="R40" s="28"/>
      <c r="S40" s="28"/>
      <c r="T40" s="28"/>
      <c r="U40" s="28"/>
      <c r="V40" s="28"/>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row>
    <row r="41" spans="2:256" s="26" customFormat="1" ht="13" hidden="1" customHeight="1" outlineLevel="1" x14ac:dyDescent="0.15">
      <c r="B41" s="800" t="s">
        <v>737</v>
      </c>
      <c r="C41" s="812">
        <v>8780</v>
      </c>
      <c r="D41" s="807">
        <v>0.3</v>
      </c>
      <c r="G41" s="28"/>
      <c r="H41" s="28"/>
      <c r="I41" s="28"/>
      <c r="J41" s="28"/>
      <c r="K41" s="28"/>
      <c r="L41" s="28"/>
      <c r="M41" s="28"/>
      <c r="N41" s="28"/>
      <c r="O41" s="28"/>
      <c r="P41" s="28"/>
      <c r="Q41" s="28"/>
      <c r="R41" s="28"/>
      <c r="S41" s="28"/>
      <c r="T41" s="28"/>
      <c r="U41" s="28"/>
      <c r="V41" s="28"/>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row>
    <row r="42" spans="2:256" s="26" customFormat="1" ht="13" hidden="1" customHeight="1" outlineLevel="1" x14ac:dyDescent="0.15">
      <c r="B42" s="800" t="s">
        <v>739</v>
      </c>
      <c r="C42" s="812">
        <v>26100</v>
      </c>
      <c r="D42" s="807">
        <v>0.3</v>
      </c>
      <c r="G42" s="28"/>
      <c r="H42" s="28"/>
      <c r="I42" s="28"/>
      <c r="J42" s="28"/>
      <c r="K42" s="28"/>
      <c r="L42" s="28"/>
      <c r="M42" s="28"/>
      <c r="N42" s="28"/>
      <c r="O42" s="28"/>
      <c r="P42" s="28"/>
      <c r="Q42" s="28"/>
      <c r="R42" s="28"/>
      <c r="S42" s="28"/>
      <c r="T42" s="28"/>
      <c r="U42" s="28"/>
      <c r="V42" s="28"/>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row>
    <row r="43" spans="2:256" s="26" customFormat="1" ht="13" hidden="1" customHeight="1" outlineLevel="1" x14ac:dyDescent="0.15">
      <c r="B43" s="800" t="s">
        <v>738</v>
      </c>
      <c r="C43" s="815">
        <v>17900</v>
      </c>
      <c r="D43" s="807">
        <v>0.3</v>
      </c>
      <c r="G43" s="28"/>
      <c r="H43" s="28"/>
      <c r="I43" s="28"/>
      <c r="J43" s="28"/>
      <c r="K43" s="28"/>
      <c r="L43" s="28"/>
      <c r="M43" s="28"/>
      <c r="N43" s="28"/>
      <c r="O43" s="28"/>
      <c r="P43" s="28"/>
      <c r="Q43" s="28"/>
      <c r="R43" s="28"/>
      <c r="S43" s="28"/>
      <c r="T43" s="28"/>
      <c r="U43" s="28"/>
      <c r="V43" s="28"/>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row>
    <row r="44" spans="2:256" s="26" customFormat="1" ht="13" hidden="1" customHeight="1" outlineLevel="1" x14ac:dyDescent="0.15">
      <c r="B44" s="801"/>
      <c r="C44" s="813"/>
      <c r="D44" s="814"/>
      <c r="G44" s="28"/>
      <c r="H44" s="28"/>
      <c r="I44" s="28"/>
      <c r="J44" s="28"/>
      <c r="K44" s="28"/>
      <c r="L44" s="28"/>
      <c r="M44" s="28"/>
      <c r="N44" s="28"/>
      <c r="O44" s="28"/>
      <c r="P44" s="28"/>
      <c r="Q44" s="28"/>
      <c r="R44" s="28"/>
      <c r="S44" s="28"/>
      <c r="T44" s="28"/>
      <c r="U44" s="28"/>
      <c r="V44" s="28"/>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row>
    <row r="45" spans="2:256" s="26" customFormat="1" ht="13" hidden="1" customHeight="1" outlineLevel="1" x14ac:dyDescent="0.15">
      <c r="B45" s="6"/>
      <c r="C45" s="6"/>
      <c r="D45" s="6"/>
      <c r="G45" s="28"/>
      <c r="H45" s="28"/>
      <c r="I45" s="28"/>
      <c r="J45" s="28"/>
      <c r="K45" s="28"/>
      <c r="L45" s="28"/>
      <c r="M45" s="28"/>
      <c r="N45" s="28"/>
      <c r="O45" s="28"/>
      <c r="P45" s="28"/>
      <c r="Q45" s="28"/>
      <c r="R45" s="28"/>
      <c r="S45" s="28"/>
      <c r="T45" s="28"/>
      <c r="U45" s="28"/>
      <c r="V45" s="28"/>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row>
    <row r="46" spans="2:256" s="26" customFormat="1" ht="13" hidden="1" customHeight="1" outlineLevel="1" x14ac:dyDescent="0.15">
      <c r="B46" s="820" t="s">
        <v>742</v>
      </c>
      <c r="C46" s="795" t="s">
        <v>722</v>
      </c>
      <c r="D46" s="1548" t="s">
        <v>723</v>
      </c>
      <c r="G46" s="28"/>
      <c r="H46" s="28"/>
      <c r="I46" s="28"/>
      <c r="J46" s="28"/>
      <c r="K46" s="28"/>
      <c r="L46" s="28"/>
      <c r="M46" s="28"/>
      <c r="N46" s="28"/>
      <c r="O46" s="28"/>
      <c r="P46" s="28"/>
      <c r="Q46" s="28"/>
      <c r="R46" s="28"/>
      <c r="S46" s="28"/>
      <c r="T46" s="28"/>
      <c r="U46" s="28"/>
      <c r="V46" s="28"/>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row>
    <row r="47" spans="2:256" s="26" customFormat="1" ht="13" hidden="1" customHeight="1" outlineLevel="1" x14ac:dyDescent="0.15">
      <c r="B47" s="800" t="s">
        <v>743</v>
      </c>
      <c r="C47" s="815">
        <v>15</v>
      </c>
      <c r="D47" s="807">
        <v>0.3</v>
      </c>
      <c r="G47" s="28"/>
      <c r="H47" s="28"/>
      <c r="I47" s="28"/>
      <c r="J47" s="28"/>
      <c r="K47" s="28"/>
      <c r="L47" s="28"/>
      <c r="M47" s="28"/>
      <c r="N47" s="28"/>
      <c r="O47" s="28"/>
      <c r="P47" s="28"/>
      <c r="Q47" s="28"/>
      <c r="R47" s="28"/>
      <c r="S47" s="28"/>
      <c r="T47" s="28"/>
      <c r="U47" s="28"/>
      <c r="V47" s="28"/>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row>
    <row r="48" spans="2:256" s="26" customFormat="1" ht="13" hidden="1" customHeight="1" outlineLevel="1" x14ac:dyDescent="0.15">
      <c r="B48" s="800" t="s">
        <v>744</v>
      </c>
      <c r="C48" s="815">
        <v>193</v>
      </c>
      <c r="D48" s="807">
        <v>0.3</v>
      </c>
      <c r="G48" s="28"/>
      <c r="H48" s="28"/>
      <c r="I48" s="28"/>
      <c r="J48" s="28"/>
      <c r="K48" s="28"/>
      <c r="L48" s="28"/>
      <c r="M48" s="28"/>
      <c r="N48" s="28"/>
      <c r="O48" s="28"/>
      <c r="P48" s="28"/>
      <c r="Q48" s="28"/>
      <c r="R48" s="28"/>
      <c r="S48" s="28"/>
      <c r="T48" s="28"/>
      <c r="U48" s="28"/>
      <c r="V48" s="28"/>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row>
    <row r="49" spans="2:256" s="26" customFormat="1" ht="13" hidden="1" customHeight="1" outlineLevel="1" x14ac:dyDescent="0.15">
      <c r="B49" s="800" t="s">
        <v>244</v>
      </c>
      <c r="C49" s="815">
        <v>2070</v>
      </c>
      <c r="D49" s="807">
        <v>0.3</v>
      </c>
      <c r="G49" s="28"/>
      <c r="H49" s="28"/>
      <c r="I49" s="28"/>
      <c r="J49" s="28"/>
      <c r="K49" s="28"/>
      <c r="L49" s="28"/>
      <c r="M49" s="28"/>
      <c r="N49" s="28"/>
      <c r="O49" s="28"/>
      <c r="P49" s="28"/>
      <c r="Q49" s="28"/>
      <c r="R49" s="28"/>
      <c r="S49" s="28"/>
      <c r="T49" s="28"/>
      <c r="U49" s="28"/>
      <c r="V49" s="28"/>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row>
    <row r="50" spans="2:256" s="26" customFormat="1" ht="13" hidden="1" customHeight="1" outlineLevel="1" x14ac:dyDescent="0.15">
      <c r="B50" s="800" t="s">
        <v>245</v>
      </c>
      <c r="C50" s="815">
        <v>7150</v>
      </c>
      <c r="D50" s="807">
        <v>0.3</v>
      </c>
      <c r="G50" s="28"/>
      <c r="H50" s="28"/>
      <c r="I50" s="28"/>
      <c r="J50" s="28"/>
      <c r="K50" s="28"/>
      <c r="L50" s="28"/>
      <c r="M50" s="28"/>
      <c r="N50" s="28"/>
      <c r="O50" s="28"/>
      <c r="P50" s="28"/>
      <c r="Q50" s="28"/>
      <c r="R50" s="28"/>
      <c r="S50" s="28"/>
      <c r="T50" s="28"/>
      <c r="U50" s="28"/>
      <c r="V50" s="28"/>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row>
    <row r="51" spans="2:256" s="26" customFormat="1" ht="13" hidden="1" customHeight="1" outlineLevel="1" x14ac:dyDescent="0.15">
      <c r="B51" s="800" t="s">
        <v>246</v>
      </c>
      <c r="C51" s="815">
        <v>1730</v>
      </c>
      <c r="D51" s="807">
        <v>0.3</v>
      </c>
      <c r="G51" s="28"/>
      <c r="H51" s="28"/>
      <c r="I51" s="28"/>
      <c r="J51" s="28"/>
      <c r="K51" s="28"/>
      <c r="L51" s="28"/>
      <c r="M51" s="28"/>
      <c r="N51" s="28"/>
      <c r="O51" s="28"/>
      <c r="P51" s="28"/>
      <c r="Q51" s="28"/>
      <c r="R51" s="28"/>
      <c r="S51" s="28"/>
      <c r="T51" s="28"/>
      <c r="U51" s="28"/>
      <c r="V51" s="28"/>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E51" s="29"/>
      <c r="FF51" s="29"/>
      <c r="FG51" s="29"/>
      <c r="FH51" s="29"/>
      <c r="FI51" s="29"/>
      <c r="FJ51" s="29"/>
      <c r="FK51" s="29"/>
      <c r="FL51" s="29"/>
      <c r="FM51" s="29"/>
      <c r="FN51" s="29"/>
      <c r="FO51" s="29"/>
      <c r="FP51" s="29"/>
      <c r="FQ51" s="29"/>
      <c r="FR51" s="29"/>
      <c r="FS51" s="29"/>
      <c r="FT51" s="29"/>
      <c r="FU51" s="29"/>
      <c r="FV51" s="29"/>
      <c r="FW51" s="29"/>
      <c r="FX51" s="29"/>
      <c r="FY51" s="29"/>
      <c r="FZ51" s="29"/>
      <c r="GA51" s="29"/>
      <c r="GB51" s="29"/>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row>
    <row r="52" spans="2:256" s="26" customFormat="1" ht="13" hidden="1" customHeight="1" outlineLevel="1" x14ac:dyDescent="0.15">
      <c r="B52" s="800" t="s">
        <v>745</v>
      </c>
      <c r="C52" s="815">
        <v>5350</v>
      </c>
      <c r="D52" s="807">
        <v>0.3</v>
      </c>
      <c r="G52" s="28"/>
      <c r="H52" s="28"/>
      <c r="I52" s="28"/>
      <c r="J52" s="28"/>
      <c r="K52" s="28"/>
      <c r="L52" s="28"/>
      <c r="M52" s="28"/>
      <c r="N52" s="28"/>
      <c r="O52" s="28"/>
      <c r="P52" s="28"/>
      <c r="Q52" s="28"/>
      <c r="R52" s="28"/>
      <c r="S52" s="28"/>
      <c r="T52" s="28"/>
      <c r="U52" s="28"/>
      <c r="V52" s="28"/>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M52" s="29"/>
      <c r="EN52" s="29"/>
      <c r="EO52" s="29"/>
      <c r="EP52" s="29"/>
      <c r="EQ52" s="29"/>
      <c r="ER52" s="29"/>
      <c r="ES52" s="29"/>
      <c r="ET52" s="29"/>
      <c r="EU52" s="29"/>
      <c r="EV52" s="29"/>
      <c r="EW52" s="29"/>
      <c r="EX52" s="29"/>
      <c r="EY52" s="29"/>
      <c r="EZ52" s="29"/>
      <c r="FA52" s="29"/>
      <c r="FB52" s="29"/>
      <c r="FC52" s="29"/>
      <c r="FD52" s="29"/>
      <c r="FE52" s="29"/>
      <c r="FF52" s="29"/>
      <c r="FG52" s="29"/>
      <c r="FH52" s="29"/>
      <c r="FI52" s="29"/>
      <c r="FJ52" s="29"/>
      <c r="FK52" s="29"/>
      <c r="FL52" s="29"/>
      <c r="FM52" s="29"/>
      <c r="FN52" s="29"/>
      <c r="FO52" s="29"/>
      <c r="FP52" s="29"/>
      <c r="FQ52" s="29"/>
      <c r="FR52" s="29"/>
      <c r="FS52" s="29"/>
      <c r="FT52" s="29"/>
      <c r="FU52" s="29"/>
      <c r="FV52" s="29"/>
      <c r="FW52" s="29"/>
      <c r="FX52" s="29"/>
      <c r="FY52" s="29"/>
      <c r="FZ52" s="29"/>
      <c r="GA52" s="29"/>
      <c r="GB52" s="29"/>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row>
    <row r="53" spans="2:256" s="26" customFormat="1" ht="13" hidden="1" customHeight="1" outlineLevel="1" x14ac:dyDescent="0.15">
      <c r="B53" s="800" t="s">
        <v>746</v>
      </c>
      <c r="C53" s="815">
        <v>6590</v>
      </c>
      <c r="D53" s="807">
        <v>0.3</v>
      </c>
      <c r="G53" s="28"/>
      <c r="H53" s="28"/>
      <c r="I53" s="28"/>
      <c r="J53" s="28"/>
      <c r="K53" s="28"/>
      <c r="L53" s="28"/>
      <c r="M53" s="28"/>
      <c r="N53" s="28"/>
      <c r="O53" s="28"/>
      <c r="P53" s="28"/>
      <c r="Q53" s="28"/>
      <c r="R53" s="28"/>
      <c r="S53" s="28"/>
      <c r="T53" s="28"/>
      <c r="U53" s="28"/>
      <c r="V53" s="28"/>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29"/>
      <c r="FW53" s="29"/>
      <c r="FX53" s="29"/>
      <c r="FY53" s="29"/>
      <c r="FZ53" s="29"/>
      <c r="GA53" s="29"/>
      <c r="GB53" s="29"/>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row>
    <row r="54" spans="2:256" s="26" customFormat="1" ht="13" hidden="1" customHeight="1" outlineLevel="1" x14ac:dyDescent="0.15">
      <c r="B54" s="800" t="s">
        <v>747</v>
      </c>
      <c r="C54" s="815">
        <v>9620</v>
      </c>
      <c r="D54" s="807">
        <v>0.3</v>
      </c>
      <c r="G54" s="28"/>
      <c r="H54" s="28"/>
      <c r="I54" s="28"/>
      <c r="J54" s="28"/>
      <c r="K54" s="28"/>
      <c r="L54" s="28"/>
      <c r="M54" s="28"/>
      <c r="N54" s="28"/>
      <c r="O54" s="28"/>
      <c r="P54" s="28"/>
      <c r="Q54" s="28"/>
      <c r="R54" s="28"/>
      <c r="S54" s="28"/>
      <c r="T54" s="28"/>
      <c r="U54" s="28"/>
      <c r="V54" s="28"/>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E54" s="29"/>
      <c r="FF54" s="29"/>
      <c r="FG54" s="29"/>
      <c r="FH54" s="29"/>
      <c r="FI54" s="29"/>
      <c r="FJ54" s="29"/>
      <c r="FK54" s="29"/>
      <c r="FL54" s="29"/>
      <c r="FM54" s="29"/>
      <c r="FN54" s="29"/>
      <c r="FO54" s="29"/>
      <c r="FP54" s="29"/>
      <c r="FQ54" s="29"/>
      <c r="FR54" s="29"/>
      <c r="FS54" s="29"/>
      <c r="FT54" s="29"/>
      <c r="FU54" s="29"/>
      <c r="FV54" s="29"/>
      <c r="FW54" s="29"/>
      <c r="FX54" s="29"/>
      <c r="FY54" s="29"/>
      <c r="FZ54" s="29"/>
      <c r="GA54" s="29"/>
      <c r="GB54" s="29"/>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row>
    <row r="55" spans="2:256" s="26" customFormat="1" ht="13" hidden="1" customHeight="1" outlineLevel="1" x14ac:dyDescent="0.15">
      <c r="B55" s="800" t="s">
        <v>748</v>
      </c>
      <c r="C55" s="815">
        <v>8520</v>
      </c>
      <c r="D55" s="807">
        <v>0.3</v>
      </c>
      <c r="G55" s="28"/>
      <c r="H55" s="28"/>
      <c r="I55" s="28"/>
      <c r="J55" s="28"/>
      <c r="K55" s="28"/>
      <c r="L55" s="28"/>
      <c r="M55" s="28"/>
      <c r="N55" s="28"/>
      <c r="O55" s="28"/>
      <c r="P55" s="28"/>
      <c r="Q55" s="28"/>
      <c r="R55" s="28"/>
      <c r="S55" s="28"/>
      <c r="T55" s="28"/>
      <c r="U55" s="28"/>
      <c r="V55" s="28"/>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M55" s="29"/>
      <c r="EN55" s="29"/>
      <c r="EO55" s="29"/>
      <c r="EP55" s="29"/>
      <c r="EQ55" s="29"/>
      <c r="ER55" s="29"/>
      <c r="ES55" s="29"/>
      <c r="ET55" s="29"/>
      <c r="EU55" s="29"/>
      <c r="EV55" s="29"/>
      <c r="EW55" s="29"/>
      <c r="EX55" s="29"/>
      <c r="EY55" s="29"/>
      <c r="EZ55" s="29"/>
      <c r="FA55" s="29"/>
      <c r="FB55" s="29"/>
      <c r="FC55" s="29"/>
      <c r="FD55" s="29"/>
      <c r="FE55" s="29"/>
      <c r="FF55" s="29"/>
      <c r="FG55" s="29"/>
      <c r="FH55" s="29"/>
      <c r="FI55" s="29"/>
      <c r="FJ55" s="29"/>
      <c r="FK55" s="29"/>
      <c r="FL55" s="29"/>
      <c r="FM55" s="29"/>
      <c r="FN55" s="29"/>
      <c r="FO55" s="29"/>
      <c r="FP55" s="29"/>
      <c r="FQ55" s="29"/>
      <c r="FR55" s="29"/>
      <c r="FS55" s="29"/>
      <c r="FT55" s="29"/>
      <c r="FU55" s="29"/>
      <c r="FV55" s="29"/>
      <c r="FW55" s="29"/>
      <c r="FX55" s="29"/>
      <c r="FY55" s="29"/>
      <c r="FZ55" s="29"/>
      <c r="GA55" s="29"/>
      <c r="GB55" s="29"/>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row>
    <row r="56" spans="2:256" s="26" customFormat="1" ht="13" hidden="1" customHeight="1" outlineLevel="1" x14ac:dyDescent="0.15">
      <c r="B56" s="800" t="s">
        <v>749</v>
      </c>
      <c r="C56" s="815">
        <v>11500</v>
      </c>
      <c r="D56" s="807">
        <v>0.3</v>
      </c>
      <c r="G56" s="28"/>
      <c r="H56" s="28"/>
      <c r="I56" s="28"/>
      <c r="J56" s="28"/>
      <c r="K56" s="28"/>
      <c r="L56" s="28"/>
      <c r="M56" s="28"/>
      <c r="N56" s="28"/>
      <c r="O56" s="28"/>
      <c r="P56" s="28"/>
      <c r="Q56" s="28"/>
      <c r="R56" s="28"/>
      <c r="S56" s="28"/>
      <c r="T56" s="28"/>
      <c r="U56" s="28"/>
      <c r="V56" s="28"/>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c r="EU56" s="29"/>
      <c r="EV56" s="29"/>
      <c r="EW56" s="29"/>
      <c r="EX56" s="29"/>
      <c r="EY56" s="29"/>
      <c r="EZ56" s="29"/>
      <c r="FA56" s="29"/>
      <c r="FB56" s="29"/>
      <c r="FC56" s="29"/>
      <c r="FD56" s="29"/>
      <c r="FE56" s="29"/>
      <c r="FF56" s="29"/>
      <c r="FG56" s="29"/>
      <c r="FH56" s="29"/>
      <c r="FI56" s="29"/>
      <c r="FJ56" s="29"/>
      <c r="FK56" s="29"/>
      <c r="FL56" s="29"/>
      <c r="FM56" s="29"/>
      <c r="FN56" s="29"/>
      <c r="FO56" s="29"/>
      <c r="FP56" s="29"/>
      <c r="FQ56" s="29"/>
      <c r="FR56" s="29"/>
      <c r="FS56" s="29"/>
      <c r="FT56" s="29"/>
      <c r="FU56" s="29"/>
      <c r="FV56" s="29"/>
      <c r="FW56" s="29"/>
      <c r="FX56" s="29"/>
      <c r="FY56" s="29"/>
      <c r="FZ56" s="29"/>
      <c r="GA56" s="29"/>
      <c r="GB56" s="29"/>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row>
    <row r="57" spans="2:256" s="26" customFormat="1" ht="13" hidden="1" customHeight="1" outlineLevel="1" x14ac:dyDescent="0.15">
      <c r="B57" s="800" t="s">
        <v>750</v>
      </c>
      <c r="C57" s="815">
        <v>72</v>
      </c>
      <c r="D57" s="807">
        <v>0.3</v>
      </c>
      <c r="G57" s="28"/>
      <c r="H57" s="28"/>
      <c r="I57" s="28"/>
      <c r="J57" s="28"/>
      <c r="K57" s="28"/>
      <c r="L57" s="28"/>
      <c r="M57" s="28"/>
      <c r="N57" s="28"/>
      <c r="O57" s="28"/>
      <c r="P57" s="28"/>
      <c r="Q57" s="28"/>
      <c r="R57" s="28"/>
      <c r="S57" s="28"/>
      <c r="T57" s="28"/>
      <c r="U57" s="28"/>
      <c r="V57" s="28"/>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E57" s="29"/>
      <c r="FF57" s="29"/>
      <c r="FG57" s="29"/>
      <c r="FH57" s="29"/>
      <c r="FI57" s="29"/>
      <c r="FJ57" s="29"/>
      <c r="FK57" s="29"/>
      <c r="FL57" s="29"/>
      <c r="FM57" s="29"/>
      <c r="FN57" s="29"/>
      <c r="FO57" s="29"/>
      <c r="FP57" s="29"/>
      <c r="FQ57" s="29"/>
      <c r="FR57" s="29"/>
      <c r="FS57" s="29"/>
      <c r="FT57" s="29"/>
      <c r="FU57" s="29"/>
      <c r="FV57" s="29"/>
      <c r="FW57" s="29"/>
      <c r="FX57" s="29"/>
      <c r="FY57" s="29"/>
      <c r="FZ57" s="29"/>
      <c r="GA57" s="29"/>
      <c r="GB57" s="29"/>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row>
    <row r="58" spans="2:256" s="26" customFormat="1" ht="13" hidden="1" customHeight="1" outlineLevel="1" x14ac:dyDescent="0.15">
      <c r="B58" s="800" t="s">
        <v>751</v>
      </c>
      <c r="C58" s="815">
        <v>312</v>
      </c>
      <c r="D58" s="807">
        <v>0.3</v>
      </c>
      <c r="G58" s="28"/>
      <c r="H58" s="28"/>
      <c r="I58" s="28"/>
      <c r="J58" s="28"/>
      <c r="K58" s="28"/>
      <c r="L58" s="28"/>
      <c r="M58" s="28"/>
      <c r="N58" s="28"/>
      <c r="O58" s="28"/>
      <c r="P58" s="28"/>
      <c r="Q58" s="28"/>
      <c r="R58" s="28"/>
      <c r="S58" s="28"/>
      <c r="T58" s="28"/>
      <c r="U58" s="28"/>
      <c r="V58" s="28"/>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E58" s="29"/>
      <c r="FF58" s="29"/>
      <c r="FG58" s="29"/>
      <c r="FH58" s="29"/>
      <c r="FI58" s="29"/>
      <c r="FJ58" s="29"/>
      <c r="FK58" s="29"/>
      <c r="FL58" s="29"/>
      <c r="FM58" s="29"/>
      <c r="FN58" s="29"/>
      <c r="FO58" s="29"/>
      <c r="FP58" s="29"/>
      <c r="FQ58" s="29"/>
      <c r="FR58" s="29"/>
      <c r="FS58" s="29"/>
      <c r="FT58" s="29"/>
      <c r="FU58" s="29"/>
      <c r="FV58" s="29"/>
      <c r="FW58" s="29"/>
      <c r="FX58" s="29"/>
      <c r="FY58" s="29"/>
      <c r="FZ58" s="29"/>
      <c r="GA58" s="29"/>
      <c r="GB58" s="29"/>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row>
    <row r="59" spans="2:256" s="26" customFormat="1" ht="13" hidden="1" customHeight="1" outlineLevel="1" x14ac:dyDescent="0.15">
      <c r="B59" s="800" t="s">
        <v>752</v>
      </c>
      <c r="C59" s="815">
        <v>96</v>
      </c>
      <c r="D59" s="807">
        <v>0.3</v>
      </c>
      <c r="G59" s="28"/>
      <c r="H59" s="28"/>
      <c r="I59" s="28"/>
      <c r="J59" s="28"/>
      <c r="K59" s="28"/>
      <c r="L59" s="28"/>
      <c r="M59" s="28"/>
      <c r="N59" s="28"/>
      <c r="O59" s="28"/>
      <c r="P59" s="28"/>
      <c r="Q59" s="28"/>
      <c r="R59" s="28"/>
      <c r="S59" s="28"/>
      <c r="T59" s="28"/>
      <c r="U59" s="28"/>
      <c r="V59" s="28"/>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row>
    <row r="60" spans="2:256" s="26" customFormat="1" ht="13" hidden="1" customHeight="1" outlineLevel="1" x14ac:dyDescent="0.15">
      <c r="B60" s="800" t="s">
        <v>753</v>
      </c>
      <c r="C60" s="815">
        <v>447</v>
      </c>
      <c r="D60" s="807">
        <v>0.3</v>
      </c>
      <c r="G60" s="28"/>
      <c r="H60" s="28"/>
      <c r="I60" s="28"/>
      <c r="J60" s="28"/>
      <c r="K60" s="28"/>
      <c r="L60" s="28"/>
      <c r="M60" s="28"/>
      <c r="N60" s="28"/>
      <c r="O60" s="28"/>
      <c r="P60" s="28"/>
      <c r="Q60" s="28"/>
      <c r="R60" s="28"/>
      <c r="S60" s="28"/>
      <c r="T60" s="28"/>
      <c r="U60" s="28"/>
      <c r="V60" s="28"/>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c r="IP60" s="13"/>
      <c r="IQ60" s="13"/>
      <c r="IR60" s="13"/>
      <c r="IS60" s="13"/>
      <c r="IT60" s="13"/>
      <c r="IU60" s="13"/>
      <c r="IV60" s="13"/>
    </row>
    <row r="61" spans="2:256" s="26" customFormat="1" ht="13" hidden="1" customHeight="1" outlineLevel="1" x14ac:dyDescent="0.15">
      <c r="B61" s="800" t="s">
        <v>754</v>
      </c>
      <c r="C61" s="815">
        <v>635</v>
      </c>
      <c r="D61" s="807">
        <v>0.3</v>
      </c>
      <c r="G61" s="28"/>
      <c r="H61" s="28"/>
      <c r="I61" s="28"/>
      <c r="J61" s="28"/>
      <c r="K61" s="28"/>
      <c r="L61" s="28"/>
      <c r="M61" s="28"/>
      <c r="N61" s="28"/>
      <c r="O61" s="28"/>
      <c r="P61" s="28"/>
      <c r="Q61" s="28"/>
      <c r="R61" s="28"/>
      <c r="S61" s="28"/>
      <c r="T61" s="28"/>
      <c r="U61" s="28"/>
      <c r="V61" s="28"/>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M61" s="29"/>
      <c r="EN61" s="29"/>
      <c r="EO61" s="29"/>
      <c r="EP61" s="29"/>
      <c r="EQ61" s="29"/>
      <c r="ER61" s="29"/>
      <c r="ES61" s="29"/>
      <c r="ET61" s="29"/>
      <c r="EU61" s="29"/>
      <c r="EV61" s="29"/>
      <c r="EW61" s="29"/>
      <c r="EX61" s="29"/>
      <c r="EY61" s="29"/>
      <c r="EZ61" s="29"/>
      <c r="FA61" s="29"/>
      <c r="FB61" s="29"/>
      <c r="FC61" s="29"/>
      <c r="FD61" s="29"/>
      <c r="FE61" s="29"/>
      <c r="FF61" s="29"/>
      <c r="FG61" s="29"/>
      <c r="FH61" s="29"/>
      <c r="FI61" s="29"/>
      <c r="FJ61" s="29"/>
      <c r="FK61" s="29"/>
      <c r="FL61" s="29"/>
      <c r="FM61" s="29"/>
      <c r="FN61" s="29"/>
      <c r="FO61" s="29"/>
      <c r="FP61" s="29"/>
      <c r="FQ61" s="29"/>
      <c r="FR61" s="29"/>
      <c r="FS61" s="29"/>
      <c r="FT61" s="29"/>
      <c r="FU61" s="29"/>
      <c r="FV61" s="29"/>
      <c r="FW61" s="29"/>
      <c r="FX61" s="29"/>
      <c r="FY61" s="29"/>
      <c r="FZ61" s="29"/>
      <c r="GA61" s="29"/>
      <c r="GB61" s="29"/>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row>
    <row r="62" spans="2:256" s="26" customFormat="1" ht="13" hidden="1" customHeight="1" outlineLevel="1" x14ac:dyDescent="0.15">
      <c r="B62" s="800" t="s">
        <v>755</v>
      </c>
      <c r="C62" s="815">
        <v>15500</v>
      </c>
      <c r="D62" s="807">
        <v>0.3</v>
      </c>
      <c r="G62" s="28"/>
      <c r="H62" s="28"/>
      <c r="I62" s="28"/>
      <c r="J62" s="28"/>
      <c r="K62" s="28"/>
      <c r="L62" s="28"/>
      <c r="M62" s="28"/>
      <c r="N62" s="28"/>
      <c r="O62" s="28"/>
      <c r="P62" s="28"/>
      <c r="Q62" s="28"/>
      <c r="R62" s="28"/>
      <c r="S62" s="28"/>
      <c r="T62" s="28"/>
      <c r="U62" s="28"/>
      <c r="V62" s="28"/>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29"/>
      <c r="FW62" s="29"/>
      <c r="FX62" s="29"/>
      <c r="FY62" s="29"/>
      <c r="FZ62" s="29"/>
      <c r="GA62" s="29"/>
      <c r="GB62" s="29"/>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row>
    <row r="63" spans="2:256" s="26" customFormat="1" ht="13" hidden="1" customHeight="1" outlineLevel="1" x14ac:dyDescent="0.15">
      <c r="B63" s="800" t="s">
        <v>756</v>
      </c>
      <c r="C63" s="815">
        <v>409</v>
      </c>
      <c r="D63" s="807">
        <v>0.3</v>
      </c>
      <c r="G63" s="28"/>
      <c r="H63" s="28"/>
      <c r="I63" s="28"/>
      <c r="J63" s="28"/>
      <c r="K63" s="28"/>
      <c r="L63" s="28"/>
      <c r="M63" s="28"/>
      <c r="N63" s="28"/>
      <c r="O63" s="28"/>
      <c r="P63" s="28"/>
      <c r="Q63" s="28"/>
      <c r="R63" s="28"/>
      <c r="S63" s="28"/>
      <c r="T63" s="28"/>
      <c r="U63" s="28"/>
      <c r="V63" s="28"/>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c r="ET63" s="29"/>
      <c r="EU63" s="29"/>
      <c r="EV63" s="29"/>
      <c r="EW63" s="29"/>
      <c r="EX63" s="29"/>
      <c r="EY63" s="29"/>
      <c r="EZ63" s="29"/>
      <c r="FA63" s="29"/>
      <c r="FB63" s="29"/>
      <c r="FC63" s="29"/>
      <c r="FD63" s="29"/>
      <c r="FE63" s="29"/>
      <c r="FF63" s="29"/>
      <c r="FG63" s="29"/>
      <c r="FH63" s="29"/>
      <c r="FI63" s="29"/>
      <c r="FJ63" s="29"/>
      <c r="FK63" s="29"/>
      <c r="FL63" s="29"/>
      <c r="FM63" s="29"/>
      <c r="FN63" s="29"/>
      <c r="FO63" s="29"/>
      <c r="FP63" s="29"/>
      <c r="FQ63" s="29"/>
      <c r="FR63" s="29"/>
      <c r="FS63" s="29"/>
      <c r="FT63" s="29"/>
      <c r="FU63" s="29"/>
      <c r="FV63" s="29"/>
      <c r="FW63" s="29"/>
      <c r="FX63" s="29"/>
      <c r="FY63" s="29"/>
      <c r="FZ63" s="29"/>
      <c r="GA63" s="29"/>
      <c r="GB63" s="29"/>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row>
    <row r="64" spans="2:256" s="26" customFormat="1" ht="13" hidden="1" customHeight="1" outlineLevel="1" x14ac:dyDescent="0.15">
      <c r="B64" s="800" t="s">
        <v>757</v>
      </c>
      <c r="C64" s="815">
        <v>938</v>
      </c>
      <c r="D64" s="807">
        <v>0.3</v>
      </c>
      <c r="G64" s="28"/>
      <c r="H64" s="28"/>
      <c r="I64" s="28"/>
      <c r="J64" s="28"/>
      <c r="K64" s="28"/>
      <c r="L64" s="28"/>
      <c r="M64" s="28"/>
      <c r="N64" s="28"/>
      <c r="O64" s="28"/>
      <c r="P64" s="28"/>
      <c r="Q64" s="28"/>
      <c r="R64" s="28"/>
      <c r="S64" s="28"/>
      <c r="T64" s="28"/>
      <c r="U64" s="28"/>
      <c r="V64" s="28"/>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29"/>
      <c r="FF64" s="29"/>
      <c r="FG64" s="29"/>
      <c r="FH64" s="29"/>
      <c r="FI64" s="29"/>
      <c r="FJ64" s="29"/>
      <c r="FK64" s="29"/>
      <c r="FL64" s="29"/>
      <c r="FM64" s="29"/>
      <c r="FN64" s="29"/>
      <c r="FO64" s="29"/>
      <c r="FP64" s="29"/>
      <c r="FQ64" s="29"/>
      <c r="FR64" s="29"/>
      <c r="FS64" s="29"/>
      <c r="FT64" s="29"/>
      <c r="FU64" s="29"/>
      <c r="FV64" s="29"/>
      <c r="FW64" s="29"/>
      <c r="FX64" s="29"/>
      <c r="FY64" s="29"/>
      <c r="FZ64" s="29"/>
      <c r="GA64" s="29"/>
      <c r="GB64" s="29"/>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c r="IP64" s="13"/>
      <c r="IQ64" s="13"/>
      <c r="IR64" s="13"/>
      <c r="IS64" s="13"/>
      <c r="IT64" s="13"/>
      <c r="IU64" s="13"/>
      <c r="IV64" s="13"/>
    </row>
    <row r="65" spans="2:256" s="26" customFormat="1" ht="13" hidden="1" customHeight="1" outlineLevel="1" x14ac:dyDescent="0.15">
      <c r="B65" s="800" t="s">
        <v>758</v>
      </c>
      <c r="C65" s="815">
        <v>2350</v>
      </c>
      <c r="D65" s="807">
        <v>0.3</v>
      </c>
      <c r="G65" s="28"/>
      <c r="H65" s="28"/>
      <c r="I65" s="28"/>
      <c r="J65" s="28"/>
      <c r="K65" s="28"/>
      <c r="L65" s="28"/>
      <c r="M65" s="28"/>
      <c r="N65" s="28"/>
      <c r="O65" s="28"/>
      <c r="P65" s="28"/>
      <c r="Q65" s="28"/>
      <c r="R65" s="28"/>
      <c r="S65" s="28"/>
      <c r="T65" s="28"/>
      <c r="U65" s="28"/>
      <c r="V65" s="28"/>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29"/>
      <c r="FF65" s="29"/>
      <c r="FG65" s="29"/>
      <c r="FH65" s="29"/>
      <c r="FI65" s="29"/>
      <c r="FJ65" s="29"/>
      <c r="FK65" s="29"/>
      <c r="FL65" s="29"/>
      <c r="FM65" s="29"/>
      <c r="FN65" s="29"/>
      <c r="FO65" s="29"/>
      <c r="FP65" s="29"/>
      <c r="FQ65" s="29"/>
      <c r="FR65" s="29"/>
      <c r="FS65" s="29"/>
      <c r="FT65" s="29"/>
      <c r="FU65" s="29"/>
      <c r="FV65" s="29"/>
      <c r="FW65" s="29"/>
      <c r="FX65" s="29"/>
      <c r="FY65" s="29"/>
      <c r="FZ65" s="29"/>
      <c r="GA65" s="29"/>
      <c r="GB65" s="29"/>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c r="IP65" s="13"/>
      <c r="IQ65" s="13"/>
      <c r="IR65" s="13"/>
      <c r="IS65" s="13"/>
      <c r="IT65" s="13"/>
      <c r="IU65" s="13"/>
      <c r="IV65" s="13"/>
    </row>
    <row r="66" spans="2:256" s="26" customFormat="1" ht="13" hidden="1" customHeight="1" outlineLevel="1" x14ac:dyDescent="0.15">
      <c r="B66" s="800" t="s">
        <v>759</v>
      </c>
      <c r="C66" s="815">
        <v>179</v>
      </c>
      <c r="D66" s="807">
        <v>0.3</v>
      </c>
      <c r="G66" s="28"/>
      <c r="H66" s="28"/>
      <c r="I66" s="28"/>
      <c r="J66" s="28"/>
      <c r="K66" s="28"/>
      <c r="L66" s="28"/>
      <c r="M66" s="28"/>
      <c r="N66" s="28"/>
      <c r="O66" s="28"/>
      <c r="P66" s="28"/>
      <c r="Q66" s="28"/>
      <c r="R66" s="28"/>
      <c r="S66" s="28"/>
      <c r="T66" s="28"/>
      <c r="U66" s="28"/>
      <c r="V66" s="28"/>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E66" s="29"/>
      <c r="FF66" s="29"/>
      <c r="FG66" s="29"/>
      <c r="FH66" s="29"/>
      <c r="FI66" s="29"/>
      <c r="FJ66" s="29"/>
      <c r="FK66" s="29"/>
      <c r="FL66" s="29"/>
      <c r="FM66" s="29"/>
      <c r="FN66" s="29"/>
      <c r="FO66" s="29"/>
      <c r="FP66" s="29"/>
      <c r="FQ66" s="29"/>
      <c r="FR66" s="29"/>
      <c r="FS66" s="29"/>
      <c r="FT66" s="29"/>
      <c r="FU66" s="29"/>
      <c r="FV66" s="29"/>
      <c r="FW66" s="29"/>
      <c r="FX66" s="29"/>
      <c r="FY66" s="29"/>
      <c r="FZ66" s="29"/>
      <c r="GA66" s="29"/>
      <c r="GB66" s="29"/>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row>
    <row r="67" spans="2:256" s="26" customFormat="1" ht="13" hidden="1" customHeight="1" outlineLevel="1" x14ac:dyDescent="0.15">
      <c r="B67" s="800" t="s">
        <v>760</v>
      </c>
      <c r="C67" s="815">
        <v>2110</v>
      </c>
      <c r="D67" s="807">
        <v>0.3</v>
      </c>
      <c r="G67" s="28"/>
      <c r="H67" s="28"/>
      <c r="I67" s="28"/>
      <c r="J67" s="28"/>
      <c r="K67" s="28"/>
      <c r="L67" s="28"/>
      <c r="M67" s="28"/>
      <c r="N67" s="28"/>
      <c r="O67" s="28"/>
      <c r="P67" s="28"/>
      <c r="Q67" s="28"/>
      <c r="R67" s="28"/>
      <c r="S67" s="28"/>
      <c r="T67" s="28"/>
      <c r="U67" s="28"/>
      <c r="V67" s="28"/>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E67" s="29"/>
      <c r="FF67" s="29"/>
      <c r="FG67" s="29"/>
      <c r="FH67" s="29"/>
      <c r="FI67" s="29"/>
      <c r="FJ67" s="29"/>
      <c r="FK67" s="29"/>
      <c r="FL67" s="29"/>
      <c r="FM67" s="29"/>
      <c r="FN67" s="29"/>
      <c r="FO67" s="29"/>
      <c r="FP67" s="29"/>
      <c r="FQ67" s="29"/>
      <c r="FR67" s="29"/>
      <c r="FS67" s="29"/>
      <c r="FT67" s="29"/>
      <c r="FU67" s="29"/>
      <c r="FV67" s="29"/>
      <c r="FW67" s="29"/>
      <c r="FX67" s="29"/>
      <c r="FY67" s="29"/>
      <c r="FZ67" s="29"/>
      <c r="GA67" s="29"/>
      <c r="GB67" s="29"/>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c r="IP67" s="13"/>
      <c r="IQ67" s="13"/>
      <c r="IR67" s="13"/>
      <c r="IS67" s="13"/>
      <c r="IT67" s="13"/>
      <c r="IU67" s="13"/>
      <c r="IV67" s="13"/>
    </row>
    <row r="68" spans="2:256" s="26" customFormat="1" ht="13" hidden="1" customHeight="1" outlineLevel="1" x14ac:dyDescent="0.15">
      <c r="B68" s="800" t="s">
        <v>761</v>
      </c>
      <c r="C68" s="815">
        <v>155</v>
      </c>
      <c r="D68" s="807">
        <v>0.3</v>
      </c>
      <c r="G68" s="28"/>
      <c r="H68" s="28"/>
      <c r="I68" s="28"/>
      <c r="J68" s="28"/>
      <c r="K68" s="28"/>
      <c r="L68" s="28"/>
      <c r="M68" s="28"/>
      <c r="N68" s="28"/>
      <c r="O68" s="28"/>
      <c r="P68" s="28"/>
      <c r="Q68" s="28"/>
      <c r="R68" s="28"/>
      <c r="S68" s="28"/>
      <c r="T68" s="28"/>
      <c r="U68" s="28"/>
      <c r="V68" s="28"/>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29"/>
      <c r="FF68" s="29"/>
      <c r="FG68" s="29"/>
      <c r="FH68" s="29"/>
      <c r="FI68" s="29"/>
      <c r="FJ68" s="29"/>
      <c r="FK68" s="29"/>
      <c r="FL68" s="29"/>
      <c r="FM68" s="29"/>
      <c r="FN68" s="29"/>
      <c r="FO68" s="29"/>
      <c r="FP68" s="29"/>
      <c r="FQ68" s="29"/>
      <c r="FR68" s="29"/>
      <c r="FS68" s="29"/>
      <c r="FT68" s="29"/>
      <c r="FU68" s="29"/>
      <c r="FV68" s="29"/>
      <c r="FW68" s="29"/>
      <c r="FX68" s="29"/>
      <c r="FY68" s="29"/>
      <c r="FZ68" s="29"/>
      <c r="GA68" s="29"/>
      <c r="GB68" s="29"/>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c r="IP68" s="13"/>
      <c r="IQ68" s="13"/>
      <c r="IR68" s="13"/>
      <c r="IS68" s="13"/>
      <c r="IT68" s="13"/>
      <c r="IU68" s="13"/>
      <c r="IV68" s="13"/>
    </row>
    <row r="69" spans="2:256" s="26" customFormat="1" ht="13" hidden="1" customHeight="1" outlineLevel="1" x14ac:dyDescent="0.15">
      <c r="B69" s="800" t="s">
        <v>762</v>
      </c>
      <c r="C69" s="815">
        <v>633</v>
      </c>
      <c r="D69" s="807">
        <v>0.3</v>
      </c>
      <c r="G69" s="28"/>
      <c r="H69" s="28"/>
      <c r="I69" s="28"/>
      <c r="J69" s="28"/>
      <c r="K69" s="28"/>
      <c r="L69" s="28"/>
      <c r="M69" s="28"/>
      <c r="N69" s="28"/>
      <c r="O69" s="28"/>
      <c r="P69" s="28"/>
      <c r="Q69" s="28"/>
      <c r="R69" s="28"/>
      <c r="S69" s="28"/>
      <c r="T69" s="28"/>
      <c r="U69" s="28"/>
      <c r="V69" s="28"/>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29"/>
      <c r="FW69" s="29"/>
      <c r="FX69" s="29"/>
      <c r="FY69" s="29"/>
      <c r="FZ69" s="29"/>
      <c r="GA69" s="29"/>
      <c r="GB69" s="29"/>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c r="IP69" s="13"/>
      <c r="IQ69" s="13"/>
      <c r="IR69" s="13"/>
      <c r="IS69" s="13"/>
      <c r="IT69" s="13"/>
      <c r="IU69" s="13"/>
      <c r="IV69" s="13"/>
    </row>
    <row r="70" spans="2:256" s="26" customFormat="1" ht="13" hidden="1" customHeight="1" outlineLevel="1" x14ac:dyDescent="0.15">
      <c r="B70" s="800" t="s">
        <v>247</v>
      </c>
      <c r="C70" s="815">
        <v>1350</v>
      </c>
      <c r="D70" s="807">
        <v>0.3</v>
      </c>
      <c r="G70" s="28"/>
      <c r="H70" s="28"/>
      <c r="I70" s="28"/>
      <c r="J70" s="28"/>
      <c r="K70" s="28"/>
      <c r="L70" s="28"/>
      <c r="M70" s="28"/>
      <c r="N70" s="28"/>
      <c r="O70" s="28"/>
      <c r="P70" s="28"/>
      <c r="Q70" s="28"/>
      <c r="R70" s="28"/>
      <c r="S70" s="28"/>
      <c r="T70" s="28"/>
      <c r="U70" s="28"/>
      <c r="V70" s="28"/>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E70" s="29"/>
      <c r="FF70" s="29"/>
      <c r="FG70" s="29"/>
      <c r="FH70" s="29"/>
      <c r="FI70" s="29"/>
      <c r="FJ70" s="29"/>
      <c r="FK70" s="29"/>
      <c r="FL70" s="29"/>
      <c r="FM70" s="29"/>
      <c r="FN70" s="29"/>
      <c r="FO70" s="29"/>
      <c r="FP70" s="29"/>
      <c r="FQ70" s="29"/>
      <c r="FR70" s="29"/>
      <c r="FS70" s="29"/>
      <c r="FT70" s="29"/>
      <c r="FU70" s="29"/>
      <c r="FV70" s="29"/>
      <c r="FW70" s="29"/>
      <c r="FX70" s="29"/>
      <c r="FY70" s="29"/>
      <c r="FZ70" s="29"/>
      <c r="GA70" s="29"/>
      <c r="GB70" s="29"/>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c r="IK70" s="13"/>
      <c r="IL70" s="13"/>
      <c r="IM70" s="13"/>
      <c r="IN70" s="13"/>
      <c r="IO70" s="13"/>
      <c r="IP70" s="13"/>
      <c r="IQ70" s="13"/>
      <c r="IR70" s="13"/>
      <c r="IS70" s="13"/>
      <c r="IT70" s="13"/>
      <c r="IU70" s="13"/>
      <c r="IV70" s="13"/>
    </row>
    <row r="71" spans="2:256" s="26" customFormat="1" ht="13" hidden="1" customHeight="1" outlineLevel="1" x14ac:dyDescent="0.15">
      <c r="B71" s="800" t="s">
        <v>248</v>
      </c>
      <c r="C71" s="815">
        <v>3780</v>
      </c>
      <c r="D71" s="807">
        <v>0.3</v>
      </c>
      <c r="G71" s="28"/>
      <c r="H71" s="28"/>
      <c r="I71" s="28"/>
      <c r="J71" s="28"/>
      <c r="K71" s="28"/>
      <c r="L71" s="28"/>
      <c r="M71" s="28"/>
      <c r="N71" s="28"/>
      <c r="O71" s="28"/>
      <c r="P71" s="28"/>
      <c r="Q71" s="28"/>
      <c r="R71" s="28"/>
      <c r="S71" s="28"/>
      <c r="T71" s="28"/>
      <c r="U71" s="28"/>
      <c r="V71" s="28"/>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M71" s="29"/>
      <c r="EN71" s="29"/>
      <c r="EO71" s="29"/>
      <c r="EP71" s="29"/>
      <c r="EQ71" s="29"/>
      <c r="ER71" s="29"/>
      <c r="ES71" s="29"/>
      <c r="ET71" s="29"/>
      <c r="EU71" s="29"/>
      <c r="EV71" s="29"/>
      <c r="EW71" s="29"/>
      <c r="EX71" s="29"/>
      <c r="EY71" s="29"/>
      <c r="EZ71" s="29"/>
      <c r="FA71" s="29"/>
      <c r="FB71" s="29"/>
      <c r="FC71" s="29"/>
      <c r="FD71" s="29"/>
      <c r="FE71" s="29"/>
      <c r="FF71" s="29"/>
      <c r="FG71" s="29"/>
      <c r="FH71" s="29"/>
      <c r="FI71" s="29"/>
      <c r="FJ71" s="29"/>
      <c r="FK71" s="29"/>
      <c r="FL71" s="29"/>
      <c r="FM71" s="29"/>
      <c r="FN71" s="29"/>
      <c r="FO71" s="29"/>
      <c r="FP71" s="29"/>
      <c r="FQ71" s="29"/>
      <c r="FR71" s="29"/>
      <c r="FS71" s="29"/>
      <c r="FT71" s="29"/>
      <c r="FU71" s="29"/>
      <c r="FV71" s="29"/>
      <c r="FW71" s="29"/>
      <c r="FX71" s="29"/>
      <c r="FY71" s="29"/>
      <c r="FZ71" s="29"/>
      <c r="GA71" s="29"/>
      <c r="GB71" s="29"/>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c r="II71" s="13"/>
      <c r="IJ71" s="13"/>
      <c r="IK71" s="13"/>
      <c r="IL71" s="13"/>
      <c r="IM71" s="13"/>
      <c r="IN71" s="13"/>
      <c r="IO71" s="13"/>
      <c r="IP71" s="13"/>
      <c r="IQ71" s="13"/>
      <c r="IR71" s="13"/>
      <c r="IS71" s="13"/>
      <c r="IT71" s="13"/>
      <c r="IU71" s="13"/>
      <c r="IV71" s="13"/>
    </row>
    <row r="72" spans="2:256" s="26" customFormat="1" ht="13" hidden="1" customHeight="1" outlineLevel="1" x14ac:dyDescent="0.15">
      <c r="B72" s="800" t="s">
        <v>249</v>
      </c>
      <c r="C72" s="815">
        <v>5390</v>
      </c>
      <c r="D72" s="807">
        <v>0.3</v>
      </c>
      <c r="G72" s="28"/>
      <c r="H72" s="28"/>
      <c r="I72" s="28"/>
      <c r="J72" s="28"/>
      <c r="K72" s="28"/>
      <c r="L72" s="28"/>
      <c r="M72" s="28"/>
      <c r="N72" s="28"/>
      <c r="O72" s="28"/>
      <c r="P72" s="28"/>
      <c r="Q72" s="28"/>
      <c r="R72" s="28"/>
      <c r="S72" s="28"/>
      <c r="T72" s="28"/>
      <c r="U72" s="28"/>
      <c r="V72" s="28"/>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c r="FJ72" s="29"/>
      <c r="FK72" s="29"/>
      <c r="FL72" s="29"/>
      <c r="FM72" s="29"/>
      <c r="FN72" s="29"/>
      <c r="FO72" s="29"/>
      <c r="FP72" s="29"/>
      <c r="FQ72" s="29"/>
      <c r="FR72" s="29"/>
      <c r="FS72" s="29"/>
      <c r="FT72" s="29"/>
      <c r="FU72" s="29"/>
      <c r="FV72" s="29"/>
      <c r="FW72" s="29"/>
      <c r="FX72" s="29"/>
      <c r="FY72" s="29"/>
      <c r="FZ72" s="29"/>
      <c r="GA72" s="29"/>
      <c r="GB72" s="29"/>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c r="II72" s="13"/>
      <c r="IJ72" s="13"/>
      <c r="IK72" s="13"/>
      <c r="IL72" s="13"/>
      <c r="IM72" s="13"/>
      <c r="IN72" s="13"/>
      <c r="IO72" s="13"/>
      <c r="IP72" s="13"/>
      <c r="IQ72" s="13"/>
      <c r="IR72" s="13"/>
      <c r="IS72" s="13"/>
      <c r="IT72" s="13"/>
      <c r="IU72" s="13"/>
      <c r="IV72" s="13"/>
    </row>
    <row r="73" spans="2:256" s="26" customFormat="1" ht="13" hidden="1" customHeight="1" outlineLevel="1" x14ac:dyDescent="0.15">
      <c r="B73" s="800" t="s">
        <v>763</v>
      </c>
      <c r="C73" s="815">
        <v>2020</v>
      </c>
      <c r="D73" s="807">
        <v>0.3</v>
      </c>
      <c r="G73" s="28"/>
      <c r="H73" s="28"/>
      <c r="I73" s="28"/>
      <c r="J73" s="28"/>
      <c r="K73" s="28"/>
      <c r="L73" s="28"/>
      <c r="M73" s="28"/>
      <c r="N73" s="28"/>
      <c r="O73" s="28"/>
      <c r="P73" s="28"/>
      <c r="Q73" s="28"/>
      <c r="R73" s="28"/>
      <c r="S73" s="28"/>
      <c r="T73" s="28"/>
      <c r="U73" s="28"/>
      <c r="V73" s="28"/>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29"/>
      <c r="EP73" s="29"/>
      <c r="EQ73" s="29"/>
      <c r="ER73" s="29"/>
      <c r="ES73" s="29"/>
      <c r="ET73" s="29"/>
      <c r="EU73" s="29"/>
      <c r="EV73" s="29"/>
      <c r="EW73" s="29"/>
      <c r="EX73" s="29"/>
      <c r="EY73" s="29"/>
      <c r="EZ73" s="29"/>
      <c r="FA73" s="29"/>
      <c r="FB73" s="29"/>
      <c r="FC73" s="29"/>
      <c r="FD73" s="29"/>
      <c r="FE73" s="29"/>
      <c r="FF73" s="29"/>
      <c r="FG73" s="29"/>
      <c r="FH73" s="29"/>
      <c r="FI73" s="29"/>
      <c r="FJ73" s="29"/>
      <c r="FK73" s="29"/>
      <c r="FL73" s="29"/>
      <c r="FM73" s="29"/>
      <c r="FN73" s="29"/>
      <c r="FO73" s="29"/>
      <c r="FP73" s="29"/>
      <c r="FQ73" s="29"/>
      <c r="FR73" s="29"/>
      <c r="FS73" s="29"/>
      <c r="FT73" s="29"/>
      <c r="FU73" s="29"/>
      <c r="FV73" s="29"/>
      <c r="FW73" s="29"/>
      <c r="FX73" s="29"/>
      <c r="FY73" s="29"/>
      <c r="FZ73" s="29"/>
      <c r="GA73" s="29"/>
      <c r="GB73" s="29"/>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c r="IP73" s="13"/>
      <c r="IQ73" s="13"/>
      <c r="IR73" s="13"/>
      <c r="IS73" s="13"/>
      <c r="IT73" s="13"/>
      <c r="IU73" s="13"/>
      <c r="IV73" s="13"/>
    </row>
    <row r="74" spans="2:256" s="26" customFormat="1" ht="13" hidden="1" customHeight="1" outlineLevel="1" x14ac:dyDescent="0.15">
      <c r="B74" s="801"/>
      <c r="C74" s="817"/>
      <c r="D74" s="814"/>
      <c r="G74" s="28"/>
      <c r="H74" s="28"/>
      <c r="I74" s="28"/>
      <c r="J74" s="28"/>
      <c r="K74" s="28"/>
      <c r="L74" s="28"/>
      <c r="M74" s="28"/>
      <c r="N74" s="28"/>
      <c r="O74" s="28"/>
      <c r="P74" s="28"/>
      <c r="Q74" s="28"/>
      <c r="R74" s="28"/>
      <c r="S74" s="28"/>
      <c r="T74" s="28"/>
      <c r="U74" s="28"/>
      <c r="V74" s="28"/>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E74" s="29"/>
      <c r="FF74" s="29"/>
      <c r="FG74" s="29"/>
      <c r="FH74" s="29"/>
      <c r="FI74" s="29"/>
      <c r="FJ74" s="29"/>
      <c r="FK74" s="29"/>
      <c r="FL74" s="29"/>
      <c r="FM74" s="29"/>
      <c r="FN74" s="29"/>
      <c r="FO74" s="29"/>
      <c r="FP74" s="29"/>
      <c r="FQ74" s="29"/>
      <c r="FR74" s="29"/>
      <c r="FS74" s="29"/>
      <c r="FT74" s="29"/>
      <c r="FU74" s="29"/>
      <c r="FV74" s="29"/>
      <c r="FW74" s="29"/>
      <c r="FX74" s="29"/>
      <c r="FY74" s="29"/>
      <c r="FZ74" s="29"/>
      <c r="GA74" s="29"/>
      <c r="GB74" s="29"/>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row>
    <row r="75" spans="2:256" s="26" customFormat="1" ht="13" hidden="1" customHeight="1" outlineLevel="1" x14ac:dyDescent="0.15">
      <c r="G75" s="28"/>
      <c r="H75" s="28"/>
      <c r="I75" s="28"/>
      <c r="J75" s="28"/>
      <c r="K75" s="28"/>
      <c r="L75" s="28"/>
      <c r="M75" s="28"/>
      <c r="N75" s="28"/>
      <c r="O75" s="28"/>
      <c r="P75" s="28"/>
      <c r="Q75" s="28"/>
      <c r="R75" s="28"/>
      <c r="S75" s="28"/>
      <c r="T75" s="28"/>
      <c r="U75" s="28"/>
      <c r="V75" s="28"/>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29"/>
      <c r="EP75" s="29"/>
      <c r="EQ75" s="29"/>
      <c r="ER75" s="29"/>
      <c r="ES75" s="29"/>
      <c r="ET75" s="29"/>
      <c r="EU75" s="29"/>
      <c r="EV75" s="29"/>
      <c r="EW75" s="29"/>
      <c r="EX75" s="29"/>
      <c r="EY75" s="29"/>
      <c r="EZ75" s="29"/>
      <c r="FA75" s="29"/>
      <c r="FB75" s="29"/>
      <c r="FC75" s="29"/>
      <c r="FD75" s="29"/>
      <c r="FE75" s="29"/>
      <c r="FF75" s="29"/>
      <c r="FG75" s="29"/>
      <c r="FH75" s="29"/>
      <c r="FI75" s="29"/>
      <c r="FJ75" s="29"/>
      <c r="FK75" s="29"/>
      <c r="FL75" s="29"/>
      <c r="FM75" s="29"/>
      <c r="FN75" s="29"/>
      <c r="FO75" s="29"/>
      <c r="FP75" s="29"/>
      <c r="FQ75" s="29"/>
      <c r="FR75" s="29"/>
      <c r="FS75" s="29"/>
      <c r="FT75" s="29"/>
      <c r="FU75" s="29"/>
      <c r="FV75" s="29"/>
      <c r="FW75" s="29"/>
      <c r="FX75" s="29"/>
      <c r="FY75" s="29"/>
      <c r="FZ75" s="29"/>
      <c r="GA75" s="29"/>
      <c r="GB75" s="29"/>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c r="IP75" s="13"/>
      <c r="IQ75" s="13"/>
      <c r="IR75" s="13"/>
      <c r="IS75" s="13"/>
      <c r="IT75" s="13"/>
      <c r="IU75" s="13"/>
      <c r="IV75" s="13"/>
    </row>
    <row r="76" spans="2:256" s="26" customFormat="1" ht="15" customHeight="1" x14ac:dyDescent="0.15">
      <c r="G76" s="28"/>
      <c r="H76" s="28"/>
      <c r="I76" s="28"/>
      <c r="J76" s="28"/>
      <c r="K76" s="28"/>
      <c r="L76" s="28"/>
      <c r="M76" s="28"/>
      <c r="N76" s="28"/>
      <c r="O76" s="28"/>
      <c r="P76" s="28"/>
      <c r="Q76" s="28"/>
      <c r="R76" s="28"/>
      <c r="S76" s="28"/>
      <c r="T76" s="28"/>
      <c r="U76" s="28"/>
      <c r="V76" s="28"/>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29"/>
      <c r="EP76" s="29"/>
      <c r="EQ76" s="29"/>
      <c r="ER76" s="29"/>
      <c r="ES76" s="29"/>
      <c r="ET76" s="29"/>
      <c r="EU76" s="29"/>
      <c r="EV76" s="29"/>
      <c r="EW76" s="29"/>
      <c r="EX76" s="29"/>
      <c r="EY76" s="29"/>
      <c r="EZ76" s="29"/>
      <c r="FA76" s="29"/>
      <c r="FB76" s="29"/>
      <c r="FC76" s="29"/>
      <c r="FD76" s="29"/>
      <c r="FE76" s="29"/>
      <c r="FF76" s="29"/>
      <c r="FG76" s="29"/>
      <c r="FH76" s="29"/>
      <c r="FI76" s="29"/>
      <c r="FJ76" s="29"/>
      <c r="FK76" s="29"/>
      <c r="FL76" s="29"/>
      <c r="FM76" s="29"/>
      <c r="FN76" s="29"/>
      <c r="FO76" s="29"/>
      <c r="FP76" s="29"/>
      <c r="FQ76" s="29"/>
      <c r="FR76" s="29"/>
      <c r="FS76" s="29"/>
      <c r="FT76" s="29"/>
      <c r="FU76" s="29"/>
      <c r="FV76" s="29"/>
      <c r="FW76" s="29"/>
      <c r="FX76" s="29"/>
      <c r="FY76" s="29"/>
      <c r="FZ76" s="29"/>
      <c r="GA76" s="29"/>
      <c r="GB76" s="29"/>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c r="IP76" s="13"/>
      <c r="IQ76" s="13"/>
      <c r="IR76" s="13"/>
      <c r="IS76" s="13"/>
      <c r="IT76" s="13"/>
      <c r="IU76" s="13"/>
      <c r="IV76" s="13"/>
    </row>
    <row r="77" spans="2:256" s="26" customFormat="1" ht="20" customHeight="1" x14ac:dyDescent="0.15">
      <c r="B77" s="1871" t="s">
        <v>716</v>
      </c>
      <c r="C77" s="1872"/>
      <c r="D77" s="1872"/>
      <c r="E77" s="1872"/>
      <c r="F77" s="1872"/>
      <c r="G77" s="1872"/>
      <c r="H77" s="1872"/>
      <c r="I77" s="1872"/>
      <c r="J77" s="1873"/>
      <c r="K77" s="28"/>
      <c r="L77" s="28"/>
      <c r="M77" s="28"/>
      <c r="N77" s="28"/>
      <c r="O77" s="28"/>
      <c r="P77" s="28"/>
      <c r="Q77" s="28"/>
      <c r="R77" s="28"/>
      <c r="S77" s="28"/>
      <c r="T77" s="28"/>
      <c r="U77" s="28"/>
      <c r="V77" s="28"/>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29"/>
      <c r="FW77" s="29"/>
      <c r="FX77" s="29"/>
      <c r="FY77" s="29"/>
      <c r="FZ77" s="29"/>
      <c r="GA77" s="29"/>
      <c r="GB77" s="29"/>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13"/>
      <c r="IH77" s="13"/>
      <c r="II77" s="13"/>
      <c r="IJ77" s="13"/>
      <c r="IK77" s="13"/>
      <c r="IL77" s="13"/>
      <c r="IM77" s="13"/>
      <c r="IN77" s="13"/>
      <c r="IO77" s="13"/>
      <c r="IP77" s="13"/>
      <c r="IQ77" s="13"/>
      <c r="IR77" s="13"/>
      <c r="IS77" s="13"/>
      <c r="IT77" s="13"/>
      <c r="IU77" s="13"/>
      <c r="IV77" s="13"/>
    </row>
    <row r="78" spans="2:256" s="26" customFormat="1" ht="12.75" customHeight="1" outlineLevel="1" x14ac:dyDescent="0.15">
      <c r="G78" s="28"/>
      <c r="H78" s="28"/>
      <c r="I78" s="28"/>
      <c r="J78" s="28"/>
      <c r="K78" s="28"/>
      <c r="L78" s="28"/>
      <c r="M78" s="28"/>
      <c r="N78" s="28"/>
      <c r="O78" s="28"/>
      <c r="P78" s="28"/>
      <c r="Q78" s="28"/>
      <c r="R78" s="28"/>
      <c r="S78" s="28"/>
      <c r="T78" s="28"/>
      <c r="U78" s="28"/>
      <c r="V78" s="28"/>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M78" s="29"/>
      <c r="EN78" s="29"/>
      <c r="EO78" s="29"/>
      <c r="EP78" s="29"/>
      <c r="EQ78" s="29"/>
      <c r="ER78" s="29"/>
      <c r="ES78" s="29"/>
      <c r="ET78" s="29"/>
      <c r="EU78" s="29"/>
      <c r="EV78" s="29"/>
      <c r="EW78" s="29"/>
      <c r="EX78" s="29"/>
      <c r="EY78" s="29"/>
      <c r="EZ78" s="29"/>
      <c r="FA78" s="29"/>
      <c r="FB78" s="29"/>
      <c r="FC78" s="29"/>
      <c r="FD78" s="29"/>
      <c r="FE78" s="29"/>
      <c r="FF78" s="29"/>
      <c r="FG78" s="29"/>
      <c r="FH78" s="29"/>
      <c r="FI78" s="29"/>
      <c r="FJ78" s="29"/>
      <c r="FK78" s="29"/>
      <c r="FL78" s="29"/>
      <c r="FM78" s="29"/>
      <c r="FN78" s="29"/>
      <c r="FO78" s="29"/>
      <c r="FP78" s="29"/>
      <c r="FQ78" s="29"/>
      <c r="FR78" s="29"/>
      <c r="FS78" s="29"/>
      <c r="FT78" s="29"/>
      <c r="FU78" s="29"/>
      <c r="FV78" s="29"/>
      <c r="FW78" s="29"/>
      <c r="FX78" s="29"/>
      <c r="FY78" s="29"/>
      <c r="FZ78" s="29"/>
      <c r="GA78" s="29"/>
      <c r="GB78" s="29"/>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c r="IK78" s="13"/>
      <c r="IL78" s="13"/>
      <c r="IM78" s="13"/>
      <c r="IN78" s="13"/>
      <c r="IO78" s="13"/>
      <c r="IP78" s="13"/>
      <c r="IQ78" s="13"/>
      <c r="IR78" s="13"/>
      <c r="IS78" s="13"/>
      <c r="IT78" s="13"/>
      <c r="IU78" s="13"/>
      <c r="IV78" s="13"/>
    </row>
    <row r="79" spans="2:256" s="26" customFormat="1" ht="15.75" customHeight="1" outlineLevel="1" collapsed="1" x14ac:dyDescent="0.15">
      <c r="B79" s="1868" t="s">
        <v>2745</v>
      </c>
      <c r="C79" s="1869"/>
      <c r="D79" s="1869"/>
      <c r="E79" s="1869"/>
      <c r="F79" s="1869"/>
      <c r="G79" s="1869"/>
      <c r="H79" s="1869"/>
      <c r="I79" s="1869"/>
      <c r="J79" s="1870"/>
      <c r="K79" s="28"/>
      <c r="L79" s="28"/>
      <c r="M79" s="28"/>
      <c r="N79" s="28"/>
      <c r="O79" s="28"/>
      <c r="P79" s="28"/>
      <c r="Q79" s="28"/>
      <c r="R79" s="28"/>
      <c r="S79" s="28"/>
      <c r="T79" s="28"/>
      <c r="U79" s="28"/>
      <c r="V79" s="28"/>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M79" s="29"/>
      <c r="EN79" s="29"/>
      <c r="EO79" s="29"/>
      <c r="EP79" s="29"/>
      <c r="EQ79" s="29"/>
      <c r="ER79" s="29"/>
      <c r="ES79" s="29"/>
      <c r="ET79" s="29"/>
      <c r="EU79" s="29"/>
      <c r="EV79" s="29"/>
      <c r="EW79" s="29"/>
      <c r="EX79" s="29"/>
      <c r="EY79" s="29"/>
      <c r="EZ79" s="29"/>
      <c r="FA79" s="29"/>
      <c r="FB79" s="29"/>
      <c r="FC79" s="29"/>
      <c r="FD79" s="29"/>
      <c r="FE79" s="29"/>
      <c r="FF79" s="29"/>
      <c r="FG79" s="29"/>
      <c r="FH79" s="29"/>
      <c r="FI79" s="29"/>
      <c r="FJ79" s="29"/>
      <c r="FK79" s="29"/>
      <c r="FL79" s="29"/>
      <c r="FM79" s="29"/>
      <c r="FN79" s="29"/>
      <c r="FO79" s="29"/>
      <c r="FP79" s="29"/>
      <c r="FQ79" s="29"/>
      <c r="FR79" s="29"/>
      <c r="FS79" s="29"/>
      <c r="FT79" s="29"/>
      <c r="FU79" s="29"/>
      <c r="FV79" s="29"/>
      <c r="FW79" s="29"/>
      <c r="FX79" s="29"/>
      <c r="FY79" s="29"/>
      <c r="FZ79" s="29"/>
      <c r="GA79" s="29"/>
      <c r="GB79" s="29"/>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13"/>
      <c r="HB79" s="13"/>
      <c r="HC79" s="13"/>
      <c r="HD79" s="13"/>
      <c r="HE79" s="13"/>
      <c r="HF79" s="13"/>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c r="IF79" s="13"/>
      <c r="IG79" s="13"/>
      <c r="IH79" s="13"/>
      <c r="II79" s="13"/>
      <c r="IJ79" s="13"/>
      <c r="IK79" s="13"/>
      <c r="IL79" s="13"/>
      <c r="IM79" s="13"/>
      <c r="IN79" s="13"/>
      <c r="IO79" s="13"/>
      <c r="IP79" s="13"/>
      <c r="IQ79" s="13"/>
      <c r="IR79" s="13"/>
      <c r="IS79" s="13"/>
      <c r="IT79" s="13"/>
      <c r="IU79" s="13"/>
      <c r="IV79" s="13"/>
    </row>
    <row r="80" spans="2:256" s="26" customFormat="1" ht="13" hidden="1" customHeight="1" outlineLevel="2" x14ac:dyDescent="0.15">
      <c r="G80" s="28"/>
      <c r="H80" s="28"/>
      <c r="I80" s="28"/>
      <c r="J80" s="28"/>
      <c r="K80" s="28"/>
      <c r="L80" s="28"/>
      <c r="M80" s="28"/>
      <c r="N80" s="28"/>
      <c r="O80" s="28"/>
      <c r="P80" s="28"/>
      <c r="Q80" s="28"/>
      <c r="R80" s="28"/>
      <c r="S80" s="28"/>
      <c r="T80" s="28"/>
      <c r="U80" s="28"/>
      <c r="V80" s="28"/>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c r="FJ80" s="29"/>
      <c r="FK80" s="29"/>
      <c r="FL80" s="29"/>
      <c r="FM80" s="29"/>
      <c r="FN80" s="29"/>
      <c r="FO80" s="29"/>
      <c r="FP80" s="29"/>
      <c r="FQ80" s="29"/>
      <c r="FR80" s="29"/>
      <c r="FS80" s="29"/>
      <c r="FT80" s="29"/>
      <c r="FU80" s="29"/>
      <c r="FV80" s="29"/>
      <c r="FW80" s="29"/>
      <c r="FX80" s="29"/>
      <c r="FY80" s="29"/>
      <c r="FZ80" s="29"/>
      <c r="GA80" s="29"/>
      <c r="GB80" s="29"/>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row>
    <row r="81" spans="2:43" hidden="1" outlineLevel="2" x14ac:dyDescent="0.15">
      <c r="B81" s="1475" t="s">
        <v>764</v>
      </c>
      <c r="C81" s="1901" t="s">
        <v>765</v>
      </c>
      <c r="D81" s="1902"/>
      <c r="E81" s="1902"/>
      <c r="F81" s="1902"/>
      <c r="G81" s="1902"/>
      <c r="H81" s="1902"/>
      <c r="I81" s="1902"/>
      <c r="J81" s="1903"/>
      <c r="K81" s="1476"/>
      <c r="L81" s="1901" t="s">
        <v>772</v>
      </c>
      <c r="M81" s="1902"/>
      <c r="N81" s="1902"/>
      <c r="O81" s="1902"/>
      <c r="P81" s="1902"/>
      <c r="Q81" s="1902"/>
      <c r="R81" s="1902"/>
      <c r="S81" s="1903"/>
      <c r="T81" s="1901" t="s">
        <v>775</v>
      </c>
      <c r="U81" s="1902"/>
      <c r="V81" s="1902"/>
      <c r="W81" s="1902"/>
      <c r="X81" s="1902"/>
      <c r="Y81" s="1902"/>
      <c r="Z81" s="1902"/>
      <c r="AA81" s="1903"/>
      <c r="AB81" s="1901" t="s">
        <v>774</v>
      </c>
      <c r="AC81" s="1902"/>
      <c r="AD81" s="1902"/>
      <c r="AE81" s="1902"/>
      <c r="AF81" s="1902"/>
      <c r="AG81" s="1902"/>
      <c r="AH81" s="1902"/>
      <c r="AI81" s="1903"/>
      <c r="AJ81" s="1901" t="s">
        <v>773</v>
      </c>
      <c r="AK81" s="1902"/>
      <c r="AL81" s="1902"/>
      <c r="AM81" s="1902"/>
      <c r="AN81" s="1902"/>
      <c r="AO81" s="1902"/>
      <c r="AP81" s="1902"/>
      <c r="AQ81" s="1903"/>
    </row>
    <row r="82" spans="2:43" hidden="1" outlineLevel="2" x14ac:dyDescent="0.15">
      <c r="B82" s="798"/>
      <c r="C82" s="1899" t="s">
        <v>767</v>
      </c>
      <c r="D82" s="1900"/>
      <c r="E82" s="1899" t="s">
        <v>769</v>
      </c>
      <c r="F82" s="1900"/>
      <c r="G82" s="1899" t="s">
        <v>771</v>
      </c>
      <c r="H82" s="1900"/>
      <c r="I82" s="1899" t="s">
        <v>770</v>
      </c>
      <c r="J82" s="1900"/>
      <c r="K82" s="835"/>
      <c r="L82" s="1899" t="s">
        <v>767</v>
      </c>
      <c r="M82" s="1900"/>
      <c r="N82" s="1899" t="s">
        <v>769</v>
      </c>
      <c r="O82" s="1900"/>
      <c r="P82" s="1899" t="s">
        <v>771</v>
      </c>
      <c r="Q82" s="1900"/>
      <c r="R82" s="1899" t="s">
        <v>770</v>
      </c>
      <c r="S82" s="1900"/>
      <c r="T82" s="1899" t="s">
        <v>776</v>
      </c>
      <c r="U82" s="1900"/>
      <c r="V82" s="1899" t="s">
        <v>777</v>
      </c>
      <c r="W82" s="1900"/>
      <c r="X82" s="1899" t="s">
        <v>778</v>
      </c>
      <c r="Y82" s="1900"/>
      <c r="Z82" s="1899" t="s">
        <v>779</v>
      </c>
      <c r="AA82" s="1900"/>
      <c r="AB82" s="1899" t="s">
        <v>780</v>
      </c>
      <c r="AC82" s="1900"/>
      <c r="AD82" s="1899" t="s">
        <v>777</v>
      </c>
      <c r="AE82" s="1900"/>
      <c r="AF82" s="1899" t="s">
        <v>781</v>
      </c>
      <c r="AG82" s="1900"/>
      <c r="AH82" s="1899" t="s">
        <v>779</v>
      </c>
      <c r="AI82" s="1900"/>
      <c r="AJ82" s="1899" t="s">
        <v>767</v>
      </c>
      <c r="AK82" s="1900"/>
      <c r="AL82" s="1899" t="s">
        <v>769</v>
      </c>
      <c r="AM82" s="1900"/>
      <c r="AN82" s="1899" t="s">
        <v>771</v>
      </c>
      <c r="AO82" s="1900"/>
      <c r="AP82" s="1899" t="s">
        <v>770</v>
      </c>
      <c r="AQ82" s="1900"/>
    </row>
    <row r="83" spans="2:43" hidden="1" outlineLevel="2" x14ac:dyDescent="0.15">
      <c r="B83" s="1549" t="s">
        <v>766</v>
      </c>
      <c r="C83" s="837" t="s">
        <v>768</v>
      </c>
      <c r="D83" s="838" t="s">
        <v>24</v>
      </c>
      <c r="E83" s="837" t="s">
        <v>768</v>
      </c>
      <c r="F83" s="838" t="s">
        <v>24</v>
      </c>
      <c r="G83" s="837" t="s">
        <v>768</v>
      </c>
      <c r="H83" s="838" t="s">
        <v>24</v>
      </c>
      <c r="I83" s="837" t="s">
        <v>768</v>
      </c>
      <c r="J83" s="838" t="s">
        <v>24</v>
      </c>
      <c r="K83" s="839" t="s">
        <v>723</v>
      </c>
      <c r="L83" s="837" t="s">
        <v>768</v>
      </c>
      <c r="M83" s="838" t="s">
        <v>24</v>
      </c>
      <c r="N83" s="837" t="s">
        <v>768</v>
      </c>
      <c r="O83" s="838" t="s">
        <v>24</v>
      </c>
      <c r="P83" s="837" t="s">
        <v>768</v>
      </c>
      <c r="Q83" s="838" t="s">
        <v>24</v>
      </c>
      <c r="R83" s="837" t="s">
        <v>768</v>
      </c>
      <c r="S83" s="838" t="s">
        <v>24</v>
      </c>
      <c r="T83" s="837" t="s">
        <v>768</v>
      </c>
      <c r="U83" s="838" t="s">
        <v>24</v>
      </c>
      <c r="V83" s="837" t="s">
        <v>768</v>
      </c>
      <c r="W83" s="838" t="s">
        <v>24</v>
      </c>
      <c r="X83" s="837" t="s">
        <v>768</v>
      </c>
      <c r="Y83" s="838" t="s">
        <v>24</v>
      </c>
      <c r="Z83" s="837" t="s">
        <v>768</v>
      </c>
      <c r="AA83" s="838" t="s">
        <v>24</v>
      </c>
      <c r="AB83" s="837" t="s">
        <v>768</v>
      </c>
      <c r="AC83" s="838" t="s">
        <v>24</v>
      </c>
      <c r="AD83" s="837" t="s">
        <v>768</v>
      </c>
      <c r="AE83" s="838" t="s">
        <v>24</v>
      </c>
      <c r="AF83" s="837" t="s">
        <v>768</v>
      </c>
      <c r="AG83" s="838" t="s">
        <v>24</v>
      </c>
      <c r="AH83" s="837" t="s">
        <v>768</v>
      </c>
      <c r="AI83" s="838" t="s">
        <v>24</v>
      </c>
      <c r="AJ83" s="837" t="s">
        <v>768</v>
      </c>
      <c r="AK83" s="838" t="s">
        <v>24</v>
      </c>
      <c r="AL83" s="837" t="s">
        <v>768</v>
      </c>
      <c r="AM83" s="838" t="s">
        <v>24</v>
      </c>
      <c r="AN83" s="837" t="s">
        <v>768</v>
      </c>
      <c r="AO83" s="838" t="s">
        <v>24</v>
      </c>
      <c r="AP83" s="837" t="s">
        <v>768</v>
      </c>
      <c r="AQ83" s="838" t="s">
        <v>24</v>
      </c>
    </row>
    <row r="84" spans="2:43" hidden="1" outlineLevel="2" x14ac:dyDescent="0.15">
      <c r="B84" s="800" t="s">
        <v>782</v>
      </c>
      <c r="C84" s="864">
        <v>505</v>
      </c>
      <c r="D84" s="850">
        <v>3015.6200000000003</v>
      </c>
      <c r="E84" s="856">
        <v>2.7400000000000001E-2</v>
      </c>
      <c r="F84" s="844">
        <v>0.22972000000000001</v>
      </c>
      <c r="G84" s="864">
        <v>448</v>
      </c>
      <c r="H84" s="850">
        <v>2681.6400000000003</v>
      </c>
      <c r="I84" s="843">
        <v>0.28079999999999999</v>
      </c>
      <c r="J84" s="843">
        <v>1.7608299999999999</v>
      </c>
      <c r="K84" s="828">
        <v>0.05</v>
      </c>
      <c r="L84" s="864">
        <v>363</v>
      </c>
      <c r="M84" s="850">
        <v>2980</v>
      </c>
      <c r="N84" s="856">
        <v>2.7400000000000001E-2</v>
      </c>
      <c r="O84" s="844">
        <v>0.22700000000000001</v>
      </c>
      <c r="P84" s="849">
        <v>322</v>
      </c>
      <c r="Q84" s="850">
        <v>2650</v>
      </c>
      <c r="R84" s="843">
        <v>0.19900000000000001</v>
      </c>
      <c r="S84" s="846">
        <v>1.74</v>
      </c>
      <c r="T84" s="1477">
        <v>142</v>
      </c>
      <c r="U84" s="847">
        <v>4.32</v>
      </c>
      <c r="V84" s="849">
        <v>0</v>
      </c>
      <c r="W84" s="1021">
        <v>3.3E-4</v>
      </c>
      <c r="X84" s="849">
        <v>126</v>
      </c>
      <c r="Y84" s="847">
        <v>3.84</v>
      </c>
      <c r="Z84" s="856">
        <v>8.1799999999999998E-2</v>
      </c>
      <c r="AA84" s="1016">
        <v>2.5300000000000001E-3</v>
      </c>
      <c r="AB84" s="864">
        <v>0</v>
      </c>
      <c r="AC84" s="1478">
        <v>31.3</v>
      </c>
      <c r="AD84" s="849">
        <v>0</v>
      </c>
      <c r="AE84" s="1021">
        <v>2.3900000000000002E-3</v>
      </c>
      <c r="AF84" s="849">
        <v>0</v>
      </c>
      <c r="AG84" s="1478">
        <v>27.8</v>
      </c>
      <c r="AH84" s="849">
        <v>0</v>
      </c>
      <c r="AI84" s="856">
        <v>1.83E-2</v>
      </c>
      <c r="AJ84" s="864">
        <v>0</v>
      </c>
      <c r="AK84" s="850">
        <v>0</v>
      </c>
      <c r="AL84" s="849">
        <v>0</v>
      </c>
      <c r="AM84" s="850">
        <v>0</v>
      </c>
      <c r="AN84" s="849">
        <v>0</v>
      </c>
      <c r="AO84" s="850">
        <v>0</v>
      </c>
      <c r="AP84" s="849">
        <v>0</v>
      </c>
      <c r="AQ84" s="894">
        <v>0</v>
      </c>
    </row>
    <row r="85" spans="2:43" hidden="1" outlineLevel="2" x14ac:dyDescent="0.15">
      <c r="B85" s="800" t="s">
        <v>783</v>
      </c>
      <c r="C85" s="865">
        <v>487</v>
      </c>
      <c r="D85" s="851">
        <v>2954.37</v>
      </c>
      <c r="E85" s="856">
        <v>2.76E-2</v>
      </c>
      <c r="F85" s="845">
        <v>0.23272000000000001</v>
      </c>
      <c r="G85" s="865">
        <v>448</v>
      </c>
      <c r="H85" s="851">
        <v>2721.6400000000003</v>
      </c>
      <c r="I85" s="843">
        <v>0.27079999999999999</v>
      </c>
      <c r="J85" s="843">
        <v>1.73014</v>
      </c>
      <c r="K85" s="829">
        <v>0.05</v>
      </c>
      <c r="L85" s="865">
        <v>350</v>
      </c>
      <c r="M85" s="851">
        <v>2920</v>
      </c>
      <c r="N85" s="856">
        <v>2.76E-2</v>
      </c>
      <c r="O85" s="845">
        <v>0.23</v>
      </c>
      <c r="P85" s="849">
        <v>322</v>
      </c>
      <c r="Q85" s="851">
        <v>2690</v>
      </c>
      <c r="R85" s="843">
        <v>0.192</v>
      </c>
      <c r="S85" s="846">
        <v>1.71</v>
      </c>
      <c r="T85" s="1473">
        <v>137</v>
      </c>
      <c r="U85" s="848">
        <v>4.17</v>
      </c>
      <c r="V85" s="849">
        <v>0</v>
      </c>
      <c r="W85" s="1023">
        <v>3.3E-4</v>
      </c>
      <c r="X85" s="849">
        <v>126</v>
      </c>
      <c r="Y85" s="848">
        <v>3.84</v>
      </c>
      <c r="Z85" s="856">
        <v>7.8799999999999995E-2</v>
      </c>
      <c r="AA85" s="1016">
        <v>2.4399999999999999E-3</v>
      </c>
      <c r="AB85" s="865">
        <v>0</v>
      </c>
      <c r="AC85" s="1472">
        <v>30.200000000000003</v>
      </c>
      <c r="AD85" s="849">
        <v>0</v>
      </c>
      <c r="AE85" s="1023">
        <v>2.3900000000000002E-3</v>
      </c>
      <c r="AF85" s="849">
        <v>0</v>
      </c>
      <c r="AG85" s="1472">
        <v>27.8</v>
      </c>
      <c r="AH85" s="849">
        <v>0</v>
      </c>
      <c r="AI85" s="856">
        <v>1.77E-2</v>
      </c>
      <c r="AJ85" s="865">
        <v>0</v>
      </c>
      <c r="AK85" s="851">
        <v>0</v>
      </c>
      <c r="AL85" s="849">
        <v>0</v>
      </c>
      <c r="AM85" s="851">
        <v>0</v>
      </c>
      <c r="AN85" s="849">
        <v>0</v>
      </c>
      <c r="AO85" s="851">
        <v>0</v>
      </c>
      <c r="AP85" s="849">
        <v>0</v>
      </c>
      <c r="AQ85" s="894">
        <v>0</v>
      </c>
    </row>
    <row r="86" spans="2:43" hidden="1" outlineLevel="2" x14ac:dyDescent="0.15">
      <c r="B86" s="800" t="s">
        <v>784</v>
      </c>
      <c r="C86" s="865"/>
      <c r="D86" s="851"/>
      <c r="E86" s="856">
        <v>3.8899999999999997E-2</v>
      </c>
      <c r="F86" s="845">
        <v>0.20493000000000003</v>
      </c>
      <c r="G86" s="865">
        <v>378</v>
      </c>
      <c r="H86" s="851">
        <v>2394.1000000000004</v>
      </c>
      <c r="I86" s="843"/>
      <c r="J86" s="843"/>
      <c r="K86" s="829">
        <v>0.05</v>
      </c>
      <c r="L86" s="865"/>
      <c r="M86" s="851"/>
      <c r="N86" s="856">
        <v>1.8800000000000001E-2</v>
      </c>
      <c r="O86" s="845">
        <v>0.20200000000000001</v>
      </c>
      <c r="P86" s="849">
        <v>219</v>
      </c>
      <c r="Q86" s="851">
        <v>2360</v>
      </c>
      <c r="R86" s="843"/>
      <c r="S86" s="846"/>
      <c r="T86" s="1473"/>
      <c r="U86" s="848"/>
      <c r="V86" s="856">
        <v>1.3599999999999999E-2</v>
      </c>
      <c r="W86" s="1023">
        <v>5.4000000000000001E-4</v>
      </c>
      <c r="X86" s="849">
        <v>159</v>
      </c>
      <c r="Y86" s="848">
        <v>6.3</v>
      </c>
      <c r="Z86" s="856"/>
      <c r="AA86" s="1016"/>
      <c r="AB86" s="865"/>
      <c r="AC86" s="1472"/>
      <c r="AD86" s="849">
        <v>0</v>
      </c>
      <c r="AE86" s="1023">
        <v>2.3900000000000002E-3</v>
      </c>
      <c r="AF86" s="849">
        <v>0</v>
      </c>
      <c r="AG86" s="1472">
        <v>27.8</v>
      </c>
      <c r="AH86" s="849"/>
      <c r="AI86" s="856"/>
      <c r="AJ86" s="865"/>
      <c r="AK86" s="851"/>
      <c r="AL86" s="849">
        <v>0</v>
      </c>
      <c r="AM86" s="851">
        <v>0</v>
      </c>
      <c r="AN86" s="849">
        <v>0</v>
      </c>
      <c r="AO86" s="851">
        <v>0</v>
      </c>
      <c r="AP86" s="849"/>
      <c r="AQ86" s="894"/>
    </row>
    <row r="87" spans="2:43" hidden="1" outlineLevel="2" x14ac:dyDescent="0.15">
      <c r="B87" s="800" t="s">
        <v>785</v>
      </c>
      <c r="C87" s="865"/>
      <c r="D87" s="851"/>
      <c r="E87" s="856">
        <v>3.8899999999999997E-2</v>
      </c>
      <c r="F87" s="845">
        <v>0.20393000000000003</v>
      </c>
      <c r="G87" s="865">
        <v>368</v>
      </c>
      <c r="H87" s="851">
        <v>2374.1000000000004</v>
      </c>
      <c r="I87" s="843"/>
      <c r="J87" s="843"/>
      <c r="K87" s="829">
        <v>0.05</v>
      </c>
      <c r="L87" s="865"/>
      <c r="M87" s="851"/>
      <c r="N87" s="856">
        <v>2.53E-2</v>
      </c>
      <c r="O87" s="845">
        <v>0.20100000000000001</v>
      </c>
      <c r="P87" s="849">
        <v>209</v>
      </c>
      <c r="Q87" s="851">
        <v>2340</v>
      </c>
      <c r="R87" s="843"/>
      <c r="S87" s="846"/>
      <c r="T87" s="1473"/>
      <c r="U87" s="848"/>
      <c r="V87" s="856">
        <v>1.3599999999999999E-2</v>
      </c>
      <c r="W87" s="1023">
        <v>5.4000000000000001E-4</v>
      </c>
      <c r="X87" s="849">
        <v>159</v>
      </c>
      <c r="Y87" s="848">
        <v>6.3</v>
      </c>
      <c r="Z87" s="856"/>
      <c r="AA87" s="1016"/>
      <c r="AB87" s="865"/>
      <c r="AC87" s="1472"/>
      <c r="AD87" s="849">
        <v>0</v>
      </c>
      <c r="AE87" s="1023">
        <v>2.3900000000000002E-3</v>
      </c>
      <c r="AF87" s="849">
        <v>0</v>
      </c>
      <c r="AG87" s="1472">
        <v>27.8</v>
      </c>
      <c r="AH87" s="849"/>
      <c r="AI87" s="856"/>
      <c r="AJ87" s="865"/>
      <c r="AK87" s="851"/>
      <c r="AL87" s="849">
        <v>0</v>
      </c>
      <c r="AM87" s="851">
        <v>0</v>
      </c>
      <c r="AN87" s="849">
        <v>0</v>
      </c>
      <c r="AO87" s="851">
        <v>0</v>
      </c>
      <c r="AP87" s="849"/>
      <c r="AQ87" s="894"/>
    </row>
    <row r="88" spans="2:43" hidden="1" outlineLevel="2" x14ac:dyDescent="0.15">
      <c r="B88" s="1658" t="s">
        <v>3136</v>
      </c>
      <c r="C88" s="1686">
        <f>0.419 *1000</f>
        <v>419</v>
      </c>
      <c r="D88" s="1657">
        <f>2.52*1000</f>
        <v>2520</v>
      </c>
      <c r="E88" s="856">
        <v>3.8899999999999997E-2</v>
      </c>
      <c r="F88" s="1662">
        <v>0.20599999999999999</v>
      </c>
      <c r="G88" s="865">
        <v>368</v>
      </c>
      <c r="H88" s="1657">
        <v>2390</v>
      </c>
      <c r="I88" s="1661">
        <f>+((C88*0.778)/1000)/1000</f>
        <v>3.2598200000000005E-4</v>
      </c>
      <c r="J88" s="1661">
        <f>+((D88*0.778)/1000)/1000</f>
        <v>1.9605600000000001E-3</v>
      </c>
      <c r="K88" s="829"/>
      <c r="L88" s="865"/>
      <c r="M88" s="851"/>
      <c r="N88" s="856"/>
      <c r="O88" s="845"/>
      <c r="P88" s="849"/>
      <c r="Q88" s="851"/>
      <c r="R88" s="843"/>
      <c r="S88" s="846"/>
      <c r="T88" s="1473"/>
      <c r="U88" s="848"/>
      <c r="V88" s="856"/>
      <c r="W88" s="1023"/>
      <c r="X88" s="849"/>
      <c r="Y88" s="848"/>
      <c r="Z88" s="856"/>
      <c r="AA88" s="1016"/>
      <c r="AB88" s="865"/>
      <c r="AC88" s="1472"/>
      <c r="AD88" s="849"/>
      <c r="AE88" s="1023"/>
      <c r="AF88" s="849"/>
      <c r="AG88" s="1472"/>
      <c r="AH88" s="849"/>
      <c r="AI88" s="856"/>
      <c r="AJ88" s="865"/>
      <c r="AK88" s="851"/>
      <c r="AL88" s="849"/>
      <c r="AM88" s="851"/>
      <c r="AN88" s="849"/>
      <c r="AO88" s="851"/>
      <c r="AP88" s="849"/>
      <c r="AQ88" s="894"/>
    </row>
    <row r="89" spans="2:43" hidden="1" outlineLevel="2" x14ac:dyDescent="0.15">
      <c r="B89" s="800" t="s">
        <v>786</v>
      </c>
      <c r="C89" s="865">
        <v>500</v>
      </c>
      <c r="D89" s="851">
        <v>3015.6200000000003</v>
      </c>
      <c r="E89" s="856">
        <v>2.7400000000000001E-2</v>
      </c>
      <c r="F89" s="845">
        <v>0.22972000000000001</v>
      </c>
      <c r="G89" s="865">
        <v>379</v>
      </c>
      <c r="H89" s="851">
        <v>2681.6400000000003</v>
      </c>
      <c r="I89" s="843">
        <v>0.2631</v>
      </c>
      <c r="J89" s="843">
        <v>1.54833</v>
      </c>
      <c r="K89" s="829">
        <v>0.05</v>
      </c>
      <c r="L89" s="865">
        <v>359</v>
      </c>
      <c r="M89" s="851">
        <v>2980</v>
      </c>
      <c r="N89" s="856">
        <v>2.7400000000000001E-2</v>
      </c>
      <c r="O89" s="845">
        <v>0.22700000000000001</v>
      </c>
      <c r="P89" s="849">
        <v>319</v>
      </c>
      <c r="Q89" s="851">
        <v>2650</v>
      </c>
      <c r="R89" s="843">
        <v>0.19</v>
      </c>
      <c r="S89" s="846">
        <v>1.53</v>
      </c>
      <c r="T89" s="1473">
        <v>141</v>
      </c>
      <c r="U89" s="848">
        <v>4.32</v>
      </c>
      <c r="V89" s="849">
        <v>0</v>
      </c>
      <c r="W89" s="1023">
        <v>3.3E-4</v>
      </c>
      <c r="X89" s="849">
        <v>60</v>
      </c>
      <c r="Y89" s="848">
        <v>3.84</v>
      </c>
      <c r="Z89" s="856">
        <v>7.3099999999999998E-2</v>
      </c>
      <c r="AA89" s="1016">
        <v>2.2300000000000002E-3</v>
      </c>
      <c r="AB89" s="865">
        <v>0</v>
      </c>
      <c r="AC89" s="1472">
        <v>31.3</v>
      </c>
      <c r="AD89" s="849">
        <v>0</v>
      </c>
      <c r="AE89" s="1023">
        <v>2.3900000000000002E-3</v>
      </c>
      <c r="AF89" s="849">
        <v>0</v>
      </c>
      <c r="AG89" s="1472">
        <v>27.8</v>
      </c>
      <c r="AH89" s="849">
        <v>0</v>
      </c>
      <c r="AI89" s="856">
        <v>1.61E-2</v>
      </c>
      <c r="AJ89" s="865">
        <v>0</v>
      </c>
      <c r="AK89" s="851">
        <v>0</v>
      </c>
      <c r="AL89" s="849">
        <v>0</v>
      </c>
      <c r="AM89" s="851">
        <v>0</v>
      </c>
      <c r="AN89" s="849">
        <v>0</v>
      </c>
      <c r="AO89" s="851">
        <v>0</v>
      </c>
      <c r="AP89" s="849">
        <v>0</v>
      </c>
      <c r="AQ89" s="894">
        <v>0</v>
      </c>
    </row>
    <row r="90" spans="2:43" hidden="1" outlineLevel="2" x14ac:dyDescent="0.15">
      <c r="B90" s="800" t="s">
        <v>787</v>
      </c>
      <c r="C90" s="865">
        <v>487</v>
      </c>
      <c r="D90" s="851">
        <v>2974.7</v>
      </c>
      <c r="E90" s="856">
        <v>2.7400000000000001E-2</v>
      </c>
      <c r="F90" s="845">
        <v>0.23272000000000001</v>
      </c>
      <c r="G90" s="865">
        <v>445</v>
      </c>
      <c r="H90" s="851">
        <v>2721.6400000000003</v>
      </c>
      <c r="I90" s="843">
        <v>0.25609999999999999</v>
      </c>
      <c r="J90" s="843">
        <v>1.5378700000000001</v>
      </c>
      <c r="K90" s="829">
        <v>0.05</v>
      </c>
      <c r="L90" s="865">
        <v>350</v>
      </c>
      <c r="M90" s="851">
        <v>2940</v>
      </c>
      <c r="N90" s="856">
        <v>2.7400000000000001E-2</v>
      </c>
      <c r="O90" s="845">
        <v>0.23</v>
      </c>
      <c r="P90" s="849">
        <v>319</v>
      </c>
      <c r="Q90" s="851">
        <v>2690</v>
      </c>
      <c r="R90" s="843">
        <v>0.185</v>
      </c>
      <c r="S90" s="846">
        <v>1.52</v>
      </c>
      <c r="T90" s="1473">
        <v>137</v>
      </c>
      <c r="U90" s="848">
        <v>4.2</v>
      </c>
      <c r="V90" s="849">
        <v>0</v>
      </c>
      <c r="W90" s="1023">
        <v>3.3E-4</v>
      </c>
      <c r="X90" s="849">
        <v>126</v>
      </c>
      <c r="Y90" s="848">
        <v>3.84</v>
      </c>
      <c r="Z90" s="856">
        <v>7.1099999999999997E-2</v>
      </c>
      <c r="AA90" s="1016">
        <v>2.1700000000000001E-3</v>
      </c>
      <c r="AB90" s="865">
        <v>0</v>
      </c>
      <c r="AC90" s="1472">
        <v>30.5</v>
      </c>
      <c r="AD90" s="849">
        <v>0</v>
      </c>
      <c r="AE90" s="1023">
        <v>2.3900000000000002E-3</v>
      </c>
      <c r="AF90" s="849">
        <v>0</v>
      </c>
      <c r="AG90" s="1472">
        <v>27.8</v>
      </c>
      <c r="AH90" s="849">
        <v>0</v>
      </c>
      <c r="AI90" s="856">
        <v>1.5699999999999999E-2</v>
      </c>
      <c r="AJ90" s="865">
        <v>0</v>
      </c>
      <c r="AK90" s="851">
        <v>0</v>
      </c>
      <c r="AL90" s="849">
        <v>0</v>
      </c>
      <c r="AM90" s="851">
        <v>0</v>
      </c>
      <c r="AN90" s="849">
        <v>0</v>
      </c>
      <c r="AO90" s="851">
        <v>0</v>
      </c>
      <c r="AP90" s="849">
        <v>0</v>
      </c>
      <c r="AQ90" s="894">
        <v>0</v>
      </c>
    </row>
    <row r="91" spans="2:43" hidden="1" outlineLevel="2" x14ac:dyDescent="0.15">
      <c r="B91" s="1658" t="s">
        <v>3143</v>
      </c>
      <c r="C91" s="865"/>
      <c r="D91" s="1657">
        <f>2.69*1000</f>
        <v>2690</v>
      </c>
      <c r="E91" s="856"/>
      <c r="F91" s="1662">
        <v>0.20699999999999999</v>
      </c>
      <c r="G91" s="865"/>
      <c r="H91" s="1657">
        <v>2410</v>
      </c>
      <c r="I91" s="843"/>
      <c r="J91" s="843"/>
      <c r="K91" s="829"/>
      <c r="L91" s="865"/>
      <c r="M91" s="851"/>
      <c r="N91" s="856"/>
      <c r="O91" s="845"/>
      <c r="P91" s="849"/>
      <c r="Q91" s="851"/>
      <c r="R91" s="843"/>
      <c r="S91" s="846"/>
      <c r="T91" s="1473"/>
      <c r="U91" s="848"/>
      <c r="V91" s="849"/>
      <c r="W91" s="1023"/>
      <c r="X91" s="849"/>
      <c r="Y91" s="848"/>
      <c r="Z91" s="856"/>
      <c r="AA91" s="1016"/>
      <c r="AB91" s="865"/>
      <c r="AC91" s="1472"/>
      <c r="AD91" s="849"/>
      <c r="AE91" s="1023"/>
      <c r="AF91" s="849"/>
      <c r="AG91" s="1472"/>
      <c r="AH91" s="849"/>
      <c r="AI91" s="856"/>
      <c r="AJ91" s="865"/>
      <c r="AK91" s="851"/>
      <c r="AL91" s="849"/>
      <c r="AM91" s="851"/>
      <c r="AN91" s="849"/>
      <c r="AO91" s="851"/>
      <c r="AP91" s="849"/>
      <c r="AQ91" s="894"/>
    </row>
    <row r="92" spans="2:43" hidden="1" outlineLevel="2" x14ac:dyDescent="0.15">
      <c r="B92" s="1658" t="s">
        <v>3144</v>
      </c>
      <c r="C92" s="865"/>
      <c r="D92" s="1657">
        <f>1.52*1000</f>
        <v>1520</v>
      </c>
      <c r="E92" s="856"/>
      <c r="F92" s="1662">
        <v>0.16</v>
      </c>
      <c r="G92" s="865"/>
      <c r="H92" s="1657">
        <v>1810</v>
      </c>
      <c r="I92" s="843"/>
      <c r="J92" s="843"/>
      <c r="K92" s="829"/>
      <c r="L92" s="865"/>
      <c r="M92" s="851"/>
      <c r="N92" s="856"/>
      <c r="O92" s="845"/>
      <c r="P92" s="849"/>
      <c r="Q92" s="851"/>
      <c r="R92" s="843"/>
      <c r="S92" s="846"/>
      <c r="T92" s="1473"/>
      <c r="U92" s="848"/>
      <c r="V92" s="849"/>
      <c r="W92" s="1023"/>
      <c r="X92" s="849"/>
      <c r="Y92" s="848"/>
      <c r="Z92" s="856"/>
      <c r="AA92" s="1016"/>
      <c r="AB92" s="865"/>
      <c r="AC92" s="1472"/>
      <c r="AD92" s="849"/>
      <c r="AE92" s="1023"/>
      <c r="AF92" s="849"/>
      <c r="AG92" s="1472"/>
      <c r="AH92" s="849"/>
      <c r="AI92" s="856"/>
      <c r="AJ92" s="865"/>
      <c r="AK92" s="851"/>
      <c r="AL92" s="849"/>
      <c r="AM92" s="851"/>
      <c r="AN92" s="849"/>
      <c r="AO92" s="851"/>
      <c r="AP92" s="849"/>
      <c r="AQ92" s="894"/>
    </row>
    <row r="93" spans="2:43" hidden="1" outlineLevel="2" x14ac:dyDescent="0.15">
      <c r="B93" s="1658" t="s">
        <v>3146</v>
      </c>
      <c r="C93" s="865"/>
      <c r="D93" s="1657">
        <f>0.919*1000</f>
        <v>919</v>
      </c>
      <c r="E93" s="856"/>
      <c r="F93" s="1662">
        <v>0.36199999999999999</v>
      </c>
      <c r="G93" s="865"/>
      <c r="H93" s="1657">
        <v>4220</v>
      </c>
      <c r="I93" s="843"/>
      <c r="J93" s="843"/>
      <c r="K93" s="829"/>
      <c r="L93" s="865"/>
      <c r="M93" s="851"/>
      <c r="N93" s="856"/>
      <c r="O93" s="845"/>
      <c r="P93" s="849"/>
      <c r="Q93" s="851"/>
      <c r="R93" s="843"/>
      <c r="S93" s="846"/>
      <c r="T93" s="1473"/>
      <c r="U93" s="848"/>
      <c r="V93" s="849"/>
      <c r="W93" s="1023"/>
      <c r="X93" s="849"/>
      <c r="Y93" s="848"/>
      <c r="Z93" s="856"/>
      <c r="AA93" s="1016"/>
      <c r="AB93" s="865"/>
      <c r="AC93" s="1472"/>
      <c r="AD93" s="849"/>
      <c r="AE93" s="1023"/>
      <c r="AF93" s="849"/>
      <c r="AG93" s="1472"/>
      <c r="AH93" s="849"/>
      <c r="AI93" s="856"/>
      <c r="AJ93" s="865"/>
      <c r="AK93" s="851"/>
      <c r="AL93" s="849"/>
      <c r="AM93" s="851"/>
      <c r="AN93" s="849"/>
      <c r="AO93" s="851"/>
      <c r="AP93" s="849"/>
      <c r="AQ93" s="894"/>
    </row>
    <row r="94" spans="2:43" hidden="1" outlineLevel="2" x14ac:dyDescent="0.15">
      <c r="B94" s="1658" t="s">
        <v>3147</v>
      </c>
      <c r="C94" s="865"/>
      <c r="D94" s="1657">
        <f>0.728*1000</f>
        <v>728</v>
      </c>
      <c r="E94" s="856"/>
      <c r="F94" s="1662">
        <v>0.90900000000000003</v>
      </c>
      <c r="G94" s="865"/>
      <c r="H94" s="1657">
        <v>10600</v>
      </c>
      <c r="I94" s="843"/>
      <c r="J94" s="843"/>
      <c r="K94" s="829"/>
      <c r="L94" s="865"/>
      <c r="M94" s="851"/>
      <c r="N94" s="856"/>
      <c r="O94" s="845"/>
      <c r="P94" s="849"/>
      <c r="Q94" s="851"/>
      <c r="R94" s="843"/>
      <c r="S94" s="846"/>
      <c r="T94" s="1473"/>
      <c r="U94" s="848"/>
      <c r="V94" s="849"/>
      <c r="W94" s="1023"/>
      <c r="X94" s="849"/>
      <c r="Y94" s="848"/>
      <c r="Z94" s="856"/>
      <c r="AA94" s="1016"/>
      <c r="AB94" s="865"/>
      <c r="AC94" s="1472"/>
      <c r="AD94" s="849"/>
      <c r="AE94" s="1023"/>
      <c r="AF94" s="849"/>
      <c r="AG94" s="1472"/>
      <c r="AH94" s="849"/>
      <c r="AI94" s="856"/>
      <c r="AJ94" s="865"/>
      <c r="AK94" s="851"/>
      <c r="AL94" s="849"/>
      <c r="AM94" s="851"/>
      <c r="AN94" s="849"/>
      <c r="AO94" s="851"/>
      <c r="AP94" s="849"/>
      <c r="AQ94" s="894"/>
    </row>
    <row r="95" spans="2:43" hidden="1" outlineLevel="2" x14ac:dyDescent="0.15">
      <c r="B95" s="800"/>
      <c r="C95" s="865"/>
      <c r="D95" s="851"/>
      <c r="E95" s="856"/>
      <c r="F95" s="845"/>
      <c r="G95" s="865"/>
      <c r="H95" s="851"/>
      <c r="I95" s="843"/>
      <c r="J95" s="843"/>
      <c r="K95" s="829"/>
      <c r="L95" s="865"/>
      <c r="M95" s="851"/>
      <c r="N95" s="856"/>
      <c r="O95" s="845"/>
      <c r="P95" s="849"/>
      <c r="Q95" s="851"/>
      <c r="R95" s="843"/>
      <c r="S95" s="846"/>
      <c r="T95" s="1473"/>
      <c r="U95" s="848"/>
      <c r="V95" s="856"/>
      <c r="W95" s="1023"/>
      <c r="X95" s="849"/>
      <c r="Y95" s="848"/>
      <c r="Z95" s="856"/>
      <c r="AA95" s="1016"/>
      <c r="AB95" s="865"/>
      <c r="AC95" s="1472"/>
      <c r="AD95" s="849"/>
      <c r="AE95" s="1023"/>
      <c r="AF95" s="849"/>
      <c r="AG95" s="1472"/>
      <c r="AH95" s="849"/>
      <c r="AI95" s="856"/>
      <c r="AJ95" s="865"/>
      <c r="AK95" s="851"/>
      <c r="AL95" s="849"/>
      <c r="AM95" s="851"/>
      <c r="AN95" s="849"/>
      <c r="AO95" s="851"/>
      <c r="AP95" s="849"/>
      <c r="AQ95" s="894"/>
    </row>
    <row r="96" spans="2:43" hidden="1" outlineLevel="2" x14ac:dyDescent="0.15">
      <c r="B96" s="800" t="s">
        <v>797</v>
      </c>
      <c r="C96" s="865">
        <v>668.5</v>
      </c>
      <c r="D96" s="851">
        <v>3111.04</v>
      </c>
      <c r="E96" s="856">
        <v>5.5E-2</v>
      </c>
      <c r="F96" s="845">
        <v>0.252913</v>
      </c>
      <c r="G96" s="865">
        <v>634.20000000000005</v>
      </c>
      <c r="H96" s="851">
        <v>2950.46</v>
      </c>
      <c r="I96" s="843">
        <v>0.53459999999999996</v>
      </c>
      <c r="J96" s="843">
        <v>2.48</v>
      </c>
      <c r="K96" s="829">
        <v>0.05</v>
      </c>
      <c r="L96" s="865">
        <v>604</v>
      </c>
      <c r="M96" s="851">
        <v>3100</v>
      </c>
      <c r="N96" s="856">
        <v>4.9000000000000002E-2</v>
      </c>
      <c r="O96" s="845">
        <v>0.252</v>
      </c>
      <c r="P96" s="849">
        <v>573</v>
      </c>
      <c r="Q96" s="851">
        <v>2940</v>
      </c>
      <c r="R96" s="843">
        <v>0.48299999999999998</v>
      </c>
      <c r="S96" s="846">
        <v>2.48</v>
      </c>
      <c r="T96" s="1473">
        <v>64.5</v>
      </c>
      <c r="U96" s="848">
        <v>3.9899999999999998</v>
      </c>
      <c r="V96" s="856">
        <v>6.0000000000000001E-3</v>
      </c>
      <c r="W96" s="1023">
        <v>3.3E-4</v>
      </c>
      <c r="X96" s="849">
        <v>61.2</v>
      </c>
      <c r="Y96" s="848">
        <v>3.78</v>
      </c>
      <c r="Z96" s="856">
        <v>5.16E-2</v>
      </c>
      <c r="AA96" s="849">
        <v>0</v>
      </c>
      <c r="AB96" s="865">
        <v>0</v>
      </c>
      <c r="AC96" s="1472">
        <v>7.05</v>
      </c>
      <c r="AD96" s="849">
        <v>0</v>
      </c>
      <c r="AE96" s="1023">
        <v>5.8299999999999997E-4</v>
      </c>
      <c r="AF96" s="849">
        <v>0</v>
      </c>
      <c r="AG96" s="1472">
        <v>6.68</v>
      </c>
      <c r="AH96" s="849">
        <v>0</v>
      </c>
      <c r="AI96" s="849">
        <v>0</v>
      </c>
      <c r="AJ96" s="865">
        <v>0</v>
      </c>
      <c r="AK96" s="851">
        <v>0</v>
      </c>
      <c r="AL96" s="849">
        <v>0</v>
      </c>
      <c r="AM96" s="851">
        <v>0</v>
      </c>
      <c r="AN96" s="849">
        <v>0</v>
      </c>
      <c r="AO96" s="851">
        <v>0</v>
      </c>
      <c r="AP96" s="849">
        <v>0</v>
      </c>
      <c r="AQ96" s="894">
        <v>0</v>
      </c>
    </row>
    <row r="97" spans="2:43" hidden="1" outlineLevel="2" x14ac:dyDescent="0.15">
      <c r="B97" s="800" t="s">
        <v>798</v>
      </c>
      <c r="C97" s="865">
        <v>634.20000000000005</v>
      </c>
      <c r="D97" s="851">
        <v>3160.46</v>
      </c>
      <c r="E97" s="856">
        <v>5.4399999999999997E-2</v>
      </c>
      <c r="F97" s="845">
        <v>0.258913</v>
      </c>
      <c r="G97" s="865">
        <v>634.20000000000005</v>
      </c>
      <c r="H97" s="851">
        <v>3020.46</v>
      </c>
      <c r="I97" s="843">
        <v>0.53129999999999999</v>
      </c>
      <c r="J97" s="843">
        <v>2.48</v>
      </c>
      <c r="K97" s="829">
        <v>0.05</v>
      </c>
      <c r="L97" s="865">
        <v>573</v>
      </c>
      <c r="M97" s="851">
        <v>3150</v>
      </c>
      <c r="N97" s="856">
        <v>2.7E-2</v>
      </c>
      <c r="O97" s="845">
        <v>0.25800000000000001</v>
      </c>
      <c r="P97" s="849">
        <v>573</v>
      </c>
      <c r="Q97" s="851">
        <v>3010</v>
      </c>
      <c r="R97" s="843">
        <v>0.48</v>
      </c>
      <c r="S97" s="846">
        <v>2.48</v>
      </c>
      <c r="T97" s="1473">
        <v>61.199999999999996</v>
      </c>
      <c r="U97" s="848">
        <v>3.78</v>
      </c>
      <c r="V97" s="856">
        <v>6.0000000000000001E-3</v>
      </c>
      <c r="W97" s="1023">
        <v>3.3E-4</v>
      </c>
      <c r="X97" s="849">
        <v>61.2</v>
      </c>
      <c r="Y97" s="848">
        <v>3.78</v>
      </c>
      <c r="Z97" s="856">
        <v>5.1299999999999998E-2</v>
      </c>
      <c r="AA97" s="849">
        <v>0</v>
      </c>
      <c r="AB97" s="865">
        <v>0</v>
      </c>
      <c r="AC97" s="1472">
        <v>6.6800000000000006</v>
      </c>
      <c r="AD97" s="849">
        <v>0</v>
      </c>
      <c r="AE97" s="1023">
        <v>5.8299999999999997E-4</v>
      </c>
      <c r="AF97" s="849">
        <v>0</v>
      </c>
      <c r="AG97" s="1472">
        <v>6.68</v>
      </c>
      <c r="AH97" s="849">
        <v>0</v>
      </c>
      <c r="AI97" s="849">
        <v>0</v>
      </c>
      <c r="AJ97" s="865">
        <v>0</v>
      </c>
      <c r="AK97" s="851">
        <v>0</v>
      </c>
      <c r="AL97" s="849">
        <v>0</v>
      </c>
      <c r="AM97" s="851">
        <v>0</v>
      </c>
      <c r="AN97" s="849">
        <v>0</v>
      </c>
      <c r="AO97" s="851">
        <v>0</v>
      </c>
      <c r="AP97" s="849">
        <v>0</v>
      </c>
      <c r="AQ97" s="894">
        <v>0</v>
      </c>
    </row>
    <row r="98" spans="2:43" hidden="1" outlineLevel="2" x14ac:dyDescent="0.15">
      <c r="B98" s="800" t="s">
        <v>789</v>
      </c>
      <c r="C98" s="865"/>
      <c r="D98" s="851"/>
      <c r="E98" s="856">
        <v>2.9000000000000001E-2</v>
      </c>
      <c r="F98" s="845">
        <v>0.29299999999999998</v>
      </c>
      <c r="G98" s="865">
        <v>339</v>
      </c>
      <c r="H98" s="851">
        <v>3411.5800000000004</v>
      </c>
      <c r="I98" s="843"/>
      <c r="J98" s="843"/>
      <c r="K98" s="829">
        <v>0.05</v>
      </c>
      <c r="L98" s="865"/>
      <c r="M98" s="851"/>
      <c r="N98" s="856">
        <v>0.28999999999999998</v>
      </c>
      <c r="O98" s="845">
        <v>2.9000000000000001E-2</v>
      </c>
      <c r="P98" s="849">
        <v>339</v>
      </c>
      <c r="Q98" s="851">
        <v>3380</v>
      </c>
      <c r="R98" s="843"/>
      <c r="S98" s="846"/>
      <c r="T98" s="1473"/>
      <c r="U98" s="848"/>
      <c r="V98" s="856">
        <v>3.2400000000000001E-4</v>
      </c>
      <c r="W98" s="1023">
        <v>0</v>
      </c>
      <c r="X98" s="849">
        <v>0</v>
      </c>
      <c r="Y98" s="848">
        <v>3.78</v>
      </c>
      <c r="Z98" s="856"/>
      <c r="AA98" s="1016"/>
      <c r="AB98" s="865"/>
      <c r="AC98" s="1472"/>
      <c r="AD98" s="1016">
        <v>2.3900000000000002E-3</v>
      </c>
      <c r="AE98" s="851">
        <v>0</v>
      </c>
      <c r="AF98" s="849">
        <v>0</v>
      </c>
      <c r="AG98" s="1472">
        <v>27.8</v>
      </c>
      <c r="AH98" s="849"/>
      <c r="AI98" s="856"/>
      <c r="AJ98" s="865"/>
      <c r="AK98" s="851"/>
      <c r="AL98" s="849">
        <v>0</v>
      </c>
      <c r="AM98" s="851">
        <v>0</v>
      </c>
      <c r="AN98" s="849">
        <v>0</v>
      </c>
      <c r="AO98" s="851">
        <v>0</v>
      </c>
      <c r="AP98" s="849"/>
      <c r="AQ98" s="894"/>
    </row>
    <row r="99" spans="2:43" hidden="1" outlineLevel="2" x14ac:dyDescent="0.15">
      <c r="B99" s="800" t="s">
        <v>790</v>
      </c>
      <c r="C99" s="865"/>
      <c r="D99" s="851"/>
      <c r="E99" s="856">
        <v>2.9000000000000001E-2</v>
      </c>
      <c r="F99" s="845">
        <v>0.29499999999999998</v>
      </c>
      <c r="G99" s="865">
        <v>339</v>
      </c>
      <c r="H99" s="851">
        <v>3431.5800000000004</v>
      </c>
      <c r="I99" s="843"/>
      <c r="J99" s="843"/>
      <c r="K99" s="829">
        <v>0.05</v>
      </c>
      <c r="L99" s="865"/>
      <c r="M99" s="851"/>
      <c r="N99" s="856">
        <v>0.29199999999999998</v>
      </c>
      <c r="O99" s="845">
        <v>2.9000000000000001E-2</v>
      </c>
      <c r="P99" s="849">
        <v>339</v>
      </c>
      <c r="Q99" s="851">
        <v>3400</v>
      </c>
      <c r="R99" s="843"/>
      <c r="S99" s="846"/>
      <c r="T99" s="1473"/>
      <c r="U99" s="848"/>
      <c r="V99" s="856">
        <v>3.2400000000000001E-4</v>
      </c>
      <c r="W99" s="1023">
        <v>0</v>
      </c>
      <c r="X99" s="849">
        <v>0</v>
      </c>
      <c r="Y99" s="848">
        <v>3.78</v>
      </c>
      <c r="Z99" s="856"/>
      <c r="AA99" s="1016"/>
      <c r="AB99" s="865"/>
      <c r="AC99" s="1472"/>
      <c r="AD99" s="1016">
        <v>2.3900000000000002E-3</v>
      </c>
      <c r="AE99" s="851">
        <v>0</v>
      </c>
      <c r="AF99" s="849">
        <v>0</v>
      </c>
      <c r="AG99" s="1472">
        <v>27.8</v>
      </c>
      <c r="AH99" s="849"/>
      <c r="AI99" s="856"/>
      <c r="AJ99" s="865"/>
      <c r="AK99" s="851"/>
      <c r="AL99" s="849">
        <v>0</v>
      </c>
      <c r="AM99" s="851">
        <v>0</v>
      </c>
      <c r="AN99" s="849">
        <v>0</v>
      </c>
      <c r="AO99" s="851">
        <v>0</v>
      </c>
      <c r="AP99" s="849"/>
      <c r="AQ99" s="894"/>
    </row>
    <row r="100" spans="2:43" hidden="1" outlineLevel="2" x14ac:dyDescent="0.15">
      <c r="B100" s="800" t="s">
        <v>806</v>
      </c>
      <c r="C100" s="865">
        <v>670</v>
      </c>
      <c r="D100" s="851">
        <v>2813.81</v>
      </c>
      <c r="E100" s="856">
        <v>4.2099999999999999E-2</v>
      </c>
      <c r="F100" s="845">
        <v>0.20393000000000003</v>
      </c>
      <c r="G100" s="865">
        <v>491</v>
      </c>
      <c r="H100" s="851">
        <v>2374.1000000000004</v>
      </c>
      <c r="I100" s="843">
        <v>0.438</v>
      </c>
      <c r="J100" s="843">
        <v>1.8363700000000001</v>
      </c>
      <c r="K100" s="829">
        <v>0.05</v>
      </c>
      <c r="L100" s="865">
        <v>482</v>
      </c>
      <c r="M100" s="851">
        <v>2770</v>
      </c>
      <c r="N100" s="856">
        <v>2.8500000000000001E-2</v>
      </c>
      <c r="O100" s="845">
        <v>0.20100000000000001</v>
      </c>
      <c r="P100" s="849">
        <v>332</v>
      </c>
      <c r="Q100" s="851">
        <v>2340</v>
      </c>
      <c r="R100" s="843">
        <v>0.315</v>
      </c>
      <c r="S100" s="846">
        <v>1.81</v>
      </c>
      <c r="T100" s="1473">
        <v>188</v>
      </c>
      <c r="U100" s="848">
        <v>10.91</v>
      </c>
      <c r="V100" s="856">
        <v>1.3599999999999999E-2</v>
      </c>
      <c r="W100" s="1023">
        <v>5.4000000000000001E-4</v>
      </c>
      <c r="X100" s="849">
        <v>159</v>
      </c>
      <c r="Y100" s="848">
        <v>6.3</v>
      </c>
      <c r="Z100" s="856">
        <v>0.123</v>
      </c>
      <c r="AA100" s="1016">
        <v>4.8700000000000002E-3</v>
      </c>
      <c r="AB100" s="865">
        <v>0</v>
      </c>
      <c r="AC100" s="1472">
        <v>32.9</v>
      </c>
      <c r="AD100" s="849">
        <v>0</v>
      </c>
      <c r="AE100" s="1023">
        <v>2.3900000000000002E-3</v>
      </c>
      <c r="AF100" s="849">
        <v>0</v>
      </c>
      <c r="AG100" s="1472">
        <v>27.8</v>
      </c>
      <c r="AH100" s="849">
        <v>0</v>
      </c>
      <c r="AI100" s="856">
        <v>2.1499999999999998E-2</v>
      </c>
      <c r="AJ100" s="865">
        <v>0</v>
      </c>
      <c r="AK100" s="851">
        <v>0</v>
      </c>
      <c r="AL100" s="849">
        <v>0</v>
      </c>
      <c r="AM100" s="851">
        <v>0</v>
      </c>
      <c r="AN100" s="849">
        <v>0</v>
      </c>
      <c r="AO100" s="851">
        <v>0</v>
      </c>
      <c r="AP100" s="849">
        <v>0</v>
      </c>
      <c r="AQ100" s="894">
        <v>0</v>
      </c>
    </row>
    <row r="101" spans="2:43" hidden="1" outlineLevel="2" x14ac:dyDescent="0.15">
      <c r="B101" s="800" t="s">
        <v>818</v>
      </c>
      <c r="C101" s="865">
        <v>269.5</v>
      </c>
      <c r="D101" s="851">
        <v>3070</v>
      </c>
      <c r="E101" s="856"/>
      <c r="F101" s="845"/>
      <c r="G101" s="865"/>
      <c r="H101" s="851"/>
      <c r="I101" s="843"/>
      <c r="J101" s="843"/>
      <c r="K101" s="829">
        <v>0.05</v>
      </c>
      <c r="L101" s="865">
        <v>223</v>
      </c>
      <c r="M101" s="851">
        <v>3070</v>
      </c>
      <c r="N101" s="856"/>
      <c r="O101" s="845"/>
      <c r="P101" s="849"/>
      <c r="Q101" s="851"/>
      <c r="R101" s="843"/>
      <c r="S101" s="846"/>
      <c r="T101" s="1473">
        <v>46.5</v>
      </c>
      <c r="U101" s="848">
        <v>0</v>
      </c>
      <c r="V101" s="856"/>
      <c r="W101" s="1023"/>
      <c r="X101" s="849"/>
      <c r="Y101" s="848"/>
      <c r="Z101" s="856"/>
      <c r="AA101" s="1016"/>
      <c r="AB101" s="865">
        <v>0</v>
      </c>
      <c r="AC101" s="851">
        <v>0</v>
      </c>
      <c r="AD101" s="1016"/>
      <c r="AE101" s="1023"/>
      <c r="AF101" s="1474"/>
      <c r="AG101" s="1472"/>
      <c r="AH101" s="856"/>
      <c r="AI101" s="856"/>
      <c r="AJ101" s="865">
        <v>0</v>
      </c>
      <c r="AK101" s="851">
        <v>0</v>
      </c>
      <c r="AL101" s="849"/>
      <c r="AM101" s="851"/>
      <c r="AN101" s="849"/>
      <c r="AO101" s="851"/>
      <c r="AP101" s="843"/>
      <c r="AQ101" s="874"/>
    </row>
    <row r="102" spans="2:43" hidden="1" outlineLevel="2" x14ac:dyDescent="0.15">
      <c r="B102" s="1658" t="s">
        <v>3137</v>
      </c>
      <c r="C102" s="865">
        <v>269.5</v>
      </c>
      <c r="D102" s="1657">
        <f>3.14*1000</f>
        <v>3140</v>
      </c>
      <c r="E102" s="856"/>
      <c r="F102" s="1662">
        <v>0.26400000000000001</v>
      </c>
      <c r="G102" s="865"/>
      <c r="H102" s="1657">
        <v>3070</v>
      </c>
      <c r="I102" s="1661">
        <f>+(C102*0.747)/1000</f>
        <v>0.20131649999999998</v>
      </c>
      <c r="J102" s="1661">
        <f>+(D102*0.747)/1000</f>
        <v>2.34558</v>
      </c>
      <c r="K102" s="829"/>
      <c r="L102" s="865"/>
      <c r="M102" s="851"/>
      <c r="N102" s="856"/>
      <c r="O102" s="845"/>
      <c r="P102" s="849"/>
      <c r="Q102" s="851"/>
      <c r="R102" s="843"/>
      <c r="S102" s="846"/>
      <c r="T102" s="1473"/>
      <c r="U102" s="848"/>
      <c r="V102" s="856"/>
      <c r="W102" s="1023"/>
      <c r="X102" s="849"/>
      <c r="Y102" s="848"/>
      <c r="Z102" s="856"/>
      <c r="AA102" s="1016"/>
      <c r="AB102" s="865"/>
      <c r="AC102" s="851"/>
      <c r="AD102" s="1016"/>
      <c r="AE102" s="1023"/>
      <c r="AF102" s="1474"/>
      <c r="AG102" s="1472"/>
      <c r="AH102" s="856"/>
      <c r="AI102" s="856"/>
      <c r="AJ102" s="865"/>
      <c r="AK102" s="851"/>
      <c r="AL102" s="849"/>
      <c r="AM102" s="851"/>
      <c r="AN102" s="849"/>
      <c r="AO102" s="851"/>
      <c r="AP102" s="843"/>
      <c r="AQ102" s="874"/>
    </row>
    <row r="103" spans="2:43" hidden="1" outlineLevel="2" x14ac:dyDescent="0.15">
      <c r="B103" s="800" t="s">
        <v>803</v>
      </c>
      <c r="C103" s="865">
        <v>1153.9000000000001</v>
      </c>
      <c r="D103" s="851">
        <v>2228.6959999999999</v>
      </c>
      <c r="E103" s="856">
        <v>0.1023</v>
      </c>
      <c r="F103" s="845">
        <v>0.19462700000000002</v>
      </c>
      <c r="G103" s="865">
        <v>1178.0999999999999</v>
      </c>
      <c r="H103" s="851">
        <v>2269.11</v>
      </c>
      <c r="I103" s="843">
        <v>0.97550000000000003</v>
      </c>
      <c r="J103" s="843">
        <v>1.87584</v>
      </c>
      <c r="K103" s="829">
        <v>0.05</v>
      </c>
      <c r="L103" s="865">
        <v>937</v>
      </c>
      <c r="M103" s="851">
        <v>2210</v>
      </c>
      <c r="N103" s="856">
        <v>8.2000000000000003E-2</v>
      </c>
      <c r="O103" s="845">
        <v>0.193</v>
      </c>
      <c r="P103" s="849">
        <v>957</v>
      </c>
      <c r="Q103" s="851">
        <v>2250</v>
      </c>
      <c r="R103" s="843">
        <v>0.79200000000000004</v>
      </c>
      <c r="S103" s="846">
        <v>1.86</v>
      </c>
      <c r="T103" s="1473">
        <v>54.9</v>
      </c>
      <c r="U103" s="848">
        <v>0.99599999999999989</v>
      </c>
      <c r="V103" s="856">
        <v>6.0000000000000001E-3</v>
      </c>
      <c r="W103" s="1023">
        <v>8.7000000000000001E-5</v>
      </c>
      <c r="X103" s="849">
        <v>56.1</v>
      </c>
      <c r="Y103" s="848">
        <v>1.01</v>
      </c>
      <c r="Z103" s="856">
        <v>4.65E-2</v>
      </c>
      <c r="AA103" s="1016">
        <v>8.4000000000000003E-4</v>
      </c>
      <c r="AB103" s="1473">
        <v>162</v>
      </c>
      <c r="AC103" s="1472">
        <v>17.7</v>
      </c>
      <c r="AD103" s="1016">
        <v>1.43E-2</v>
      </c>
      <c r="AE103" s="1023">
        <v>1.5399999999999999E-3</v>
      </c>
      <c r="AF103" s="1474">
        <v>165</v>
      </c>
      <c r="AG103" s="1472">
        <v>18.100000000000001</v>
      </c>
      <c r="AH103" s="856">
        <v>0.13700000000000001</v>
      </c>
      <c r="AI103" s="856">
        <v>1.4999999999999999E-2</v>
      </c>
      <c r="AJ103" s="865">
        <v>0</v>
      </c>
      <c r="AK103" s="851">
        <v>0</v>
      </c>
      <c r="AL103" s="849">
        <v>0</v>
      </c>
      <c r="AM103" s="851">
        <v>0</v>
      </c>
      <c r="AN103" s="849">
        <v>0</v>
      </c>
      <c r="AO103" s="851">
        <v>0</v>
      </c>
      <c r="AP103" s="843">
        <v>-0.69399999999999995</v>
      </c>
      <c r="AQ103" s="874">
        <v>0.69399999999999995</v>
      </c>
    </row>
    <row r="104" spans="2:43" hidden="1" outlineLevel="2" x14ac:dyDescent="0.15">
      <c r="B104" s="800" t="s">
        <v>805</v>
      </c>
      <c r="C104" s="865">
        <v>775.9</v>
      </c>
      <c r="D104" s="851">
        <v>2975.0299999999997</v>
      </c>
      <c r="E104" s="856">
        <v>6.7080000000000001E-2</v>
      </c>
      <c r="F104" s="845">
        <v>0.25615399999999999</v>
      </c>
      <c r="G104" s="865">
        <v>783.2</v>
      </c>
      <c r="H104" s="851">
        <v>2985.1400000000003</v>
      </c>
      <c r="I104" s="843">
        <v>0.65529999999999988</v>
      </c>
      <c r="J104" s="843">
        <v>2.5111300000000001</v>
      </c>
      <c r="K104" s="829">
        <v>0.05</v>
      </c>
      <c r="L104" s="865">
        <v>682</v>
      </c>
      <c r="M104" s="851">
        <v>2950</v>
      </c>
      <c r="N104" s="856">
        <v>5.8900000000000001E-2</v>
      </c>
      <c r="O104" s="845">
        <v>0.254</v>
      </c>
      <c r="P104" s="849">
        <v>688</v>
      </c>
      <c r="Q104" s="851">
        <v>2960</v>
      </c>
      <c r="R104" s="843">
        <v>0.57599999999999996</v>
      </c>
      <c r="S104" s="846">
        <v>2.4900000000000002</v>
      </c>
      <c r="T104" s="1473">
        <v>60</v>
      </c>
      <c r="U104" s="848">
        <v>1.33</v>
      </c>
      <c r="V104" s="856">
        <v>5.1599999999999997E-3</v>
      </c>
      <c r="W104" s="1023">
        <v>1.1400000000000001E-4</v>
      </c>
      <c r="X104" s="849">
        <v>60</v>
      </c>
      <c r="Y104" s="848">
        <v>1.34</v>
      </c>
      <c r="Z104" s="856">
        <v>5.0599999999999999E-2</v>
      </c>
      <c r="AA104" s="1016">
        <v>1.1299999999999999E-3</v>
      </c>
      <c r="AB104" s="1473">
        <v>33.9</v>
      </c>
      <c r="AC104" s="1472">
        <v>23.7</v>
      </c>
      <c r="AD104" s="1016">
        <v>3.0200000000000001E-3</v>
      </c>
      <c r="AE104" s="1023">
        <v>2.0400000000000001E-3</v>
      </c>
      <c r="AF104" s="1474">
        <v>35.200000000000003</v>
      </c>
      <c r="AG104" s="1472">
        <v>23.8</v>
      </c>
      <c r="AH104" s="856">
        <v>2.87E-2</v>
      </c>
      <c r="AI104" s="856">
        <v>0.02</v>
      </c>
      <c r="AJ104" s="865">
        <v>0</v>
      </c>
      <c r="AK104" s="851">
        <v>0</v>
      </c>
      <c r="AL104" s="849">
        <v>0</v>
      </c>
      <c r="AM104" s="851">
        <v>0</v>
      </c>
      <c r="AN104" s="849">
        <v>0</v>
      </c>
      <c r="AO104" s="851">
        <v>0</v>
      </c>
      <c r="AP104" s="843">
        <v>-0.14499999999999999</v>
      </c>
      <c r="AQ104" s="874">
        <v>0.14499999999999999</v>
      </c>
    </row>
    <row r="105" spans="2:43" hidden="1" outlineLevel="2" x14ac:dyDescent="0.15">
      <c r="B105" s="800" t="s">
        <v>804</v>
      </c>
      <c r="C105" s="865">
        <v>775.9</v>
      </c>
      <c r="D105" s="851">
        <v>2975.0299999999997</v>
      </c>
      <c r="E105" s="856">
        <v>6.7080000000000001E-2</v>
      </c>
      <c r="F105" s="845">
        <v>0.25615399999999999</v>
      </c>
      <c r="G105" s="865">
        <v>783.2</v>
      </c>
      <c r="H105" s="851">
        <v>2985.1400000000003</v>
      </c>
      <c r="I105" s="843">
        <v>0.65529999999999988</v>
      </c>
      <c r="J105" s="843">
        <v>2.5111300000000001</v>
      </c>
      <c r="K105" s="829">
        <v>0.1</v>
      </c>
      <c r="L105" s="865">
        <v>682</v>
      </c>
      <c r="M105" s="851">
        <v>2950</v>
      </c>
      <c r="N105" s="856">
        <v>5.8900000000000001E-2</v>
      </c>
      <c r="O105" s="845">
        <v>0.254</v>
      </c>
      <c r="P105" s="849">
        <v>688</v>
      </c>
      <c r="Q105" s="851">
        <v>2960</v>
      </c>
      <c r="R105" s="843">
        <v>0.57599999999999996</v>
      </c>
      <c r="S105" s="846">
        <v>2.4900000000000002</v>
      </c>
      <c r="T105" s="1473">
        <v>59.9</v>
      </c>
      <c r="U105" s="848">
        <v>1.33</v>
      </c>
      <c r="V105" s="856">
        <v>5.1599999999999997E-3</v>
      </c>
      <c r="W105" s="1023">
        <v>1.1400000000000001E-4</v>
      </c>
      <c r="X105" s="849">
        <v>60</v>
      </c>
      <c r="Y105" s="848">
        <v>1.34</v>
      </c>
      <c r="Z105" s="856">
        <v>5.0599999999999999E-2</v>
      </c>
      <c r="AA105" s="1016">
        <v>1.1299999999999999E-3</v>
      </c>
      <c r="AB105" s="1473">
        <v>34</v>
      </c>
      <c r="AC105" s="1472">
        <v>23.7</v>
      </c>
      <c r="AD105" s="1016">
        <v>3.0200000000000001E-3</v>
      </c>
      <c r="AE105" s="1023">
        <v>2.0400000000000001E-3</v>
      </c>
      <c r="AF105" s="1474">
        <v>35.200000000000003</v>
      </c>
      <c r="AG105" s="1472">
        <v>23.8</v>
      </c>
      <c r="AH105" s="856">
        <v>2.87E-2</v>
      </c>
      <c r="AI105" s="856">
        <v>0.02</v>
      </c>
      <c r="AJ105" s="865">
        <v>-172</v>
      </c>
      <c r="AK105" s="851">
        <v>172</v>
      </c>
      <c r="AL105" s="849">
        <v>0</v>
      </c>
      <c r="AM105" s="851">
        <v>0</v>
      </c>
      <c r="AN105" s="849">
        <v>0</v>
      </c>
      <c r="AO105" s="851">
        <v>0</v>
      </c>
      <c r="AP105" s="843">
        <v>-0.14499999999999999</v>
      </c>
      <c r="AQ105" s="874">
        <v>0.14499999999999999</v>
      </c>
    </row>
    <row r="106" spans="2:43" hidden="1" outlineLevel="2" x14ac:dyDescent="0.15">
      <c r="B106" s="1658" t="s">
        <v>3138</v>
      </c>
      <c r="C106" s="865">
        <v>775.9</v>
      </c>
      <c r="D106" s="1657">
        <f>3.15*1000</f>
        <v>3150</v>
      </c>
      <c r="E106" s="856">
        <v>6.7080000000000001E-2</v>
      </c>
      <c r="F106" s="1662">
        <v>0.26500000000000001</v>
      </c>
      <c r="G106" s="865">
        <v>783.2</v>
      </c>
      <c r="H106" s="1657">
        <v>3080</v>
      </c>
      <c r="I106" s="1661">
        <f>(+C106*0.84)/1000</f>
        <v>0.651756</v>
      </c>
      <c r="J106" s="1661">
        <f>(+D106*0.84)/1000</f>
        <v>2.6459999999999999</v>
      </c>
      <c r="K106" s="829"/>
      <c r="L106" s="865"/>
      <c r="M106" s="851"/>
      <c r="N106" s="856"/>
      <c r="O106" s="845"/>
      <c r="P106" s="849"/>
      <c r="Q106" s="851"/>
      <c r="R106" s="843"/>
      <c r="S106" s="846"/>
      <c r="T106" s="1473"/>
      <c r="U106" s="848"/>
      <c r="V106" s="856"/>
      <c r="W106" s="1023"/>
      <c r="X106" s="849"/>
      <c r="Y106" s="848"/>
      <c r="Z106" s="856"/>
      <c r="AA106" s="1016"/>
      <c r="AB106" s="1473"/>
      <c r="AC106" s="1472"/>
      <c r="AD106" s="1016"/>
      <c r="AE106" s="1023"/>
      <c r="AF106" s="1474"/>
      <c r="AG106" s="1472"/>
      <c r="AH106" s="856"/>
      <c r="AI106" s="856"/>
      <c r="AJ106" s="865"/>
      <c r="AK106" s="851"/>
      <c r="AL106" s="849"/>
      <c r="AM106" s="851"/>
      <c r="AN106" s="849"/>
      <c r="AO106" s="851"/>
      <c r="AP106" s="843"/>
      <c r="AQ106" s="874"/>
    </row>
    <row r="107" spans="2:43" hidden="1" outlineLevel="2" x14ac:dyDescent="0.15">
      <c r="B107" s="800" t="s">
        <v>799</v>
      </c>
      <c r="C107" s="865">
        <v>691.7</v>
      </c>
      <c r="D107" s="851">
        <v>3169.68</v>
      </c>
      <c r="E107" s="856">
        <v>5.7949999999999995E-2</v>
      </c>
      <c r="F107" s="845">
        <v>0.26589400000000002</v>
      </c>
      <c r="G107" s="865">
        <v>676.2</v>
      </c>
      <c r="H107" s="851">
        <v>3102.12</v>
      </c>
      <c r="I107" s="843">
        <v>0.57069999999999999</v>
      </c>
      <c r="J107" s="843">
        <v>2.6186799999999999</v>
      </c>
      <c r="K107" s="829">
        <v>0.05</v>
      </c>
      <c r="L107" s="865">
        <v>629</v>
      </c>
      <c r="M107" s="851">
        <v>3150</v>
      </c>
      <c r="N107" s="856">
        <v>5.2699999999999997E-2</v>
      </c>
      <c r="O107" s="845">
        <v>0.26400000000000001</v>
      </c>
      <c r="P107" s="849">
        <v>615</v>
      </c>
      <c r="Q107" s="851">
        <v>3080</v>
      </c>
      <c r="R107" s="843">
        <v>0.51900000000000002</v>
      </c>
      <c r="S107" s="846">
        <v>2.6</v>
      </c>
      <c r="T107" s="1473">
        <v>62.7</v>
      </c>
      <c r="U107" s="848">
        <v>2.5799999999999996</v>
      </c>
      <c r="V107" s="856">
        <v>5.2500000000000003E-3</v>
      </c>
      <c r="W107" s="1023">
        <v>4.64E-4</v>
      </c>
      <c r="X107" s="849">
        <v>61.2</v>
      </c>
      <c r="Y107" s="848">
        <v>5.42</v>
      </c>
      <c r="Z107" s="856">
        <v>5.1700000000000003E-2</v>
      </c>
      <c r="AA107" s="1016">
        <v>4.5799999999999999E-3</v>
      </c>
      <c r="AB107" s="865">
        <v>0</v>
      </c>
      <c r="AC107" s="1472">
        <v>17.100000000000001</v>
      </c>
      <c r="AD107" s="849">
        <v>0</v>
      </c>
      <c r="AE107" s="1023">
        <v>1.4300000000000001E-3</v>
      </c>
      <c r="AF107" s="849">
        <v>0</v>
      </c>
      <c r="AG107" s="1472">
        <v>16.7</v>
      </c>
      <c r="AH107" s="849">
        <v>0</v>
      </c>
      <c r="AI107" s="856">
        <v>1.41E-2</v>
      </c>
      <c r="AJ107" s="865">
        <v>0</v>
      </c>
      <c r="AK107" s="851">
        <v>0</v>
      </c>
      <c r="AL107" s="849">
        <v>0</v>
      </c>
      <c r="AM107" s="851">
        <v>0</v>
      </c>
      <c r="AN107" s="849">
        <v>0</v>
      </c>
      <c r="AO107" s="851">
        <v>0</v>
      </c>
      <c r="AP107" s="849">
        <v>0</v>
      </c>
      <c r="AQ107" s="894">
        <v>0</v>
      </c>
    </row>
    <row r="108" spans="2:43" hidden="1" outlineLevel="2" x14ac:dyDescent="0.15">
      <c r="B108" s="800" t="s">
        <v>800</v>
      </c>
      <c r="C108" s="865">
        <v>676.2</v>
      </c>
      <c r="D108" s="851">
        <v>3169.22</v>
      </c>
      <c r="E108" s="856">
        <v>5.2699999999999997E-2</v>
      </c>
      <c r="F108" s="845">
        <v>0.271646</v>
      </c>
      <c r="G108" s="865">
        <v>528.5</v>
      </c>
      <c r="H108" s="851">
        <v>3169.7</v>
      </c>
      <c r="I108" s="843">
        <v>0.5706</v>
      </c>
      <c r="J108" s="843">
        <v>2.6762300000000003</v>
      </c>
      <c r="K108" s="829">
        <v>0.05</v>
      </c>
      <c r="L108" s="865">
        <v>615</v>
      </c>
      <c r="M108" s="851">
        <v>3150</v>
      </c>
      <c r="N108" s="856">
        <v>5.2699999999999997E-2</v>
      </c>
      <c r="O108" s="845">
        <v>0.27</v>
      </c>
      <c r="P108" s="849">
        <v>482</v>
      </c>
      <c r="Q108" s="851">
        <v>3150</v>
      </c>
      <c r="R108" s="843">
        <v>0.51900000000000002</v>
      </c>
      <c r="S108" s="846">
        <v>2.66</v>
      </c>
      <c r="T108" s="1473">
        <v>61.199999999999996</v>
      </c>
      <c r="U108" s="848">
        <v>2.52</v>
      </c>
      <c r="V108" s="856">
        <v>0</v>
      </c>
      <c r="W108" s="1023">
        <v>2.1599999999999999E-4</v>
      </c>
      <c r="X108" s="849">
        <v>46.5</v>
      </c>
      <c r="Y108" s="848">
        <v>3</v>
      </c>
      <c r="Z108" s="856">
        <v>5.16E-2</v>
      </c>
      <c r="AA108" s="1016">
        <v>2.1299999999999999E-3</v>
      </c>
      <c r="AB108" s="865">
        <v>0</v>
      </c>
      <c r="AC108" s="1472">
        <v>16.7</v>
      </c>
      <c r="AD108" s="1016">
        <v>0</v>
      </c>
      <c r="AE108" s="851">
        <v>1.4300000000000001E-3</v>
      </c>
      <c r="AF108" s="849">
        <v>0</v>
      </c>
      <c r="AG108" s="1472">
        <v>16.7</v>
      </c>
      <c r="AH108" s="849">
        <v>0</v>
      </c>
      <c r="AI108" s="856">
        <v>1.41E-2</v>
      </c>
      <c r="AJ108" s="865">
        <v>0</v>
      </c>
      <c r="AK108" s="851">
        <v>0</v>
      </c>
      <c r="AL108" s="849">
        <v>0</v>
      </c>
      <c r="AM108" s="851">
        <v>0</v>
      </c>
      <c r="AN108" s="849">
        <v>0</v>
      </c>
      <c r="AO108" s="851">
        <v>0</v>
      </c>
      <c r="AP108" s="849">
        <v>0</v>
      </c>
      <c r="AQ108" s="894">
        <v>0</v>
      </c>
    </row>
    <row r="109" spans="2:43" hidden="1" outlineLevel="2" x14ac:dyDescent="0.15">
      <c r="B109" s="1658" t="s">
        <v>3139</v>
      </c>
      <c r="C109" s="1686">
        <v>775.9</v>
      </c>
      <c r="D109" s="1657">
        <f>3.16*1000</f>
        <v>3160</v>
      </c>
      <c r="E109" s="856">
        <v>5.2699999999999997E-2</v>
      </c>
      <c r="F109" s="1662">
        <v>0.26500000000000001</v>
      </c>
      <c r="G109" s="865">
        <v>528.5</v>
      </c>
      <c r="H109" s="1657">
        <v>3080</v>
      </c>
      <c r="I109" s="1661">
        <f>+(C109*0.832)/1000</f>
        <v>0.64554879999999992</v>
      </c>
      <c r="J109" s="1661">
        <f>+(D109*0.832)/1000</f>
        <v>2.6291199999999999</v>
      </c>
      <c r="K109" s="829"/>
      <c r="L109" s="865"/>
      <c r="M109" s="851"/>
      <c r="N109" s="856"/>
      <c r="O109" s="845"/>
      <c r="P109" s="849"/>
      <c r="Q109" s="851"/>
      <c r="R109" s="843"/>
      <c r="S109" s="846"/>
      <c r="T109" s="1473"/>
      <c r="U109" s="848"/>
      <c r="V109" s="856"/>
      <c r="W109" s="1023"/>
      <c r="X109" s="849"/>
      <c r="Y109" s="848"/>
      <c r="Z109" s="856"/>
      <c r="AA109" s="1016"/>
      <c r="AB109" s="865"/>
      <c r="AC109" s="1472"/>
      <c r="AD109" s="1016"/>
      <c r="AE109" s="851"/>
      <c r="AF109" s="849"/>
      <c r="AG109" s="1472"/>
      <c r="AH109" s="849"/>
      <c r="AI109" s="856"/>
      <c r="AJ109" s="865"/>
      <c r="AK109" s="851"/>
      <c r="AL109" s="849"/>
      <c r="AM109" s="851"/>
      <c r="AN109" s="849"/>
      <c r="AO109" s="851"/>
      <c r="AP109" s="849"/>
      <c r="AQ109" s="894"/>
    </row>
    <row r="110" spans="2:43" hidden="1" outlineLevel="2" x14ac:dyDescent="0.15">
      <c r="B110" s="800" t="s">
        <v>794</v>
      </c>
      <c r="C110" s="865">
        <v>728.2</v>
      </c>
      <c r="D110" s="851">
        <v>2937.2999999999997</v>
      </c>
      <c r="E110" s="856">
        <v>6.2390000000000001E-2</v>
      </c>
      <c r="F110" s="845">
        <v>0.24902000000000002</v>
      </c>
      <c r="G110" s="865">
        <v>721.3</v>
      </c>
      <c r="H110" s="851">
        <v>2906.9</v>
      </c>
      <c r="I110" s="843">
        <v>0.54989999999999994</v>
      </c>
      <c r="J110" s="843">
        <v>2.2157</v>
      </c>
      <c r="K110" s="829">
        <v>0.05</v>
      </c>
      <c r="L110" s="865">
        <v>641</v>
      </c>
      <c r="M110" s="851">
        <v>2890</v>
      </c>
      <c r="N110" s="856">
        <v>5.3999999999999999E-2</v>
      </c>
      <c r="O110" s="845">
        <v>0.245</v>
      </c>
      <c r="P110" s="849">
        <v>635</v>
      </c>
      <c r="Q110" s="851">
        <v>2860</v>
      </c>
      <c r="R110" s="843">
        <v>0.48399999999999999</v>
      </c>
      <c r="S110" s="846">
        <v>2.1800000000000002</v>
      </c>
      <c r="T110" s="1473">
        <v>59.1</v>
      </c>
      <c r="U110" s="848">
        <v>23.599999999999998</v>
      </c>
      <c r="V110" s="856">
        <v>6.0000000000000001E-3</v>
      </c>
      <c r="W110" s="1023">
        <v>2.0100000000000001E-3</v>
      </c>
      <c r="X110" s="849">
        <v>58.5</v>
      </c>
      <c r="Y110" s="848">
        <v>23.4</v>
      </c>
      <c r="Z110" s="856">
        <v>4.4600000000000001E-2</v>
      </c>
      <c r="AA110" s="1016">
        <v>1.78E-2</v>
      </c>
      <c r="AB110" s="1473">
        <v>28.1</v>
      </c>
      <c r="AC110" s="1472">
        <v>23.7</v>
      </c>
      <c r="AD110" s="1016">
        <v>2.3900000000000002E-3</v>
      </c>
      <c r="AE110" s="1023">
        <v>2.0100000000000001E-3</v>
      </c>
      <c r="AF110" s="1474">
        <v>27.8</v>
      </c>
      <c r="AG110" s="1472">
        <v>23.5</v>
      </c>
      <c r="AH110" s="856">
        <v>2.1299999999999999E-2</v>
      </c>
      <c r="AI110" s="856">
        <v>1.7899999999999999E-2</v>
      </c>
      <c r="AJ110" s="865">
        <v>0</v>
      </c>
      <c r="AK110" s="851">
        <v>0</v>
      </c>
      <c r="AL110" s="849">
        <v>0</v>
      </c>
      <c r="AM110" s="851">
        <v>0</v>
      </c>
      <c r="AN110" s="849">
        <v>0</v>
      </c>
      <c r="AO110" s="851">
        <v>0</v>
      </c>
      <c r="AP110" s="843">
        <v>-0.152</v>
      </c>
      <c r="AQ110" s="874">
        <v>0.152</v>
      </c>
    </row>
    <row r="111" spans="2:43" hidden="1" outlineLevel="2" x14ac:dyDescent="0.15">
      <c r="B111" s="800" t="s">
        <v>795</v>
      </c>
      <c r="C111" s="865">
        <v>1439.8</v>
      </c>
      <c r="D111" s="851">
        <v>489.88</v>
      </c>
      <c r="E111" s="856">
        <v>0.17040000000000002</v>
      </c>
      <c r="F111" s="845">
        <v>5.7926999999999999E-2</v>
      </c>
      <c r="G111" s="865">
        <v>1987.7</v>
      </c>
      <c r="H111" s="851">
        <v>675.89</v>
      </c>
      <c r="I111" s="843">
        <v>1.0875999999999999</v>
      </c>
      <c r="J111" s="843">
        <v>0.36995999999999996</v>
      </c>
      <c r="K111" s="829">
        <v>0.05</v>
      </c>
      <c r="L111" s="865">
        <v>1150</v>
      </c>
      <c r="M111" s="851">
        <v>482</v>
      </c>
      <c r="N111" s="856">
        <v>0.13600000000000001</v>
      </c>
      <c r="O111" s="845">
        <v>5.7000000000000002E-2</v>
      </c>
      <c r="P111" s="849">
        <v>1590</v>
      </c>
      <c r="Q111" s="851">
        <v>665</v>
      </c>
      <c r="R111" s="843">
        <v>0.86899999999999999</v>
      </c>
      <c r="S111" s="846">
        <v>0.36399999999999999</v>
      </c>
      <c r="T111" s="1473">
        <v>49.8</v>
      </c>
      <c r="U111" s="848">
        <v>3.93</v>
      </c>
      <c r="V111" s="856">
        <v>6.0000000000000001E-3</v>
      </c>
      <c r="W111" s="1023">
        <v>4.4999999999999999E-4</v>
      </c>
      <c r="X111" s="849">
        <v>68.7</v>
      </c>
      <c r="Y111" s="848">
        <v>5.43</v>
      </c>
      <c r="Z111" s="856">
        <v>3.7600000000000001E-2</v>
      </c>
      <c r="AA111" s="1016">
        <v>2.97E-3</v>
      </c>
      <c r="AB111" s="1473">
        <v>240</v>
      </c>
      <c r="AC111" s="1472">
        <v>3.95</v>
      </c>
      <c r="AD111" s="1016">
        <v>2.8400000000000002E-2</v>
      </c>
      <c r="AE111" s="1023">
        <v>4.7699999999999999E-4</v>
      </c>
      <c r="AF111" s="1474">
        <v>329</v>
      </c>
      <c r="AG111" s="1472">
        <v>5.46</v>
      </c>
      <c r="AH111" s="856">
        <v>0.18099999999999999</v>
      </c>
      <c r="AI111" s="856">
        <v>2.99E-3</v>
      </c>
      <c r="AJ111" s="865">
        <v>0</v>
      </c>
      <c r="AK111" s="851">
        <v>0</v>
      </c>
      <c r="AL111" s="849">
        <v>0</v>
      </c>
      <c r="AM111" s="851">
        <v>0</v>
      </c>
      <c r="AN111" s="849">
        <v>0</v>
      </c>
      <c r="AO111" s="851">
        <v>0</v>
      </c>
      <c r="AP111" s="843">
        <v>-1.29</v>
      </c>
      <c r="AQ111" s="874">
        <v>1.29</v>
      </c>
    </row>
    <row r="112" spans="2:43" hidden="1" outlineLevel="2" x14ac:dyDescent="0.15">
      <c r="B112" s="800" t="s">
        <v>796</v>
      </c>
      <c r="C112" s="865">
        <v>707.3</v>
      </c>
      <c r="D112" s="851">
        <v>3008.5</v>
      </c>
      <c r="E112" s="856">
        <v>6.0859999999999997E-2</v>
      </c>
      <c r="F112" s="845">
        <v>0.25307999999999997</v>
      </c>
      <c r="G112" s="865">
        <v>694.7</v>
      </c>
      <c r="H112" s="851">
        <v>2957.6</v>
      </c>
      <c r="I112" s="843">
        <v>0.53329999999999989</v>
      </c>
      <c r="J112" s="843">
        <v>2.2637</v>
      </c>
      <c r="K112" s="829">
        <v>0.05</v>
      </c>
      <c r="L112" s="865">
        <v>626</v>
      </c>
      <c r="M112" s="851">
        <v>2960</v>
      </c>
      <c r="N112" s="856">
        <v>5.2999999999999999E-2</v>
      </c>
      <c r="O112" s="845">
        <v>0.249</v>
      </c>
      <c r="P112" s="849">
        <v>615</v>
      </c>
      <c r="Q112" s="851">
        <v>2910</v>
      </c>
      <c r="R112" s="843">
        <v>0.47199999999999998</v>
      </c>
      <c r="S112" s="846">
        <v>2.2400000000000002</v>
      </c>
      <c r="T112" s="1473">
        <v>59.4</v>
      </c>
      <c r="U112" s="848">
        <v>24.2</v>
      </c>
      <c r="V112" s="856">
        <v>6.0000000000000001E-3</v>
      </c>
      <c r="W112" s="1023">
        <v>2.0400000000000001E-3</v>
      </c>
      <c r="X112" s="849">
        <v>58.2</v>
      </c>
      <c r="Y112" s="848">
        <v>23.7</v>
      </c>
      <c r="Z112" s="856">
        <v>4.48E-2</v>
      </c>
      <c r="AA112" s="1016">
        <v>5.4000000000000003E-3</v>
      </c>
      <c r="AB112" s="1473">
        <v>21.9</v>
      </c>
      <c r="AC112" s="1472">
        <v>24.299999999999997</v>
      </c>
      <c r="AD112" s="1016">
        <v>1.8600000000000001E-3</v>
      </c>
      <c r="AE112" s="1023">
        <v>2.0400000000000001E-3</v>
      </c>
      <c r="AF112" s="1474">
        <v>21.5</v>
      </c>
      <c r="AG112" s="1472">
        <v>23.9</v>
      </c>
      <c r="AH112" s="856">
        <v>1.6500000000000001E-2</v>
      </c>
      <c r="AI112" s="856">
        <v>1.83E-2</v>
      </c>
      <c r="AJ112" s="865">
        <v>0</v>
      </c>
      <c r="AK112" s="851">
        <v>0</v>
      </c>
      <c r="AL112" s="849">
        <v>0</v>
      </c>
      <c r="AM112" s="851">
        <v>0</v>
      </c>
      <c r="AN112" s="849">
        <v>0</v>
      </c>
      <c r="AO112" s="851">
        <v>0</v>
      </c>
      <c r="AP112" s="843">
        <v>-0.11799999999999999</v>
      </c>
      <c r="AQ112" s="874">
        <v>0.11799999999999999</v>
      </c>
    </row>
    <row r="113" spans="2:43" hidden="1" outlineLevel="2" x14ac:dyDescent="0.15">
      <c r="B113" s="1658" t="s">
        <v>3141</v>
      </c>
      <c r="C113" s="865">
        <v>503.1</v>
      </c>
      <c r="D113" s="1657">
        <f>3.14*1000</f>
        <v>3140</v>
      </c>
      <c r="E113" s="856">
        <v>4.5280000000000001E-2</v>
      </c>
      <c r="F113" s="1662">
        <v>0.23599999999999999</v>
      </c>
      <c r="G113" s="865">
        <v>528.4</v>
      </c>
      <c r="H113" s="1657">
        <v>3195</v>
      </c>
      <c r="I113" s="843"/>
      <c r="J113" s="843"/>
      <c r="K113" s="829"/>
      <c r="L113" s="865"/>
      <c r="M113" s="851"/>
      <c r="N113" s="856"/>
      <c r="O113" s="845"/>
      <c r="P113" s="849"/>
      <c r="Q113" s="851"/>
      <c r="R113" s="843"/>
      <c r="S113" s="846"/>
      <c r="T113" s="1473"/>
      <c r="U113" s="848"/>
      <c r="V113" s="856"/>
      <c r="W113" s="1023"/>
      <c r="X113" s="849"/>
      <c r="Y113" s="848"/>
      <c r="Z113" s="856"/>
      <c r="AA113" s="1016"/>
      <c r="AB113" s="1473"/>
      <c r="AC113" s="1472"/>
      <c r="AD113" s="1016"/>
      <c r="AE113" s="1023"/>
      <c r="AF113" s="1474"/>
      <c r="AG113" s="1472"/>
      <c r="AH113" s="856"/>
      <c r="AI113" s="856"/>
      <c r="AJ113" s="865"/>
      <c r="AK113" s="851"/>
      <c r="AL113" s="849"/>
      <c r="AM113" s="851"/>
      <c r="AN113" s="849"/>
      <c r="AO113" s="851"/>
      <c r="AP113" s="843"/>
      <c r="AQ113" s="874"/>
    </row>
    <row r="114" spans="2:43" hidden="1" outlineLevel="2" x14ac:dyDescent="0.15">
      <c r="B114" s="800" t="s">
        <v>801</v>
      </c>
      <c r="C114" s="865">
        <v>503.1</v>
      </c>
      <c r="D114" s="851">
        <v>3111</v>
      </c>
      <c r="E114" s="856">
        <v>4.5280000000000001E-2</v>
      </c>
      <c r="F114" s="845">
        <v>0.27980500000000003</v>
      </c>
      <c r="G114" s="865">
        <v>528.4</v>
      </c>
      <c r="H114" s="851">
        <v>3271.08</v>
      </c>
      <c r="I114" s="843">
        <v>0.45279999999999998</v>
      </c>
      <c r="J114" s="843">
        <v>2.7980499999999999</v>
      </c>
      <c r="K114" s="829">
        <v>0.05</v>
      </c>
      <c r="L114" s="865">
        <v>459</v>
      </c>
      <c r="M114" s="851">
        <v>3090</v>
      </c>
      <c r="N114" s="856">
        <v>4.1300000000000003E-2</v>
      </c>
      <c r="O114" s="845">
        <v>0.27800000000000002</v>
      </c>
      <c r="P114" s="849">
        <v>482</v>
      </c>
      <c r="Q114" s="851">
        <v>3250</v>
      </c>
      <c r="R114" s="843">
        <v>0.41299999999999998</v>
      </c>
      <c r="S114" s="846">
        <v>2.78</v>
      </c>
      <c r="T114" s="1473">
        <v>44.1</v>
      </c>
      <c r="U114" s="848">
        <v>2.4</v>
      </c>
      <c r="V114" s="856">
        <v>3.98E-3</v>
      </c>
      <c r="W114" s="1023">
        <v>1.35E-4</v>
      </c>
      <c r="X114" s="849">
        <v>46.4</v>
      </c>
      <c r="Y114" s="848">
        <v>1.58</v>
      </c>
      <c r="Z114" s="856">
        <v>3.9800000000000002E-2</v>
      </c>
      <c r="AA114" s="1016">
        <v>1.3500000000000001E-3</v>
      </c>
      <c r="AB114" s="865">
        <v>0</v>
      </c>
      <c r="AC114" s="1472">
        <v>18.599999999999998</v>
      </c>
      <c r="AD114" s="849">
        <v>0</v>
      </c>
      <c r="AE114" s="1023">
        <v>1.67E-3</v>
      </c>
      <c r="AF114" s="849">
        <v>0</v>
      </c>
      <c r="AG114" s="1472">
        <v>19.5</v>
      </c>
      <c r="AH114" s="849">
        <v>0</v>
      </c>
      <c r="AI114" s="856">
        <v>1.67E-2</v>
      </c>
      <c r="AJ114" s="865">
        <v>0</v>
      </c>
      <c r="AK114" s="851">
        <v>0</v>
      </c>
      <c r="AL114" s="849">
        <v>0</v>
      </c>
      <c r="AM114" s="851">
        <v>0</v>
      </c>
      <c r="AN114" s="849">
        <v>0</v>
      </c>
      <c r="AO114" s="851">
        <v>0</v>
      </c>
      <c r="AP114" s="849">
        <v>0</v>
      </c>
      <c r="AQ114" s="894">
        <v>0</v>
      </c>
    </row>
    <row r="115" spans="2:43" hidden="1" outlineLevel="2" x14ac:dyDescent="0.15">
      <c r="B115" s="800" t="s">
        <v>802</v>
      </c>
      <c r="C115" s="865">
        <v>503.1</v>
      </c>
      <c r="D115" s="851">
        <v>3141</v>
      </c>
      <c r="E115" s="856">
        <v>4.1300000000000003E-2</v>
      </c>
      <c r="F115" s="845">
        <v>0.28299999999999997</v>
      </c>
      <c r="G115" s="865">
        <v>528.5</v>
      </c>
      <c r="H115" s="851">
        <v>3302.02</v>
      </c>
      <c r="I115" s="843">
        <v>0.45289999999999997</v>
      </c>
      <c r="J115" s="843">
        <v>2.8288600000000002</v>
      </c>
      <c r="K115" s="829">
        <v>0.05</v>
      </c>
      <c r="L115" s="865">
        <v>459</v>
      </c>
      <c r="M115" s="851">
        <v>3120</v>
      </c>
      <c r="N115" s="856">
        <v>0.28100000000000003</v>
      </c>
      <c r="O115" s="845">
        <v>4.1300000000000003E-2</v>
      </c>
      <c r="P115" s="849">
        <v>482</v>
      </c>
      <c r="Q115" s="851">
        <v>3280</v>
      </c>
      <c r="R115" s="843">
        <v>0.41299999999999998</v>
      </c>
      <c r="S115" s="846">
        <v>2.81</v>
      </c>
      <c r="T115" s="1473">
        <v>44.1</v>
      </c>
      <c r="U115" s="848">
        <v>2.4</v>
      </c>
      <c r="V115" s="856">
        <v>2.1599999999999999E-4</v>
      </c>
      <c r="W115" s="851">
        <v>0</v>
      </c>
      <c r="X115" s="849">
        <v>46.5</v>
      </c>
      <c r="Y115" s="848">
        <v>2.52</v>
      </c>
      <c r="Z115" s="856">
        <v>3.9899999999999998E-2</v>
      </c>
      <c r="AA115" s="1016">
        <v>2.16E-3</v>
      </c>
      <c r="AB115" s="865">
        <v>0</v>
      </c>
      <c r="AC115" s="1472">
        <v>18.599999999999998</v>
      </c>
      <c r="AD115" s="1016">
        <v>1.67E-3</v>
      </c>
      <c r="AE115" s="851">
        <v>0</v>
      </c>
      <c r="AF115" s="849">
        <v>0</v>
      </c>
      <c r="AG115" s="1472">
        <v>19.5</v>
      </c>
      <c r="AH115" s="849">
        <v>0</v>
      </c>
      <c r="AI115" s="856">
        <v>1.67E-2</v>
      </c>
      <c r="AJ115" s="865">
        <v>0</v>
      </c>
      <c r="AK115" s="851">
        <v>0</v>
      </c>
      <c r="AL115" s="849">
        <v>0</v>
      </c>
      <c r="AM115" s="851">
        <v>0</v>
      </c>
      <c r="AN115" s="849">
        <v>0</v>
      </c>
      <c r="AO115" s="851">
        <v>0</v>
      </c>
      <c r="AP115" s="849">
        <v>0</v>
      </c>
      <c r="AQ115" s="894">
        <v>0</v>
      </c>
    </row>
    <row r="116" spans="2:43" hidden="1" outlineLevel="2" x14ac:dyDescent="0.15">
      <c r="B116" s="800" t="s">
        <v>809</v>
      </c>
      <c r="C116" s="865">
        <v>503.1</v>
      </c>
      <c r="D116" s="851">
        <v>3141</v>
      </c>
      <c r="E116" s="856">
        <v>4.4000000000000004E-2</v>
      </c>
      <c r="F116" s="845">
        <v>0.28288600000000003</v>
      </c>
      <c r="G116" s="865">
        <v>528.5</v>
      </c>
      <c r="H116" s="851">
        <v>3302.02</v>
      </c>
      <c r="I116" s="843">
        <v>0.45289999999999997</v>
      </c>
      <c r="J116" s="843">
        <v>2.48</v>
      </c>
      <c r="K116" s="829">
        <v>0.05</v>
      </c>
      <c r="L116" s="865">
        <v>459</v>
      </c>
      <c r="M116" s="851">
        <v>3120</v>
      </c>
      <c r="N116" s="856">
        <v>4.1000000000000002E-2</v>
      </c>
      <c r="O116" s="845">
        <v>0.28100000000000003</v>
      </c>
      <c r="P116" s="849">
        <v>482</v>
      </c>
      <c r="Q116" s="851">
        <v>3280</v>
      </c>
      <c r="R116" s="843">
        <v>0.41299999999999998</v>
      </c>
      <c r="S116" s="846">
        <v>2.48</v>
      </c>
      <c r="T116" s="1473">
        <v>44.1</v>
      </c>
      <c r="U116" s="848">
        <v>2.4</v>
      </c>
      <c r="V116" s="856">
        <v>3.0000000000000001E-3</v>
      </c>
      <c r="W116" s="1023">
        <v>2.1599999999999999E-4</v>
      </c>
      <c r="X116" s="849">
        <v>46.5</v>
      </c>
      <c r="Y116" s="848">
        <v>2.52</v>
      </c>
      <c r="Z116" s="856">
        <v>3.9899999999999998E-2</v>
      </c>
      <c r="AA116" s="849">
        <v>0</v>
      </c>
      <c r="AB116" s="865">
        <v>0</v>
      </c>
      <c r="AC116" s="1472">
        <v>18.599999999999998</v>
      </c>
      <c r="AD116" s="849">
        <v>0</v>
      </c>
      <c r="AE116" s="1023">
        <v>1.67E-3</v>
      </c>
      <c r="AF116" s="849">
        <v>0</v>
      </c>
      <c r="AG116" s="1472">
        <v>19.5</v>
      </c>
      <c r="AH116" s="849">
        <v>0</v>
      </c>
      <c r="AI116" s="849">
        <v>0</v>
      </c>
      <c r="AJ116" s="865">
        <v>0</v>
      </c>
      <c r="AK116" s="851">
        <v>0</v>
      </c>
      <c r="AL116" s="849">
        <v>0</v>
      </c>
      <c r="AM116" s="851">
        <v>0</v>
      </c>
      <c r="AN116" s="849">
        <v>0</v>
      </c>
      <c r="AO116" s="851">
        <v>0</v>
      </c>
      <c r="AP116" s="849">
        <v>0</v>
      </c>
      <c r="AQ116" s="894">
        <v>0</v>
      </c>
    </row>
    <row r="117" spans="2:43" hidden="1" outlineLevel="2" x14ac:dyDescent="0.15">
      <c r="B117" s="800"/>
      <c r="C117" s="865"/>
      <c r="D117" s="851"/>
      <c r="E117" s="856"/>
      <c r="F117" s="845"/>
      <c r="G117" s="865"/>
      <c r="H117" s="851"/>
      <c r="I117" s="843"/>
      <c r="J117" s="843"/>
      <c r="K117" s="829"/>
      <c r="L117" s="865"/>
      <c r="M117" s="851"/>
      <c r="N117" s="856"/>
      <c r="O117" s="845"/>
      <c r="P117" s="849"/>
      <c r="Q117" s="851"/>
      <c r="R117" s="843"/>
      <c r="S117" s="846"/>
      <c r="T117" s="1473"/>
      <c r="U117" s="848"/>
      <c r="V117" s="856"/>
      <c r="W117" s="1023"/>
      <c r="X117" s="849"/>
      <c r="Y117" s="848"/>
      <c r="Z117" s="856"/>
      <c r="AA117" s="849"/>
      <c r="AB117" s="865"/>
      <c r="AC117" s="1472"/>
      <c r="AD117" s="849"/>
      <c r="AE117" s="1023"/>
      <c r="AF117" s="849"/>
      <c r="AG117" s="1472"/>
      <c r="AH117" s="849"/>
      <c r="AI117" s="849"/>
      <c r="AJ117" s="865"/>
      <c r="AK117" s="851"/>
      <c r="AL117" s="849"/>
      <c r="AM117" s="851"/>
      <c r="AN117" s="849"/>
      <c r="AO117" s="851"/>
      <c r="AP117" s="849"/>
      <c r="AQ117" s="894"/>
    </row>
    <row r="118" spans="2:43" hidden="1" outlineLevel="2" x14ac:dyDescent="0.15">
      <c r="B118" s="800" t="s">
        <v>793</v>
      </c>
      <c r="C118" s="865">
        <v>493.4</v>
      </c>
      <c r="D118" s="851">
        <v>3160.56</v>
      </c>
      <c r="E118" s="856">
        <v>4.5290000000000004E-2</v>
      </c>
      <c r="F118" s="845">
        <v>0.28988599999999998</v>
      </c>
      <c r="G118" s="865">
        <v>528.5</v>
      </c>
      <c r="H118" s="851">
        <v>3382.02</v>
      </c>
      <c r="I118" s="843"/>
      <c r="J118" s="843"/>
      <c r="K118" s="829">
        <v>0.2</v>
      </c>
      <c r="L118" s="865">
        <v>450</v>
      </c>
      <c r="M118" s="851">
        <v>3140</v>
      </c>
      <c r="N118" s="856">
        <v>4.1300000000000003E-2</v>
      </c>
      <c r="O118" s="845">
        <v>0.28799999999999998</v>
      </c>
      <c r="P118" s="849">
        <v>482</v>
      </c>
      <c r="Q118" s="851">
        <v>3360</v>
      </c>
      <c r="R118" s="843"/>
      <c r="S118" s="846"/>
      <c r="T118" s="1473">
        <v>43.4</v>
      </c>
      <c r="U118" s="848">
        <v>2.3600000000000003</v>
      </c>
      <c r="V118" s="856">
        <v>3.9899999999999996E-3</v>
      </c>
      <c r="W118" s="1023">
        <v>2.1599999999999999E-4</v>
      </c>
      <c r="X118" s="849">
        <v>46.5</v>
      </c>
      <c r="Y118" s="848">
        <v>2.52</v>
      </c>
      <c r="Z118" s="856"/>
      <c r="AA118" s="1016"/>
      <c r="AB118" s="865">
        <v>0</v>
      </c>
      <c r="AC118" s="1472">
        <v>18.2</v>
      </c>
      <c r="AD118" s="849">
        <v>0</v>
      </c>
      <c r="AE118" s="1023">
        <v>1.67E-3</v>
      </c>
      <c r="AF118" s="849">
        <v>0</v>
      </c>
      <c r="AG118" s="1472">
        <v>19.5</v>
      </c>
      <c r="AH118" s="856"/>
      <c r="AI118" s="856"/>
      <c r="AJ118" s="865">
        <v>0</v>
      </c>
      <c r="AK118" s="851">
        <v>0</v>
      </c>
      <c r="AL118" s="849">
        <v>0</v>
      </c>
      <c r="AM118" s="851">
        <v>0</v>
      </c>
      <c r="AN118" s="849">
        <v>0</v>
      </c>
      <c r="AO118" s="851">
        <v>0</v>
      </c>
      <c r="AP118" s="843"/>
      <c r="AQ118" s="874"/>
    </row>
    <row r="119" spans="2:43" hidden="1" outlineLevel="2" x14ac:dyDescent="0.15">
      <c r="B119" s="800" t="s">
        <v>791</v>
      </c>
      <c r="C119" s="865">
        <v>668.5</v>
      </c>
      <c r="D119" s="851">
        <v>3111.04</v>
      </c>
      <c r="E119" s="856">
        <v>5.4399999999999997E-2</v>
      </c>
      <c r="F119" s="845">
        <v>0.252913</v>
      </c>
      <c r="G119" s="865">
        <v>634.20000000000005</v>
      </c>
      <c r="H119" s="851">
        <v>2950.46</v>
      </c>
      <c r="I119" s="843">
        <v>0.53459999999999996</v>
      </c>
      <c r="J119" s="843">
        <v>2.48</v>
      </c>
      <c r="K119" s="829">
        <v>0.05</v>
      </c>
      <c r="L119" s="865">
        <v>604</v>
      </c>
      <c r="M119" s="851">
        <v>3100</v>
      </c>
      <c r="N119" s="856">
        <v>2.7E-2</v>
      </c>
      <c r="O119" s="845">
        <v>0.252</v>
      </c>
      <c r="P119" s="849">
        <v>573</v>
      </c>
      <c r="Q119" s="851">
        <v>2940</v>
      </c>
      <c r="R119" s="843">
        <v>0.48299999999999998</v>
      </c>
      <c r="S119" s="846">
        <v>2.48</v>
      </c>
      <c r="T119" s="1473">
        <v>64.5</v>
      </c>
      <c r="U119" s="848">
        <v>3.9899999999999998</v>
      </c>
      <c r="V119" s="856">
        <v>6.0000000000000001E-3</v>
      </c>
      <c r="W119" s="1023">
        <v>3.3E-4</v>
      </c>
      <c r="X119" s="849">
        <v>61.2</v>
      </c>
      <c r="Y119" s="848">
        <v>3.78</v>
      </c>
      <c r="Z119" s="856">
        <v>5.16E-2</v>
      </c>
      <c r="AA119" s="849">
        <v>0</v>
      </c>
      <c r="AB119" s="865">
        <v>0</v>
      </c>
      <c r="AC119" s="1472">
        <v>7.05</v>
      </c>
      <c r="AD119" s="849">
        <v>0</v>
      </c>
      <c r="AE119" s="1023">
        <v>5.8299999999999997E-4</v>
      </c>
      <c r="AF119" s="849">
        <v>0</v>
      </c>
      <c r="AG119" s="1472">
        <v>6.68</v>
      </c>
      <c r="AH119" s="849">
        <v>0</v>
      </c>
      <c r="AI119" s="849">
        <v>0</v>
      </c>
      <c r="AJ119" s="865">
        <v>0</v>
      </c>
      <c r="AK119" s="851">
        <v>0</v>
      </c>
      <c r="AL119" s="849">
        <v>0</v>
      </c>
      <c r="AM119" s="851">
        <v>0</v>
      </c>
      <c r="AN119" s="849">
        <v>0</v>
      </c>
      <c r="AO119" s="851">
        <v>0</v>
      </c>
      <c r="AP119" s="849">
        <v>0</v>
      </c>
      <c r="AQ119" s="894">
        <v>0</v>
      </c>
    </row>
    <row r="120" spans="2:43" hidden="1" outlineLevel="2" x14ac:dyDescent="0.15">
      <c r="B120" s="800" t="s">
        <v>792</v>
      </c>
      <c r="C120" s="865">
        <v>664.2</v>
      </c>
      <c r="D120" s="851">
        <v>3160.96</v>
      </c>
      <c r="E120" s="856">
        <v>5.4399999999999997E-2</v>
      </c>
      <c r="F120" s="845">
        <v>0.258913</v>
      </c>
      <c r="G120" s="865">
        <v>634.20000000000005</v>
      </c>
      <c r="H120" s="851">
        <v>3020.46</v>
      </c>
      <c r="I120" s="843">
        <v>0.53129999999999999</v>
      </c>
      <c r="J120" s="843">
        <v>2.48</v>
      </c>
      <c r="K120" s="829">
        <v>0.05</v>
      </c>
      <c r="L120" s="865">
        <v>600</v>
      </c>
      <c r="M120" s="851">
        <v>3150</v>
      </c>
      <c r="N120" s="856">
        <v>2.8000000000000001E-2</v>
      </c>
      <c r="O120" s="845">
        <v>0.25800000000000001</v>
      </c>
      <c r="P120" s="849">
        <v>573</v>
      </c>
      <c r="Q120" s="851">
        <v>3010</v>
      </c>
      <c r="R120" s="843">
        <v>0.48</v>
      </c>
      <c r="S120" s="846">
        <v>2.48</v>
      </c>
      <c r="T120" s="1473">
        <v>64.199999999999989</v>
      </c>
      <c r="U120" s="848">
        <v>3.96</v>
      </c>
      <c r="V120" s="856">
        <v>6.0000000000000001E-3</v>
      </c>
      <c r="W120" s="1023">
        <v>3.3E-4</v>
      </c>
      <c r="X120" s="849">
        <v>61.2</v>
      </c>
      <c r="Y120" s="848">
        <v>3.78</v>
      </c>
      <c r="Z120" s="856">
        <v>5.1299999999999998E-2</v>
      </c>
      <c r="AA120" s="849">
        <v>0</v>
      </c>
      <c r="AB120" s="865">
        <v>0</v>
      </c>
      <c r="AC120" s="1472">
        <v>7</v>
      </c>
      <c r="AD120" s="849">
        <v>0</v>
      </c>
      <c r="AE120" s="1023">
        <v>5.8299999999999997E-4</v>
      </c>
      <c r="AF120" s="849">
        <v>0</v>
      </c>
      <c r="AG120" s="1472">
        <v>6.68</v>
      </c>
      <c r="AH120" s="849">
        <v>0</v>
      </c>
      <c r="AI120" s="849">
        <v>0</v>
      </c>
      <c r="AJ120" s="865">
        <v>0</v>
      </c>
      <c r="AK120" s="851">
        <v>0</v>
      </c>
      <c r="AL120" s="849">
        <v>0</v>
      </c>
      <c r="AM120" s="851">
        <v>0</v>
      </c>
      <c r="AN120" s="849">
        <v>0</v>
      </c>
      <c r="AO120" s="851">
        <v>0</v>
      </c>
      <c r="AP120" s="849">
        <v>0</v>
      </c>
      <c r="AQ120" s="894">
        <v>0</v>
      </c>
    </row>
    <row r="121" spans="2:43" hidden="1" outlineLevel="2" x14ac:dyDescent="0.15">
      <c r="B121" s="800" t="s">
        <v>812</v>
      </c>
      <c r="C121" s="865">
        <v>665.2</v>
      </c>
      <c r="D121" s="851">
        <v>3160.98</v>
      </c>
      <c r="E121" s="856">
        <v>5.5E-2</v>
      </c>
      <c r="F121" s="845">
        <v>0.257913</v>
      </c>
      <c r="G121" s="865">
        <v>634.20000000000005</v>
      </c>
      <c r="H121" s="851">
        <v>3010.46</v>
      </c>
      <c r="I121" s="843">
        <v>0.5323</v>
      </c>
      <c r="J121" s="843">
        <v>2.52</v>
      </c>
      <c r="K121" s="829">
        <v>0.05</v>
      </c>
      <c r="L121" s="865">
        <v>601</v>
      </c>
      <c r="M121" s="851">
        <v>3150</v>
      </c>
      <c r="N121" s="856">
        <v>4.9000000000000002E-2</v>
      </c>
      <c r="O121" s="845">
        <v>0.25700000000000001</v>
      </c>
      <c r="P121" s="849">
        <v>573</v>
      </c>
      <c r="Q121" s="851">
        <v>3000</v>
      </c>
      <c r="R121" s="843">
        <v>0.48099999999999998</v>
      </c>
      <c r="S121" s="846">
        <v>2.52</v>
      </c>
      <c r="T121" s="1473">
        <v>64.199999999999989</v>
      </c>
      <c r="U121" s="848">
        <v>3.96</v>
      </c>
      <c r="V121" s="856">
        <v>6.0000000000000001E-3</v>
      </c>
      <c r="W121" s="1023">
        <v>3.3E-4</v>
      </c>
      <c r="X121" s="849">
        <v>61.2</v>
      </c>
      <c r="Y121" s="848">
        <v>3.78</v>
      </c>
      <c r="Z121" s="856">
        <v>5.1299999999999998E-2</v>
      </c>
      <c r="AA121" s="849">
        <v>0</v>
      </c>
      <c r="AB121" s="865">
        <v>0</v>
      </c>
      <c r="AC121" s="1472">
        <v>7.0200000000000005</v>
      </c>
      <c r="AD121" s="849">
        <v>0</v>
      </c>
      <c r="AE121" s="1023">
        <v>5.8299999999999997E-4</v>
      </c>
      <c r="AF121" s="849">
        <v>0</v>
      </c>
      <c r="AG121" s="1472">
        <v>6.68</v>
      </c>
      <c r="AH121" s="849">
        <v>0</v>
      </c>
      <c r="AI121" s="849">
        <v>0</v>
      </c>
      <c r="AJ121" s="865">
        <v>0</v>
      </c>
      <c r="AK121" s="851">
        <v>0</v>
      </c>
      <c r="AL121" s="849">
        <v>0</v>
      </c>
      <c r="AM121" s="851">
        <v>0</v>
      </c>
      <c r="AN121" s="849">
        <v>0</v>
      </c>
      <c r="AO121" s="851">
        <v>0</v>
      </c>
      <c r="AP121" s="849">
        <v>0</v>
      </c>
      <c r="AQ121" s="894">
        <v>0</v>
      </c>
    </row>
    <row r="122" spans="2:43" hidden="1" outlineLevel="2" x14ac:dyDescent="0.15">
      <c r="B122" s="800" t="s">
        <v>813</v>
      </c>
      <c r="C122" s="865">
        <v>664.2</v>
      </c>
      <c r="D122" s="851">
        <v>3160.96</v>
      </c>
      <c r="E122" s="856">
        <v>5.4399999999999997E-2</v>
      </c>
      <c r="F122" s="845">
        <v>0.258913</v>
      </c>
      <c r="G122" s="865">
        <v>634.20000000000005</v>
      </c>
      <c r="H122" s="851">
        <v>3020.46</v>
      </c>
      <c r="I122" s="843">
        <v>0.53129999999999999</v>
      </c>
      <c r="J122" s="843">
        <v>2.52</v>
      </c>
      <c r="K122" s="829">
        <v>0.05</v>
      </c>
      <c r="L122" s="865">
        <v>600</v>
      </c>
      <c r="M122" s="851">
        <v>3150</v>
      </c>
      <c r="N122" s="856">
        <v>2.8000000000000001E-2</v>
      </c>
      <c r="O122" s="845">
        <v>0.25800000000000001</v>
      </c>
      <c r="P122" s="849">
        <v>573</v>
      </c>
      <c r="Q122" s="851">
        <v>3010</v>
      </c>
      <c r="R122" s="843">
        <v>0.48</v>
      </c>
      <c r="S122" s="846">
        <v>2.52</v>
      </c>
      <c r="T122" s="1473">
        <v>64.199999999999989</v>
      </c>
      <c r="U122" s="848">
        <v>3.96</v>
      </c>
      <c r="V122" s="856">
        <v>6.0000000000000001E-3</v>
      </c>
      <c r="W122" s="1023">
        <v>3.3E-4</v>
      </c>
      <c r="X122" s="849">
        <v>61.2</v>
      </c>
      <c r="Y122" s="848">
        <v>3.78</v>
      </c>
      <c r="Z122" s="856">
        <v>5.1299999999999998E-2</v>
      </c>
      <c r="AA122" s="849">
        <v>0</v>
      </c>
      <c r="AB122" s="865">
        <v>0</v>
      </c>
      <c r="AC122" s="1472">
        <v>7</v>
      </c>
      <c r="AD122" s="849">
        <v>0</v>
      </c>
      <c r="AE122" s="1023">
        <v>5.8299999999999997E-4</v>
      </c>
      <c r="AF122" s="849">
        <v>0</v>
      </c>
      <c r="AG122" s="1472">
        <v>6.68</v>
      </c>
      <c r="AH122" s="849">
        <v>0</v>
      </c>
      <c r="AI122" s="849">
        <v>0</v>
      </c>
      <c r="AJ122" s="865">
        <v>0</v>
      </c>
      <c r="AK122" s="851">
        <v>0</v>
      </c>
      <c r="AL122" s="849">
        <v>0</v>
      </c>
      <c r="AM122" s="851">
        <v>0</v>
      </c>
      <c r="AN122" s="849">
        <v>0</v>
      </c>
      <c r="AO122" s="851">
        <v>0</v>
      </c>
      <c r="AP122" s="849">
        <v>0</v>
      </c>
      <c r="AQ122" s="894">
        <v>0</v>
      </c>
    </row>
    <row r="123" spans="2:43" hidden="1" outlineLevel="2" x14ac:dyDescent="0.15">
      <c r="B123" s="800" t="s">
        <v>814</v>
      </c>
      <c r="C123" s="865">
        <v>676.2</v>
      </c>
      <c r="D123" s="851">
        <v>3169.22</v>
      </c>
      <c r="E123" s="856">
        <v>5.8999999999999997E-2</v>
      </c>
      <c r="F123" s="845">
        <v>0.271646</v>
      </c>
      <c r="G123" s="865">
        <v>676.2</v>
      </c>
      <c r="H123" s="851">
        <v>3169.22</v>
      </c>
      <c r="I123" s="843">
        <v>0.5706</v>
      </c>
      <c r="J123" s="843">
        <v>2.48</v>
      </c>
      <c r="K123" s="829">
        <v>0.05</v>
      </c>
      <c r="L123" s="865">
        <v>615</v>
      </c>
      <c r="M123" s="851">
        <v>3150</v>
      </c>
      <c r="N123" s="856">
        <v>5.2999999999999999E-2</v>
      </c>
      <c r="O123" s="845">
        <v>0.27</v>
      </c>
      <c r="P123" s="849">
        <v>615</v>
      </c>
      <c r="Q123" s="851">
        <v>3150</v>
      </c>
      <c r="R123" s="843">
        <v>0.51900000000000002</v>
      </c>
      <c r="S123" s="846">
        <v>2.48</v>
      </c>
      <c r="T123" s="1473">
        <v>61.199999999999996</v>
      </c>
      <c r="U123" s="848">
        <v>2.52</v>
      </c>
      <c r="V123" s="856">
        <v>6.0000000000000001E-3</v>
      </c>
      <c r="W123" s="1023">
        <v>2.1599999999999999E-4</v>
      </c>
      <c r="X123" s="849">
        <v>61.2</v>
      </c>
      <c r="Y123" s="848">
        <v>2.52</v>
      </c>
      <c r="Z123" s="856">
        <v>5.16E-2</v>
      </c>
      <c r="AA123" s="849">
        <v>0</v>
      </c>
      <c r="AB123" s="865">
        <v>0</v>
      </c>
      <c r="AC123" s="1472">
        <v>16.7</v>
      </c>
      <c r="AD123" s="849">
        <v>0</v>
      </c>
      <c r="AE123" s="1023">
        <v>1.4300000000000001E-3</v>
      </c>
      <c r="AF123" s="849">
        <v>0</v>
      </c>
      <c r="AG123" s="1472">
        <v>16.7</v>
      </c>
      <c r="AH123" s="849">
        <v>0</v>
      </c>
      <c r="AI123" s="849">
        <v>0</v>
      </c>
      <c r="AJ123" s="865">
        <v>0</v>
      </c>
      <c r="AK123" s="851">
        <v>0</v>
      </c>
      <c r="AL123" s="849">
        <v>0</v>
      </c>
      <c r="AM123" s="851">
        <v>0</v>
      </c>
      <c r="AN123" s="849">
        <v>0</v>
      </c>
      <c r="AO123" s="851">
        <v>0</v>
      </c>
      <c r="AP123" s="849">
        <v>0</v>
      </c>
      <c r="AQ123" s="894">
        <v>0</v>
      </c>
    </row>
    <row r="124" spans="2:43" hidden="1" outlineLevel="2" x14ac:dyDescent="0.15">
      <c r="B124" s="800" t="s">
        <v>807</v>
      </c>
      <c r="C124" s="865">
        <v>704</v>
      </c>
      <c r="D124" s="851">
        <v>2810.34</v>
      </c>
      <c r="E124" s="856">
        <v>5.11E-2</v>
      </c>
      <c r="F124" s="845">
        <v>0.20393000000000003</v>
      </c>
      <c r="G124" s="865">
        <v>596</v>
      </c>
      <c r="H124" s="851">
        <v>2374.1000000000004</v>
      </c>
      <c r="I124" s="843">
        <v>0.46100000000000002</v>
      </c>
      <c r="J124" s="843">
        <v>1.8363700000000001</v>
      </c>
      <c r="K124" s="829">
        <v>0.05</v>
      </c>
      <c r="L124" s="865">
        <v>517</v>
      </c>
      <c r="M124" s="851">
        <v>2770</v>
      </c>
      <c r="N124" s="856">
        <v>3.7499999999999999E-2</v>
      </c>
      <c r="O124" s="845">
        <v>0.20100000000000001</v>
      </c>
      <c r="P124" s="849">
        <v>437</v>
      </c>
      <c r="Q124" s="851">
        <v>2340</v>
      </c>
      <c r="R124" s="843">
        <v>0.33800000000000002</v>
      </c>
      <c r="S124" s="846">
        <v>1.81</v>
      </c>
      <c r="T124" s="1473">
        <v>187</v>
      </c>
      <c r="U124" s="848">
        <v>7.44</v>
      </c>
      <c r="V124" s="856">
        <v>1.3599999999999999E-2</v>
      </c>
      <c r="W124" s="1023">
        <v>5.4000000000000001E-4</v>
      </c>
      <c r="X124" s="849">
        <v>159</v>
      </c>
      <c r="Y124" s="848">
        <v>6.3</v>
      </c>
      <c r="Z124" s="856">
        <v>0.123</v>
      </c>
      <c r="AA124" s="1016">
        <v>4.8700000000000002E-3</v>
      </c>
      <c r="AB124" s="865">
        <v>0</v>
      </c>
      <c r="AC124" s="1472">
        <v>32.9</v>
      </c>
      <c r="AD124" s="849">
        <v>0</v>
      </c>
      <c r="AE124" s="1023">
        <v>2.3900000000000002E-3</v>
      </c>
      <c r="AF124" s="849">
        <v>0</v>
      </c>
      <c r="AG124" s="1472">
        <v>27.8</v>
      </c>
      <c r="AH124" s="849">
        <v>0</v>
      </c>
      <c r="AI124" s="856">
        <v>2.1499999999999998E-2</v>
      </c>
      <c r="AJ124" s="865">
        <v>0</v>
      </c>
      <c r="AK124" s="851">
        <v>0</v>
      </c>
      <c r="AL124" s="849">
        <v>0</v>
      </c>
      <c r="AM124" s="851">
        <v>0</v>
      </c>
      <c r="AN124" s="849">
        <v>0</v>
      </c>
      <c r="AO124" s="851">
        <v>0</v>
      </c>
      <c r="AP124" s="849">
        <v>0</v>
      </c>
      <c r="AQ124" s="894">
        <v>0</v>
      </c>
    </row>
    <row r="125" spans="2:43" hidden="1" outlineLevel="2" x14ac:dyDescent="0.15">
      <c r="B125" s="800" t="s">
        <v>808</v>
      </c>
      <c r="C125" s="865">
        <v>487</v>
      </c>
      <c r="D125" s="851">
        <v>2964.4900000000002</v>
      </c>
      <c r="E125" s="856">
        <v>3.9E-2</v>
      </c>
      <c r="F125" s="845">
        <v>0.23272000000000001</v>
      </c>
      <c r="G125" s="865">
        <v>447</v>
      </c>
      <c r="H125" s="851">
        <v>2721.6400000000003</v>
      </c>
      <c r="I125" s="843">
        <v>0.26180000000000003</v>
      </c>
      <c r="J125" s="843">
        <v>1.5985500000000001</v>
      </c>
      <c r="K125" s="829">
        <v>0.05</v>
      </c>
      <c r="L125" s="865">
        <v>350</v>
      </c>
      <c r="M125" s="851">
        <v>2930</v>
      </c>
      <c r="N125" s="856">
        <v>2.7E-2</v>
      </c>
      <c r="O125" s="845">
        <v>0.23</v>
      </c>
      <c r="P125" s="849">
        <v>321</v>
      </c>
      <c r="Q125" s="851">
        <v>2690</v>
      </c>
      <c r="R125" s="843">
        <v>0.188</v>
      </c>
      <c r="S125" s="846">
        <v>1.58</v>
      </c>
      <c r="T125" s="1473">
        <v>137</v>
      </c>
      <c r="U125" s="848">
        <v>4.1900000000000004</v>
      </c>
      <c r="V125" s="856">
        <v>1.2E-2</v>
      </c>
      <c r="W125" s="1023">
        <v>3.3E-4</v>
      </c>
      <c r="X125" s="849">
        <v>126</v>
      </c>
      <c r="Y125" s="848">
        <v>3.84</v>
      </c>
      <c r="Z125" s="856">
        <v>7.3800000000000004E-2</v>
      </c>
      <c r="AA125" s="1016">
        <v>2.2499999999999998E-3</v>
      </c>
      <c r="AB125" s="865">
        <v>0</v>
      </c>
      <c r="AC125" s="1472">
        <v>30.3</v>
      </c>
      <c r="AD125" s="849">
        <v>0</v>
      </c>
      <c r="AE125" s="1023">
        <v>2.3900000000000002E-3</v>
      </c>
      <c r="AF125" s="849">
        <v>0</v>
      </c>
      <c r="AG125" s="1472">
        <v>27.8</v>
      </c>
      <c r="AH125" s="849">
        <v>0</v>
      </c>
      <c r="AI125" s="856">
        <v>1.6299999999999999E-2</v>
      </c>
      <c r="AJ125" s="865">
        <v>0</v>
      </c>
      <c r="AK125" s="851">
        <v>0</v>
      </c>
      <c r="AL125" s="849">
        <v>0</v>
      </c>
      <c r="AM125" s="851">
        <v>0</v>
      </c>
      <c r="AN125" s="849">
        <v>0</v>
      </c>
      <c r="AO125" s="851">
        <v>0</v>
      </c>
      <c r="AP125" s="849">
        <v>0</v>
      </c>
      <c r="AQ125" s="894">
        <v>0</v>
      </c>
    </row>
    <row r="126" spans="2:43" hidden="1" outlineLevel="2" x14ac:dyDescent="0.15">
      <c r="B126" s="1658" t="s">
        <v>3140</v>
      </c>
      <c r="C126" s="865">
        <v>487</v>
      </c>
      <c r="D126" s="1657">
        <f>3.02*1000</f>
        <v>3020</v>
      </c>
      <c r="E126" s="856">
        <v>3.9E-2</v>
      </c>
      <c r="F126" s="1662">
        <v>0.23599999999999999</v>
      </c>
      <c r="G126" s="865">
        <v>447</v>
      </c>
      <c r="H126" s="1657">
        <v>2740</v>
      </c>
      <c r="I126" s="843">
        <f>+(C126*0.51)/1000</f>
        <v>0.24837000000000001</v>
      </c>
      <c r="J126" s="1661">
        <f>+(D126*0.51)/1000</f>
        <v>1.5402</v>
      </c>
      <c r="K126" s="829"/>
      <c r="L126" s="865"/>
      <c r="M126" s="851"/>
      <c r="N126" s="856"/>
      <c r="O126" s="845"/>
      <c r="P126" s="849"/>
      <c r="Q126" s="851"/>
      <c r="R126" s="843"/>
      <c r="S126" s="846"/>
      <c r="T126" s="1473"/>
      <c r="U126" s="848"/>
      <c r="V126" s="856"/>
      <c r="W126" s="1023"/>
      <c r="X126" s="849"/>
      <c r="Y126" s="848"/>
      <c r="Z126" s="856"/>
      <c r="AA126" s="1016"/>
      <c r="AB126" s="865"/>
      <c r="AC126" s="1472"/>
      <c r="AD126" s="849"/>
      <c r="AE126" s="1023"/>
      <c r="AF126" s="849"/>
      <c r="AG126" s="1472"/>
      <c r="AH126" s="849"/>
      <c r="AI126" s="856"/>
      <c r="AJ126" s="865"/>
      <c r="AK126" s="851"/>
      <c r="AL126" s="849"/>
      <c r="AM126" s="851"/>
      <c r="AN126" s="849"/>
      <c r="AO126" s="851"/>
      <c r="AP126" s="849"/>
      <c r="AQ126" s="894"/>
    </row>
    <row r="127" spans="2:43" hidden="1" outlineLevel="2" x14ac:dyDescent="0.15">
      <c r="B127" s="800" t="s">
        <v>815</v>
      </c>
      <c r="C127" s="865">
        <v>676.2</v>
      </c>
      <c r="D127" s="851">
        <v>3169.22</v>
      </c>
      <c r="E127" s="856">
        <v>5.8999999999999997E-2</v>
      </c>
      <c r="F127" s="845">
        <v>0.271646</v>
      </c>
      <c r="G127" s="865">
        <v>676.2</v>
      </c>
      <c r="H127" s="851">
        <v>3169.22</v>
      </c>
      <c r="I127" s="843">
        <v>0.5706</v>
      </c>
      <c r="J127" s="843">
        <v>2.48</v>
      </c>
      <c r="K127" s="829">
        <v>0.05</v>
      </c>
      <c r="L127" s="865">
        <v>615</v>
      </c>
      <c r="M127" s="851">
        <v>3150</v>
      </c>
      <c r="N127" s="856">
        <v>5.2999999999999999E-2</v>
      </c>
      <c r="O127" s="845">
        <v>0.27</v>
      </c>
      <c r="P127" s="849">
        <v>615</v>
      </c>
      <c r="Q127" s="851">
        <v>3150</v>
      </c>
      <c r="R127" s="843">
        <v>0.51900000000000002</v>
      </c>
      <c r="S127" s="846">
        <v>2.48</v>
      </c>
      <c r="T127" s="1473">
        <v>61.199999999999996</v>
      </c>
      <c r="U127" s="848">
        <v>2.52</v>
      </c>
      <c r="V127" s="856">
        <v>6.0000000000000001E-3</v>
      </c>
      <c r="W127" s="1023">
        <v>2.1599999999999999E-4</v>
      </c>
      <c r="X127" s="849">
        <v>61.2</v>
      </c>
      <c r="Y127" s="848">
        <v>2.52</v>
      </c>
      <c r="Z127" s="856">
        <v>5.16E-2</v>
      </c>
      <c r="AA127" s="849">
        <v>0</v>
      </c>
      <c r="AB127" s="865">
        <v>0</v>
      </c>
      <c r="AC127" s="1472">
        <v>16.7</v>
      </c>
      <c r="AD127" s="849">
        <v>0</v>
      </c>
      <c r="AE127" s="1023">
        <v>1.4300000000000001E-3</v>
      </c>
      <c r="AF127" s="849">
        <v>0</v>
      </c>
      <c r="AG127" s="1472">
        <v>16.7</v>
      </c>
      <c r="AH127" s="849">
        <v>0</v>
      </c>
      <c r="AI127" s="849">
        <v>0</v>
      </c>
      <c r="AJ127" s="865">
        <v>0</v>
      </c>
      <c r="AK127" s="851">
        <v>0</v>
      </c>
      <c r="AL127" s="849">
        <v>0</v>
      </c>
      <c r="AM127" s="851">
        <v>0</v>
      </c>
      <c r="AN127" s="849">
        <v>0</v>
      </c>
      <c r="AO127" s="851">
        <v>0</v>
      </c>
      <c r="AP127" s="849">
        <v>0</v>
      </c>
      <c r="AQ127" s="894">
        <v>0</v>
      </c>
    </row>
    <row r="128" spans="2:43" hidden="1" outlineLevel="2" x14ac:dyDescent="0.15">
      <c r="B128" s="800" t="s">
        <v>816</v>
      </c>
      <c r="C128" s="865"/>
      <c r="D128" s="851"/>
      <c r="E128" s="856">
        <v>3.7199999999999997E-2</v>
      </c>
      <c r="F128" s="845">
        <v>0.25900000000000001</v>
      </c>
      <c r="G128" s="865">
        <v>486.8</v>
      </c>
      <c r="H128" s="851">
        <v>3021.5800000000004</v>
      </c>
      <c r="I128" s="843"/>
      <c r="J128" s="843"/>
      <c r="K128" s="829">
        <v>0.05</v>
      </c>
      <c r="L128" s="865"/>
      <c r="M128" s="851"/>
      <c r="N128" s="856">
        <v>0.25600000000000001</v>
      </c>
      <c r="O128" s="845">
        <v>3.7199999999999997E-2</v>
      </c>
      <c r="P128" s="849">
        <v>434</v>
      </c>
      <c r="Q128" s="851">
        <v>2990</v>
      </c>
      <c r="R128" s="843"/>
      <c r="S128" s="846"/>
      <c r="T128" s="1473"/>
      <c r="U128" s="848"/>
      <c r="V128" s="856">
        <v>3.2400000000000001E-4</v>
      </c>
      <c r="W128" s="851">
        <v>0</v>
      </c>
      <c r="X128" s="849">
        <v>52.8</v>
      </c>
      <c r="Y128" s="848">
        <v>3.78</v>
      </c>
      <c r="Z128" s="856"/>
      <c r="AA128" s="1016"/>
      <c r="AB128" s="1473"/>
      <c r="AC128" s="1472"/>
      <c r="AD128" s="1016">
        <v>2.3900000000000002E-3</v>
      </c>
      <c r="AE128" s="851">
        <v>0</v>
      </c>
      <c r="AF128" s="849">
        <v>0</v>
      </c>
      <c r="AG128" s="1472">
        <v>27.8</v>
      </c>
      <c r="AH128" s="856"/>
      <c r="AI128" s="856"/>
      <c r="AJ128" s="865"/>
      <c r="AK128" s="851"/>
      <c r="AL128" s="849">
        <v>0</v>
      </c>
      <c r="AM128" s="851">
        <v>0</v>
      </c>
      <c r="AN128" s="849">
        <v>0</v>
      </c>
      <c r="AO128" s="851">
        <v>0</v>
      </c>
      <c r="AP128" s="843"/>
      <c r="AQ128" s="874"/>
    </row>
    <row r="129" spans="2:43" hidden="1" outlineLevel="2" x14ac:dyDescent="0.15">
      <c r="B129" s="800" t="s">
        <v>817</v>
      </c>
      <c r="C129" s="865"/>
      <c r="D129" s="851"/>
      <c r="E129" s="856">
        <v>3.7199999999999997E-2</v>
      </c>
      <c r="F129" s="845">
        <v>0.26600000000000001</v>
      </c>
      <c r="G129" s="865">
        <v>486.8</v>
      </c>
      <c r="H129" s="851">
        <v>3101.5800000000004</v>
      </c>
      <c r="I129" s="843"/>
      <c r="J129" s="843"/>
      <c r="K129" s="829">
        <v>0.05</v>
      </c>
      <c r="L129" s="865"/>
      <c r="M129" s="851"/>
      <c r="N129" s="856">
        <v>0.26300000000000001</v>
      </c>
      <c r="O129" s="845">
        <v>3.7199999999999997E-2</v>
      </c>
      <c r="P129" s="849">
        <v>434</v>
      </c>
      <c r="Q129" s="851">
        <v>3070</v>
      </c>
      <c r="R129" s="843"/>
      <c r="S129" s="846"/>
      <c r="T129" s="1473"/>
      <c r="U129" s="848"/>
      <c r="V129" s="856">
        <v>3.2400000000000001E-4</v>
      </c>
      <c r="W129" s="851">
        <v>0</v>
      </c>
      <c r="X129" s="849">
        <v>52.8</v>
      </c>
      <c r="Y129" s="848">
        <v>3.78</v>
      </c>
      <c r="Z129" s="856"/>
      <c r="AA129" s="1016"/>
      <c r="AB129" s="1473"/>
      <c r="AC129" s="1472"/>
      <c r="AD129" s="1016">
        <v>2.3900000000000002E-3</v>
      </c>
      <c r="AE129" s="851">
        <v>0</v>
      </c>
      <c r="AF129" s="849">
        <v>0</v>
      </c>
      <c r="AG129" s="1472">
        <v>27.8</v>
      </c>
      <c r="AH129" s="856"/>
      <c r="AI129" s="856"/>
      <c r="AJ129" s="865"/>
      <c r="AK129" s="851"/>
      <c r="AL129" s="849">
        <v>0</v>
      </c>
      <c r="AM129" s="851">
        <v>0</v>
      </c>
      <c r="AN129" s="849">
        <v>0</v>
      </c>
      <c r="AO129" s="851">
        <v>0</v>
      </c>
      <c r="AP129" s="843"/>
      <c r="AQ129" s="874"/>
    </row>
    <row r="130" spans="2:43" hidden="1" outlineLevel="2" x14ac:dyDescent="0.15">
      <c r="B130" s="800" t="s">
        <v>788</v>
      </c>
      <c r="C130" s="865"/>
      <c r="D130" s="851"/>
      <c r="E130" s="856">
        <v>2.5999999999999999E-2</v>
      </c>
      <c r="F130" s="845">
        <v>0.26571400000000001</v>
      </c>
      <c r="G130" s="865">
        <v>303</v>
      </c>
      <c r="H130" s="851">
        <v>3101.5800000000004</v>
      </c>
      <c r="I130" s="843"/>
      <c r="J130" s="843"/>
      <c r="K130" s="829">
        <v>0.2</v>
      </c>
      <c r="L130" s="865"/>
      <c r="M130" s="851"/>
      <c r="N130" s="856">
        <v>2.5999999999999999E-2</v>
      </c>
      <c r="O130" s="845">
        <v>0.26300000000000001</v>
      </c>
      <c r="P130" s="849">
        <v>303</v>
      </c>
      <c r="Q130" s="851">
        <v>3070</v>
      </c>
      <c r="R130" s="843"/>
      <c r="S130" s="846"/>
      <c r="T130" s="1473"/>
      <c r="U130" s="848"/>
      <c r="V130" s="849">
        <v>0</v>
      </c>
      <c r="W130" s="1023">
        <v>3.2400000000000001E-4</v>
      </c>
      <c r="X130" s="849">
        <v>0</v>
      </c>
      <c r="Y130" s="848">
        <v>3.78</v>
      </c>
      <c r="Z130" s="856"/>
      <c r="AA130" s="1016"/>
      <c r="AB130" s="865"/>
      <c r="AC130" s="1472"/>
      <c r="AD130" s="849">
        <v>0</v>
      </c>
      <c r="AE130" s="1023">
        <v>2.3900000000000002E-3</v>
      </c>
      <c r="AF130" s="849">
        <v>0</v>
      </c>
      <c r="AG130" s="1472">
        <v>27.8</v>
      </c>
      <c r="AH130" s="849"/>
      <c r="AI130" s="856"/>
      <c r="AJ130" s="865"/>
      <c r="AK130" s="851"/>
      <c r="AL130" s="849">
        <v>0</v>
      </c>
      <c r="AM130" s="851">
        <v>0</v>
      </c>
      <c r="AN130" s="849">
        <v>0</v>
      </c>
      <c r="AO130" s="851">
        <v>0</v>
      </c>
      <c r="AP130" s="849"/>
      <c r="AQ130" s="894"/>
    </row>
    <row r="131" spans="2:43" hidden="1" outlineLevel="2" x14ac:dyDescent="0.15">
      <c r="B131" s="800" t="s">
        <v>810</v>
      </c>
      <c r="C131" s="865"/>
      <c r="D131" s="851"/>
      <c r="E131" s="856">
        <v>0.45800000000000002</v>
      </c>
      <c r="F131" s="845">
        <v>0.26491300000000001</v>
      </c>
      <c r="G131" s="865">
        <v>5350</v>
      </c>
      <c r="H131" s="851">
        <v>3090.46</v>
      </c>
      <c r="I131" s="843"/>
      <c r="J131" s="843"/>
      <c r="K131" s="829">
        <v>0.05</v>
      </c>
      <c r="L131" s="865"/>
      <c r="M131" s="851"/>
      <c r="N131" s="856">
        <v>0.45800000000000002</v>
      </c>
      <c r="O131" s="845">
        <v>0.26400000000000001</v>
      </c>
      <c r="P131" s="849">
        <v>5350</v>
      </c>
      <c r="Q131" s="851">
        <v>3080</v>
      </c>
      <c r="R131" s="843"/>
      <c r="S131" s="846"/>
      <c r="T131" s="1473"/>
      <c r="U131" s="848"/>
      <c r="V131" s="849">
        <v>0</v>
      </c>
      <c r="W131" s="1023">
        <v>3.3E-4</v>
      </c>
      <c r="X131" s="849">
        <v>0</v>
      </c>
      <c r="Y131" s="848">
        <v>3.78</v>
      </c>
      <c r="Z131" s="856"/>
      <c r="AA131" s="1016"/>
      <c r="AB131" s="1473"/>
      <c r="AC131" s="1472"/>
      <c r="AD131" s="849">
        <v>0</v>
      </c>
      <c r="AE131" s="1023">
        <v>5.8299999999999997E-4</v>
      </c>
      <c r="AF131" s="849">
        <v>0</v>
      </c>
      <c r="AG131" s="1472">
        <v>6.68</v>
      </c>
      <c r="AH131" s="849"/>
      <c r="AI131" s="849"/>
      <c r="AJ131" s="865"/>
      <c r="AK131" s="851"/>
      <c r="AL131" s="849">
        <v>0</v>
      </c>
      <c r="AM131" s="851">
        <v>0</v>
      </c>
      <c r="AN131" s="849">
        <v>0</v>
      </c>
      <c r="AO131" s="851">
        <v>0</v>
      </c>
      <c r="AP131" s="849"/>
      <c r="AQ131" s="894"/>
    </row>
    <row r="132" spans="2:43" hidden="1" outlineLevel="2" x14ac:dyDescent="0.15">
      <c r="B132" s="800" t="s">
        <v>1500</v>
      </c>
      <c r="C132" s="865"/>
      <c r="D132" s="851"/>
      <c r="E132" s="856">
        <v>0.45800000000000002</v>
      </c>
      <c r="F132" s="845">
        <v>0.26391300000000001</v>
      </c>
      <c r="G132" s="865">
        <v>5350</v>
      </c>
      <c r="H132" s="851">
        <v>3080.46</v>
      </c>
      <c r="I132" s="843"/>
      <c r="J132" s="843"/>
      <c r="K132" s="829">
        <v>0.05</v>
      </c>
      <c r="L132" s="865"/>
      <c r="M132" s="851"/>
      <c r="N132" s="856">
        <v>0.45800000000000002</v>
      </c>
      <c r="O132" s="845">
        <v>0.26300000000000001</v>
      </c>
      <c r="P132" s="849">
        <v>5350</v>
      </c>
      <c r="Q132" s="851">
        <v>3070</v>
      </c>
      <c r="R132" s="843"/>
      <c r="S132" s="846"/>
      <c r="T132" s="1473"/>
      <c r="U132" s="848"/>
      <c r="V132" s="849">
        <v>0</v>
      </c>
      <c r="W132" s="1023">
        <v>3.3E-4</v>
      </c>
      <c r="X132" s="849">
        <v>0</v>
      </c>
      <c r="Y132" s="848">
        <v>3.78</v>
      </c>
      <c r="Z132" s="856"/>
      <c r="AA132" s="1016"/>
      <c r="AB132" s="1473"/>
      <c r="AC132" s="1472"/>
      <c r="AD132" s="849">
        <v>0</v>
      </c>
      <c r="AE132" s="1023">
        <v>5.8299999999999997E-4</v>
      </c>
      <c r="AF132" s="849">
        <v>0</v>
      </c>
      <c r="AG132" s="1472">
        <v>6.68</v>
      </c>
      <c r="AH132" s="849"/>
      <c r="AI132" s="849"/>
      <c r="AJ132" s="865"/>
      <c r="AK132" s="851"/>
      <c r="AL132" s="849">
        <v>0</v>
      </c>
      <c r="AM132" s="851">
        <v>0</v>
      </c>
      <c r="AN132" s="849">
        <v>0</v>
      </c>
      <c r="AO132" s="851">
        <v>0</v>
      </c>
      <c r="AP132" s="849"/>
      <c r="AQ132" s="894"/>
    </row>
    <row r="133" spans="2:43" hidden="1" outlineLevel="2" x14ac:dyDescent="0.15">
      <c r="B133" s="1658" t="s">
        <v>3145</v>
      </c>
      <c r="C133" s="865"/>
      <c r="D133" s="1657">
        <f>3.13*1000</f>
        <v>3130</v>
      </c>
      <c r="E133" s="856"/>
      <c r="F133" s="1662">
        <v>0.28899999999999998</v>
      </c>
      <c r="G133" s="865"/>
      <c r="H133" s="1657">
        <v>3360</v>
      </c>
      <c r="I133" s="843"/>
      <c r="J133" s="843"/>
      <c r="K133" s="829"/>
      <c r="L133" s="865"/>
      <c r="M133" s="851"/>
      <c r="N133" s="856"/>
      <c r="O133" s="845"/>
      <c r="P133" s="849"/>
      <c r="Q133" s="851"/>
      <c r="R133" s="843"/>
      <c r="S133" s="846"/>
      <c r="T133" s="1473"/>
      <c r="U133" s="848"/>
      <c r="V133" s="856"/>
      <c r="W133" s="1023"/>
      <c r="X133" s="849"/>
      <c r="Y133" s="848"/>
      <c r="Z133" s="856"/>
      <c r="AA133" s="1016"/>
      <c r="AB133" s="865"/>
      <c r="AC133" s="1472"/>
      <c r="AD133" s="1016"/>
      <c r="AE133" s="1023"/>
      <c r="AF133" s="1474"/>
      <c r="AG133" s="1472"/>
      <c r="AH133" s="856"/>
      <c r="AI133" s="856"/>
      <c r="AJ133" s="865"/>
      <c r="AK133" s="851"/>
      <c r="AL133" s="849"/>
      <c r="AM133" s="851"/>
      <c r="AN133" s="849"/>
      <c r="AO133" s="851"/>
      <c r="AP133" s="843"/>
      <c r="AQ133" s="874"/>
    </row>
    <row r="134" spans="2:43" hidden="1" outlineLevel="2" x14ac:dyDescent="0.15">
      <c r="B134" s="800" t="s">
        <v>811</v>
      </c>
      <c r="C134" s="865">
        <v>236.1</v>
      </c>
      <c r="D134" s="851">
        <v>2631.4009999999998</v>
      </c>
      <c r="E134" s="856">
        <v>3.1899999999999998E-2</v>
      </c>
      <c r="F134" s="845">
        <v>0.35599999999999998</v>
      </c>
      <c r="G134" s="865">
        <v>373</v>
      </c>
      <c r="H134" s="851">
        <v>4146.7</v>
      </c>
      <c r="I134" s="843"/>
      <c r="J134" s="843"/>
      <c r="K134" s="829">
        <v>0.2</v>
      </c>
      <c r="L134" s="865">
        <v>88.1</v>
      </c>
      <c r="M134" s="851">
        <v>2620</v>
      </c>
      <c r="N134" s="856">
        <v>0.35399999999999998</v>
      </c>
      <c r="O134" s="845">
        <v>1.1900000000000001E-2</v>
      </c>
      <c r="P134" s="849">
        <v>139</v>
      </c>
      <c r="Q134" s="851">
        <v>4130</v>
      </c>
      <c r="R134" s="843"/>
      <c r="S134" s="846"/>
      <c r="T134" s="1473">
        <v>148</v>
      </c>
      <c r="U134" s="848">
        <v>0.80099999999999993</v>
      </c>
      <c r="V134" s="856">
        <v>1.08E-4</v>
      </c>
      <c r="W134" s="1023">
        <v>0.02</v>
      </c>
      <c r="X134" s="849">
        <v>234</v>
      </c>
      <c r="Y134" s="848">
        <v>0</v>
      </c>
      <c r="Z134" s="856"/>
      <c r="AA134" s="1016"/>
      <c r="AB134" s="865">
        <v>0</v>
      </c>
      <c r="AC134" s="1472">
        <v>10.6</v>
      </c>
      <c r="AD134" s="1016">
        <v>1.4300000000000001E-3</v>
      </c>
      <c r="AE134" s="851">
        <v>0</v>
      </c>
      <c r="AF134" s="849">
        <v>0</v>
      </c>
      <c r="AG134" s="1472">
        <v>16.7</v>
      </c>
      <c r="AH134" s="856"/>
      <c r="AI134" s="856"/>
      <c r="AJ134" s="865">
        <v>0</v>
      </c>
      <c r="AK134" s="851">
        <v>0</v>
      </c>
      <c r="AL134" s="849">
        <v>0</v>
      </c>
      <c r="AM134" s="851">
        <v>0</v>
      </c>
      <c r="AN134" s="849">
        <v>0</v>
      </c>
      <c r="AO134" s="851">
        <v>0</v>
      </c>
      <c r="AP134" s="843"/>
      <c r="AQ134" s="874"/>
    </row>
    <row r="135" spans="2:43" hidden="1" outlineLevel="2" x14ac:dyDescent="0.15">
      <c r="B135" s="800" t="s">
        <v>828</v>
      </c>
      <c r="C135" s="865">
        <v>284</v>
      </c>
      <c r="D135" s="851">
        <v>3075</v>
      </c>
      <c r="E135" s="856">
        <v>3.1899999999999998E-2</v>
      </c>
      <c r="F135" s="845">
        <v>0.34594000000000003</v>
      </c>
      <c r="G135" s="865">
        <v>372</v>
      </c>
      <c r="H135" s="851">
        <v>4036</v>
      </c>
      <c r="I135" s="843"/>
      <c r="J135" s="843"/>
      <c r="K135" s="829">
        <v>0.2</v>
      </c>
      <c r="L135" s="865">
        <v>106</v>
      </c>
      <c r="M135" s="851">
        <v>3040</v>
      </c>
      <c r="N135" s="856">
        <v>1.1900000000000001E-2</v>
      </c>
      <c r="O135" s="845">
        <v>0.34200000000000003</v>
      </c>
      <c r="P135" s="849">
        <v>139</v>
      </c>
      <c r="Q135" s="851">
        <v>3990</v>
      </c>
      <c r="R135" s="843"/>
      <c r="S135" s="846"/>
      <c r="T135" s="1473">
        <v>178</v>
      </c>
      <c r="U135" s="848">
        <v>9.6</v>
      </c>
      <c r="V135" s="856">
        <v>0.02</v>
      </c>
      <c r="W135" s="1023">
        <v>1.08E-3</v>
      </c>
      <c r="X135" s="849">
        <v>233</v>
      </c>
      <c r="Y135" s="848">
        <v>12.6</v>
      </c>
      <c r="Z135" s="856"/>
      <c r="AA135" s="1016"/>
      <c r="AB135" s="865">
        <v>0</v>
      </c>
      <c r="AC135" s="1472">
        <v>25.4</v>
      </c>
      <c r="AD135" s="849">
        <v>0</v>
      </c>
      <c r="AE135" s="1023">
        <v>2.8600000000000001E-3</v>
      </c>
      <c r="AF135" s="849">
        <v>0</v>
      </c>
      <c r="AG135" s="1472">
        <v>33.4</v>
      </c>
      <c r="AH135" s="856"/>
      <c r="AI135" s="856"/>
      <c r="AJ135" s="865">
        <v>0</v>
      </c>
      <c r="AK135" s="851">
        <v>0</v>
      </c>
      <c r="AL135" s="849">
        <v>0</v>
      </c>
      <c r="AM135" s="851">
        <v>0</v>
      </c>
      <c r="AN135" s="849">
        <v>0</v>
      </c>
      <c r="AO135" s="851">
        <v>0</v>
      </c>
      <c r="AP135" s="843"/>
      <c r="AQ135" s="874"/>
    </row>
    <row r="136" spans="2:43" hidden="1" outlineLevel="2" x14ac:dyDescent="0.15">
      <c r="B136" s="1658" t="s">
        <v>3142</v>
      </c>
      <c r="C136" s="865">
        <v>284</v>
      </c>
      <c r="D136" s="1657">
        <f>2.36*1000</f>
        <v>2360</v>
      </c>
      <c r="E136" s="856">
        <v>3.1899999999999998E-2</v>
      </c>
      <c r="F136" s="1662">
        <v>0.33700000000000002</v>
      </c>
      <c r="G136" s="865">
        <v>372</v>
      </c>
      <c r="H136" s="1657">
        <v>3920</v>
      </c>
      <c r="I136" s="843"/>
      <c r="J136" s="843"/>
      <c r="K136" s="829"/>
      <c r="L136" s="865"/>
      <c r="M136" s="851"/>
      <c r="N136" s="856"/>
      <c r="O136" s="845"/>
      <c r="P136" s="849"/>
      <c r="Q136" s="851"/>
      <c r="R136" s="843"/>
      <c r="S136" s="846"/>
      <c r="T136" s="1473"/>
      <c r="U136" s="848"/>
      <c r="V136" s="856"/>
      <c r="W136" s="1023"/>
      <c r="X136" s="849"/>
      <c r="Y136" s="848"/>
      <c r="Z136" s="856"/>
      <c r="AA136" s="1016"/>
      <c r="AB136" s="865"/>
      <c r="AC136" s="1472"/>
      <c r="AD136" s="849"/>
      <c r="AE136" s="1023"/>
      <c r="AF136" s="849"/>
      <c r="AG136" s="1472"/>
      <c r="AH136" s="856"/>
      <c r="AI136" s="856"/>
      <c r="AJ136" s="865"/>
      <c r="AK136" s="851"/>
      <c r="AL136" s="849"/>
      <c r="AM136" s="851"/>
      <c r="AN136" s="849"/>
      <c r="AO136" s="851"/>
      <c r="AP136" s="843"/>
      <c r="AQ136" s="874"/>
    </row>
    <row r="137" spans="2:43" hidden="1" outlineLevel="2" x14ac:dyDescent="0.15">
      <c r="B137" s="800" t="s">
        <v>825</v>
      </c>
      <c r="C137" s="865">
        <v>150.6</v>
      </c>
      <c r="D137" s="851">
        <v>1858.6</v>
      </c>
      <c r="E137" s="856">
        <v>3.1899999999999998E-2</v>
      </c>
      <c r="F137" s="845">
        <v>0.39294000000000001</v>
      </c>
      <c r="G137" s="865">
        <v>372</v>
      </c>
      <c r="H137" s="851">
        <v>4586</v>
      </c>
      <c r="I137" s="843"/>
      <c r="J137" s="843"/>
      <c r="K137" s="829">
        <v>0.2</v>
      </c>
      <c r="L137" s="865">
        <v>56.099999999999994</v>
      </c>
      <c r="M137" s="851">
        <v>1840</v>
      </c>
      <c r="N137" s="856">
        <v>1.1900000000000001E-2</v>
      </c>
      <c r="O137" s="845">
        <v>0.38900000000000001</v>
      </c>
      <c r="P137" s="849">
        <v>139</v>
      </c>
      <c r="Q137" s="851">
        <v>4540</v>
      </c>
      <c r="R137" s="843"/>
      <c r="S137" s="846"/>
      <c r="T137" s="1473">
        <v>94.5</v>
      </c>
      <c r="U137" s="848">
        <v>5.1000000000000005</v>
      </c>
      <c r="V137" s="856">
        <v>0.02</v>
      </c>
      <c r="W137" s="1023">
        <v>1.08E-3</v>
      </c>
      <c r="X137" s="849">
        <v>233</v>
      </c>
      <c r="Y137" s="848">
        <v>12.6</v>
      </c>
      <c r="Z137" s="856"/>
      <c r="AA137" s="1016"/>
      <c r="AB137" s="865">
        <v>0</v>
      </c>
      <c r="AC137" s="1472">
        <v>13.5</v>
      </c>
      <c r="AD137" s="849">
        <v>0</v>
      </c>
      <c r="AE137" s="1023">
        <v>2.8600000000000001E-3</v>
      </c>
      <c r="AF137" s="849">
        <v>0</v>
      </c>
      <c r="AG137" s="1472">
        <v>33.4</v>
      </c>
      <c r="AH137" s="856"/>
      <c r="AI137" s="856"/>
      <c r="AJ137" s="865">
        <v>0</v>
      </c>
      <c r="AK137" s="851">
        <v>0</v>
      </c>
      <c r="AL137" s="849">
        <v>0</v>
      </c>
      <c r="AM137" s="851">
        <v>0</v>
      </c>
      <c r="AN137" s="849">
        <v>0</v>
      </c>
      <c r="AO137" s="851">
        <v>0</v>
      </c>
      <c r="AP137" s="843"/>
      <c r="AQ137" s="874"/>
    </row>
    <row r="138" spans="2:43" hidden="1" outlineLevel="2" x14ac:dyDescent="0.15">
      <c r="B138" s="800" t="s">
        <v>824</v>
      </c>
      <c r="C138" s="865">
        <v>247.39999999999998</v>
      </c>
      <c r="D138" s="851">
        <v>3030.7000000000003</v>
      </c>
      <c r="E138" s="856">
        <v>3.1899999999999998E-2</v>
      </c>
      <c r="F138" s="845">
        <v>0.38894000000000001</v>
      </c>
      <c r="G138" s="865">
        <v>372</v>
      </c>
      <c r="H138" s="851">
        <v>4536</v>
      </c>
      <c r="I138" s="843"/>
      <c r="J138" s="843"/>
      <c r="K138" s="829">
        <v>0.2</v>
      </c>
      <c r="L138" s="865">
        <v>92.399999999999991</v>
      </c>
      <c r="M138" s="851">
        <v>3000</v>
      </c>
      <c r="N138" s="856">
        <v>1.1900000000000001E-2</v>
      </c>
      <c r="O138" s="845">
        <v>0.38500000000000001</v>
      </c>
      <c r="P138" s="849">
        <v>139</v>
      </c>
      <c r="Q138" s="851">
        <v>4490</v>
      </c>
      <c r="R138" s="843"/>
      <c r="S138" s="846"/>
      <c r="T138" s="1473">
        <v>155</v>
      </c>
      <c r="U138" s="848">
        <v>8.4</v>
      </c>
      <c r="V138" s="856">
        <v>0.02</v>
      </c>
      <c r="W138" s="1023">
        <v>1.08E-3</v>
      </c>
      <c r="X138" s="849">
        <v>233</v>
      </c>
      <c r="Y138" s="848">
        <v>12.6</v>
      </c>
      <c r="Z138" s="856"/>
      <c r="AA138" s="1016"/>
      <c r="AB138" s="865">
        <v>0</v>
      </c>
      <c r="AC138" s="1472">
        <v>22.3</v>
      </c>
      <c r="AD138" s="849">
        <v>0</v>
      </c>
      <c r="AE138" s="1023">
        <v>2.8600000000000001E-3</v>
      </c>
      <c r="AF138" s="849">
        <v>0</v>
      </c>
      <c r="AG138" s="1472">
        <v>33.4</v>
      </c>
      <c r="AH138" s="856"/>
      <c r="AI138" s="856"/>
      <c r="AJ138" s="865">
        <v>0</v>
      </c>
      <c r="AK138" s="851">
        <v>0</v>
      </c>
      <c r="AL138" s="849">
        <v>0</v>
      </c>
      <c r="AM138" s="851">
        <v>0</v>
      </c>
      <c r="AN138" s="849">
        <v>0</v>
      </c>
      <c r="AO138" s="851">
        <v>0</v>
      </c>
      <c r="AP138" s="843"/>
      <c r="AQ138" s="874"/>
    </row>
    <row r="139" spans="2:43" hidden="1" outlineLevel="2" x14ac:dyDescent="0.15">
      <c r="B139" s="800" t="s">
        <v>821</v>
      </c>
      <c r="C139" s="865">
        <v>229.8</v>
      </c>
      <c r="D139" s="851">
        <v>2491.48</v>
      </c>
      <c r="E139" s="856">
        <v>3.1899999999999998E-2</v>
      </c>
      <c r="F139" s="845">
        <v>0.34499999999999997</v>
      </c>
      <c r="G139" s="865">
        <v>373</v>
      </c>
      <c r="H139" s="851">
        <v>4023.4</v>
      </c>
      <c r="I139" s="843"/>
      <c r="J139" s="843"/>
      <c r="K139" s="829">
        <v>0.2</v>
      </c>
      <c r="L139" s="865">
        <v>85.8</v>
      </c>
      <c r="M139" s="851">
        <v>2470</v>
      </c>
      <c r="N139" s="856">
        <v>0.34200000000000003</v>
      </c>
      <c r="O139" s="845">
        <v>1.1900000000000001E-2</v>
      </c>
      <c r="P139" s="849">
        <v>139</v>
      </c>
      <c r="Q139" s="851">
        <v>3990</v>
      </c>
      <c r="R139" s="843"/>
      <c r="S139" s="846"/>
      <c r="T139" s="1473">
        <v>144</v>
      </c>
      <c r="U139" s="848">
        <v>0.78</v>
      </c>
      <c r="V139" s="856">
        <v>1.08E-4</v>
      </c>
      <c r="W139" s="1023">
        <v>0.02</v>
      </c>
      <c r="X139" s="849">
        <v>234</v>
      </c>
      <c r="Y139" s="848">
        <v>0</v>
      </c>
      <c r="Z139" s="856"/>
      <c r="AA139" s="1016"/>
      <c r="AB139" s="865">
        <v>0</v>
      </c>
      <c r="AC139" s="1472">
        <v>20.7</v>
      </c>
      <c r="AD139" s="1016">
        <v>2.8600000000000001E-3</v>
      </c>
      <c r="AE139" s="851">
        <v>0</v>
      </c>
      <c r="AF139" s="849">
        <v>0</v>
      </c>
      <c r="AG139" s="1472">
        <v>33.4</v>
      </c>
      <c r="AH139" s="856"/>
      <c r="AI139" s="856"/>
      <c r="AJ139" s="865">
        <v>0</v>
      </c>
      <c r="AK139" s="851">
        <v>0</v>
      </c>
      <c r="AL139" s="849">
        <v>0</v>
      </c>
      <c r="AM139" s="851">
        <v>0</v>
      </c>
      <c r="AN139" s="849">
        <v>0</v>
      </c>
      <c r="AO139" s="851">
        <v>0</v>
      </c>
      <c r="AP139" s="843"/>
      <c r="AQ139" s="874"/>
    </row>
    <row r="140" spans="2:43" hidden="1" outlineLevel="2" x14ac:dyDescent="0.15">
      <c r="B140" s="800" t="s">
        <v>819</v>
      </c>
      <c r="C140" s="865">
        <v>284</v>
      </c>
      <c r="D140" s="851">
        <v>3066.36</v>
      </c>
      <c r="E140" s="856">
        <v>3.1899999999999998E-2</v>
      </c>
      <c r="F140" s="845">
        <v>0.344968</v>
      </c>
      <c r="G140" s="865">
        <v>372</v>
      </c>
      <c r="H140" s="851">
        <v>4024.6600000000003</v>
      </c>
      <c r="I140" s="843"/>
      <c r="J140" s="843"/>
      <c r="K140" s="829">
        <v>0.2</v>
      </c>
      <c r="L140" s="865">
        <v>106</v>
      </c>
      <c r="M140" s="851">
        <v>3040</v>
      </c>
      <c r="N140" s="856">
        <v>1.1900000000000001E-2</v>
      </c>
      <c r="O140" s="845">
        <v>0.34200000000000003</v>
      </c>
      <c r="P140" s="849">
        <v>139</v>
      </c>
      <c r="Q140" s="851">
        <v>3990</v>
      </c>
      <c r="R140" s="843"/>
      <c r="S140" s="846"/>
      <c r="T140" s="1473">
        <v>178</v>
      </c>
      <c r="U140" s="848">
        <v>0.96000000000000008</v>
      </c>
      <c r="V140" s="856">
        <v>0.02</v>
      </c>
      <c r="W140" s="1023">
        <v>1.08E-4</v>
      </c>
      <c r="X140" s="849">
        <v>233</v>
      </c>
      <c r="Y140" s="848">
        <v>1.26</v>
      </c>
      <c r="Z140" s="856"/>
      <c r="AA140" s="1016"/>
      <c r="AB140" s="865">
        <v>0</v>
      </c>
      <c r="AC140" s="1472">
        <v>25.4</v>
      </c>
      <c r="AD140" s="849">
        <v>0</v>
      </c>
      <c r="AE140" s="1023">
        <v>2.8600000000000001E-3</v>
      </c>
      <c r="AF140" s="849">
        <v>0</v>
      </c>
      <c r="AG140" s="1472">
        <v>33.4</v>
      </c>
      <c r="AH140" s="856"/>
      <c r="AI140" s="856"/>
      <c r="AJ140" s="865">
        <v>0</v>
      </c>
      <c r="AK140" s="851">
        <v>0</v>
      </c>
      <c r="AL140" s="849">
        <v>0</v>
      </c>
      <c r="AM140" s="851">
        <v>0</v>
      </c>
      <c r="AN140" s="849">
        <v>0</v>
      </c>
      <c r="AO140" s="851">
        <v>0</v>
      </c>
      <c r="AP140" s="843"/>
      <c r="AQ140" s="874"/>
    </row>
    <row r="141" spans="2:43" hidden="1" outlineLevel="2" x14ac:dyDescent="0.15">
      <c r="B141" s="800" t="s">
        <v>827</v>
      </c>
      <c r="C141" s="865">
        <v>150.6</v>
      </c>
      <c r="D141" s="851">
        <v>1721.15</v>
      </c>
      <c r="E141" s="856">
        <v>3.1899999999999998E-2</v>
      </c>
      <c r="F141" s="845">
        <v>0.36399999999999999</v>
      </c>
      <c r="G141" s="865">
        <v>373</v>
      </c>
      <c r="H141" s="851">
        <v>4251.3999999999996</v>
      </c>
      <c r="I141" s="843"/>
      <c r="J141" s="843"/>
      <c r="K141" s="829">
        <v>0.2</v>
      </c>
      <c r="L141" s="865">
        <v>56.099999999999994</v>
      </c>
      <c r="M141" s="851">
        <v>1700</v>
      </c>
      <c r="N141" s="856">
        <v>0.36</v>
      </c>
      <c r="O141" s="845">
        <v>1.1900000000000001E-2</v>
      </c>
      <c r="P141" s="849">
        <v>139</v>
      </c>
      <c r="Q141" s="851">
        <v>4200</v>
      </c>
      <c r="R141" s="843"/>
      <c r="S141" s="846"/>
      <c r="T141" s="1473">
        <v>94.5</v>
      </c>
      <c r="U141" s="848">
        <v>7.6499999999999995</v>
      </c>
      <c r="V141" s="856">
        <v>1.6199999999999999E-3</v>
      </c>
      <c r="W141" s="1023">
        <v>0.02</v>
      </c>
      <c r="X141" s="849">
        <v>234</v>
      </c>
      <c r="Y141" s="848">
        <v>18</v>
      </c>
      <c r="Z141" s="856"/>
      <c r="AA141" s="1016"/>
      <c r="AB141" s="865">
        <v>0</v>
      </c>
      <c r="AC141" s="1472">
        <v>13.5</v>
      </c>
      <c r="AD141" s="1016">
        <v>2.8600000000000001E-3</v>
      </c>
      <c r="AE141" s="851">
        <v>0</v>
      </c>
      <c r="AF141" s="849">
        <v>0</v>
      </c>
      <c r="AG141" s="1472">
        <v>33.4</v>
      </c>
      <c r="AH141" s="856"/>
      <c r="AI141" s="856"/>
      <c r="AJ141" s="865">
        <v>0</v>
      </c>
      <c r="AK141" s="851">
        <v>0</v>
      </c>
      <c r="AL141" s="849">
        <v>0</v>
      </c>
      <c r="AM141" s="851">
        <v>0</v>
      </c>
      <c r="AN141" s="849">
        <v>0</v>
      </c>
      <c r="AO141" s="851">
        <v>0</v>
      </c>
      <c r="AP141" s="843"/>
      <c r="AQ141" s="874"/>
    </row>
    <row r="142" spans="2:43" hidden="1" outlineLevel="2" x14ac:dyDescent="0.15">
      <c r="B142" s="800" t="s">
        <v>820</v>
      </c>
      <c r="C142" s="865">
        <v>150.5</v>
      </c>
      <c r="D142" s="851">
        <v>1691.15</v>
      </c>
      <c r="E142" s="856">
        <v>3.1899999999999998E-2</v>
      </c>
      <c r="F142" s="845">
        <v>0.35747999999999996</v>
      </c>
      <c r="G142" s="865">
        <v>372</v>
      </c>
      <c r="H142" s="851">
        <v>4172.2999999999993</v>
      </c>
      <c r="I142" s="843"/>
      <c r="J142" s="843"/>
      <c r="K142" s="829">
        <v>0.2</v>
      </c>
      <c r="L142" s="865">
        <v>56</v>
      </c>
      <c r="M142" s="851">
        <v>1670</v>
      </c>
      <c r="N142" s="856">
        <v>1.1900000000000001E-2</v>
      </c>
      <c r="O142" s="845">
        <v>0.35299999999999998</v>
      </c>
      <c r="P142" s="849">
        <v>139</v>
      </c>
      <c r="Q142" s="851">
        <v>4120</v>
      </c>
      <c r="R142" s="843"/>
      <c r="S142" s="846"/>
      <c r="T142" s="1473">
        <v>94.5</v>
      </c>
      <c r="U142" s="848">
        <v>7.6499999999999995</v>
      </c>
      <c r="V142" s="856">
        <v>0.02</v>
      </c>
      <c r="W142" s="1023">
        <v>1.6199999999999999E-3</v>
      </c>
      <c r="X142" s="849">
        <v>233</v>
      </c>
      <c r="Y142" s="848">
        <v>18.899999999999999</v>
      </c>
      <c r="Z142" s="856"/>
      <c r="AA142" s="1016"/>
      <c r="AB142" s="865">
        <v>0</v>
      </c>
      <c r="AC142" s="1472">
        <v>13.5</v>
      </c>
      <c r="AD142" s="849">
        <v>0</v>
      </c>
      <c r="AE142" s="1023">
        <v>2.8600000000000001E-3</v>
      </c>
      <c r="AF142" s="849">
        <v>0</v>
      </c>
      <c r="AG142" s="1472">
        <v>33.4</v>
      </c>
      <c r="AH142" s="856"/>
      <c r="AI142" s="856"/>
      <c r="AJ142" s="865">
        <v>0</v>
      </c>
      <c r="AK142" s="851">
        <v>0</v>
      </c>
      <c r="AL142" s="849">
        <v>0</v>
      </c>
      <c r="AM142" s="851">
        <v>0</v>
      </c>
      <c r="AN142" s="849">
        <v>0</v>
      </c>
      <c r="AO142" s="851">
        <v>0</v>
      </c>
      <c r="AP142" s="843"/>
      <c r="AQ142" s="874"/>
    </row>
    <row r="143" spans="2:43" hidden="1" outlineLevel="2" x14ac:dyDescent="0.15">
      <c r="B143" s="800" t="s">
        <v>829</v>
      </c>
      <c r="C143" s="865">
        <v>102.8</v>
      </c>
      <c r="D143" s="851">
        <v>1284.9579999999999</v>
      </c>
      <c r="E143" s="856">
        <v>3.1899999999999998E-2</v>
      </c>
      <c r="F143" s="845">
        <v>0.39800000000000002</v>
      </c>
      <c r="G143" s="865">
        <v>373</v>
      </c>
      <c r="H143" s="851">
        <v>4636.7</v>
      </c>
      <c r="I143" s="843"/>
      <c r="J143" s="843"/>
      <c r="K143" s="829">
        <v>0.2</v>
      </c>
      <c r="L143" s="865">
        <v>38.299999999999997</v>
      </c>
      <c r="M143" s="851">
        <v>1280</v>
      </c>
      <c r="N143" s="856">
        <v>0.39600000000000002</v>
      </c>
      <c r="O143" s="845">
        <v>1.1900000000000001E-2</v>
      </c>
      <c r="P143" s="849">
        <v>139</v>
      </c>
      <c r="Q143" s="851">
        <v>4620</v>
      </c>
      <c r="R143" s="843"/>
      <c r="S143" s="846"/>
      <c r="T143" s="1473">
        <v>64.5</v>
      </c>
      <c r="U143" s="848">
        <v>0.34799999999999998</v>
      </c>
      <c r="V143" s="856">
        <v>1.08E-4</v>
      </c>
      <c r="W143" s="1023">
        <v>0.02</v>
      </c>
      <c r="X143" s="849">
        <v>234</v>
      </c>
      <c r="Y143" s="848">
        <v>0</v>
      </c>
      <c r="Z143" s="856"/>
      <c r="AA143" s="1016"/>
      <c r="AB143" s="865">
        <v>0</v>
      </c>
      <c r="AC143" s="1472">
        <v>4.6100000000000003</v>
      </c>
      <c r="AD143" s="1016">
        <v>1.4300000000000001E-3</v>
      </c>
      <c r="AE143" s="851">
        <v>0</v>
      </c>
      <c r="AF143" s="849">
        <v>0</v>
      </c>
      <c r="AG143" s="1472">
        <v>16.7</v>
      </c>
      <c r="AH143" s="856"/>
      <c r="AI143" s="856"/>
      <c r="AJ143" s="865">
        <v>0</v>
      </c>
      <c r="AK143" s="851">
        <v>0</v>
      </c>
      <c r="AL143" s="849">
        <v>0</v>
      </c>
      <c r="AM143" s="851">
        <v>0</v>
      </c>
      <c r="AN143" s="849">
        <v>0</v>
      </c>
      <c r="AO143" s="851">
        <v>0</v>
      </c>
      <c r="AP143" s="843"/>
      <c r="AQ143" s="874"/>
    </row>
    <row r="144" spans="2:43" hidden="1" outlineLevel="2" x14ac:dyDescent="0.15">
      <c r="B144" s="800" t="s">
        <v>826</v>
      </c>
      <c r="C144" s="865">
        <v>402.4</v>
      </c>
      <c r="D144" s="851">
        <v>3094.08</v>
      </c>
      <c r="E144" s="856">
        <v>4.1300000000000003E-2</v>
      </c>
      <c r="F144" s="845">
        <v>0.34899999999999998</v>
      </c>
      <c r="G144" s="865">
        <v>528.4</v>
      </c>
      <c r="H144" s="851">
        <v>4061.5800000000004</v>
      </c>
      <c r="I144" s="843"/>
      <c r="J144" s="843"/>
      <c r="K144" s="829">
        <v>0.2</v>
      </c>
      <c r="L144" s="865">
        <v>367</v>
      </c>
      <c r="M144" s="851">
        <v>3070</v>
      </c>
      <c r="N144" s="856">
        <v>0.34599999999999997</v>
      </c>
      <c r="O144" s="845">
        <v>4.1300000000000003E-2</v>
      </c>
      <c r="P144" s="849">
        <v>482</v>
      </c>
      <c r="Q144" s="851">
        <v>4030</v>
      </c>
      <c r="R144" s="843"/>
      <c r="S144" s="846"/>
      <c r="T144" s="1473">
        <v>35.4</v>
      </c>
      <c r="U144" s="848">
        <v>2.8800000000000003</v>
      </c>
      <c r="V144" s="856">
        <v>3.2400000000000001E-4</v>
      </c>
      <c r="W144" s="851">
        <v>0</v>
      </c>
      <c r="X144" s="849">
        <v>46.4</v>
      </c>
      <c r="Y144" s="848">
        <v>3.78</v>
      </c>
      <c r="Z144" s="856"/>
      <c r="AA144" s="1016"/>
      <c r="AB144" s="865">
        <v>0</v>
      </c>
      <c r="AC144" s="1472">
        <v>21.2</v>
      </c>
      <c r="AD144" s="1016">
        <v>2.3900000000000002E-3</v>
      </c>
      <c r="AE144" s="851">
        <v>0</v>
      </c>
      <c r="AF144" s="849">
        <v>0</v>
      </c>
      <c r="AG144" s="1472">
        <v>27.8</v>
      </c>
      <c r="AH144" s="856"/>
      <c r="AI144" s="856"/>
      <c r="AJ144" s="865">
        <v>0</v>
      </c>
      <c r="AK144" s="851">
        <v>0</v>
      </c>
      <c r="AL144" s="849">
        <v>0</v>
      </c>
      <c r="AM144" s="851">
        <v>0</v>
      </c>
      <c r="AN144" s="849">
        <v>0</v>
      </c>
      <c r="AO144" s="851">
        <v>0</v>
      </c>
      <c r="AP144" s="843"/>
      <c r="AQ144" s="874"/>
    </row>
    <row r="145" spans="2:43" hidden="1" outlineLevel="2" x14ac:dyDescent="0.15">
      <c r="B145" s="800" t="s">
        <v>822</v>
      </c>
      <c r="C145" s="865">
        <v>230</v>
      </c>
      <c r="D145" s="851">
        <v>2491.48</v>
      </c>
      <c r="E145" s="856">
        <v>3.1899999999999998E-2</v>
      </c>
      <c r="F145" s="845">
        <v>0.344968</v>
      </c>
      <c r="G145" s="865">
        <v>372</v>
      </c>
      <c r="H145" s="851">
        <v>4024.6600000000003</v>
      </c>
      <c r="I145" s="843"/>
      <c r="J145" s="843"/>
      <c r="K145" s="829">
        <v>0.2</v>
      </c>
      <c r="L145" s="865">
        <v>86</v>
      </c>
      <c r="M145" s="851">
        <v>2470</v>
      </c>
      <c r="N145" s="856">
        <v>1.1900000000000001E-2</v>
      </c>
      <c r="O145" s="845">
        <v>0.34200000000000003</v>
      </c>
      <c r="P145" s="849">
        <v>139</v>
      </c>
      <c r="Q145" s="851">
        <v>3990</v>
      </c>
      <c r="R145" s="843"/>
      <c r="S145" s="846"/>
      <c r="T145" s="1473">
        <v>144</v>
      </c>
      <c r="U145" s="848">
        <v>0.78</v>
      </c>
      <c r="V145" s="856">
        <v>0.02</v>
      </c>
      <c r="W145" s="1023">
        <v>1.08E-4</v>
      </c>
      <c r="X145" s="849">
        <v>233</v>
      </c>
      <c r="Y145" s="848">
        <v>1.26</v>
      </c>
      <c r="Z145" s="856"/>
      <c r="AA145" s="1016"/>
      <c r="AB145" s="865">
        <v>0</v>
      </c>
      <c r="AC145" s="1472">
        <v>20.7</v>
      </c>
      <c r="AD145" s="849">
        <v>0</v>
      </c>
      <c r="AE145" s="1023">
        <v>2.8600000000000001E-3</v>
      </c>
      <c r="AF145" s="849">
        <v>0</v>
      </c>
      <c r="AG145" s="1472">
        <v>33.4</v>
      </c>
      <c r="AH145" s="856"/>
      <c r="AI145" s="856"/>
      <c r="AJ145" s="865">
        <v>0</v>
      </c>
      <c r="AK145" s="851">
        <v>0</v>
      </c>
      <c r="AL145" s="849">
        <v>0</v>
      </c>
      <c r="AM145" s="851">
        <v>0</v>
      </c>
      <c r="AN145" s="849">
        <v>0</v>
      </c>
      <c r="AO145" s="851">
        <v>0</v>
      </c>
      <c r="AP145" s="843"/>
      <c r="AQ145" s="874"/>
    </row>
    <row r="146" spans="2:43" hidden="1" outlineLevel="2" x14ac:dyDescent="0.15">
      <c r="B146" s="800" t="s">
        <v>823</v>
      </c>
      <c r="C146" s="865">
        <v>177</v>
      </c>
      <c r="D146" s="851">
        <v>1936.5</v>
      </c>
      <c r="E146" s="856">
        <v>3.1899999999999998E-2</v>
      </c>
      <c r="F146" s="845">
        <v>0.34896799999999994</v>
      </c>
      <c r="G146" s="865">
        <v>372</v>
      </c>
      <c r="H146" s="851">
        <v>4064.6600000000003</v>
      </c>
      <c r="I146" s="843"/>
      <c r="J146" s="843"/>
      <c r="K146" s="829">
        <v>0.2</v>
      </c>
      <c r="L146" s="865">
        <v>66</v>
      </c>
      <c r="M146" s="851">
        <v>1920</v>
      </c>
      <c r="N146" s="856">
        <v>1.1900000000000001E-2</v>
      </c>
      <c r="O146" s="845">
        <v>0.34599999999999997</v>
      </c>
      <c r="P146" s="849">
        <v>139</v>
      </c>
      <c r="Q146" s="851">
        <v>4030</v>
      </c>
      <c r="R146" s="843"/>
      <c r="S146" s="846"/>
      <c r="T146" s="1473">
        <v>111</v>
      </c>
      <c r="U146" s="848">
        <v>0.6</v>
      </c>
      <c r="V146" s="856">
        <v>0.02</v>
      </c>
      <c r="W146" s="1023">
        <v>1.08E-4</v>
      </c>
      <c r="X146" s="849">
        <v>233</v>
      </c>
      <c r="Y146" s="848">
        <v>1.26</v>
      </c>
      <c r="Z146" s="856"/>
      <c r="AA146" s="1016"/>
      <c r="AB146" s="865">
        <v>0</v>
      </c>
      <c r="AC146" s="1472">
        <v>15.9</v>
      </c>
      <c r="AD146" s="849">
        <v>0</v>
      </c>
      <c r="AE146" s="1023">
        <v>2.8600000000000001E-3</v>
      </c>
      <c r="AF146" s="849">
        <v>0</v>
      </c>
      <c r="AG146" s="1472">
        <v>33.4</v>
      </c>
      <c r="AH146" s="856"/>
      <c r="AI146" s="856"/>
      <c r="AJ146" s="865">
        <v>0</v>
      </c>
      <c r="AK146" s="851">
        <v>0</v>
      </c>
      <c r="AL146" s="849">
        <v>0</v>
      </c>
      <c r="AM146" s="851">
        <v>0</v>
      </c>
      <c r="AN146" s="849">
        <v>0</v>
      </c>
      <c r="AO146" s="851">
        <v>0</v>
      </c>
      <c r="AP146" s="843"/>
      <c r="AQ146" s="874"/>
    </row>
    <row r="147" spans="2:43" hidden="1" outlineLevel="2" x14ac:dyDescent="0.15">
      <c r="B147" s="801"/>
      <c r="C147" s="866"/>
      <c r="D147" s="855"/>
      <c r="E147" s="859"/>
      <c r="F147" s="860"/>
      <c r="G147" s="854"/>
      <c r="H147" s="855"/>
      <c r="I147" s="852"/>
      <c r="J147" s="852"/>
      <c r="K147" s="830"/>
      <c r="L147" s="866"/>
      <c r="M147" s="855"/>
      <c r="N147" s="1479"/>
      <c r="O147" s="860"/>
      <c r="P147" s="854"/>
      <c r="Q147" s="855"/>
      <c r="R147" s="859"/>
      <c r="S147" s="852"/>
      <c r="T147" s="1480"/>
      <c r="U147" s="853"/>
      <c r="V147" s="1479"/>
      <c r="W147" s="1482"/>
      <c r="X147" s="854"/>
      <c r="Y147" s="853"/>
      <c r="Z147" s="863"/>
      <c r="AA147" s="1481"/>
      <c r="AB147" s="1480"/>
      <c r="AC147" s="1484"/>
      <c r="AD147" s="1481"/>
      <c r="AE147" s="1482"/>
      <c r="AF147" s="1483"/>
      <c r="AG147" s="1484"/>
      <c r="AH147" s="1479"/>
      <c r="AI147" s="1479"/>
      <c r="AJ147" s="866"/>
      <c r="AK147" s="855"/>
      <c r="AL147" s="854"/>
      <c r="AM147" s="855"/>
      <c r="AN147" s="854"/>
      <c r="AO147" s="855"/>
      <c r="AP147" s="859"/>
      <c r="AQ147" s="967"/>
    </row>
    <row r="148" spans="2:43" hidden="1" outlineLevel="2" x14ac:dyDescent="0.15">
      <c r="U148" s="13"/>
      <c r="V148" s="13"/>
    </row>
    <row r="149" spans="2:43" hidden="1" outlineLevel="2" x14ac:dyDescent="0.15">
      <c r="B149" s="1489" t="s">
        <v>830</v>
      </c>
      <c r="C149" s="1901" t="s">
        <v>765</v>
      </c>
      <c r="D149" s="1902"/>
      <c r="E149" s="1902"/>
      <c r="F149" s="1902"/>
      <c r="G149" s="1902"/>
      <c r="H149" s="1902"/>
      <c r="I149" s="1902"/>
      <c r="J149" s="1903"/>
      <c r="K149" s="833"/>
      <c r="L149" s="1901" t="s">
        <v>831</v>
      </c>
      <c r="M149" s="1902"/>
      <c r="N149" s="1902"/>
      <c r="O149" s="1902"/>
      <c r="P149" s="1902"/>
      <c r="Q149" s="1902"/>
      <c r="R149" s="1902"/>
      <c r="S149" s="1903"/>
      <c r="T149" s="1901" t="s">
        <v>832</v>
      </c>
      <c r="U149" s="1902"/>
      <c r="V149" s="1902"/>
      <c r="W149" s="1902"/>
      <c r="X149" s="1902"/>
      <c r="Y149" s="1902"/>
      <c r="Z149" s="1902"/>
      <c r="AA149" s="1903"/>
      <c r="AB149" s="1901" t="s">
        <v>774</v>
      </c>
      <c r="AC149" s="1902"/>
      <c r="AD149" s="1902"/>
      <c r="AE149" s="1902"/>
      <c r="AF149" s="1902"/>
      <c r="AG149" s="1902"/>
      <c r="AH149" s="1902"/>
      <c r="AI149" s="1903"/>
      <c r="AJ149" s="1901" t="s">
        <v>773</v>
      </c>
      <c r="AK149" s="1902"/>
      <c r="AL149" s="1902"/>
      <c r="AM149" s="1902"/>
      <c r="AN149" s="1902"/>
      <c r="AO149" s="1902"/>
      <c r="AP149" s="1902"/>
      <c r="AQ149" s="1903"/>
    </row>
    <row r="150" spans="2:43" hidden="1" outlineLevel="2" x14ac:dyDescent="0.15">
      <c r="B150" s="798"/>
      <c r="C150" s="1899" t="s">
        <v>767</v>
      </c>
      <c r="D150" s="1900"/>
      <c r="E150" s="1899" t="s">
        <v>769</v>
      </c>
      <c r="F150" s="1900"/>
      <c r="G150" s="1899" t="s">
        <v>771</v>
      </c>
      <c r="H150" s="1900"/>
      <c r="I150" s="1899" t="s">
        <v>770</v>
      </c>
      <c r="J150" s="1900"/>
      <c r="K150" s="835"/>
      <c r="L150" s="1899" t="s">
        <v>767</v>
      </c>
      <c r="M150" s="1900"/>
      <c r="N150" s="1899" t="s">
        <v>769</v>
      </c>
      <c r="O150" s="1900"/>
      <c r="P150" s="1899" t="s">
        <v>771</v>
      </c>
      <c r="Q150" s="1900"/>
      <c r="R150" s="1899" t="s">
        <v>770</v>
      </c>
      <c r="S150" s="1900"/>
      <c r="T150" s="1899" t="s">
        <v>767</v>
      </c>
      <c r="U150" s="1900"/>
      <c r="V150" s="1899" t="s">
        <v>769</v>
      </c>
      <c r="W150" s="1900"/>
      <c r="X150" s="1899" t="s">
        <v>771</v>
      </c>
      <c r="Y150" s="1900"/>
      <c r="Z150" s="1899" t="s">
        <v>770</v>
      </c>
      <c r="AA150" s="1900"/>
      <c r="AB150" s="1899" t="s">
        <v>767</v>
      </c>
      <c r="AC150" s="1900"/>
      <c r="AD150" s="1899" t="s">
        <v>769</v>
      </c>
      <c r="AE150" s="1900"/>
      <c r="AF150" s="1899" t="s">
        <v>771</v>
      </c>
      <c r="AG150" s="1900"/>
      <c r="AH150" s="1899" t="s">
        <v>770</v>
      </c>
      <c r="AI150" s="1900"/>
      <c r="AJ150" s="1899" t="s">
        <v>767</v>
      </c>
      <c r="AK150" s="1900"/>
      <c r="AL150" s="1899" t="s">
        <v>769</v>
      </c>
      <c r="AM150" s="1900"/>
      <c r="AN150" s="1899" t="s">
        <v>771</v>
      </c>
      <c r="AO150" s="1900"/>
      <c r="AP150" s="1899" t="s">
        <v>770</v>
      </c>
      <c r="AQ150" s="1900"/>
    </row>
    <row r="151" spans="2:43" hidden="1" outlineLevel="2" x14ac:dyDescent="0.15">
      <c r="B151" s="880" t="s">
        <v>766</v>
      </c>
      <c r="C151" s="837" t="s">
        <v>768</v>
      </c>
      <c r="D151" s="838" t="s">
        <v>24</v>
      </c>
      <c r="E151" s="837" t="s">
        <v>768</v>
      </c>
      <c r="F151" s="838" t="s">
        <v>24</v>
      </c>
      <c r="G151" s="837" t="s">
        <v>768</v>
      </c>
      <c r="H151" s="838" t="s">
        <v>24</v>
      </c>
      <c r="I151" s="837" t="s">
        <v>768</v>
      </c>
      <c r="J151" s="838" t="s">
        <v>24</v>
      </c>
      <c r="K151" s="839" t="s">
        <v>723</v>
      </c>
      <c r="L151" s="837" t="s">
        <v>768</v>
      </c>
      <c r="M151" s="838" t="s">
        <v>24</v>
      </c>
      <c r="N151" s="837" t="s">
        <v>768</v>
      </c>
      <c r="O151" s="838" t="s">
        <v>24</v>
      </c>
      <c r="P151" s="837" t="s">
        <v>768</v>
      </c>
      <c r="Q151" s="838" t="s">
        <v>24</v>
      </c>
      <c r="R151" s="837" t="s">
        <v>768</v>
      </c>
      <c r="S151" s="838" t="s">
        <v>24</v>
      </c>
      <c r="T151" s="837" t="s">
        <v>768</v>
      </c>
      <c r="U151" s="838" t="s">
        <v>24</v>
      </c>
      <c r="V151" s="837" t="s">
        <v>768</v>
      </c>
      <c r="W151" s="838" t="s">
        <v>24</v>
      </c>
      <c r="X151" s="837" t="s">
        <v>768</v>
      </c>
      <c r="Y151" s="838" t="s">
        <v>24</v>
      </c>
      <c r="Z151" s="837" t="s">
        <v>768</v>
      </c>
      <c r="AA151" s="838" t="s">
        <v>24</v>
      </c>
      <c r="AB151" s="837" t="s">
        <v>768</v>
      </c>
      <c r="AC151" s="838" t="s">
        <v>24</v>
      </c>
      <c r="AD151" s="837" t="s">
        <v>768</v>
      </c>
      <c r="AE151" s="838" t="s">
        <v>24</v>
      </c>
      <c r="AF151" s="837" t="s">
        <v>768</v>
      </c>
      <c r="AG151" s="838" t="s">
        <v>24</v>
      </c>
      <c r="AH151" s="837" t="s">
        <v>768</v>
      </c>
      <c r="AI151" s="838" t="s">
        <v>24</v>
      </c>
      <c r="AJ151" s="837" t="s">
        <v>768</v>
      </c>
      <c r="AK151" s="838" t="s">
        <v>24</v>
      </c>
      <c r="AL151" s="837" t="s">
        <v>768</v>
      </c>
      <c r="AM151" s="838" t="s">
        <v>24</v>
      </c>
      <c r="AN151" s="837" t="s">
        <v>768</v>
      </c>
      <c r="AO151" s="838" t="s">
        <v>24</v>
      </c>
      <c r="AP151" s="837" t="s">
        <v>768</v>
      </c>
      <c r="AQ151" s="838" t="s">
        <v>24</v>
      </c>
    </row>
    <row r="152" spans="2:43" hidden="1" outlineLevel="2" x14ac:dyDescent="0.15">
      <c r="B152" s="800" t="s">
        <v>833</v>
      </c>
      <c r="C152" s="865">
        <v>8056.9</v>
      </c>
      <c r="D152" s="841">
        <v>0</v>
      </c>
      <c r="E152" s="843">
        <v>0.77998999999999996</v>
      </c>
      <c r="F152" s="841">
        <v>0</v>
      </c>
      <c r="G152" s="849">
        <v>9066.1</v>
      </c>
      <c r="H152" s="841">
        <v>0</v>
      </c>
      <c r="I152" s="846">
        <v>7.1673</v>
      </c>
      <c r="J152" s="822">
        <v>0</v>
      </c>
      <c r="K152" s="829">
        <v>0.2</v>
      </c>
      <c r="L152" s="865">
        <v>7510</v>
      </c>
      <c r="M152" s="841">
        <v>0</v>
      </c>
      <c r="N152" s="843">
        <v>0.72699999999999998</v>
      </c>
      <c r="O152" s="841">
        <v>0</v>
      </c>
      <c r="P152" s="849">
        <v>8450</v>
      </c>
      <c r="Q152" s="841">
        <v>0</v>
      </c>
      <c r="R152" s="846">
        <v>6.68</v>
      </c>
      <c r="S152" s="822">
        <v>0</v>
      </c>
      <c r="T152" s="1473">
        <v>32.9</v>
      </c>
      <c r="U152" s="841">
        <v>0</v>
      </c>
      <c r="V152" s="1016">
        <v>3.1900000000000001E-3</v>
      </c>
      <c r="W152" s="841">
        <v>0</v>
      </c>
      <c r="X152" s="1474">
        <v>37.1</v>
      </c>
      <c r="Y152" s="841">
        <v>0</v>
      </c>
      <c r="Z152" s="856">
        <v>2.93E-2</v>
      </c>
      <c r="AA152" s="822">
        <v>0</v>
      </c>
      <c r="AB152" s="865">
        <v>514</v>
      </c>
      <c r="AC152" s="841">
        <v>0</v>
      </c>
      <c r="AD152" s="856">
        <v>4.9799999999999997E-2</v>
      </c>
      <c r="AE152" s="841">
        <v>0</v>
      </c>
      <c r="AF152" s="849">
        <v>579</v>
      </c>
      <c r="AG152" s="841">
        <v>0</v>
      </c>
      <c r="AH152" s="843">
        <v>0.45800000000000002</v>
      </c>
      <c r="AI152" s="822">
        <v>0</v>
      </c>
      <c r="AJ152" s="865">
        <v>-2600</v>
      </c>
      <c r="AK152" s="851">
        <v>0</v>
      </c>
      <c r="AL152" s="843">
        <v>-0.252</v>
      </c>
      <c r="AM152" s="851">
        <v>0</v>
      </c>
      <c r="AN152" s="849">
        <v>-2920</v>
      </c>
      <c r="AO152" s="851">
        <v>0</v>
      </c>
      <c r="AP152" s="846">
        <v>-2.31</v>
      </c>
      <c r="AQ152" s="894">
        <v>0</v>
      </c>
    </row>
    <row r="153" spans="2:43" hidden="1" outlineLevel="2" x14ac:dyDescent="0.15">
      <c r="B153" s="800" t="s">
        <v>835</v>
      </c>
      <c r="C153" s="865">
        <v>486.4</v>
      </c>
      <c r="D153" s="841">
        <v>0</v>
      </c>
      <c r="E153" s="856">
        <v>4.7139999999999994E-2</v>
      </c>
      <c r="F153" s="841">
        <v>0</v>
      </c>
      <c r="G153" s="849">
        <v>548</v>
      </c>
      <c r="H153" s="841">
        <v>0</v>
      </c>
      <c r="I153" s="843">
        <v>0.4335</v>
      </c>
      <c r="J153" s="822">
        <v>0</v>
      </c>
      <c r="K153" s="829">
        <v>0.2</v>
      </c>
      <c r="L153" s="1473">
        <v>-60.5</v>
      </c>
      <c r="M153" s="841">
        <v>0</v>
      </c>
      <c r="N153" s="1016">
        <v>-5.8500000000000002E-3</v>
      </c>
      <c r="O153" s="841">
        <v>0</v>
      </c>
      <c r="P153" s="1474">
        <v>-68.099999999999994</v>
      </c>
      <c r="Q153" s="841">
        <v>0</v>
      </c>
      <c r="R153" s="856">
        <v>-5.3800000000000001E-2</v>
      </c>
      <c r="S153" s="822">
        <v>0</v>
      </c>
      <c r="T153" s="1473">
        <v>32.9</v>
      </c>
      <c r="U153" s="841">
        <v>0</v>
      </c>
      <c r="V153" s="1016">
        <v>3.1900000000000001E-3</v>
      </c>
      <c r="W153" s="841">
        <v>0</v>
      </c>
      <c r="X153" s="1474">
        <v>37.1</v>
      </c>
      <c r="Y153" s="841">
        <v>0</v>
      </c>
      <c r="Z153" s="856">
        <v>2.93E-2</v>
      </c>
      <c r="AA153" s="822">
        <v>0</v>
      </c>
      <c r="AB153" s="865">
        <v>514</v>
      </c>
      <c r="AC153" s="841">
        <v>0</v>
      </c>
      <c r="AD153" s="856">
        <v>4.9799999999999997E-2</v>
      </c>
      <c r="AE153" s="841">
        <v>0</v>
      </c>
      <c r="AF153" s="849">
        <v>579</v>
      </c>
      <c r="AG153" s="841">
        <v>0</v>
      </c>
      <c r="AH153" s="843">
        <v>0.45800000000000002</v>
      </c>
      <c r="AI153" s="822">
        <v>0</v>
      </c>
      <c r="AJ153" s="865">
        <v>-2600</v>
      </c>
      <c r="AK153" s="851">
        <v>0</v>
      </c>
      <c r="AL153" s="843">
        <v>-0.252</v>
      </c>
      <c r="AM153" s="851">
        <v>0</v>
      </c>
      <c r="AN153" s="849">
        <v>-2920</v>
      </c>
      <c r="AO153" s="851">
        <v>0</v>
      </c>
      <c r="AP153" s="846">
        <v>-2.31</v>
      </c>
      <c r="AQ153" s="894">
        <v>0</v>
      </c>
    </row>
    <row r="154" spans="2:43" hidden="1" outlineLevel="2" x14ac:dyDescent="0.15">
      <c r="B154" s="800" t="s">
        <v>834</v>
      </c>
      <c r="C154" s="865">
        <v>1134.9000000000001</v>
      </c>
      <c r="D154" s="841">
        <v>0</v>
      </c>
      <c r="E154" s="843">
        <v>0.10988999999999999</v>
      </c>
      <c r="F154" s="841">
        <v>0</v>
      </c>
      <c r="G154" s="849">
        <v>1278.0999999999999</v>
      </c>
      <c r="H154" s="841">
        <v>0</v>
      </c>
      <c r="I154" s="846">
        <v>1.0113000000000001</v>
      </c>
      <c r="J154" s="822">
        <v>0</v>
      </c>
      <c r="K154" s="829">
        <v>0.2</v>
      </c>
      <c r="L154" s="865">
        <v>588</v>
      </c>
      <c r="M154" s="841">
        <v>0</v>
      </c>
      <c r="N154" s="856">
        <v>5.6899999999999999E-2</v>
      </c>
      <c r="O154" s="841">
        <v>0</v>
      </c>
      <c r="P154" s="849">
        <v>662</v>
      </c>
      <c r="Q154" s="841">
        <v>0</v>
      </c>
      <c r="R154" s="843">
        <v>0.52400000000000002</v>
      </c>
      <c r="S154" s="822">
        <v>0</v>
      </c>
      <c r="T154" s="1473">
        <v>32.9</v>
      </c>
      <c r="U154" s="841">
        <v>0</v>
      </c>
      <c r="V154" s="1016">
        <v>3.1900000000000001E-3</v>
      </c>
      <c r="W154" s="841">
        <v>0</v>
      </c>
      <c r="X154" s="1474">
        <v>37.1</v>
      </c>
      <c r="Y154" s="841">
        <v>0</v>
      </c>
      <c r="Z154" s="856">
        <v>2.93E-2</v>
      </c>
      <c r="AA154" s="822">
        <v>0</v>
      </c>
      <c r="AB154" s="865">
        <v>514</v>
      </c>
      <c r="AC154" s="841">
        <v>0</v>
      </c>
      <c r="AD154" s="856">
        <v>4.9799999999999997E-2</v>
      </c>
      <c r="AE154" s="841">
        <v>0</v>
      </c>
      <c r="AF154" s="849">
        <v>579</v>
      </c>
      <c r="AG154" s="841">
        <v>0</v>
      </c>
      <c r="AH154" s="843">
        <v>0.45800000000000002</v>
      </c>
      <c r="AI154" s="822">
        <v>0</v>
      </c>
      <c r="AJ154" s="865">
        <v>-2600</v>
      </c>
      <c r="AK154" s="851">
        <v>0</v>
      </c>
      <c r="AL154" s="843">
        <v>-0.252</v>
      </c>
      <c r="AM154" s="851">
        <v>0</v>
      </c>
      <c r="AN154" s="849">
        <v>-2920</v>
      </c>
      <c r="AO154" s="851">
        <v>0</v>
      </c>
      <c r="AP154" s="846">
        <v>-2.31</v>
      </c>
      <c r="AQ154" s="894">
        <v>0</v>
      </c>
    </row>
    <row r="155" spans="2:43" hidden="1" outlineLevel="2" x14ac:dyDescent="0.15">
      <c r="B155" s="800" t="s">
        <v>836</v>
      </c>
      <c r="C155" s="865">
        <v>6068.1</v>
      </c>
      <c r="D155" s="841">
        <v>0</v>
      </c>
      <c r="E155" s="843">
        <v>0.81545000000000001</v>
      </c>
      <c r="F155" s="841">
        <v>0</v>
      </c>
      <c r="G155" s="849">
        <v>9482</v>
      </c>
      <c r="H155" s="841">
        <v>0</v>
      </c>
      <c r="I155" s="846">
        <v>4.7938999999999998</v>
      </c>
      <c r="J155" s="822">
        <v>0</v>
      </c>
      <c r="K155" s="829">
        <v>0.2</v>
      </c>
      <c r="L155" s="865">
        <v>5760</v>
      </c>
      <c r="M155" s="841">
        <v>0</v>
      </c>
      <c r="N155" s="843">
        <v>0.77400000000000002</v>
      </c>
      <c r="O155" s="841">
        <v>0</v>
      </c>
      <c r="P155" s="849">
        <v>9000</v>
      </c>
      <c r="Q155" s="841">
        <v>0</v>
      </c>
      <c r="R155" s="846">
        <v>4.55</v>
      </c>
      <c r="S155" s="822">
        <v>0</v>
      </c>
      <c r="T155" s="1473">
        <v>39.1</v>
      </c>
      <c r="U155" s="841">
        <v>0</v>
      </c>
      <c r="V155" s="1016">
        <v>5.2500000000000003E-3</v>
      </c>
      <c r="W155" s="841">
        <v>0</v>
      </c>
      <c r="X155" s="849">
        <v>61</v>
      </c>
      <c r="Y155" s="841">
        <v>0</v>
      </c>
      <c r="Z155" s="856">
        <v>3.09E-2</v>
      </c>
      <c r="AA155" s="822">
        <v>0</v>
      </c>
      <c r="AB155" s="865">
        <v>269</v>
      </c>
      <c r="AC155" s="841">
        <v>0</v>
      </c>
      <c r="AD155" s="856">
        <v>3.6200000000000003E-2</v>
      </c>
      <c r="AE155" s="841">
        <v>0</v>
      </c>
      <c r="AF155" s="849">
        <v>421</v>
      </c>
      <c r="AG155" s="841">
        <v>0</v>
      </c>
      <c r="AH155" s="843">
        <v>0.21299999999999999</v>
      </c>
      <c r="AI155" s="822">
        <v>0</v>
      </c>
      <c r="AJ155" s="865">
        <v>-1920</v>
      </c>
      <c r="AK155" s="851">
        <v>0</v>
      </c>
      <c r="AL155" s="843">
        <v>-0.25800000000000001</v>
      </c>
      <c r="AM155" s="851">
        <v>0</v>
      </c>
      <c r="AN155" s="849">
        <v>-3000</v>
      </c>
      <c r="AO155" s="851">
        <v>0</v>
      </c>
      <c r="AP155" s="846">
        <v>-1.52</v>
      </c>
      <c r="AQ155" s="894">
        <v>0</v>
      </c>
    </row>
    <row r="156" spans="2:43" hidden="1" outlineLevel="2" x14ac:dyDescent="0.15">
      <c r="B156" s="800" t="s">
        <v>837</v>
      </c>
      <c r="C156" s="865">
        <v>902.1</v>
      </c>
      <c r="D156" s="841">
        <v>0</v>
      </c>
      <c r="E156" s="843">
        <v>0.12125</v>
      </c>
      <c r="F156" s="841">
        <v>0</v>
      </c>
      <c r="G156" s="849">
        <v>1410</v>
      </c>
      <c r="H156" s="841">
        <v>0</v>
      </c>
      <c r="I156" s="843">
        <v>0.71289999999999998</v>
      </c>
      <c r="J156" s="822">
        <v>0</v>
      </c>
      <c r="K156" s="829">
        <v>0.2</v>
      </c>
      <c r="L156" s="865">
        <v>594</v>
      </c>
      <c r="M156" s="841">
        <v>0</v>
      </c>
      <c r="N156" s="856">
        <v>7.9799999999999996E-2</v>
      </c>
      <c r="O156" s="841">
        <v>0</v>
      </c>
      <c r="P156" s="849">
        <v>928</v>
      </c>
      <c r="Q156" s="841">
        <v>0</v>
      </c>
      <c r="R156" s="843">
        <v>0.46899999999999997</v>
      </c>
      <c r="S156" s="822">
        <v>0</v>
      </c>
      <c r="T156" s="1473">
        <v>39.1</v>
      </c>
      <c r="U156" s="841">
        <v>0</v>
      </c>
      <c r="V156" s="1016">
        <v>5.2500000000000003E-3</v>
      </c>
      <c r="W156" s="841">
        <v>0</v>
      </c>
      <c r="X156" s="849">
        <v>61</v>
      </c>
      <c r="Y156" s="841">
        <v>0</v>
      </c>
      <c r="Z156" s="856">
        <v>3.09E-2</v>
      </c>
      <c r="AA156" s="822">
        <v>0</v>
      </c>
      <c r="AB156" s="865">
        <v>269</v>
      </c>
      <c r="AC156" s="841">
        <v>0</v>
      </c>
      <c r="AD156" s="856">
        <v>3.6200000000000003E-2</v>
      </c>
      <c r="AE156" s="841">
        <v>0</v>
      </c>
      <c r="AF156" s="849">
        <v>421</v>
      </c>
      <c r="AG156" s="841">
        <v>0</v>
      </c>
      <c r="AH156" s="843">
        <v>0.21299999999999999</v>
      </c>
      <c r="AI156" s="822">
        <v>0</v>
      </c>
      <c r="AJ156" s="865">
        <v>-1920</v>
      </c>
      <c r="AK156" s="851">
        <v>0</v>
      </c>
      <c r="AL156" s="843">
        <v>-0.25800000000000001</v>
      </c>
      <c r="AM156" s="851">
        <v>0</v>
      </c>
      <c r="AN156" s="849">
        <v>-3000</v>
      </c>
      <c r="AO156" s="851">
        <v>0</v>
      </c>
      <c r="AP156" s="846">
        <v>-1.52</v>
      </c>
      <c r="AQ156" s="894">
        <v>0</v>
      </c>
    </row>
    <row r="157" spans="2:43" hidden="1" outlineLevel="2" x14ac:dyDescent="0.15">
      <c r="B157" s="800" t="s">
        <v>838</v>
      </c>
      <c r="C157" s="865">
        <v>1073.0999999999999</v>
      </c>
      <c r="D157" s="841">
        <v>0</v>
      </c>
      <c r="E157" s="843">
        <v>0.14445</v>
      </c>
      <c r="F157" s="841">
        <v>0</v>
      </c>
      <c r="G157" s="849">
        <v>1672</v>
      </c>
      <c r="H157" s="841">
        <v>0</v>
      </c>
      <c r="I157" s="843">
        <v>0.84789999999999999</v>
      </c>
      <c r="J157" s="822">
        <v>0</v>
      </c>
      <c r="K157" s="829">
        <v>0.2</v>
      </c>
      <c r="L157" s="865">
        <v>765</v>
      </c>
      <c r="M157" s="841">
        <v>0</v>
      </c>
      <c r="N157" s="843">
        <v>0.10299999999999999</v>
      </c>
      <c r="O157" s="841">
        <v>0</v>
      </c>
      <c r="P157" s="849">
        <v>1190</v>
      </c>
      <c r="Q157" s="841">
        <v>0</v>
      </c>
      <c r="R157" s="843">
        <v>0.60399999999999998</v>
      </c>
      <c r="S157" s="822">
        <v>0</v>
      </c>
      <c r="T157" s="1473">
        <v>39.1</v>
      </c>
      <c r="U157" s="841">
        <v>0</v>
      </c>
      <c r="V157" s="1016">
        <v>5.2500000000000003E-3</v>
      </c>
      <c r="W157" s="841">
        <v>0</v>
      </c>
      <c r="X157" s="849">
        <v>61</v>
      </c>
      <c r="Y157" s="841">
        <v>0</v>
      </c>
      <c r="Z157" s="856">
        <v>3.09E-2</v>
      </c>
      <c r="AA157" s="822">
        <v>0</v>
      </c>
      <c r="AB157" s="865">
        <v>269</v>
      </c>
      <c r="AC157" s="841">
        <v>0</v>
      </c>
      <c r="AD157" s="856">
        <v>3.6200000000000003E-2</v>
      </c>
      <c r="AE157" s="841">
        <v>0</v>
      </c>
      <c r="AF157" s="849">
        <v>421</v>
      </c>
      <c r="AG157" s="841">
        <v>0</v>
      </c>
      <c r="AH157" s="843">
        <v>0.21299999999999999</v>
      </c>
      <c r="AI157" s="822">
        <v>0</v>
      </c>
      <c r="AJ157" s="865">
        <v>-1920</v>
      </c>
      <c r="AK157" s="851">
        <v>0</v>
      </c>
      <c r="AL157" s="843">
        <v>-0.25800000000000001</v>
      </c>
      <c r="AM157" s="851">
        <v>0</v>
      </c>
      <c r="AN157" s="849">
        <v>-3000</v>
      </c>
      <c r="AO157" s="851">
        <v>0</v>
      </c>
      <c r="AP157" s="846">
        <v>-1.52</v>
      </c>
      <c r="AQ157" s="894">
        <v>0</v>
      </c>
    </row>
    <row r="158" spans="2:43" hidden="1" outlineLevel="2" x14ac:dyDescent="0.15">
      <c r="B158" s="800"/>
      <c r="C158" s="865"/>
      <c r="D158" s="841"/>
      <c r="E158" s="843"/>
      <c r="F158" s="841"/>
      <c r="G158" s="849"/>
      <c r="H158" s="841"/>
      <c r="I158" s="843"/>
      <c r="J158" s="822"/>
      <c r="K158" s="829"/>
      <c r="L158" s="865"/>
      <c r="M158" s="841"/>
      <c r="N158" s="843"/>
      <c r="O158" s="841"/>
      <c r="P158" s="849"/>
      <c r="Q158" s="841"/>
      <c r="R158" s="843"/>
      <c r="S158" s="822"/>
      <c r="T158" s="869"/>
      <c r="U158" s="841"/>
      <c r="V158" s="843"/>
      <c r="W158" s="841"/>
      <c r="X158" s="843"/>
      <c r="Y158" s="841"/>
      <c r="Z158" s="861"/>
      <c r="AA158" s="822"/>
      <c r="AB158" s="869"/>
      <c r="AC158" s="841"/>
      <c r="AD158" s="861"/>
      <c r="AE158" s="841"/>
      <c r="AF158" s="843"/>
      <c r="AG158" s="841"/>
      <c r="AH158" s="861"/>
      <c r="AI158" s="822"/>
      <c r="AJ158" s="865"/>
      <c r="AK158" s="851"/>
      <c r="AL158" s="843"/>
      <c r="AM158" s="845"/>
      <c r="AN158" s="849"/>
      <c r="AO158" s="851"/>
      <c r="AP158" s="843"/>
      <c r="AQ158" s="874"/>
    </row>
    <row r="159" spans="2:43" hidden="1" outlineLevel="2" x14ac:dyDescent="0.15">
      <c r="B159" s="800" t="s">
        <v>843</v>
      </c>
      <c r="C159" s="1473">
        <v>40.700000000000003</v>
      </c>
      <c r="D159" s="1472">
        <v>48.2</v>
      </c>
      <c r="E159" s="1016">
        <v>1.115E-2</v>
      </c>
      <c r="F159" s="858">
        <v>1.32E-2</v>
      </c>
      <c r="G159" s="849"/>
      <c r="H159" s="841"/>
      <c r="I159" s="843"/>
      <c r="J159" s="822"/>
      <c r="K159" s="829">
        <v>0.5</v>
      </c>
      <c r="L159" s="1473">
        <v>31.3</v>
      </c>
      <c r="M159" s="851">
        <v>0</v>
      </c>
      <c r="N159" s="1016">
        <v>8.5800000000000008E-3</v>
      </c>
      <c r="O159" s="841">
        <v>0</v>
      </c>
      <c r="P159" s="849"/>
      <c r="Q159" s="841"/>
      <c r="R159" s="843"/>
      <c r="S159" s="822"/>
      <c r="T159" s="1473">
        <v>9.4</v>
      </c>
      <c r="U159" s="1472">
        <v>48.2</v>
      </c>
      <c r="V159" s="1016">
        <v>2.5699999999999998E-3</v>
      </c>
      <c r="W159" s="858">
        <v>1.32E-2</v>
      </c>
      <c r="X159" s="843"/>
      <c r="Y159" s="841"/>
      <c r="Z159" s="861"/>
      <c r="AA159" s="822"/>
      <c r="AB159" s="865">
        <v>0</v>
      </c>
      <c r="AC159" s="851">
        <v>0</v>
      </c>
      <c r="AD159" s="849">
        <v>0</v>
      </c>
      <c r="AE159" s="841">
        <v>0</v>
      </c>
      <c r="AF159" s="843"/>
      <c r="AG159" s="841"/>
      <c r="AH159" s="861"/>
      <c r="AI159" s="822"/>
      <c r="AJ159" s="865">
        <v>-1380</v>
      </c>
      <c r="AK159" s="851">
        <v>1380</v>
      </c>
      <c r="AL159" s="843">
        <v>-0.377</v>
      </c>
      <c r="AM159" s="845">
        <v>0.377</v>
      </c>
      <c r="AN159" s="849"/>
      <c r="AO159" s="851"/>
      <c r="AP159" s="843"/>
      <c r="AQ159" s="874"/>
    </row>
    <row r="160" spans="2:43" hidden="1" outlineLevel="2" x14ac:dyDescent="0.15">
      <c r="B160" s="800" t="s">
        <v>844</v>
      </c>
      <c r="C160" s="1024">
        <v>4.58</v>
      </c>
      <c r="D160" s="845">
        <v>0.19900000000000001</v>
      </c>
      <c r="E160" s="1016">
        <v>2.7200000000000002E-3</v>
      </c>
      <c r="F160" s="862">
        <v>1.9900000000000001E-4</v>
      </c>
      <c r="G160" s="849"/>
      <c r="H160" s="841"/>
      <c r="I160" s="843"/>
      <c r="J160" s="822"/>
      <c r="K160" s="829">
        <v>0.5</v>
      </c>
      <c r="L160" s="1024">
        <v>3.4099999999999997</v>
      </c>
      <c r="M160" s="851">
        <v>0</v>
      </c>
      <c r="N160" s="1016">
        <v>1.5499999999999999E-3</v>
      </c>
      <c r="O160" s="841">
        <v>0</v>
      </c>
      <c r="P160" s="849"/>
      <c r="Q160" s="841"/>
      <c r="R160" s="843"/>
      <c r="S160" s="822"/>
      <c r="T160" s="1024">
        <v>1.17</v>
      </c>
      <c r="U160" s="845">
        <v>0.19900000000000001</v>
      </c>
      <c r="V160" s="1016">
        <v>1.17E-3</v>
      </c>
      <c r="W160" s="862">
        <v>1.9900000000000001E-4</v>
      </c>
      <c r="X160" s="843"/>
      <c r="Y160" s="841"/>
      <c r="Z160" s="861"/>
      <c r="AA160" s="822"/>
      <c r="AB160" s="865">
        <v>0</v>
      </c>
      <c r="AC160" s="851">
        <v>0</v>
      </c>
      <c r="AD160" s="849">
        <v>0</v>
      </c>
      <c r="AE160" s="841">
        <v>0</v>
      </c>
      <c r="AF160" s="843"/>
      <c r="AG160" s="841"/>
      <c r="AH160" s="861"/>
      <c r="AI160" s="822"/>
      <c r="AJ160" s="865">
        <v>-917</v>
      </c>
      <c r="AK160" s="851">
        <v>917</v>
      </c>
      <c r="AL160" s="843">
        <v>-0.41699999999999998</v>
      </c>
      <c r="AM160" s="845">
        <v>0.41699999999999998</v>
      </c>
      <c r="AN160" s="849"/>
      <c r="AO160" s="851"/>
      <c r="AP160" s="843"/>
      <c r="AQ160" s="874"/>
    </row>
    <row r="161" spans="1:256" hidden="1" outlineLevel="2" x14ac:dyDescent="0.15">
      <c r="B161" s="800" t="s">
        <v>840</v>
      </c>
      <c r="C161" s="1024">
        <v>26.810000000000002</v>
      </c>
      <c r="D161" s="848">
        <v>1.1599999999999999</v>
      </c>
      <c r="E161" s="1016">
        <v>6.8799999999999998E-3</v>
      </c>
      <c r="F161" s="862">
        <v>2.9700000000000001E-4</v>
      </c>
      <c r="G161" s="849"/>
      <c r="H161" s="841"/>
      <c r="I161" s="843"/>
      <c r="J161" s="822"/>
      <c r="K161" s="829">
        <v>0.5</v>
      </c>
      <c r="L161" s="865">
        <v>21</v>
      </c>
      <c r="M161" s="851">
        <v>0</v>
      </c>
      <c r="N161" s="1016">
        <v>5.3899999999999998E-3</v>
      </c>
      <c r="O161" s="841">
        <v>0</v>
      </c>
      <c r="P161" s="849"/>
      <c r="Q161" s="841"/>
      <c r="R161" s="843"/>
      <c r="S161" s="822"/>
      <c r="T161" s="1024">
        <v>5.8100000000000005</v>
      </c>
      <c r="U161" s="848">
        <v>1.1599999999999999</v>
      </c>
      <c r="V161" s="1016">
        <v>1.49E-3</v>
      </c>
      <c r="W161" s="862">
        <v>2.9700000000000001E-4</v>
      </c>
      <c r="X161" s="843"/>
      <c r="Y161" s="841"/>
      <c r="Z161" s="861"/>
      <c r="AA161" s="822"/>
      <c r="AB161" s="865">
        <v>0</v>
      </c>
      <c r="AC161" s="851">
        <v>0</v>
      </c>
      <c r="AD161" s="849">
        <v>0</v>
      </c>
      <c r="AE161" s="841">
        <v>0</v>
      </c>
      <c r="AF161" s="843"/>
      <c r="AG161" s="841"/>
      <c r="AH161" s="861"/>
      <c r="AI161" s="822"/>
      <c r="AJ161" s="865">
        <v>-1470</v>
      </c>
      <c r="AK161" s="851">
        <v>1470</v>
      </c>
      <c r="AL161" s="843">
        <v>-0.376</v>
      </c>
      <c r="AM161" s="845">
        <v>0.376</v>
      </c>
      <c r="AN161" s="849"/>
      <c r="AO161" s="851"/>
      <c r="AP161" s="843"/>
      <c r="AQ161" s="874"/>
    </row>
    <row r="162" spans="1:256" hidden="1" outlineLevel="2" x14ac:dyDescent="0.15">
      <c r="B162" s="800" t="s">
        <v>841</v>
      </c>
      <c r="C162" s="865">
        <v>169</v>
      </c>
      <c r="D162" s="851">
        <v>0</v>
      </c>
      <c r="E162" s="856">
        <v>5.1299999999999998E-2</v>
      </c>
      <c r="F162" s="851">
        <v>0</v>
      </c>
      <c r="G162" s="849"/>
      <c r="H162" s="841"/>
      <c r="I162" s="843"/>
      <c r="J162" s="822"/>
      <c r="K162" s="829">
        <v>0.5</v>
      </c>
      <c r="L162" s="865">
        <v>169</v>
      </c>
      <c r="M162" s="851">
        <v>0</v>
      </c>
      <c r="N162" s="856">
        <v>5.1299999999999998E-2</v>
      </c>
      <c r="O162" s="841">
        <v>0</v>
      </c>
      <c r="P162" s="849"/>
      <c r="Q162" s="841"/>
      <c r="R162" s="843"/>
      <c r="S162" s="822"/>
      <c r="T162" s="865">
        <v>0</v>
      </c>
      <c r="U162" s="851">
        <v>0</v>
      </c>
      <c r="V162" s="849">
        <v>0</v>
      </c>
      <c r="W162" s="851">
        <v>0</v>
      </c>
      <c r="X162" s="843"/>
      <c r="Y162" s="841"/>
      <c r="Z162" s="861"/>
      <c r="AA162" s="822"/>
      <c r="AB162" s="865">
        <v>0</v>
      </c>
      <c r="AC162" s="851">
        <v>0</v>
      </c>
      <c r="AD162" s="849">
        <v>0</v>
      </c>
      <c r="AE162" s="841">
        <v>0</v>
      </c>
      <c r="AF162" s="843"/>
      <c r="AG162" s="841"/>
      <c r="AH162" s="861"/>
      <c r="AI162" s="822"/>
      <c r="AJ162" s="865">
        <v>-1390</v>
      </c>
      <c r="AK162" s="851">
        <v>1390</v>
      </c>
      <c r="AL162" s="843">
        <v>-0.33</v>
      </c>
      <c r="AM162" s="845">
        <v>0.33</v>
      </c>
      <c r="AN162" s="849"/>
      <c r="AO162" s="851"/>
      <c r="AP162" s="843"/>
      <c r="AQ162" s="874"/>
    </row>
    <row r="163" spans="1:256" hidden="1" outlineLevel="2" x14ac:dyDescent="0.15">
      <c r="B163" s="800" t="s">
        <v>839</v>
      </c>
      <c r="C163" s="1473">
        <v>41.2</v>
      </c>
      <c r="D163" s="1472">
        <v>72.599999999999994</v>
      </c>
      <c r="E163" s="1016">
        <v>1.068E-2</v>
      </c>
      <c r="F163" s="858">
        <v>1.8800000000000001E-2</v>
      </c>
      <c r="G163" s="849"/>
      <c r="H163" s="841"/>
      <c r="I163" s="843"/>
      <c r="J163" s="822"/>
      <c r="K163" s="829">
        <v>0.5</v>
      </c>
      <c r="L163" s="1473">
        <v>31.7</v>
      </c>
      <c r="M163" s="851">
        <v>0</v>
      </c>
      <c r="N163" s="1016">
        <v>8.2199999999999999E-3</v>
      </c>
      <c r="O163" s="841">
        <v>0</v>
      </c>
      <c r="P163" s="849"/>
      <c r="Q163" s="841"/>
      <c r="R163" s="843"/>
      <c r="S163" s="822"/>
      <c r="T163" s="869">
        <v>9.5</v>
      </c>
      <c r="U163" s="1472">
        <v>72.599999999999994</v>
      </c>
      <c r="V163" s="1016">
        <v>2.4599999999999999E-3</v>
      </c>
      <c r="W163" s="858">
        <v>1.8800000000000001E-2</v>
      </c>
      <c r="X163" s="843"/>
      <c r="Y163" s="841"/>
      <c r="Z163" s="861"/>
      <c r="AA163" s="822"/>
      <c r="AB163" s="865">
        <v>0</v>
      </c>
      <c r="AC163" s="851">
        <v>0</v>
      </c>
      <c r="AD163" s="849">
        <v>0</v>
      </c>
      <c r="AE163" s="841">
        <v>0</v>
      </c>
      <c r="AF163" s="843"/>
      <c r="AG163" s="841"/>
      <c r="AH163" s="861"/>
      <c r="AI163" s="822"/>
      <c r="AJ163" s="865">
        <v>-1470</v>
      </c>
      <c r="AK163" s="851">
        <v>1470</v>
      </c>
      <c r="AL163" s="843">
        <v>-0.38</v>
      </c>
      <c r="AM163" s="845">
        <v>0.38</v>
      </c>
      <c r="AN163" s="849"/>
      <c r="AO163" s="851"/>
      <c r="AP163" s="843"/>
      <c r="AQ163" s="874"/>
    </row>
    <row r="164" spans="1:256" ht="14" hidden="1" outlineLevel="2" x14ac:dyDescent="0.15">
      <c r="B164" s="1564" t="s">
        <v>842</v>
      </c>
      <c r="C164" s="1473">
        <v>59.7</v>
      </c>
      <c r="D164" s="1472">
        <v>51.1</v>
      </c>
      <c r="E164" s="1016">
        <v>1.6379999999999999E-2</v>
      </c>
      <c r="F164" s="845">
        <v>1.4E-2</v>
      </c>
      <c r="G164" s="849"/>
      <c r="H164" s="841"/>
      <c r="I164" s="843"/>
      <c r="J164" s="822"/>
      <c r="K164" s="829">
        <v>0.5</v>
      </c>
      <c r="L164" s="1473">
        <v>45.900000000000006</v>
      </c>
      <c r="M164" s="851">
        <v>0</v>
      </c>
      <c r="N164" s="856">
        <v>1.26E-2</v>
      </c>
      <c r="O164" s="841">
        <v>0</v>
      </c>
      <c r="P164" s="849"/>
      <c r="Q164" s="841"/>
      <c r="R164" s="843"/>
      <c r="S164" s="822"/>
      <c r="T164" s="1473">
        <v>13.799999999999999</v>
      </c>
      <c r="U164" s="1472">
        <v>51.1</v>
      </c>
      <c r="V164" s="1016">
        <v>3.7799999999999999E-3</v>
      </c>
      <c r="W164" s="858">
        <v>1.4E-2</v>
      </c>
      <c r="X164" s="843"/>
      <c r="Y164" s="841"/>
      <c r="Z164" s="861"/>
      <c r="AA164" s="822"/>
      <c r="AB164" s="865">
        <v>0</v>
      </c>
      <c r="AC164" s="851">
        <v>0</v>
      </c>
      <c r="AD164" s="849">
        <v>0</v>
      </c>
      <c r="AE164" s="841">
        <v>0</v>
      </c>
      <c r="AF164" s="843"/>
      <c r="AG164" s="841"/>
      <c r="AH164" s="861"/>
      <c r="AI164" s="822"/>
      <c r="AJ164" s="865">
        <v>-1690</v>
      </c>
      <c r="AK164" s="851">
        <v>1690</v>
      </c>
      <c r="AL164" s="843">
        <v>-0.46200000000000002</v>
      </c>
      <c r="AM164" s="845">
        <v>0.46200000000000002</v>
      </c>
      <c r="AN164" s="849"/>
      <c r="AO164" s="851"/>
      <c r="AP164" s="843"/>
      <c r="AQ164" s="874"/>
    </row>
    <row r="165" spans="1:256" s="876" customFormat="1" hidden="1" outlineLevel="2" x14ac:dyDescent="0.15">
      <c r="A165" s="13"/>
      <c r="B165" s="867"/>
      <c r="C165" s="867"/>
      <c r="D165" s="853"/>
      <c r="E165" s="852"/>
      <c r="F165" s="853"/>
      <c r="G165" s="852"/>
      <c r="H165" s="853"/>
      <c r="I165" s="852"/>
      <c r="J165" s="873"/>
      <c r="K165" s="875"/>
      <c r="L165" s="867"/>
      <c r="M165" s="853"/>
      <c r="N165" s="852"/>
      <c r="O165" s="853"/>
      <c r="P165" s="852"/>
      <c r="Q165" s="853"/>
      <c r="R165" s="852"/>
      <c r="S165" s="873"/>
      <c r="T165" s="867"/>
      <c r="U165" s="853"/>
      <c r="V165" s="852"/>
      <c r="W165" s="853"/>
      <c r="X165" s="852"/>
      <c r="Y165" s="853"/>
      <c r="Z165" s="852"/>
      <c r="AA165" s="873"/>
      <c r="AB165" s="867"/>
      <c r="AC165" s="853"/>
      <c r="AD165" s="852"/>
      <c r="AE165" s="853"/>
      <c r="AF165" s="852"/>
      <c r="AG165" s="853"/>
      <c r="AH165" s="852"/>
      <c r="AI165" s="873"/>
      <c r="AJ165" s="867"/>
      <c r="AK165" s="853"/>
      <c r="AL165" s="852"/>
      <c r="AM165" s="853"/>
      <c r="AN165" s="852"/>
      <c r="AO165" s="853"/>
      <c r="AP165" s="852"/>
      <c r="AQ165" s="873"/>
    </row>
    <row r="166" spans="1:256" hidden="1" outlineLevel="2" x14ac:dyDescent="0.15">
      <c r="R166" s="11"/>
      <c r="AD166" s="33"/>
      <c r="AE166" s="33"/>
      <c r="AF166" s="33"/>
      <c r="AG166" s="33"/>
    </row>
    <row r="167" spans="1:256" outlineLevel="1" x14ac:dyDescent="0.15">
      <c r="R167" s="11"/>
      <c r="AD167" s="33"/>
      <c r="AE167" s="33"/>
      <c r="AF167" s="33"/>
      <c r="AG167" s="33"/>
    </row>
    <row r="168" spans="1:256" s="26" customFormat="1" ht="15.75" customHeight="1" outlineLevel="1" collapsed="1" x14ac:dyDescent="0.15">
      <c r="A168" s="13"/>
      <c r="B168" s="1868" t="s">
        <v>845</v>
      </c>
      <c r="C168" s="1869"/>
      <c r="D168" s="1869"/>
      <c r="E168" s="1869"/>
      <c r="F168" s="1869"/>
      <c r="G168" s="1869"/>
      <c r="H168" s="1869"/>
      <c r="I168" s="1869"/>
      <c r="J168" s="1870"/>
      <c r="K168" s="28"/>
      <c r="L168" s="28"/>
      <c r="M168" s="28"/>
      <c r="N168" s="28"/>
      <c r="O168" s="28"/>
      <c r="P168" s="28"/>
      <c r="Q168" s="28"/>
      <c r="R168" s="28"/>
      <c r="S168" s="28"/>
      <c r="T168" s="28"/>
      <c r="U168" s="28"/>
      <c r="V168" s="28"/>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c r="IP168" s="13"/>
      <c r="IQ168" s="13"/>
      <c r="IR168" s="13"/>
      <c r="IS168" s="13"/>
      <c r="IT168" s="13"/>
      <c r="IU168" s="13"/>
      <c r="IV168" s="13"/>
    </row>
    <row r="169" spans="1:256" hidden="1" outlineLevel="2" x14ac:dyDescent="0.15">
      <c r="R169" s="11"/>
      <c r="AD169" s="33"/>
      <c r="AE169" s="33"/>
      <c r="AF169" s="33"/>
      <c r="AG169" s="33"/>
    </row>
    <row r="170" spans="1:256" hidden="1" outlineLevel="2" x14ac:dyDescent="0.15">
      <c r="B170" s="819" t="s">
        <v>852</v>
      </c>
      <c r="C170" s="925"/>
      <c r="D170" s="925"/>
      <c r="E170" s="925"/>
      <c r="F170" s="926"/>
      <c r="G170" s="926"/>
      <c r="M170" s="34"/>
      <c r="N170" s="34"/>
      <c r="O170" s="34"/>
      <c r="P170" s="34"/>
      <c r="Q170" s="34"/>
      <c r="R170" s="36"/>
      <c r="S170" s="21"/>
      <c r="T170" s="34"/>
      <c r="U170" s="34"/>
      <c r="V170" s="34"/>
      <c r="W170" s="37"/>
      <c r="X170" s="35"/>
      <c r="Y170" s="37"/>
      <c r="Z170" s="37"/>
      <c r="AA170" s="37"/>
      <c r="AB170" s="37"/>
      <c r="AC170" s="35"/>
      <c r="AD170" s="38"/>
      <c r="AE170" s="38"/>
      <c r="AF170" s="38"/>
      <c r="AG170" s="38"/>
    </row>
    <row r="171" spans="1:256" ht="14" hidden="1" outlineLevel="2" x14ac:dyDescent="0.15">
      <c r="B171" s="1553" t="s">
        <v>846</v>
      </c>
      <c r="C171" s="881" t="s">
        <v>767</v>
      </c>
      <c r="D171" s="881" t="s">
        <v>847</v>
      </c>
      <c r="E171" s="881" t="s">
        <v>850</v>
      </c>
      <c r="F171" s="1551" t="s">
        <v>849</v>
      </c>
      <c r="G171" s="1551" t="s">
        <v>723</v>
      </c>
      <c r="H171" s="8"/>
      <c r="I171" s="8"/>
      <c r="J171" s="8"/>
      <c r="K171" s="8"/>
      <c r="L171" s="8"/>
      <c r="M171" s="34"/>
      <c r="N171" s="34"/>
      <c r="O171" s="34"/>
      <c r="P171" s="34"/>
      <c r="Q171" s="34"/>
      <c r="R171" s="36"/>
      <c r="S171" s="21"/>
      <c r="T171" s="34"/>
      <c r="U171" s="34"/>
      <c r="V171" s="34"/>
      <c r="W171" s="37"/>
      <c r="X171" s="35"/>
      <c r="Y171" s="37"/>
      <c r="Z171" s="37"/>
      <c r="AA171" s="37"/>
      <c r="AB171" s="37"/>
      <c r="AC171" s="35"/>
      <c r="AD171" s="38"/>
      <c r="AE171" s="38"/>
      <c r="AF171" s="38"/>
      <c r="AG171" s="38"/>
    </row>
    <row r="172" spans="1:256" hidden="1" outlineLevel="2" x14ac:dyDescent="0.15">
      <c r="B172" s="800" t="s">
        <v>250</v>
      </c>
      <c r="C172" s="815">
        <f>D172*700</f>
        <v>125.3</v>
      </c>
      <c r="D172" s="843">
        <v>0.17899999999999999</v>
      </c>
      <c r="E172" s="815">
        <f>D172*'Info utili'!$P$20</f>
        <v>2081.3722222222223</v>
      </c>
      <c r="F172" s="829">
        <v>0.1</v>
      </c>
      <c r="G172" s="878">
        <v>0.3</v>
      </c>
      <c r="M172" s="34"/>
      <c r="N172" s="34"/>
      <c r="O172" s="34"/>
      <c r="P172" s="34"/>
      <c r="Q172" s="34"/>
      <c r="R172" s="36"/>
      <c r="S172" s="21"/>
      <c r="T172" s="34"/>
      <c r="U172" s="34"/>
      <c r="V172" s="34"/>
      <c r="W172" s="37"/>
      <c r="X172" s="35"/>
      <c r="Y172" s="37"/>
      <c r="Z172" s="37"/>
      <c r="AA172" s="37"/>
      <c r="AB172" s="37"/>
      <c r="AC172" s="35"/>
      <c r="AD172" s="38"/>
      <c r="AE172" s="38"/>
      <c r="AF172" s="38"/>
      <c r="AG172" s="38"/>
    </row>
    <row r="173" spans="1:256" hidden="1" outlineLevel="2" x14ac:dyDescent="0.15">
      <c r="B173" s="1658" t="s">
        <v>3264</v>
      </c>
      <c r="C173" s="815"/>
      <c r="D173" s="1661">
        <f>0.0950829282004654*3.6</f>
        <v>0.34229854152167549</v>
      </c>
      <c r="E173" s="815"/>
      <c r="F173" s="829"/>
      <c r="G173" s="878"/>
      <c r="M173" s="34"/>
      <c r="N173" s="34"/>
      <c r="O173" s="34"/>
      <c r="P173" s="34"/>
      <c r="Q173" s="34"/>
      <c r="R173" s="36"/>
      <c r="S173" s="21"/>
      <c r="T173" s="34"/>
      <c r="U173" s="34"/>
      <c r="V173" s="34"/>
      <c r="W173" s="37"/>
      <c r="X173" s="35"/>
      <c r="Y173" s="37"/>
      <c r="Z173" s="37"/>
      <c r="AA173" s="37"/>
      <c r="AB173" s="37"/>
      <c r="AC173" s="35"/>
      <c r="AD173" s="38"/>
      <c r="AE173" s="38"/>
      <c r="AF173" s="38"/>
      <c r="AG173" s="38"/>
    </row>
    <row r="174" spans="1:256" hidden="1" outlineLevel="2" x14ac:dyDescent="0.15">
      <c r="B174" s="1658" t="s">
        <v>3265</v>
      </c>
      <c r="C174" s="815"/>
      <c r="D174" s="1661">
        <f>0.0692413726472267*3.6</f>
        <v>0.24926894153001611</v>
      </c>
      <c r="E174" s="815"/>
      <c r="F174" s="829"/>
      <c r="G174" s="878"/>
      <c r="M174" s="34"/>
      <c r="N174" s="34"/>
      <c r="O174" s="34"/>
      <c r="P174" s="34"/>
      <c r="Q174" s="34"/>
      <c r="R174" s="36"/>
      <c r="S174" s="21"/>
      <c r="T174" s="34"/>
      <c r="U174" s="34"/>
      <c r="V174" s="34"/>
      <c r="W174" s="37"/>
      <c r="X174" s="35"/>
      <c r="Y174" s="37"/>
      <c r="Z174" s="37"/>
      <c r="AA174" s="37"/>
      <c r="AB174" s="37"/>
      <c r="AC174" s="35"/>
      <c r="AD174" s="38"/>
      <c r="AE174" s="38"/>
      <c r="AF174" s="38"/>
      <c r="AG174" s="38"/>
    </row>
    <row r="175" spans="1:256" hidden="1" outlineLevel="2" x14ac:dyDescent="0.15">
      <c r="B175" s="1658" t="s">
        <v>3266</v>
      </c>
      <c r="C175" s="815"/>
      <c r="D175" s="1661">
        <f>0.150939737772812*3.6</f>
        <v>0.54338305598212322</v>
      </c>
      <c r="E175" s="815"/>
      <c r="F175" s="829"/>
      <c r="G175" s="878"/>
      <c r="M175" s="34"/>
      <c r="N175" s="34"/>
      <c r="O175" s="34"/>
      <c r="P175" s="34"/>
      <c r="Q175" s="34"/>
      <c r="R175" s="36"/>
      <c r="S175" s="21"/>
      <c r="T175" s="34"/>
      <c r="U175" s="34"/>
      <c r="V175" s="34"/>
      <c r="W175" s="37"/>
      <c r="X175" s="35"/>
      <c r="Y175" s="37"/>
      <c r="Z175" s="37"/>
      <c r="AA175" s="37"/>
      <c r="AB175" s="37"/>
      <c r="AC175" s="35"/>
      <c r="AD175" s="38"/>
      <c r="AE175" s="38"/>
      <c r="AF175" s="38"/>
      <c r="AG175" s="38"/>
    </row>
    <row r="176" spans="1:256" hidden="1" outlineLevel="2" x14ac:dyDescent="0.15">
      <c r="B176" s="1658" t="s">
        <v>3267</v>
      </c>
      <c r="C176" s="815"/>
      <c r="D176" s="1661">
        <f>302/1000</f>
        <v>0.30199999999999999</v>
      </c>
      <c r="E176" s="815"/>
      <c r="F176" s="829"/>
      <c r="G176" s="878"/>
      <c r="M176" s="34"/>
      <c r="N176" s="34"/>
      <c r="O176" s="34"/>
      <c r="P176" s="34"/>
      <c r="Q176" s="34"/>
      <c r="R176" s="36"/>
      <c r="S176" s="21"/>
      <c r="T176" s="34"/>
      <c r="U176" s="34"/>
      <c r="V176" s="34"/>
      <c r="W176" s="37"/>
      <c r="X176" s="35"/>
      <c r="Y176" s="37"/>
      <c r="Z176" s="37"/>
      <c r="AA176" s="37"/>
      <c r="AB176" s="37"/>
      <c r="AC176" s="35"/>
      <c r="AD176" s="38"/>
      <c r="AE176" s="38"/>
      <c r="AF176" s="38"/>
      <c r="AG176" s="38"/>
    </row>
    <row r="177" spans="2:33" hidden="1" outlineLevel="2" x14ac:dyDescent="0.15">
      <c r="B177" s="1658" t="s">
        <v>3268</v>
      </c>
      <c r="C177" s="815"/>
      <c r="D177" s="1661">
        <f>518/1000</f>
        <v>0.51800000000000002</v>
      </c>
      <c r="E177" s="815"/>
      <c r="F177" s="829"/>
      <c r="G177" s="878"/>
      <c r="M177" s="34"/>
      <c r="N177" s="34"/>
      <c r="O177" s="34"/>
      <c r="P177" s="34"/>
      <c r="Q177" s="34"/>
      <c r="R177" s="36"/>
      <c r="S177" s="21"/>
      <c r="T177" s="34"/>
      <c r="U177" s="34"/>
      <c r="V177" s="34"/>
      <c r="W177" s="37"/>
      <c r="X177" s="35"/>
      <c r="Y177" s="37"/>
      <c r="Z177" s="37"/>
      <c r="AA177" s="37"/>
      <c r="AB177" s="37"/>
      <c r="AC177" s="35"/>
      <c r="AD177" s="38"/>
      <c r="AE177" s="38"/>
      <c r="AF177" s="38"/>
      <c r="AG177" s="38"/>
    </row>
    <row r="178" spans="2:33" hidden="1" outlineLevel="2" x14ac:dyDescent="0.15">
      <c r="B178" s="1658" t="s">
        <v>3269</v>
      </c>
      <c r="C178" s="815"/>
      <c r="D178" s="1661">
        <f>487/1000</f>
        <v>0.48699999999999999</v>
      </c>
      <c r="E178" s="815"/>
      <c r="F178" s="829"/>
      <c r="G178" s="878"/>
      <c r="M178" s="34"/>
      <c r="N178" s="34"/>
      <c r="O178" s="34"/>
      <c r="P178" s="34"/>
      <c r="Q178" s="34"/>
      <c r="R178" s="36"/>
      <c r="S178" s="21"/>
      <c r="T178" s="34"/>
      <c r="U178" s="34"/>
      <c r="V178" s="34"/>
      <c r="W178" s="37"/>
      <c r="X178" s="35"/>
      <c r="Y178" s="37"/>
      <c r="Z178" s="37"/>
      <c r="AA178" s="37"/>
      <c r="AB178" s="37"/>
      <c r="AC178" s="35"/>
      <c r="AD178" s="38"/>
      <c r="AE178" s="38"/>
      <c r="AF178" s="38"/>
      <c r="AG178" s="38"/>
    </row>
    <row r="179" spans="2:33" hidden="1" outlineLevel="2" x14ac:dyDescent="0.15">
      <c r="B179" s="1658" t="s">
        <v>3270</v>
      </c>
      <c r="C179" s="815"/>
      <c r="D179" s="1661">
        <f>106/1000</f>
        <v>0.106</v>
      </c>
      <c r="E179" s="815"/>
      <c r="F179" s="829"/>
      <c r="G179" s="878"/>
      <c r="M179" s="34"/>
      <c r="N179" s="34"/>
      <c r="O179" s="34"/>
      <c r="P179" s="34"/>
      <c r="Q179" s="34"/>
      <c r="R179" s="36"/>
      <c r="S179" s="21"/>
      <c r="T179" s="34"/>
      <c r="U179" s="34"/>
      <c r="V179" s="34"/>
      <c r="W179" s="37"/>
      <c r="X179" s="35"/>
      <c r="Y179" s="37"/>
      <c r="Z179" s="37"/>
      <c r="AA179" s="37"/>
      <c r="AB179" s="37"/>
      <c r="AC179" s="35"/>
      <c r="AD179" s="38"/>
      <c r="AE179" s="38"/>
      <c r="AF179" s="38"/>
      <c r="AG179" s="38"/>
    </row>
    <row r="180" spans="2:33" hidden="1" outlineLevel="2" x14ac:dyDescent="0.15">
      <c r="B180" s="1658" t="s">
        <v>3271</v>
      </c>
      <c r="C180" s="815"/>
      <c r="D180" s="1661">
        <f>404/1000</f>
        <v>0.40400000000000003</v>
      </c>
      <c r="E180" s="815"/>
      <c r="F180" s="829"/>
      <c r="G180" s="878"/>
      <c r="M180" s="34"/>
      <c r="N180" s="34"/>
      <c r="O180" s="34"/>
      <c r="P180" s="34"/>
      <c r="Q180" s="34"/>
      <c r="R180" s="36"/>
      <c r="S180" s="21"/>
      <c r="T180" s="34"/>
      <c r="U180" s="34"/>
      <c r="V180" s="34"/>
      <c r="W180" s="37"/>
      <c r="X180" s="35"/>
      <c r="Y180" s="37"/>
      <c r="Z180" s="37"/>
      <c r="AA180" s="37"/>
      <c r="AB180" s="37"/>
      <c r="AC180" s="35"/>
      <c r="AD180" s="38"/>
      <c r="AE180" s="38"/>
      <c r="AF180" s="38"/>
      <c r="AG180" s="38"/>
    </row>
    <row r="181" spans="2:33" hidden="1" outlineLevel="2" x14ac:dyDescent="0.15">
      <c r="B181" s="1658" t="s">
        <v>3272</v>
      </c>
      <c r="C181" s="815"/>
      <c r="D181" s="1661">
        <f>351/1000</f>
        <v>0.35099999999999998</v>
      </c>
      <c r="E181" s="815"/>
      <c r="F181" s="829"/>
      <c r="G181" s="878"/>
      <c r="M181" s="34"/>
      <c r="N181" s="34"/>
      <c r="O181" s="34"/>
      <c r="P181" s="34"/>
      <c r="Q181" s="34"/>
      <c r="R181" s="36"/>
      <c r="S181" s="21"/>
      <c r="T181" s="34"/>
      <c r="U181" s="34"/>
      <c r="V181" s="34"/>
      <c r="W181" s="37"/>
      <c r="X181" s="35"/>
      <c r="Y181" s="37"/>
      <c r="Z181" s="37"/>
      <c r="AA181" s="37"/>
      <c r="AB181" s="37"/>
      <c r="AC181" s="35"/>
      <c r="AD181" s="38"/>
      <c r="AE181" s="38"/>
      <c r="AF181" s="38"/>
      <c r="AG181" s="38"/>
    </row>
    <row r="182" spans="2:33" hidden="1" outlineLevel="2" x14ac:dyDescent="0.15">
      <c r="B182" s="1658" t="s">
        <v>3273</v>
      </c>
      <c r="C182" s="815"/>
      <c r="D182" s="1661">
        <f>143*3.6/1000</f>
        <v>0.51480000000000004</v>
      </c>
      <c r="E182" s="815"/>
      <c r="F182" s="829"/>
      <c r="G182" s="878"/>
      <c r="M182" s="34"/>
      <c r="N182" s="34"/>
      <c r="O182" s="34"/>
      <c r="P182" s="34"/>
      <c r="Q182" s="34"/>
      <c r="R182" s="36"/>
      <c r="S182" s="21"/>
      <c r="T182" s="34"/>
      <c r="U182" s="34"/>
      <c r="V182" s="34"/>
      <c r="W182" s="37"/>
      <c r="X182" s="35"/>
      <c r="Y182" s="37"/>
      <c r="Z182" s="37"/>
      <c r="AA182" s="37"/>
      <c r="AB182" s="37"/>
      <c r="AC182" s="35"/>
      <c r="AD182" s="38"/>
      <c r="AE182" s="38"/>
      <c r="AF182" s="38"/>
      <c r="AG182" s="38"/>
    </row>
    <row r="183" spans="2:33" hidden="1" outlineLevel="2" x14ac:dyDescent="0.15">
      <c r="B183" s="800" t="s">
        <v>251</v>
      </c>
      <c r="C183" s="815">
        <f t="shared" ref="C183:C246" si="0">D183*700</f>
        <v>146.29999999999998</v>
      </c>
      <c r="D183" s="843">
        <v>0.20899999999999999</v>
      </c>
      <c r="E183" s="815">
        <f>D183*'Info utili'!$P$20</f>
        <v>2430.2055555555553</v>
      </c>
      <c r="F183" s="829">
        <v>0.1</v>
      </c>
      <c r="G183" s="878">
        <v>0.3</v>
      </c>
      <c r="M183" s="34"/>
      <c r="N183" s="34"/>
      <c r="O183" s="34"/>
      <c r="P183" s="34"/>
      <c r="Q183" s="34"/>
      <c r="R183" s="36"/>
      <c r="S183" s="21"/>
      <c r="T183" s="34"/>
      <c r="U183" s="34"/>
      <c r="V183" s="34"/>
      <c r="W183" s="37"/>
      <c r="X183" s="35"/>
      <c r="Y183" s="37"/>
      <c r="Z183" s="37"/>
      <c r="AA183" s="37"/>
      <c r="AB183" s="37"/>
      <c r="AC183" s="35"/>
      <c r="AD183" s="38"/>
      <c r="AE183" s="38"/>
      <c r="AF183" s="38"/>
      <c r="AG183" s="38"/>
    </row>
    <row r="184" spans="2:33" hidden="1" outlineLevel="2" x14ac:dyDescent="0.15">
      <c r="B184" s="800" t="s">
        <v>252</v>
      </c>
      <c r="C184" s="815">
        <f t="shared" si="0"/>
        <v>149.1</v>
      </c>
      <c r="D184" s="843">
        <v>0.21299999999999999</v>
      </c>
      <c r="E184" s="815">
        <f>D184*'Info utili'!$P$20</f>
        <v>2476.7166666666667</v>
      </c>
      <c r="F184" s="829">
        <v>0.1</v>
      </c>
      <c r="G184" s="878">
        <v>0.3</v>
      </c>
      <c r="M184" s="34"/>
      <c r="N184" s="34"/>
      <c r="O184" s="34"/>
      <c r="P184" s="34"/>
      <c r="Q184" s="34"/>
      <c r="R184" s="36"/>
      <c r="S184" s="21"/>
      <c r="T184" s="34"/>
      <c r="U184" s="34"/>
      <c r="V184" s="34"/>
      <c r="W184" s="37"/>
      <c r="X184" s="35"/>
      <c r="Y184" s="37"/>
      <c r="Z184" s="37"/>
      <c r="AA184" s="37"/>
      <c r="AB184" s="37"/>
      <c r="AC184" s="35"/>
      <c r="AD184" s="38"/>
      <c r="AE184" s="38"/>
      <c r="AF184" s="38"/>
      <c r="AG184" s="38"/>
    </row>
    <row r="185" spans="2:33" hidden="1" outlineLevel="2" x14ac:dyDescent="0.15">
      <c r="B185" s="800" t="s">
        <v>253</v>
      </c>
      <c r="C185" s="815">
        <f t="shared" si="0"/>
        <v>17.5</v>
      </c>
      <c r="D185" s="843">
        <v>2.5000000000000001E-2</v>
      </c>
      <c r="E185" s="815">
        <f>D185*'Info utili'!$P$20</f>
        <v>290.69444444444446</v>
      </c>
      <c r="F185" s="829">
        <v>0.1</v>
      </c>
      <c r="G185" s="878">
        <v>0.3</v>
      </c>
      <c r="M185" s="34"/>
      <c r="N185" s="34"/>
      <c r="O185" s="34"/>
      <c r="P185" s="34"/>
      <c r="Q185" s="34"/>
      <c r="R185" s="36"/>
      <c r="S185" s="21"/>
      <c r="T185" s="34"/>
      <c r="U185" s="34"/>
      <c r="V185" s="34"/>
      <c r="W185" s="37"/>
      <c r="X185" s="35"/>
      <c r="Y185" s="37"/>
      <c r="Z185" s="37"/>
      <c r="AA185" s="37"/>
      <c r="AB185" s="37"/>
      <c r="AC185" s="35"/>
      <c r="AD185" s="38"/>
      <c r="AE185" s="38"/>
      <c r="AF185" s="38"/>
      <c r="AG185" s="38"/>
    </row>
    <row r="186" spans="2:33" hidden="1" outlineLevel="2" x14ac:dyDescent="0.15">
      <c r="B186" s="800" t="s">
        <v>254</v>
      </c>
      <c r="C186" s="815">
        <f t="shared" si="0"/>
        <v>181.3</v>
      </c>
      <c r="D186" s="843">
        <v>0.25900000000000001</v>
      </c>
      <c r="E186" s="815">
        <f>D186*'Info utili'!$P$20</f>
        <v>3011.5944444444444</v>
      </c>
      <c r="F186" s="829">
        <v>0.1</v>
      </c>
      <c r="G186" s="878">
        <v>0.3</v>
      </c>
      <c r="M186" s="34"/>
      <c r="N186" s="34"/>
      <c r="O186" s="34"/>
      <c r="P186" s="34"/>
      <c r="Q186" s="34"/>
      <c r="R186" s="36"/>
      <c r="S186" s="21"/>
      <c r="T186" s="34"/>
      <c r="U186" s="34"/>
      <c r="V186" s="34"/>
      <c r="W186" s="37"/>
      <c r="X186" s="35"/>
      <c r="Y186" s="37"/>
      <c r="Z186" s="37"/>
      <c r="AA186" s="37"/>
      <c r="AB186" s="37"/>
      <c r="AC186" s="35"/>
      <c r="AD186" s="38"/>
      <c r="AE186" s="38"/>
      <c r="AF186" s="38"/>
      <c r="AG186" s="38"/>
    </row>
    <row r="187" spans="2:33" hidden="1" outlineLevel="2" x14ac:dyDescent="0.15">
      <c r="B187" s="800" t="s">
        <v>255</v>
      </c>
      <c r="C187" s="815">
        <f t="shared" si="0"/>
        <v>142.79999999999998</v>
      </c>
      <c r="D187" s="843">
        <v>0.20399999999999999</v>
      </c>
      <c r="E187" s="815">
        <f>D187*'Info utili'!$P$20</f>
        <v>2372.0666666666666</v>
      </c>
      <c r="F187" s="829">
        <v>0.1</v>
      </c>
      <c r="G187" s="878">
        <v>0.3</v>
      </c>
      <c r="M187" s="34"/>
      <c r="N187" s="34"/>
      <c r="O187" s="34"/>
      <c r="P187" s="34"/>
      <c r="Q187" s="34"/>
      <c r="R187" s="36"/>
      <c r="S187" s="21"/>
      <c r="T187" s="34"/>
      <c r="U187" s="34"/>
      <c r="V187" s="34"/>
      <c r="W187" s="37"/>
      <c r="X187" s="35"/>
      <c r="Y187" s="37"/>
      <c r="Z187" s="37"/>
      <c r="AA187" s="37"/>
      <c r="AB187" s="37"/>
      <c r="AC187" s="35"/>
      <c r="AD187" s="38"/>
      <c r="AE187" s="38"/>
      <c r="AF187" s="38"/>
      <c r="AG187" s="38"/>
    </row>
    <row r="188" spans="2:33" hidden="1" outlineLevel="2" x14ac:dyDescent="0.15">
      <c r="B188" s="800" t="s">
        <v>256</v>
      </c>
      <c r="C188" s="815">
        <f t="shared" si="0"/>
        <v>97.300000000000011</v>
      </c>
      <c r="D188" s="843">
        <v>0.13900000000000001</v>
      </c>
      <c r="E188" s="815">
        <f>D188*'Info utili'!$P$20</f>
        <v>1616.2611111111112</v>
      </c>
      <c r="F188" s="829">
        <v>0.1</v>
      </c>
      <c r="G188" s="878">
        <v>0.3</v>
      </c>
      <c r="M188" s="34"/>
      <c r="N188" s="34"/>
      <c r="O188" s="34"/>
      <c r="P188" s="34"/>
      <c r="Q188" s="34"/>
      <c r="R188" s="36"/>
      <c r="S188" s="21"/>
      <c r="T188" s="34"/>
      <c r="U188" s="34"/>
      <c r="V188" s="34"/>
      <c r="W188" s="37"/>
      <c r="X188" s="35"/>
      <c r="Y188" s="37"/>
      <c r="Z188" s="37"/>
      <c r="AA188" s="37"/>
      <c r="AB188" s="37"/>
      <c r="AC188" s="35"/>
      <c r="AD188" s="38"/>
      <c r="AE188" s="38"/>
      <c r="AF188" s="38"/>
      <c r="AG188" s="38"/>
    </row>
    <row r="189" spans="2:33" hidden="1" outlineLevel="2" x14ac:dyDescent="0.15">
      <c r="B189" s="800" t="s">
        <v>257</v>
      </c>
      <c r="C189" s="815">
        <f t="shared" si="0"/>
        <v>96.600000000000009</v>
      </c>
      <c r="D189" s="843">
        <v>0.13800000000000001</v>
      </c>
      <c r="E189" s="815">
        <f>D189*'Info utili'!$P$20</f>
        <v>1604.6333333333334</v>
      </c>
      <c r="F189" s="829">
        <v>0.1</v>
      </c>
      <c r="G189" s="878">
        <v>0.3</v>
      </c>
      <c r="M189" s="34"/>
      <c r="N189" s="34"/>
      <c r="O189" s="34"/>
      <c r="P189" s="34"/>
      <c r="Q189" s="34"/>
      <c r="R189" s="36"/>
      <c r="S189" s="21"/>
      <c r="T189" s="34"/>
      <c r="U189" s="34"/>
      <c r="V189" s="34"/>
      <c r="W189" s="37"/>
      <c r="X189" s="35"/>
      <c r="Y189" s="37"/>
      <c r="Z189" s="37"/>
      <c r="AA189" s="37"/>
      <c r="AB189" s="37"/>
      <c r="AC189" s="35"/>
      <c r="AD189" s="38"/>
      <c r="AE189" s="38"/>
      <c r="AF189" s="38"/>
      <c r="AG189" s="38"/>
    </row>
    <row r="190" spans="2:33" hidden="1" outlineLevel="2" x14ac:dyDescent="0.15">
      <c r="B190" s="800" t="s">
        <v>258</v>
      </c>
      <c r="C190" s="815">
        <f t="shared" si="0"/>
        <v>231</v>
      </c>
      <c r="D190" s="843">
        <v>0.33</v>
      </c>
      <c r="E190" s="815">
        <f>D190*'Info utili'!$P$20</f>
        <v>3837.1666666666665</v>
      </c>
      <c r="F190" s="829">
        <v>0.1</v>
      </c>
      <c r="G190" s="878">
        <v>0.3</v>
      </c>
      <c r="M190" s="34"/>
      <c r="N190" s="34"/>
      <c r="O190" s="34"/>
      <c r="P190" s="34"/>
      <c r="Q190" s="34"/>
      <c r="R190" s="36"/>
      <c r="S190" s="21"/>
      <c r="T190" s="34"/>
      <c r="U190" s="34"/>
      <c r="V190" s="34"/>
      <c r="W190" s="37"/>
      <c r="X190" s="35"/>
      <c r="Y190" s="37"/>
      <c r="Z190" s="37"/>
      <c r="AA190" s="37"/>
      <c r="AB190" s="37"/>
      <c r="AC190" s="35"/>
      <c r="AD190" s="38"/>
      <c r="AE190" s="38"/>
      <c r="AF190" s="38"/>
      <c r="AG190" s="38"/>
    </row>
    <row r="191" spans="2:33" hidden="1" outlineLevel="2" x14ac:dyDescent="0.15">
      <c r="B191" s="800" t="s">
        <v>2555</v>
      </c>
      <c r="C191" s="815">
        <f t="shared" si="0"/>
        <v>58.1</v>
      </c>
      <c r="D191" s="843">
        <v>8.3000000000000004E-2</v>
      </c>
      <c r="E191" s="815">
        <f>D191*'Info utili'!$P$20</f>
        <v>965.10555555555561</v>
      </c>
      <c r="F191" s="829">
        <v>0.1</v>
      </c>
      <c r="G191" s="878">
        <v>0.3</v>
      </c>
      <c r="M191" s="34"/>
      <c r="N191" s="34"/>
      <c r="O191" s="34"/>
      <c r="P191" s="34"/>
      <c r="Q191" s="34"/>
      <c r="R191" s="36"/>
      <c r="S191" s="21"/>
      <c r="T191" s="34"/>
      <c r="U191" s="34"/>
      <c r="V191" s="34"/>
      <c r="W191" s="37"/>
      <c r="X191" s="35"/>
      <c r="Y191" s="37"/>
      <c r="Z191" s="37"/>
      <c r="AA191" s="37"/>
      <c r="AB191" s="37"/>
      <c r="AC191" s="35"/>
      <c r="AD191" s="38"/>
      <c r="AE191" s="38"/>
      <c r="AF191" s="38"/>
      <c r="AG191" s="38"/>
    </row>
    <row r="192" spans="2:33" hidden="1" outlineLevel="2" x14ac:dyDescent="0.15">
      <c r="B192" s="800" t="s">
        <v>259</v>
      </c>
      <c r="C192" s="815">
        <f t="shared" si="0"/>
        <v>0</v>
      </c>
      <c r="D192" s="843">
        <v>0</v>
      </c>
      <c r="E192" s="815">
        <f>D192*'Info utili'!$P$20</f>
        <v>0</v>
      </c>
      <c r="F192" s="829">
        <v>0.1</v>
      </c>
      <c r="G192" s="878">
        <v>0.3</v>
      </c>
      <c r="M192" s="34"/>
      <c r="N192" s="34"/>
      <c r="O192" s="34"/>
      <c r="P192" s="34"/>
      <c r="Q192" s="34"/>
      <c r="R192" s="36"/>
      <c r="S192" s="21"/>
      <c r="T192" s="34"/>
      <c r="U192" s="34"/>
      <c r="V192" s="34"/>
      <c r="W192" s="37"/>
      <c r="X192" s="35"/>
      <c r="Y192" s="37"/>
      <c r="Z192" s="37"/>
      <c r="AA192" s="37"/>
      <c r="AB192" s="37"/>
      <c r="AC192" s="35"/>
      <c r="AD192" s="38"/>
      <c r="AE192" s="38"/>
      <c r="AF192" s="38"/>
      <c r="AG192" s="38"/>
    </row>
    <row r="193" spans="2:33" hidden="1" outlineLevel="2" x14ac:dyDescent="0.15">
      <c r="B193" s="800" t="s">
        <v>260</v>
      </c>
      <c r="C193" s="815">
        <f t="shared" si="0"/>
        <v>0</v>
      </c>
      <c r="D193" s="843">
        <v>0</v>
      </c>
      <c r="E193" s="815">
        <f>D193*'Info utili'!$P$20</f>
        <v>0</v>
      </c>
      <c r="F193" s="829">
        <v>0.1</v>
      </c>
      <c r="G193" s="878">
        <v>0.3</v>
      </c>
      <c r="M193" s="34"/>
      <c r="N193" s="34"/>
      <c r="O193" s="34"/>
      <c r="P193" s="34"/>
      <c r="Q193" s="34"/>
      <c r="R193" s="36"/>
      <c r="S193" s="21"/>
      <c r="T193" s="34"/>
      <c r="U193" s="34"/>
      <c r="V193" s="34"/>
      <c r="W193" s="37"/>
      <c r="X193" s="35"/>
      <c r="Y193" s="37"/>
      <c r="Z193" s="37"/>
      <c r="AA193" s="37"/>
      <c r="AB193" s="37"/>
      <c r="AC193" s="35"/>
      <c r="AD193" s="38"/>
      <c r="AE193" s="38"/>
      <c r="AF193" s="38"/>
      <c r="AG193" s="38"/>
    </row>
    <row r="194" spans="2:33" hidden="1" outlineLevel="2" x14ac:dyDescent="0.15">
      <c r="B194" s="800" t="s">
        <v>261</v>
      </c>
      <c r="C194" s="815">
        <f t="shared" si="0"/>
        <v>135.80000000000001</v>
      </c>
      <c r="D194" s="843">
        <v>0.19400000000000001</v>
      </c>
      <c r="E194" s="815">
        <f>D194*'Info utili'!$P$20</f>
        <v>2255.7888888888888</v>
      </c>
      <c r="F194" s="829">
        <v>0.1</v>
      </c>
      <c r="G194" s="878">
        <v>0.3</v>
      </c>
      <c r="M194" s="34"/>
      <c r="N194" s="34"/>
      <c r="O194" s="34"/>
      <c r="P194" s="34"/>
      <c r="Q194" s="34"/>
      <c r="R194" s="36"/>
      <c r="S194" s="21"/>
      <c r="T194" s="34"/>
      <c r="U194" s="34"/>
      <c r="V194" s="34"/>
      <c r="W194" s="37"/>
      <c r="X194" s="35"/>
      <c r="Y194" s="37"/>
      <c r="Z194" s="37"/>
      <c r="AA194" s="37"/>
      <c r="AB194" s="37"/>
      <c r="AC194" s="35"/>
      <c r="AD194" s="38"/>
      <c r="AE194" s="38"/>
      <c r="AF194" s="38"/>
      <c r="AG194" s="38"/>
    </row>
    <row r="195" spans="2:33" hidden="1" outlineLevel="2" x14ac:dyDescent="0.15">
      <c r="B195" s="800" t="s">
        <v>262</v>
      </c>
      <c r="C195" s="815">
        <f t="shared" si="0"/>
        <v>5.6000000000000005</v>
      </c>
      <c r="D195" s="843">
        <v>8.0000000000000002E-3</v>
      </c>
      <c r="E195" s="815">
        <f>D195*'Info utili'!$P$20</f>
        <v>93.022222222222226</v>
      </c>
      <c r="F195" s="829">
        <v>0.1</v>
      </c>
      <c r="G195" s="878">
        <v>0.3</v>
      </c>
      <c r="M195" s="34"/>
      <c r="N195" s="34"/>
      <c r="O195" s="34"/>
      <c r="P195" s="34"/>
      <c r="Q195" s="34"/>
      <c r="R195" s="36"/>
      <c r="S195" s="21"/>
      <c r="T195" s="34"/>
      <c r="U195" s="34"/>
      <c r="V195" s="34"/>
      <c r="W195" s="37"/>
      <c r="X195" s="35"/>
      <c r="Y195" s="37"/>
      <c r="Z195" s="37"/>
      <c r="AA195" s="37"/>
      <c r="AB195" s="37"/>
      <c r="AC195" s="35"/>
      <c r="AD195" s="38"/>
      <c r="AE195" s="38"/>
      <c r="AF195" s="38"/>
      <c r="AG195" s="38"/>
    </row>
    <row r="196" spans="2:33" hidden="1" outlineLevel="2" x14ac:dyDescent="0.15">
      <c r="B196" s="800" t="s">
        <v>263</v>
      </c>
      <c r="C196" s="815">
        <f t="shared" si="0"/>
        <v>15.399999999999999</v>
      </c>
      <c r="D196" s="843">
        <v>2.1999999999999999E-2</v>
      </c>
      <c r="E196" s="815">
        <f>D196*'Info utili'!$P$20</f>
        <v>255.81111111111107</v>
      </c>
      <c r="F196" s="829">
        <v>0.1</v>
      </c>
      <c r="G196" s="878">
        <v>0.3</v>
      </c>
      <c r="M196" s="34"/>
      <c r="N196" s="34"/>
      <c r="O196" s="34"/>
      <c r="P196" s="34"/>
      <c r="Q196" s="34"/>
      <c r="R196" s="36"/>
      <c r="S196" s="21"/>
      <c r="T196" s="34"/>
      <c r="U196" s="34"/>
      <c r="V196" s="34"/>
      <c r="W196" s="37"/>
      <c r="X196" s="35"/>
      <c r="Y196" s="37"/>
      <c r="Z196" s="37"/>
      <c r="AA196" s="37"/>
      <c r="AB196" s="37"/>
      <c r="AC196" s="35"/>
      <c r="AD196" s="38"/>
      <c r="AE196" s="38"/>
      <c r="AF196" s="38"/>
      <c r="AG196" s="38"/>
    </row>
    <row r="197" spans="2:33" hidden="1" outlineLevel="2" x14ac:dyDescent="0.15">
      <c r="B197" s="800" t="s">
        <v>264</v>
      </c>
      <c r="C197" s="815">
        <f t="shared" si="0"/>
        <v>154.69999999999999</v>
      </c>
      <c r="D197" s="843">
        <v>0.221</v>
      </c>
      <c r="E197" s="815">
        <f>D197*'Info utili'!$P$20</f>
        <v>2569.7388888888886</v>
      </c>
      <c r="F197" s="829">
        <v>0.1</v>
      </c>
      <c r="G197" s="878">
        <v>0.3</v>
      </c>
      <c r="M197" s="34"/>
      <c r="N197" s="34"/>
      <c r="O197" s="34"/>
      <c r="P197" s="34"/>
      <c r="Q197" s="34"/>
      <c r="R197" s="36"/>
      <c r="S197" s="21"/>
      <c r="T197" s="34"/>
      <c r="U197" s="34"/>
      <c r="V197" s="34"/>
      <c r="W197" s="37"/>
      <c r="X197" s="35"/>
      <c r="Y197" s="37"/>
      <c r="Z197" s="37"/>
      <c r="AA197" s="37"/>
      <c r="AB197" s="37"/>
      <c r="AC197" s="35"/>
      <c r="AD197" s="38"/>
      <c r="AE197" s="38"/>
      <c r="AF197" s="38"/>
      <c r="AG197" s="38"/>
    </row>
    <row r="198" spans="2:33" hidden="1" outlineLevel="2" x14ac:dyDescent="0.15">
      <c r="B198" s="800" t="s">
        <v>265</v>
      </c>
      <c r="C198" s="815">
        <f t="shared" si="0"/>
        <v>196.00000000000003</v>
      </c>
      <c r="D198" s="843">
        <v>0.28000000000000003</v>
      </c>
      <c r="E198" s="815">
        <f>D198*'Info utili'!$P$20</f>
        <v>3255.7777777777778</v>
      </c>
      <c r="F198" s="829">
        <v>0.1</v>
      </c>
      <c r="G198" s="878">
        <v>0.3</v>
      </c>
      <c r="M198" s="34"/>
      <c r="N198" s="34"/>
      <c r="O198" s="34"/>
      <c r="P198" s="34"/>
      <c r="Q198" s="34"/>
      <c r="R198" s="36"/>
      <c r="S198" s="21"/>
      <c r="T198" s="34"/>
      <c r="U198" s="34"/>
      <c r="V198" s="34"/>
      <c r="W198" s="37"/>
      <c r="X198" s="35"/>
      <c r="Y198" s="37"/>
      <c r="Z198" s="37"/>
      <c r="AA198" s="37"/>
      <c r="AB198" s="37"/>
      <c r="AC198" s="35"/>
      <c r="AD198" s="38"/>
      <c r="AE198" s="38"/>
      <c r="AF198" s="38"/>
      <c r="AG198" s="38"/>
    </row>
    <row r="199" spans="2:33" hidden="1" outlineLevel="2" x14ac:dyDescent="0.15">
      <c r="B199" s="800" t="s">
        <v>266</v>
      </c>
      <c r="C199" s="815">
        <f t="shared" si="0"/>
        <v>46.900000000000006</v>
      </c>
      <c r="D199" s="843">
        <v>6.7000000000000004E-2</v>
      </c>
      <c r="E199" s="815">
        <f>D199*'Info utili'!$P$20</f>
        <v>779.06111111111113</v>
      </c>
      <c r="F199" s="829">
        <v>0.1</v>
      </c>
      <c r="G199" s="878">
        <v>0.3</v>
      </c>
      <c r="M199" s="34"/>
      <c r="N199" s="34"/>
      <c r="O199" s="34"/>
      <c r="P199" s="34"/>
      <c r="Q199" s="34"/>
      <c r="R199" s="36"/>
      <c r="S199" s="21"/>
      <c r="T199" s="34"/>
      <c r="U199" s="34"/>
      <c r="V199" s="34"/>
      <c r="W199" s="37"/>
      <c r="X199" s="35"/>
      <c r="Y199" s="37"/>
      <c r="Z199" s="37"/>
      <c r="AA199" s="37"/>
      <c r="AB199" s="37"/>
      <c r="AC199" s="35"/>
      <c r="AD199" s="38"/>
      <c r="AE199" s="38"/>
      <c r="AF199" s="38"/>
      <c r="AG199" s="38"/>
    </row>
    <row r="200" spans="2:33" hidden="1" outlineLevel="2" x14ac:dyDescent="0.15">
      <c r="B200" s="800" t="s">
        <v>267</v>
      </c>
      <c r="C200" s="815">
        <f t="shared" si="0"/>
        <v>119.7</v>
      </c>
      <c r="D200" s="843">
        <v>0.17100000000000001</v>
      </c>
      <c r="E200" s="815">
        <f>D200*'Info utili'!$P$20</f>
        <v>1988.3500000000001</v>
      </c>
      <c r="F200" s="829">
        <v>0.1</v>
      </c>
      <c r="G200" s="878">
        <v>0.3</v>
      </c>
      <c r="M200" s="34"/>
      <c r="N200" s="34"/>
      <c r="O200" s="34"/>
      <c r="P200" s="34"/>
      <c r="Q200" s="34"/>
      <c r="R200" s="36"/>
      <c r="S200" s="21"/>
      <c r="T200" s="34"/>
      <c r="U200" s="34"/>
      <c r="V200" s="34"/>
      <c r="W200" s="37"/>
      <c r="X200" s="35"/>
      <c r="Y200" s="37"/>
      <c r="Z200" s="37"/>
      <c r="AA200" s="37"/>
      <c r="AB200" s="37"/>
      <c r="AC200" s="35"/>
      <c r="AD200" s="38"/>
      <c r="AE200" s="38"/>
      <c r="AF200" s="38"/>
      <c r="AG200" s="38"/>
    </row>
    <row r="201" spans="2:33" hidden="1" outlineLevel="2" x14ac:dyDescent="0.15">
      <c r="B201" s="800" t="s">
        <v>268</v>
      </c>
      <c r="C201" s="815">
        <f t="shared" si="0"/>
        <v>226.8</v>
      </c>
      <c r="D201" s="843">
        <v>0.32400000000000001</v>
      </c>
      <c r="E201" s="815">
        <f>D201*'Info utili'!$P$20</f>
        <v>3767.4</v>
      </c>
      <c r="F201" s="829">
        <v>0.1</v>
      </c>
      <c r="G201" s="878">
        <v>0.3</v>
      </c>
      <c r="M201" s="34"/>
      <c r="N201" s="34"/>
      <c r="O201" s="34"/>
      <c r="P201" s="34"/>
      <c r="Q201" s="34"/>
      <c r="R201" s="36"/>
      <c r="S201" s="21"/>
      <c r="T201" s="34"/>
      <c r="U201" s="34"/>
      <c r="V201" s="34"/>
      <c r="W201" s="37"/>
      <c r="X201" s="35"/>
      <c r="Y201" s="37"/>
      <c r="Z201" s="37"/>
      <c r="AA201" s="37"/>
      <c r="AB201" s="37"/>
      <c r="AC201" s="35"/>
      <c r="AD201" s="38"/>
      <c r="AE201" s="38"/>
      <c r="AF201" s="38"/>
      <c r="AG201" s="38"/>
    </row>
    <row r="202" spans="2:33" hidden="1" outlineLevel="2" x14ac:dyDescent="0.15">
      <c r="B202" s="800" t="s">
        <v>269</v>
      </c>
      <c r="C202" s="815">
        <f t="shared" si="0"/>
        <v>87.5</v>
      </c>
      <c r="D202" s="843">
        <v>0.125</v>
      </c>
      <c r="E202" s="815">
        <f>D202*'Info utili'!$P$20</f>
        <v>1453.4722222222222</v>
      </c>
      <c r="F202" s="829">
        <v>0.1</v>
      </c>
      <c r="G202" s="878">
        <v>0.3</v>
      </c>
      <c r="M202" s="34"/>
      <c r="N202" s="34"/>
      <c r="O202" s="34"/>
      <c r="P202" s="34"/>
      <c r="Q202" s="34"/>
      <c r="R202" s="36"/>
      <c r="S202" s="21"/>
      <c r="T202" s="34"/>
      <c r="U202" s="34"/>
      <c r="V202" s="34"/>
      <c r="W202" s="37"/>
      <c r="X202" s="35"/>
      <c r="Y202" s="37"/>
      <c r="Z202" s="37"/>
      <c r="AA202" s="37"/>
      <c r="AB202" s="37"/>
      <c r="AC202" s="35"/>
      <c r="AD202" s="38"/>
      <c r="AE202" s="38"/>
      <c r="AF202" s="38"/>
      <c r="AG202" s="38"/>
    </row>
    <row r="203" spans="2:33" hidden="1" outlineLevel="2" x14ac:dyDescent="0.15">
      <c r="B203" s="800" t="s">
        <v>270</v>
      </c>
      <c r="C203" s="815">
        <f t="shared" si="0"/>
        <v>162.4</v>
      </c>
      <c r="D203" s="843">
        <v>0.23200000000000001</v>
      </c>
      <c r="E203" s="815">
        <f>D203*'Info utili'!$P$20</f>
        <v>2697.6444444444446</v>
      </c>
      <c r="F203" s="829">
        <v>0.1</v>
      </c>
      <c r="G203" s="878">
        <v>0.3</v>
      </c>
      <c r="M203" s="34"/>
      <c r="N203" s="34"/>
      <c r="O203" s="34"/>
      <c r="P203" s="34"/>
      <c r="Q203" s="34"/>
      <c r="R203" s="36"/>
      <c r="S203" s="21"/>
      <c r="T203" s="34"/>
      <c r="U203" s="34"/>
      <c r="V203" s="34"/>
      <c r="W203" s="37"/>
      <c r="X203" s="35"/>
      <c r="Y203" s="37"/>
      <c r="Z203" s="37"/>
      <c r="AA203" s="37"/>
      <c r="AB203" s="37"/>
      <c r="AC203" s="35"/>
      <c r="AD203" s="38"/>
      <c r="AE203" s="38"/>
      <c r="AF203" s="38"/>
      <c r="AG203" s="38"/>
    </row>
    <row r="204" spans="2:33" hidden="1" outlineLevel="2" x14ac:dyDescent="0.15">
      <c r="B204" s="800" t="s">
        <v>271</v>
      </c>
      <c r="C204" s="815">
        <f t="shared" si="0"/>
        <v>47.6</v>
      </c>
      <c r="D204" s="843">
        <v>6.8000000000000005E-2</v>
      </c>
      <c r="E204" s="815">
        <f>D204*'Info utili'!$P$20</f>
        <v>790.68888888888887</v>
      </c>
      <c r="F204" s="829">
        <v>0.1</v>
      </c>
      <c r="G204" s="878">
        <v>0.3</v>
      </c>
      <c r="M204" s="34"/>
      <c r="N204" s="34"/>
      <c r="O204" s="34"/>
      <c r="P204" s="34"/>
      <c r="Q204" s="34"/>
      <c r="R204" s="36"/>
      <c r="S204" s="21"/>
      <c r="T204" s="34"/>
      <c r="U204" s="34"/>
      <c r="V204" s="34"/>
      <c r="W204" s="37"/>
      <c r="X204" s="35"/>
      <c r="Y204" s="37"/>
      <c r="Z204" s="37"/>
      <c r="AA204" s="37"/>
      <c r="AB204" s="37"/>
      <c r="AC204" s="35"/>
      <c r="AD204" s="38"/>
      <c r="AE204" s="38"/>
      <c r="AF204" s="38"/>
      <c r="AG204" s="38"/>
    </row>
    <row r="205" spans="2:33" hidden="1" outlineLevel="2" x14ac:dyDescent="0.15">
      <c r="B205" s="800" t="s">
        <v>272</v>
      </c>
      <c r="C205" s="815">
        <f t="shared" si="0"/>
        <v>141.4</v>
      </c>
      <c r="D205" s="843">
        <v>0.20200000000000001</v>
      </c>
      <c r="E205" s="815">
        <f>D205*'Info utili'!$P$20</f>
        <v>2348.8111111111111</v>
      </c>
      <c r="F205" s="829">
        <v>0.1</v>
      </c>
      <c r="G205" s="878">
        <v>0.3</v>
      </c>
      <c r="M205" s="34"/>
      <c r="N205" s="34"/>
      <c r="O205" s="34"/>
      <c r="P205" s="34"/>
      <c r="Q205" s="34"/>
      <c r="R205" s="36"/>
      <c r="S205" s="21"/>
      <c r="T205" s="34"/>
      <c r="U205" s="34"/>
      <c r="V205" s="34"/>
      <c r="W205" s="37"/>
      <c r="X205" s="35"/>
      <c r="Y205" s="37"/>
      <c r="Z205" s="37"/>
      <c r="AA205" s="37"/>
      <c r="AB205" s="37"/>
      <c r="AC205" s="35"/>
      <c r="AD205" s="38"/>
      <c r="AE205" s="38"/>
      <c r="AF205" s="38"/>
      <c r="AG205" s="38"/>
    </row>
    <row r="206" spans="2:33" hidden="1" outlineLevel="2" x14ac:dyDescent="0.15">
      <c r="B206" s="800" t="s">
        <v>273</v>
      </c>
      <c r="C206" s="815">
        <f t="shared" si="0"/>
        <v>82.6</v>
      </c>
      <c r="D206" s="843">
        <v>0.11799999999999999</v>
      </c>
      <c r="E206" s="815">
        <f>D206*'Info utili'!$P$20</f>
        <v>1372.0777777777776</v>
      </c>
      <c r="F206" s="829">
        <v>0.1</v>
      </c>
      <c r="G206" s="878">
        <v>0.3</v>
      </c>
      <c r="M206" s="34"/>
      <c r="N206" s="34"/>
      <c r="O206" s="34"/>
      <c r="P206" s="34"/>
      <c r="Q206" s="34"/>
      <c r="R206" s="36"/>
      <c r="S206" s="21"/>
      <c r="T206" s="34"/>
      <c r="U206" s="34"/>
      <c r="V206" s="34"/>
      <c r="W206" s="37"/>
      <c r="X206" s="35"/>
      <c r="Y206" s="37"/>
      <c r="Z206" s="37"/>
      <c r="AA206" s="37"/>
      <c r="AB206" s="37"/>
      <c r="AC206" s="35"/>
      <c r="AD206" s="38"/>
      <c r="AE206" s="38"/>
      <c r="AF206" s="38"/>
      <c r="AG206" s="38"/>
    </row>
    <row r="207" spans="2:33" hidden="1" outlineLevel="2" x14ac:dyDescent="0.15">
      <c r="B207" s="800" t="s">
        <v>274</v>
      </c>
      <c r="C207" s="815">
        <f t="shared" si="0"/>
        <v>7.6999999999999993</v>
      </c>
      <c r="D207" s="843">
        <v>1.0999999999999999E-2</v>
      </c>
      <c r="E207" s="815">
        <f>D207*'Info utili'!$P$20</f>
        <v>127.90555555555554</v>
      </c>
      <c r="F207" s="829">
        <v>0.1</v>
      </c>
      <c r="G207" s="878">
        <v>0.3</v>
      </c>
      <c r="M207" s="34"/>
      <c r="N207" s="34"/>
      <c r="O207" s="34"/>
      <c r="P207" s="34"/>
      <c r="Q207" s="34"/>
      <c r="R207" s="36"/>
      <c r="S207" s="21"/>
      <c r="T207" s="34"/>
      <c r="U207" s="34"/>
      <c r="V207" s="34"/>
      <c r="W207" s="37"/>
      <c r="X207" s="35"/>
      <c r="Y207" s="37"/>
      <c r="Z207" s="37"/>
      <c r="AA207" s="37"/>
      <c r="AB207" s="37"/>
      <c r="AC207" s="35"/>
      <c r="AD207" s="38"/>
      <c r="AE207" s="38"/>
      <c r="AF207" s="38"/>
      <c r="AG207" s="38"/>
    </row>
    <row r="208" spans="2:33" hidden="1" outlineLevel="2" x14ac:dyDescent="0.15">
      <c r="B208" s="800" t="s">
        <v>275</v>
      </c>
      <c r="C208" s="815">
        <f t="shared" si="0"/>
        <v>206.5</v>
      </c>
      <c r="D208" s="843">
        <v>0.29499999999999998</v>
      </c>
      <c r="E208" s="815">
        <f>D208*'Info utili'!$P$20</f>
        <v>3430.1944444444443</v>
      </c>
      <c r="F208" s="829">
        <v>0.1</v>
      </c>
      <c r="G208" s="878">
        <v>0.3</v>
      </c>
      <c r="M208" s="34"/>
      <c r="N208" s="34"/>
      <c r="O208" s="34"/>
      <c r="P208" s="34"/>
      <c r="Q208" s="34"/>
      <c r="R208" s="36"/>
      <c r="S208" s="21"/>
      <c r="T208" s="34"/>
      <c r="U208" s="34"/>
      <c r="V208" s="34"/>
      <c r="W208" s="37"/>
      <c r="X208" s="35"/>
      <c r="Y208" s="37"/>
      <c r="Z208" s="37"/>
      <c r="AA208" s="37"/>
      <c r="AB208" s="37"/>
      <c r="AC208" s="35"/>
      <c r="AD208" s="38"/>
      <c r="AE208" s="38"/>
      <c r="AF208" s="38"/>
      <c r="AG208" s="38"/>
    </row>
    <row r="209" spans="2:33" hidden="1" outlineLevel="2" x14ac:dyDescent="0.15">
      <c r="B209" s="800" t="s">
        <v>276</v>
      </c>
      <c r="C209" s="815">
        <f t="shared" si="0"/>
        <v>200.89999999999998</v>
      </c>
      <c r="D209" s="843">
        <v>0.28699999999999998</v>
      </c>
      <c r="E209" s="815">
        <f>D209*'Info utili'!$P$20</f>
        <v>3337.172222222222</v>
      </c>
      <c r="F209" s="829">
        <v>0.1</v>
      </c>
      <c r="G209" s="878">
        <v>0.3</v>
      </c>
      <c r="M209" s="34"/>
      <c r="N209" s="34"/>
      <c r="O209" s="34"/>
      <c r="P209" s="34"/>
      <c r="Q209" s="34"/>
      <c r="R209" s="36"/>
      <c r="S209" s="21"/>
      <c r="T209" s="34"/>
      <c r="U209" s="34"/>
      <c r="V209" s="34"/>
      <c r="W209" s="37"/>
      <c r="X209" s="35"/>
      <c r="Y209" s="37"/>
      <c r="Z209" s="37"/>
      <c r="AA209" s="37"/>
      <c r="AB209" s="37"/>
      <c r="AC209" s="35"/>
      <c r="AD209" s="38"/>
      <c r="AE209" s="38"/>
      <c r="AF209" s="38"/>
      <c r="AG209" s="38"/>
    </row>
    <row r="210" spans="2:33" hidden="1" outlineLevel="2" x14ac:dyDescent="0.15">
      <c r="B210" s="800" t="s">
        <v>277</v>
      </c>
      <c r="C210" s="815">
        <f t="shared" si="0"/>
        <v>155.4</v>
      </c>
      <c r="D210" s="843">
        <v>0.222</v>
      </c>
      <c r="E210" s="815">
        <f>D210*'Info utili'!$P$20</f>
        <v>2581.3666666666668</v>
      </c>
      <c r="F210" s="829">
        <v>0.1</v>
      </c>
      <c r="G210" s="878">
        <v>0.3</v>
      </c>
      <c r="M210" s="34"/>
      <c r="N210" s="34"/>
      <c r="O210" s="34"/>
      <c r="P210" s="34"/>
      <c r="Q210" s="34"/>
      <c r="R210" s="36"/>
      <c r="S210" s="21"/>
      <c r="T210" s="34"/>
      <c r="U210" s="34"/>
      <c r="V210" s="34"/>
      <c r="W210" s="37"/>
      <c r="X210" s="35"/>
      <c r="Y210" s="37"/>
      <c r="Z210" s="37"/>
      <c r="AA210" s="37"/>
      <c r="AB210" s="37"/>
      <c r="AC210" s="35"/>
      <c r="AD210" s="38"/>
      <c r="AE210" s="38"/>
      <c r="AF210" s="38"/>
      <c r="AG210" s="38"/>
    </row>
    <row r="211" spans="2:33" hidden="1" outlineLevel="2" x14ac:dyDescent="0.15">
      <c r="B211" s="800" t="s">
        <v>278</v>
      </c>
      <c r="C211" s="815">
        <f t="shared" si="0"/>
        <v>205.79999999999998</v>
      </c>
      <c r="D211" s="843">
        <v>0.29399999999999998</v>
      </c>
      <c r="E211" s="815">
        <f>D211*'Info utili'!$P$20</f>
        <v>3418.5666666666662</v>
      </c>
      <c r="F211" s="829">
        <v>0.1</v>
      </c>
      <c r="G211" s="878">
        <v>0.3</v>
      </c>
      <c r="M211" s="34"/>
      <c r="N211" s="34"/>
      <c r="O211" s="34"/>
      <c r="P211" s="34"/>
      <c r="Q211" s="34"/>
      <c r="R211" s="36"/>
      <c r="S211" s="21"/>
      <c r="T211" s="34"/>
      <c r="U211" s="34"/>
      <c r="V211" s="34"/>
      <c r="W211" s="37"/>
      <c r="X211" s="35"/>
      <c r="Y211" s="37"/>
      <c r="Z211" s="37"/>
      <c r="AA211" s="37"/>
      <c r="AB211" s="37"/>
      <c r="AC211" s="35"/>
      <c r="AD211" s="38"/>
      <c r="AE211" s="38"/>
      <c r="AF211" s="38"/>
      <c r="AG211" s="38"/>
    </row>
    <row r="212" spans="2:33" hidden="1" outlineLevel="2" x14ac:dyDescent="0.15">
      <c r="B212" s="800" t="s">
        <v>279</v>
      </c>
      <c r="C212" s="815">
        <f t="shared" si="0"/>
        <v>189</v>
      </c>
      <c r="D212" s="843">
        <v>0.27</v>
      </c>
      <c r="E212" s="815">
        <f>D212*'Info utili'!$P$20</f>
        <v>3139.5</v>
      </c>
      <c r="F212" s="829">
        <v>0.1</v>
      </c>
      <c r="G212" s="878">
        <v>0.3</v>
      </c>
      <c r="M212" s="34"/>
      <c r="N212" s="34"/>
      <c r="O212" s="34"/>
      <c r="P212" s="34"/>
      <c r="Q212" s="34"/>
      <c r="R212" s="36"/>
      <c r="S212" s="21"/>
      <c r="T212" s="34"/>
      <c r="U212" s="34"/>
      <c r="V212" s="34"/>
      <c r="W212" s="37"/>
      <c r="X212" s="35"/>
      <c r="Y212" s="37"/>
      <c r="Z212" s="37"/>
      <c r="AA212" s="37"/>
      <c r="AB212" s="37"/>
      <c r="AC212" s="35"/>
      <c r="AD212" s="38"/>
      <c r="AE212" s="38"/>
      <c r="AF212" s="38"/>
      <c r="AG212" s="38"/>
    </row>
    <row r="213" spans="2:33" hidden="1" outlineLevel="2" x14ac:dyDescent="0.15">
      <c r="B213" s="800" t="s">
        <v>280</v>
      </c>
      <c r="C213" s="815">
        <f t="shared" si="0"/>
        <v>151.9</v>
      </c>
      <c r="D213" s="843">
        <v>0.217</v>
      </c>
      <c r="E213" s="815">
        <f>D213*'Info utili'!$P$20</f>
        <v>2523.2277777777776</v>
      </c>
      <c r="F213" s="829">
        <v>0.1</v>
      </c>
      <c r="G213" s="878">
        <v>0.3</v>
      </c>
      <c r="M213" s="34"/>
      <c r="N213" s="34"/>
      <c r="O213" s="34"/>
      <c r="P213" s="34"/>
      <c r="Q213" s="34"/>
      <c r="R213" s="36"/>
      <c r="S213" s="21"/>
      <c r="T213" s="34"/>
      <c r="U213" s="34"/>
      <c r="V213" s="34"/>
      <c r="W213" s="37"/>
      <c r="X213" s="35"/>
      <c r="Y213" s="37"/>
      <c r="Z213" s="37"/>
      <c r="AA213" s="37"/>
      <c r="AB213" s="37"/>
      <c r="AC213" s="35"/>
      <c r="AD213" s="38"/>
      <c r="AE213" s="38"/>
      <c r="AF213" s="38"/>
      <c r="AG213" s="38"/>
    </row>
    <row r="214" spans="2:33" hidden="1" outlineLevel="2" x14ac:dyDescent="0.15">
      <c r="B214" s="800" t="s">
        <v>281</v>
      </c>
      <c r="C214" s="815">
        <f t="shared" si="0"/>
        <v>52.5</v>
      </c>
      <c r="D214" s="843">
        <v>7.4999999999999997E-2</v>
      </c>
      <c r="E214" s="815">
        <f>D214*'Info utili'!$P$20</f>
        <v>872.08333333333326</v>
      </c>
      <c r="F214" s="829">
        <v>0.1</v>
      </c>
      <c r="G214" s="878">
        <v>0.3</v>
      </c>
      <c r="M214" s="34"/>
      <c r="N214" s="34"/>
      <c r="O214" s="34"/>
      <c r="P214" s="34"/>
      <c r="Q214" s="34"/>
      <c r="R214" s="36"/>
      <c r="S214" s="21"/>
      <c r="T214" s="34"/>
      <c r="U214" s="34"/>
      <c r="V214" s="34"/>
      <c r="W214" s="37"/>
      <c r="X214" s="35"/>
      <c r="Y214" s="37"/>
      <c r="Z214" s="37"/>
      <c r="AA214" s="37"/>
      <c r="AB214" s="37"/>
      <c r="AC214" s="35"/>
      <c r="AD214" s="38"/>
      <c r="AE214" s="38"/>
      <c r="AF214" s="38"/>
      <c r="AG214" s="38"/>
    </row>
    <row r="215" spans="2:33" hidden="1" outlineLevel="2" x14ac:dyDescent="0.15">
      <c r="B215" s="800" t="s">
        <v>282</v>
      </c>
      <c r="C215" s="815">
        <f t="shared" si="0"/>
        <v>42</v>
      </c>
      <c r="D215" s="843">
        <v>0.06</v>
      </c>
      <c r="E215" s="815">
        <f>D215*'Info utili'!$P$20</f>
        <v>697.66666666666663</v>
      </c>
      <c r="F215" s="829">
        <v>0.1</v>
      </c>
      <c r="G215" s="878">
        <v>0.3</v>
      </c>
      <c r="M215" s="34"/>
      <c r="N215" s="34"/>
      <c r="O215" s="34"/>
      <c r="P215" s="34"/>
      <c r="Q215" s="34"/>
      <c r="R215" s="36"/>
      <c r="S215" s="21"/>
      <c r="T215" s="34"/>
      <c r="U215" s="34"/>
      <c r="V215" s="34"/>
      <c r="W215" s="37"/>
      <c r="X215" s="35"/>
      <c r="Y215" s="37"/>
      <c r="Z215" s="37"/>
      <c r="AA215" s="37"/>
      <c r="AB215" s="37"/>
      <c r="AC215" s="35"/>
      <c r="AD215" s="38"/>
      <c r="AE215" s="38"/>
      <c r="AF215" s="38"/>
      <c r="AG215" s="38"/>
    </row>
    <row r="216" spans="2:33" hidden="1" outlineLevel="2" x14ac:dyDescent="0.15">
      <c r="B216" s="800" t="s">
        <v>283</v>
      </c>
      <c r="C216" s="815">
        <f t="shared" si="0"/>
        <v>148.4</v>
      </c>
      <c r="D216" s="843">
        <v>0.21199999999999999</v>
      </c>
      <c r="E216" s="815">
        <f>D216*'Info utili'!$P$20</f>
        <v>2465.088888888889</v>
      </c>
      <c r="F216" s="829">
        <v>0.1</v>
      </c>
      <c r="G216" s="878">
        <v>0.3</v>
      </c>
      <c r="M216" s="34"/>
      <c r="N216" s="34"/>
      <c r="O216" s="34"/>
      <c r="P216" s="34"/>
      <c r="Q216" s="34"/>
      <c r="R216" s="36"/>
      <c r="S216" s="21"/>
      <c r="T216" s="34"/>
      <c r="U216" s="34"/>
      <c r="V216" s="34"/>
      <c r="W216" s="37"/>
      <c r="X216" s="35"/>
      <c r="Y216" s="37"/>
      <c r="Z216" s="37"/>
      <c r="AA216" s="37"/>
      <c r="AB216" s="37"/>
      <c r="AC216" s="35"/>
      <c r="AD216" s="38"/>
      <c r="AE216" s="38"/>
      <c r="AF216" s="38"/>
      <c r="AG216" s="38"/>
    </row>
    <row r="217" spans="2:33" hidden="1" outlineLevel="2" x14ac:dyDescent="0.15">
      <c r="B217" s="800" t="s">
        <v>284</v>
      </c>
      <c r="C217" s="815">
        <f t="shared" si="0"/>
        <v>128.80000000000001</v>
      </c>
      <c r="D217" s="843">
        <v>0.184</v>
      </c>
      <c r="E217" s="815">
        <f>D217*'Info utili'!$P$20</f>
        <v>2139.5111111111109</v>
      </c>
      <c r="F217" s="829">
        <v>0.1</v>
      </c>
      <c r="G217" s="878">
        <v>0.3</v>
      </c>
      <c r="M217" s="34"/>
      <c r="N217" s="34"/>
      <c r="O217" s="34"/>
      <c r="P217" s="34"/>
      <c r="Q217" s="34"/>
      <c r="R217" s="36"/>
      <c r="S217" s="21"/>
      <c r="T217" s="34"/>
      <c r="U217" s="34"/>
      <c r="V217" s="34"/>
      <c r="W217" s="37"/>
      <c r="X217" s="35"/>
      <c r="Y217" s="37"/>
      <c r="Z217" s="37"/>
      <c r="AA217" s="37"/>
      <c r="AB217" s="37"/>
      <c r="AC217" s="35"/>
      <c r="AD217" s="38"/>
      <c r="AE217" s="38"/>
      <c r="AF217" s="38"/>
      <c r="AG217" s="38"/>
    </row>
    <row r="218" spans="2:33" hidden="1" outlineLevel="2" x14ac:dyDescent="0.15">
      <c r="B218" s="800" t="s">
        <v>285</v>
      </c>
      <c r="C218" s="815">
        <f t="shared" si="0"/>
        <v>33.6</v>
      </c>
      <c r="D218" s="843">
        <v>4.8000000000000001E-2</v>
      </c>
      <c r="E218" s="815">
        <f>D218*'Info utili'!$P$20</f>
        <v>558.13333333333333</v>
      </c>
      <c r="F218" s="829">
        <v>0.1</v>
      </c>
      <c r="G218" s="878">
        <v>0.3</v>
      </c>
      <c r="M218" s="34"/>
      <c r="N218" s="34"/>
      <c r="O218" s="34"/>
      <c r="P218" s="34"/>
      <c r="Q218" s="34"/>
      <c r="R218" s="36"/>
      <c r="S218" s="21"/>
      <c r="T218" s="34"/>
      <c r="U218" s="34"/>
      <c r="V218" s="34"/>
      <c r="W218" s="37"/>
      <c r="X218" s="35"/>
      <c r="Y218" s="37"/>
      <c r="Z218" s="37"/>
      <c r="AA218" s="37"/>
      <c r="AB218" s="37"/>
      <c r="AC218" s="35"/>
      <c r="AD218" s="38"/>
      <c r="AE218" s="38"/>
      <c r="AF218" s="38"/>
      <c r="AG218" s="38"/>
    </row>
    <row r="219" spans="2:33" hidden="1" outlineLevel="2" x14ac:dyDescent="0.15">
      <c r="B219" s="800" t="s">
        <v>286</v>
      </c>
      <c r="C219" s="815">
        <f t="shared" si="0"/>
        <v>14.700000000000001</v>
      </c>
      <c r="D219" s="843">
        <v>2.1000000000000001E-2</v>
      </c>
      <c r="E219" s="815">
        <f>D219*'Info utili'!$P$20</f>
        <v>244.18333333333334</v>
      </c>
      <c r="F219" s="829">
        <v>0.1</v>
      </c>
      <c r="G219" s="878">
        <v>0.3</v>
      </c>
      <c r="M219" s="34"/>
      <c r="N219" s="34"/>
      <c r="O219" s="34"/>
      <c r="P219" s="34"/>
      <c r="Q219" s="34"/>
      <c r="R219" s="36"/>
      <c r="S219" s="21"/>
      <c r="T219" s="34"/>
      <c r="U219" s="34"/>
      <c r="V219" s="34"/>
      <c r="W219" s="37"/>
      <c r="X219" s="35"/>
      <c r="Y219" s="37"/>
      <c r="Z219" s="37"/>
      <c r="AA219" s="37"/>
      <c r="AB219" s="37"/>
      <c r="AC219" s="35"/>
      <c r="AD219" s="38"/>
      <c r="AE219" s="38"/>
      <c r="AF219" s="38"/>
      <c r="AG219" s="38"/>
    </row>
    <row r="220" spans="2:33" hidden="1" outlineLevel="2" x14ac:dyDescent="0.15">
      <c r="B220" s="800" t="s">
        <v>287</v>
      </c>
      <c r="C220" s="815">
        <f t="shared" si="0"/>
        <v>2.1</v>
      </c>
      <c r="D220" s="843">
        <v>3.0000000000000001E-3</v>
      </c>
      <c r="E220" s="815">
        <f>D220*'Info utili'!$P$20</f>
        <v>34.883333333333333</v>
      </c>
      <c r="F220" s="829">
        <v>0.1</v>
      </c>
      <c r="G220" s="878">
        <v>0.3</v>
      </c>
      <c r="M220" s="34"/>
      <c r="N220" s="34"/>
      <c r="O220" s="34"/>
      <c r="P220" s="34"/>
      <c r="Q220" s="34"/>
      <c r="R220" s="36"/>
      <c r="S220" s="21"/>
      <c r="T220" s="34"/>
      <c r="U220" s="34"/>
      <c r="V220" s="34"/>
      <c r="W220" s="37"/>
      <c r="X220" s="35"/>
      <c r="Y220" s="37"/>
      <c r="Z220" s="37"/>
      <c r="AA220" s="37"/>
      <c r="AB220" s="37"/>
      <c r="AC220" s="35"/>
      <c r="AD220" s="38"/>
      <c r="AE220" s="38"/>
      <c r="AF220" s="38"/>
      <c r="AG220" s="38"/>
    </row>
    <row r="221" spans="2:33" hidden="1" outlineLevel="2" x14ac:dyDescent="0.15">
      <c r="B221" s="800" t="s">
        <v>288</v>
      </c>
      <c r="C221" s="815">
        <f t="shared" si="0"/>
        <v>97.300000000000011</v>
      </c>
      <c r="D221" s="843">
        <v>0.13900000000000001</v>
      </c>
      <c r="E221" s="815">
        <f>D221*'Info utili'!$P$20</f>
        <v>1616.2611111111112</v>
      </c>
      <c r="F221" s="829">
        <v>0.1</v>
      </c>
      <c r="G221" s="878">
        <v>0.3</v>
      </c>
      <c r="M221" s="34"/>
      <c r="N221" s="34"/>
      <c r="O221" s="34"/>
      <c r="P221" s="34"/>
      <c r="Q221" s="34"/>
      <c r="R221" s="36"/>
      <c r="S221" s="21"/>
      <c r="T221" s="34"/>
      <c r="U221" s="34"/>
      <c r="V221" s="34"/>
      <c r="W221" s="37"/>
      <c r="X221" s="35"/>
      <c r="Y221" s="37"/>
      <c r="Z221" s="37"/>
      <c r="AA221" s="37"/>
      <c r="AB221" s="37"/>
      <c r="AC221" s="35"/>
      <c r="AD221" s="38"/>
      <c r="AE221" s="38"/>
      <c r="AF221" s="38"/>
      <c r="AG221" s="38"/>
    </row>
    <row r="222" spans="2:33" hidden="1" outlineLevel="2" x14ac:dyDescent="0.15">
      <c r="B222" s="800" t="s">
        <v>289</v>
      </c>
      <c r="C222" s="815">
        <f t="shared" si="0"/>
        <v>66.5</v>
      </c>
      <c r="D222" s="843">
        <v>9.5000000000000001E-2</v>
      </c>
      <c r="E222" s="815">
        <f>D222*'Info utili'!$P$20</f>
        <v>1104.6388888888889</v>
      </c>
      <c r="F222" s="829">
        <v>0.1</v>
      </c>
      <c r="G222" s="878">
        <v>0.3</v>
      </c>
      <c r="M222" s="34"/>
      <c r="N222" s="34"/>
      <c r="O222" s="34"/>
      <c r="P222" s="34"/>
      <c r="Q222" s="34"/>
      <c r="R222" s="36"/>
      <c r="S222" s="21"/>
      <c r="T222" s="34"/>
      <c r="U222" s="34"/>
      <c r="V222" s="34"/>
      <c r="W222" s="37"/>
      <c r="X222" s="35"/>
      <c r="Y222" s="37"/>
      <c r="Z222" s="37"/>
      <c r="AA222" s="37"/>
      <c r="AB222" s="37"/>
      <c r="AC222" s="35"/>
      <c r="AD222" s="38"/>
      <c r="AE222" s="38"/>
      <c r="AF222" s="38"/>
      <c r="AG222" s="38"/>
    </row>
    <row r="223" spans="2:33" hidden="1" outlineLevel="2" x14ac:dyDescent="0.15">
      <c r="B223" s="800" t="s">
        <v>290</v>
      </c>
      <c r="C223" s="815">
        <f t="shared" si="0"/>
        <v>37.1</v>
      </c>
      <c r="D223" s="843">
        <v>5.2999999999999999E-2</v>
      </c>
      <c r="E223" s="815">
        <f>D223*'Info utili'!$P$20</f>
        <v>616.27222222222224</v>
      </c>
      <c r="F223" s="829">
        <v>0.1</v>
      </c>
      <c r="G223" s="878">
        <v>0.3</v>
      </c>
      <c r="M223" s="34"/>
      <c r="N223" s="34"/>
      <c r="O223" s="34"/>
      <c r="P223" s="34"/>
      <c r="Q223" s="34"/>
      <c r="R223" s="36"/>
      <c r="S223" s="21"/>
      <c r="T223" s="34"/>
      <c r="U223" s="34"/>
      <c r="V223" s="34"/>
      <c r="W223" s="37"/>
      <c r="X223" s="35"/>
      <c r="Y223" s="37"/>
      <c r="Z223" s="37"/>
      <c r="AA223" s="37"/>
      <c r="AB223" s="37"/>
      <c r="AC223" s="35"/>
      <c r="AD223" s="38"/>
      <c r="AE223" s="38"/>
      <c r="AF223" s="38"/>
      <c r="AG223" s="38"/>
    </row>
    <row r="224" spans="2:33" hidden="1" outlineLevel="2" x14ac:dyDescent="0.15">
      <c r="B224" s="800" t="s">
        <v>291</v>
      </c>
      <c r="C224" s="815">
        <f t="shared" si="0"/>
        <v>120.39999999999999</v>
      </c>
      <c r="D224" s="843">
        <v>0.17199999999999999</v>
      </c>
      <c r="E224" s="815">
        <f>D224*'Info utili'!$P$20</f>
        <v>1999.9777777777776</v>
      </c>
      <c r="F224" s="829">
        <v>0.1</v>
      </c>
      <c r="G224" s="878">
        <v>0.3</v>
      </c>
      <c r="M224" s="34"/>
      <c r="N224" s="34"/>
      <c r="O224" s="34"/>
      <c r="P224" s="34"/>
      <c r="Q224" s="34"/>
      <c r="R224" s="36"/>
      <c r="S224" s="21"/>
      <c r="T224" s="34"/>
      <c r="U224" s="34"/>
      <c r="V224" s="34"/>
      <c r="W224" s="37"/>
      <c r="X224" s="35"/>
      <c r="Y224" s="37"/>
      <c r="Z224" s="37"/>
      <c r="AA224" s="37"/>
      <c r="AB224" s="37"/>
      <c r="AC224" s="35"/>
      <c r="AD224" s="38"/>
      <c r="AE224" s="38"/>
      <c r="AF224" s="38"/>
      <c r="AG224" s="38"/>
    </row>
    <row r="225" spans="2:33" hidden="1" outlineLevel="2" x14ac:dyDescent="0.15">
      <c r="B225" s="800" t="s">
        <v>292</v>
      </c>
      <c r="C225" s="815">
        <f t="shared" si="0"/>
        <v>135.1</v>
      </c>
      <c r="D225" s="843">
        <v>0.193</v>
      </c>
      <c r="E225" s="815">
        <f>D225*'Info utili'!$P$20</f>
        <v>2244.161111111111</v>
      </c>
      <c r="F225" s="829">
        <v>0.1</v>
      </c>
      <c r="G225" s="878">
        <v>0.3</v>
      </c>
      <c r="M225" s="34"/>
      <c r="N225" s="34"/>
      <c r="O225" s="34"/>
      <c r="P225" s="34"/>
      <c r="Q225" s="34"/>
      <c r="R225" s="36"/>
      <c r="S225" s="21"/>
      <c r="T225" s="34"/>
      <c r="U225" s="34"/>
      <c r="V225" s="34"/>
      <c r="W225" s="37"/>
      <c r="X225" s="35"/>
      <c r="Y225" s="37"/>
      <c r="Z225" s="37"/>
      <c r="AA225" s="37"/>
      <c r="AB225" s="37"/>
      <c r="AC225" s="35"/>
      <c r="AD225" s="38"/>
      <c r="AE225" s="38"/>
      <c r="AF225" s="38"/>
      <c r="AG225" s="38"/>
    </row>
    <row r="226" spans="2:33" hidden="1" outlineLevel="2" x14ac:dyDescent="0.15">
      <c r="B226" s="800" t="s">
        <v>293</v>
      </c>
      <c r="C226" s="815">
        <f t="shared" si="0"/>
        <v>36.4</v>
      </c>
      <c r="D226" s="843">
        <v>5.1999999999999998E-2</v>
      </c>
      <c r="E226" s="815">
        <f>D226*'Info utili'!$P$20</f>
        <v>604.64444444444439</v>
      </c>
      <c r="F226" s="829">
        <v>0.1</v>
      </c>
      <c r="G226" s="878">
        <v>0.3</v>
      </c>
      <c r="M226" s="34"/>
      <c r="N226" s="34"/>
      <c r="O226" s="34"/>
      <c r="P226" s="34"/>
      <c r="Q226" s="34"/>
      <c r="R226" s="36"/>
      <c r="S226" s="21"/>
      <c r="T226" s="34"/>
      <c r="U226" s="34"/>
      <c r="V226" s="34"/>
      <c r="W226" s="37"/>
      <c r="X226" s="35"/>
      <c r="Y226" s="37"/>
      <c r="Z226" s="37"/>
      <c r="AA226" s="37"/>
      <c r="AB226" s="37"/>
      <c r="AC226" s="35"/>
      <c r="AD226" s="38"/>
      <c r="AE226" s="38"/>
      <c r="AF226" s="38"/>
      <c r="AG226" s="38"/>
    </row>
    <row r="227" spans="2:33" hidden="1" outlineLevel="2" x14ac:dyDescent="0.15">
      <c r="B227" s="800" t="s">
        <v>294</v>
      </c>
      <c r="C227" s="815">
        <f t="shared" si="0"/>
        <v>227.5</v>
      </c>
      <c r="D227" s="843">
        <v>0.32500000000000001</v>
      </c>
      <c r="E227" s="815">
        <f>D227*'Info utili'!$P$20</f>
        <v>3779.0277777777778</v>
      </c>
      <c r="F227" s="829">
        <v>0.1</v>
      </c>
      <c r="G227" s="878">
        <v>0.3</v>
      </c>
      <c r="M227" s="34"/>
      <c r="N227" s="34"/>
      <c r="O227" s="34"/>
      <c r="P227" s="34"/>
      <c r="Q227" s="34"/>
      <c r="R227" s="36"/>
      <c r="S227" s="21"/>
      <c r="T227" s="34"/>
      <c r="U227" s="34"/>
      <c r="V227" s="34"/>
      <c r="W227" s="37"/>
      <c r="X227" s="35"/>
      <c r="Y227" s="37"/>
      <c r="Z227" s="37"/>
      <c r="AA227" s="37"/>
      <c r="AB227" s="37"/>
      <c r="AC227" s="35"/>
      <c r="AD227" s="38"/>
      <c r="AE227" s="38"/>
      <c r="AF227" s="38"/>
      <c r="AG227" s="38"/>
    </row>
    <row r="228" spans="2:33" hidden="1" outlineLevel="2" x14ac:dyDescent="0.15">
      <c r="B228" s="800" t="s">
        <v>295</v>
      </c>
      <c r="C228" s="815">
        <f t="shared" si="0"/>
        <v>35.699999999999996</v>
      </c>
      <c r="D228" s="843">
        <v>5.0999999999999997E-2</v>
      </c>
      <c r="E228" s="815">
        <f>D228*'Info utili'!$P$20</f>
        <v>593.01666666666665</v>
      </c>
      <c r="F228" s="829">
        <v>0.1</v>
      </c>
      <c r="G228" s="878">
        <v>0.3</v>
      </c>
      <c r="M228" s="34"/>
      <c r="N228" s="34"/>
      <c r="O228" s="34"/>
      <c r="P228" s="34"/>
      <c r="Q228" s="34"/>
      <c r="R228" s="36"/>
      <c r="S228" s="21"/>
      <c r="T228" s="34"/>
      <c r="U228" s="34"/>
      <c r="V228" s="34"/>
      <c r="W228" s="37"/>
      <c r="X228" s="35"/>
      <c r="Y228" s="37"/>
      <c r="Z228" s="37"/>
      <c r="AA228" s="37"/>
      <c r="AB228" s="37"/>
      <c r="AC228" s="35"/>
      <c r="AD228" s="38"/>
      <c r="AE228" s="38"/>
      <c r="AF228" s="38"/>
      <c r="AG228" s="38"/>
    </row>
    <row r="229" spans="2:33" hidden="1" outlineLevel="2" x14ac:dyDescent="0.15">
      <c r="B229" s="800" t="s">
        <v>296</v>
      </c>
      <c r="C229" s="815">
        <f t="shared" si="0"/>
        <v>0</v>
      </c>
      <c r="D229" s="843">
        <v>0</v>
      </c>
      <c r="E229" s="815">
        <f>D229*'Info utili'!$P$20</f>
        <v>0</v>
      </c>
      <c r="F229" s="829">
        <v>0.1</v>
      </c>
      <c r="G229" s="878">
        <v>0.3</v>
      </c>
      <c r="M229" s="34"/>
      <c r="N229" s="34"/>
      <c r="O229" s="34"/>
      <c r="P229" s="34"/>
      <c r="Q229" s="34"/>
      <c r="R229" s="36"/>
      <c r="S229" s="21"/>
      <c r="T229" s="34"/>
      <c r="U229" s="34"/>
      <c r="V229" s="34"/>
      <c r="W229" s="37"/>
      <c r="X229" s="35"/>
      <c r="Y229" s="37"/>
      <c r="Z229" s="37"/>
      <c r="AA229" s="37"/>
      <c r="AB229" s="37"/>
      <c r="AC229" s="35"/>
      <c r="AD229" s="38"/>
      <c r="AE229" s="38"/>
      <c r="AF229" s="38"/>
      <c r="AG229" s="38"/>
    </row>
    <row r="230" spans="2:33" hidden="1" outlineLevel="2" x14ac:dyDescent="0.15">
      <c r="B230" s="800" t="s">
        <v>297</v>
      </c>
      <c r="C230" s="815">
        <f t="shared" si="0"/>
        <v>18.2</v>
      </c>
      <c r="D230" s="843">
        <v>2.5999999999999999E-2</v>
      </c>
      <c r="E230" s="815">
        <f>D230*'Info utili'!$P$20</f>
        <v>302.32222222222219</v>
      </c>
      <c r="F230" s="829">
        <v>0.1</v>
      </c>
      <c r="G230" s="878">
        <v>0.3</v>
      </c>
      <c r="M230" s="34"/>
      <c r="N230" s="34"/>
      <c r="O230" s="34"/>
      <c r="P230" s="34"/>
      <c r="Q230" s="34"/>
      <c r="R230" s="36"/>
      <c r="S230" s="21"/>
      <c r="T230" s="34"/>
      <c r="U230" s="34"/>
      <c r="V230" s="34"/>
      <c r="W230" s="37"/>
      <c r="X230" s="35"/>
      <c r="Y230" s="37"/>
      <c r="Z230" s="37"/>
      <c r="AA230" s="37"/>
      <c r="AB230" s="37"/>
      <c r="AC230" s="35"/>
      <c r="AD230" s="38"/>
      <c r="AE230" s="38"/>
      <c r="AF230" s="38"/>
      <c r="AG230" s="38"/>
    </row>
    <row r="231" spans="2:33" hidden="1" outlineLevel="2" x14ac:dyDescent="0.15">
      <c r="B231" s="800" t="s">
        <v>298</v>
      </c>
      <c r="C231" s="815">
        <f t="shared" si="0"/>
        <v>200.89999999999998</v>
      </c>
      <c r="D231" s="843">
        <v>0.28699999999999998</v>
      </c>
      <c r="E231" s="815">
        <f>D231*'Info utili'!$P$20</f>
        <v>3337.172222222222</v>
      </c>
      <c r="F231" s="829">
        <v>0.1</v>
      </c>
      <c r="G231" s="878">
        <v>0.3</v>
      </c>
      <c r="M231" s="34"/>
      <c r="N231" s="34"/>
      <c r="O231" s="34"/>
      <c r="P231" s="34"/>
      <c r="Q231" s="34"/>
      <c r="R231" s="36"/>
      <c r="S231" s="21"/>
      <c r="T231" s="34"/>
      <c r="U231" s="34"/>
      <c r="V231" s="34"/>
      <c r="W231" s="37"/>
      <c r="X231" s="35"/>
      <c r="Y231" s="37"/>
      <c r="Z231" s="37"/>
      <c r="AA231" s="37"/>
      <c r="AB231" s="37"/>
      <c r="AC231" s="35"/>
      <c r="AD231" s="38"/>
      <c r="AE231" s="38"/>
      <c r="AF231" s="38"/>
      <c r="AG231" s="38"/>
    </row>
    <row r="232" spans="2:33" hidden="1" outlineLevel="2" x14ac:dyDescent="0.15">
      <c r="B232" s="800" t="s">
        <v>299</v>
      </c>
      <c r="C232" s="815">
        <f t="shared" si="0"/>
        <v>186.9</v>
      </c>
      <c r="D232" s="843">
        <v>0.26700000000000002</v>
      </c>
      <c r="E232" s="815">
        <f>D232*'Info utili'!$P$20</f>
        <v>3104.6166666666668</v>
      </c>
      <c r="F232" s="829">
        <v>0.1</v>
      </c>
      <c r="G232" s="878">
        <v>0.3</v>
      </c>
      <c r="M232" s="34"/>
      <c r="N232" s="34"/>
      <c r="O232" s="34"/>
      <c r="P232" s="34"/>
      <c r="Q232" s="34"/>
      <c r="R232" s="36"/>
      <c r="S232" s="21"/>
      <c r="T232" s="34"/>
      <c r="U232" s="34"/>
      <c r="V232" s="34"/>
      <c r="W232" s="37"/>
      <c r="X232" s="35"/>
      <c r="Y232" s="37"/>
      <c r="Z232" s="37"/>
      <c r="AA232" s="37"/>
      <c r="AB232" s="37"/>
      <c r="AC232" s="35"/>
      <c r="AD232" s="38"/>
      <c r="AE232" s="38"/>
      <c r="AF232" s="38"/>
      <c r="AG232" s="38"/>
    </row>
    <row r="233" spans="2:33" hidden="1" outlineLevel="2" x14ac:dyDescent="0.15">
      <c r="B233" s="800" t="s">
        <v>300</v>
      </c>
      <c r="C233" s="815">
        <f t="shared" si="0"/>
        <v>69.3</v>
      </c>
      <c r="D233" s="843">
        <v>9.9000000000000005E-2</v>
      </c>
      <c r="E233" s="815">
        <f>D233*'Info utili'!$P$20</f>
        <v>1151.1500000000001</v>
      </c>
      <c r="F233" s="829">
        <v>0.1</v>
      </c>
      <c r="G233" s="878">
        <v>0.3</v>
      </c>
      <c r="M233" s="34"/>
      <c r="N233" s="34"/>
      <c r="O233" s="34"/>
      <c r="P233" s="34"/>
      <c r="Q233" s="34"/>
      <c r="R233" s="36"/>
      <c r="S233" s="21"/>
      <c r="T233" s="34"/>
      <c r="U233" s="34"/>
      <c r="V233" s="34"/>
      <c r="W233" s="37"/>
      <c r="X233" s="35"/>
      <c r="Y233" s="37"/>
      <c r="Z233" s="37"/>
      <c r="AA233" s="37"/>
      <c r="AB233" s="37"/>
      <c r="AC233" s="35"/>
      <c r="AD233" s="38"/>
      <c r="AE233" s="38"/>
      <c r="AF233" s="38"/>
      <c r="AG233" s="38"/>
    </row>
    <row r="234" spans="2:33" hidden="1" outlineLevel="2" x14ac:dyDescent="0.15">
      <c r="B234" s="800" t="s">
        <v>301</v>
      </c>
      <c r="C234" s="815">
        <f t="shared" si="0"/>
        <v>112</v>
      </c>
      <c r="D234" s="843">
        <v>0.16</v>
      </c>
      <c r="E234" s="815">
        <f>D234*'Info utili'!$P$20</f>
        <v>1860.4444444444443</v>
      </c>
      <c r="F234" s="829">
        <v>0.1</v>
      </c>
      <c r="G234" s="878">
        <v>0.3</v>
      </c>
      <c r="M234" s="34"/>
      <c r="N234" s="34"/>
      <c r="O234" s="34"/>
      <c r="P234" s="34"/>
      <c r="Q234" s="34"/>
      <c r="R234" s="36"/>
      <c r="S234" s="21"/>
      <c r="T234" s="34"/>
      <c r="U234" s="34"/>
      <c r="V234" s="34"/>
      <c r="W234" s="37"/>
      <c r="X234" s="35"/>
      <c r="Y234" s="37"/>
      <c r="Z234" s="37"/>
      <c r="AA234" s="37"/>
      <c r="AB234" s="37"/>
      <c r="AC234" s="35"/>
      <c r="AD234" s="38"/>
      <c r="AE234" s="38"/>
      <c r="AF234" s="38"/>
      <c r="AG234" s="38"/>
    </row>
    <row r="235" spans="2:33" hidden="1" outlineLevel="2" x14ac:dyDescent="0.15">
      <c r="B235" s="800" t="s">
        <v>302</v>
      </c>
      <c r="C235" s="815">
        <f t="shared" si="0"/>
        <v>9.8000000000000007</v>
      </c>
      <c r="D235" s="843">
        <v>1.4E-2</v>
      </c>
      <c r="E235" s="815">
        <f>D235*'Info utili'!$P$20</f>
        <v>162.78888888888889</v>
      </c>
      <c r="F235" s="829">
        <v>0.1</v>
      </c>
      <c r="G235" s="878">
        <v>0.3</v>
      </c>
      <c r="M235" s="34"/>
      <c r="N235" s="34"/>
      <c r="O235" s="34"/>
      <c r="P235" s="34"/>
      <c r="Q235" s="34"/>
      <c r="R235" s="36"/>
      <c r="S235" s="21"/>
      <c r="T235" s="34"/>
      <c r="U235" s="34"/>
      <c r="V235" s="34"/>
      <c r="W235" s="37"/>
      <c r="X235" s="35"/>
      <c r="Y235" s="37"/>
      <c r="Z235" s="37"/>
      <c r="AA235" s="37"/>
      <c r="AB235" s="37"/>
      <c r="AC235" s="35"/>
      <c r="AD235" s="38"/>
      <c r="AE235" s="38"/>
      <c r="AF235" s="38"/>
      <c r="AG235" s="38"/>
    </row>
    <row r="236" spans="2:33" hidden="1" outlineLevel="2" x14ac:dyDescent="0.15">
      <c r="B236" s="800" t="s">
        <v>303</v>
      </c>
      <c r="C236" s="815">
        <f t="shared" si="0"/>
        <v>0</v>
      </c>
      <c r="D236" s="843">
        <v>0</v>
      </c>
      <c r="E236" s="815">
        <f>D236*'Info utili'!$P$20</f>
        <v>0</v>
      </c>
      <c r="F236" s="829">
        <v>0.1</v>
      </c>
      <c r="G236" s="878">
        <v>0.3</v>
      </c>
      <c r="M236" s="34"/>
      <c r="N236" s="34"/>
      <c r="O236" s="34"/>
      <c r="P236" s="34"/>
      <c r="Q236" s="34"/>
      <c r="R236" s="36"/>
      <c r="S236" s="21"/>
      <c r="T236" s="34"/>
      <c r="U236" s="34"/>
      <c r="V236" s="34"/>
      <c r="W236" s="37"/>
      <c r="X236" s="35"/>
      <c r="Y236" s="37"/>
      <c r="Z236" s="37"/>
      <c r="AA236" s="37"/>
      <c r="AB236" s="37"/>
      <c r="AC236" s="35"/>
      <c r="AD236" s="38"/>
      <c r="AE236" s="38"/>
      <c r="AF236" s="38"/>
      <c r="AG236" s="38"/>
    </row>
    <row r="237" spans="2:33" hidden="1" outlineLevel="2" x14ac:dyDescent="0.15">
      <c r="B237" s="800" t="s">
        <v>304</v>
      </c>
      <c r="C237" s="815">
        <f t="shared" si="0"/>
        <v>112.7</v>
      </c>
      <c r="D237" s="843">
        <v>0.161</v>
      </c>
      <c r="E237" s="815">
        <f>D237*'Info utili'!$P$20</f>
        <v>1872.0722222222223</v>
      </c>
      <c r="F237" s="829">
        <v>0.1</v>
      </c>
      <c r="G237" s="878">
        <v>0.3</v>
      </c>
      <c r="M237" s="34"/>
      <c r="N237" s="34"/>
      <c r="O237" s="34"/>
      <c r="P237" s="34"/>
      <c r="Q237" s="34"/>
      <c r="R237" s="36"/>
      <c r="S237" s="21"/>
      <c r="T237" s="34"/>
      <c r="U237" s="34"/>
      <c r="V237" s="34"/>
      <c r="W237" s="37"/>
      <c r="X237" s="35"/>
      <c r="Y237" s="37"/>
      <c r="Z237" s="37"/>
      <c r="AA237" s="37"/>
      <c r="AB237" s="37"/>
      <c r="AC237" s="35"/>
      <c r="AD237" s="38"/>
      <c r="AE237" s="38"/>
      <c r="AF237" s="38"/>
      <c r="AG237" s="38"/>
    </row>
    <row r="238" spans="2:33" hidden="1" outlineLevel="2" x14ac:dyDescent="0.15">
      <c r="B238" s="800" t="s">
        <v>305</v>
      </c>
      <c r="C238" s="815">
        <f t="shared" si="0"/>
        <v>108.5</v>
      </c>
      <c r="D238" s="843">
        <v>0.155</v>
      </c>
      <c r="E238" s="815">
        <f>D238*'Info utili'!$P$20</f>
        <v>1802.3055555555554</v>
      </c>
      <c r="F238" s="829">
        <v>0.1</v>
      </c>
      <c r="G238" s="878">
        <v>0.3</v>
      </c>
      <c r="M238" s="34"/>
      <c r="N238" s="34"/>
      <c r="O238" s="34"/>
      <c r="P238" s="34"/>
      <c r="Q238" s="34"/>
      <c r="R238" s="36"/>
      <c r="S238" s="21"/>
      <c r="T238" s="34"/>
      <c r="U238" s="34"/>
      <c r="V238" s="34"/>
      <c r="W238" s="37"/>
      <c r="X238" s="35"/>
      <c r="Y238" s="37"/>
      <c r="Z238" s="37"/>
      <c r="AA238" s="37"/>
      <c r="AB238" s="37"/>
      <c r="AC238" s="35"/>
      <c r="AD238" s="38"/>
      <c r="AE238" s="38"/>
      <c r="AF238" s="38"/>
      <c r="AG238" s="38"/>
    </row>
    <row r="239" spans="2:33" hidden="1" outlineLevel="2" x14ac:dyDescent="0.15">
      <c r="B239" s="800" t="s">
        <v>306</v>
      </c>
      <c r="C239" s="815">
        <f t="shared" si="0"/>
        <v>30.099999999999998</v>
      </c>
      <c r="D239" s="843">
        <v>4.2999999999999997E-2</v>
      </c>
      <c r="E239" s="815">
        <f>D239*'Info utili'!$P$20</f>
        <v>499.99444444444441</v>
      </c>
      <c r="F239" s="829">
        <v>0.1</v>
      </c>
      <c r="G239" s="878">
        <v>0.3</v>
      </c>
      <c r="M239" s="34"/>
      <c r="N239" s="34"/>
      <c r="O239" s="34"/>
      <c r="P239" s="34"/>
      <c r="Q239" s="34"/>
      <c r="R239" s="36"/>
      <c r="S239" s="21"/>
      <c r="T239" s="34"/>
      <c r="U239" s="34"/>
      <c r="V239" s="34"/>
      <c r="W239" s="37"/>
      <c r="X239" s="35"/>
      <c r="Y239" s="37"/>
      <c r="Z239" s="37"/>
      <c r="AA239" s="37"/>
      <c r="AB239" s="37"/>
      <c r="AC239" s="35"/>
      <c r="AD239" s="38"/>
      <c r="AE239" s="38"/>
      <c r="AF239" s="38"/>
      <c r="AG239" s="38"/>
    </row>
    <row r="240" spans="2:33" hidden="1" outlineLevel="2" x14ac:dyDescent="0.15">
      <c r="B240" s="800" t="s">
        <v>307</v>
      </c>
      <c r="C240" s="815">
        <f t="shared" si="0"/>
        <v>163.10000000000002</v>
      </c>
      <c r="D240" s="843">
        <v>0.23300000000000001</v>
      </c>
      <c r="E240" s="815">
        <f>D240*'Info utili'!$P$20</f>
        <v>2709.2722222222224</v>
      </c>
      <c r="F240" s="829">
        <v>0.1</v>
      </c>
      <c r="G240" s="878">
        <v>0.3</v>
      </c>
      <c r="M240" s="34"/>
      <c r="N240" s="34"/>
      <c r="O240" s="34"/>
      <c r="P240" s="34"/>
      <c r="Q240" s="34"/>
      <c r="R240" s="36"/>
      <c r="S240" s="21"/>
      <c r="T240" s="34"/>
      <c r="U240" s="34"/>
      <c r="V240" s="34"/>
      <c r="W240" s="37"/>
      <c r="X240" s="35"/>
      <c r="Y240" s="37"/>
      <c r="Z240" s="37"/>
      <c r="AA240" s="37"/>
      <c r="AB240" s="37"/>
      <c r="AC240" s="35"/>
      <c r="AD240" s="38"/>
      <c r="AE240" s="38"/>
      <c r="AF240" s="38"/>
      <c r="AG240" s="38"/>
    </row>
    <row r="241" spans="2:33" hidden="1" outlineLevel="2" x14ac:dyDescent="0.15">
      <c r="B241" s="800" t="s">
        <v>308</v>
      </c>
      <c r="C241" s="815">
        <f t="shared" si="0"/>
        <v>39.9</v>
      </c>
      <c r="D241" s="843">
        <v>5.7000000000000002E-2</v>
      </c>
      <c r="E241" s="815">
        <f>D241*'Info utili'!$P$20</f>
        <v>662.7833333333333</v>
      </c>
      <c r="F241" s="829">
        <v>0.1</v>
      </c>
      <c r="G241" s="878">
        <v>0.3</v>
      </c>
      <c r="M241" s="34"/>
      <c r="N241" s="34"/>
      <c r="O241" s="34"/>
      <c r="P241" s="34"/>
      <c r="Q241" s="34"/>
      <c r="R241" s="36"/>
      <c r="S241" s="21"/>
      <c r="T241" s="34"/>
      <c r="U241" s="34"/>
      <c r="V241" s="34"/>
      <c r="W241" s="37"/>
      <c r="X241" s="35"/>
      <c r="Y241" s="37"/>
      <c r="Z241" s="37"/>
      <c r="AA241" s="37"/>
      <c r="AB241" s="37"/>
      <c r="AC241" s="35"/>
      <c r="AD241" s="38"/>
      <c r="AE241" s="38"/>
      <c r="AF241" s="38"/>
      <c r="AG241" s="38"/>
    </row>
    <row r="242" spans="2:33" hidden="1" outlineLevel="2" x14ac:dyDescent="0.15">
      <c r="B242" s="800" t="s">
        <v>309</v>
      </c>
      <c r="C242" s="815">
        <f t="shared" si="0"/>
        <v>48.300000000000004</v>
      </c>
      <c r="D242" s="843">
        <v>6.9000000000000006E-2</v>
      </c>
      <c r="E242" s="815">
        <f>D242*'Info utili'!$P$20</f>
        <v>802.31666666666672</v>
      </c>
      <c r="F242" s="829">
        <v>0.1</v>
      </c>
      <c r="G242" s="878">
        <v>0.3</v>
      </c>
      <c r="M242" s="34"/>
      <c r="N242" s="34"/>
      <c r="O242" s="34"/>
      <c r="P242" s="34"/>
      <c r="Q242" s="34"/>
      <c r="R242" s="36"/>
      <c r="S242" s="21"/>
      <c r="T242" s="34"/>
      <c r="U242" s="34"/>
      <c r="V242" s="34"/>
      <c r="W242" s="37"/>
      <c r="X242" s="35"/>
      <c r="Y242" s="37"/>
      <c r="Z242" s="37"/>
      <c r="AA242" s="37"/>
      <c r="AB242" s="37"/>
      <c r="AC242" s="35"/>
      <c r="AD242" s="38"/>
      <c r="AE242" s="38"/>
      <c r="AF242" s="38"/>
      <c r="AG242" s="38"/>
    </row>
    <row r="243" spans="2:33" hidden="1" outlineLevel="2" x14ac:dyDescent="0.15">
      <c r="B243" s="800" t="s">
        <v>310</v>
      </c>
      <c r="C243" s="815">
        <f t="shared" si="0"/>
        <v>64.400000000000006</v>
      </c>
      <c r="D243" s="843">
        <v>9.1999999999999998E-2</v>
      </c>
      <c r="E243" s="815">
        <f>D243*'Info utili'!$P$20</f>
        <v>1069.7555555555555</v>
      </c>
      <c r="F243" s="829">
        <v>0.1</v>
      </c>
      <c r="G243" s="878">
        <v>0.3</v>
      </c>
      <c r="M243" s="34"/>
      <c r="N243" s="34"/>
      <c r="O243" s="34"/>
      <c r="P243" s="34"/>
      <c r="Q243" s="34"/>
      <c r="R243" s="36"/>
      <c r="S243" s="21"/>
      <c r="T243" s="34"/>
      <c r="U243" s="34"/>
      <c r="V243" s="34"/>
      <c r="W243" s="37"/>
      <c r="X243" s="35"/>
      <c r="Y243" s="37"/>
      <c r="Z243" s="37"/>
      <c r="AA243" s="37"/>
      <c r="AB243" s="37"/>
      <c r="AC243" s="35"/>
      <c r="AD243" s="38"/>
      <c r="AE243" s="38"/>
      <c r="AF243" s="38"/>
      <c r="AG243" s="38"/>
    </row>
    <row r="244" spans="2:33" hidden="1" outlineLevel="2" x14ac:dyDescent="0.15">
      <c r="B244" s="800" t="s">
        <v>311</v>
      </c>
      <c r="C244" s="815">
        <f t="shared" si="0"/>
        <v>146.29999999999998</v>
      </c>
      <c r="D244" s="843">
        <v>0.20899999999999999</v>
      </c>
      <c r="E244" s="815">
        <f>D244*'Info utili'!$P$20</f>
        <v>2430.2055555555553</v>
      </c>
      <c r="F244" s="829">
        <v>0.1</v>
      </c>
      <c r="G244" s="878">
        <v>0.3</v>
      </c>
      <c r="M244" s="34"/>
      <c r="N244" s="34"/>
      <c r="O244" s="34"/>
      <c r="P244" s="34"/>
      <c r="Q244" s="34"/>
      <c r="R244" s="36"/>
      <c r="S244" s="21"/>
      <c r="T244" s="34"/>
      <c r="U244" s="34"/>
      <c r="V244" s="34"/>
      <c r="W244" s="37"/>
      <c r="X244" s="35"/>
      <c r="Y244" s="37"/>
      <c r="Z244" s="37"/>
      <c r="AA244" s="37"/>
      <c r="AB244" s="37"/>
      <c r="AC244" s="35"/>
      <c r="AD244" s="38"/>
      <c r="AE244" s="38"/>
      <c r="AF244" s="38"/>
      <c r="AG244" s="38"/>
    </row>
    <row r="245" spans="2:33" hidden="1" outlineLevel="2" x14ac:dyDescent="0.15">
      <c r="B245" s="800" t="s">
        <v>312</v>
      </c>
      <c r="C245" s="815">
        <f t="shared" si="0"/>
        <v>0</v>
      </c>
      <c r="D245" s="843">
        <v>0</v>
      </c>
      <c r="E245" s="815">
        <f>D245*'Info utili'!$P$20</f>
        <v>0</v>
      </c>
      <c r="F245" s="829">
        <v>0.1</v>
      </c>
      <c r="G245" s="878">
        <v>0.3</v>
      </c>
      <c r="M245" s="34"/>
      <c r="N245" s="34"/>
      <c r="O245" s="34"/>
      <c r="P245" s="34"/>
      <c r="Q245" s="34"/>
      <c r="R245" s="36"/>
      <c r="S245" s="21"/>
      <c r="T245" s="34"/>
      <c r="U245" s="34"/>
      <c r="V245" s="34"/>
      <c r="W245" s="37"/>
      <c r="X245" s="35"/>
      <c r="Y245" s="37"/>
      <c r="Z245" s="37"/>
      <c r="AA245" s="37"/>
      <c r="AB245" s="37"/>
      <c r="AC245" s="35"/>
      <c r="AD245" s="38"/>
      <c r="AE245" s="38"/>
      <c r="AF245" s="38"/>
      <c r="AG245" s="38"/>
    </row>
    <row r="246" spans="2:33" hidden="1" outlineLevel="2" x14ac:dyDescent="0.15">
      <c r="B246" s="800" t="s">
        <v>313</v>
      </c>
      <c r="C246" s="815">
        <f t="shared" si="0"/>
        <v>206.5</v>
      </c>
      <c r="D246" s="843">
        <v>0.29499999999999998</v>
      </c>
      <c r="E246" s="815">
        <f>D246*'Info utili'!$P$20</f>
        <v>3430.1944444444443</v>
      </c>
      <c r="F246" s="829">
        <v>0.1</v>
      </c>
      <c r="G246" s="878">
        <v>0.3</v>
      </c>
      <c r="M246" s="34"/>
      <c r="N246" s="34"/>
      <c r="O246" s="34"/>
      <c r="P246" s="34"/>
      <c r="Q246" s="34"/>
      <c r="R246" s="36"/>
      <c r="S246" s="21"/>
      <c r="T246" s="34"/>
      <c r="U246" s="34"/>
      <c r="V246" s="34"/>
      <c r="W246" s="37"/>
      <c r="X246" s="35"/>
      <c r="Y246" s="37"/>
      <c r="Z246" s="37"/>
      <c r="AA246" s="37"/>
      <c r="AB246" s="37"/>
      <c r="AC246" s="35"/>
      <c r="AD246" s="38"/>
      <c r="AE246" s="38"/>
      <c r="AF246" s="38"/>
      <c r="AG246" s="38"/>
    </row>
    <row r="247" spans="2:33" hidden="1" outlineLevel="2" x14ac:dyDescent="0.15">
      <c r="B247" s="800" t="s">
        <v>314</v>
      </c>
      <c r="C247" s="815">
        <f t="shared" ref="C247:C310" si="1">D247*700</f>
        <v>189.70000000000002</v>
      </c>
      <c r="D247" s="843">
        <v>0.27100000000000002</v>
      </c>
      <c r="E247" s="815">
        <f>D247*'Info utili'!$P$20</f>
        <v>3151.1277777777777</v>
      </c>
      <c r="F247" s="829">
        <v>0.1</v>
      </c>
      <c r="G247" s="878">
        <v>0.3</v>
      </c>
      <c r="M247" s="34"/>
      <c r="N247" s="34"/>
      <c r="O247" s="34"/>
      <c r="P247" s="34"/>
      <c r="Q247" s="34"/>
      <c r="R247" s="36"/>
      <c r="S247" s="21"/>
      <c r="T247" s="34"/>
      <c r="U247" s="34"/>
      <c r="V247" s="34"/>
      <c r="W247" s="37"/>
      <c r="X247" s="35"/>
      <c r="Y247" s="37"/>
      <c r="Z247" s="37"/>
      <c r="AA247" s="37"/>
      <c r="AB247" s="37"/>
      <c r="AC247" s="35"/>
      <c r="AD247" s="38"/>
      <c r="AE247" s="38"/>
      <c r="AF247" s="38"/>
      <c r="AG247" s="38"/>
    </row>
    <row r="248" spans="2:33" hidden="1" outlineLevel="2" x14ac:dyDescent="0.15">
      <c r="B248" s="800" t="s">
        <v>315</v>
      </c>
      <c r="C248" s="815">
        <f t="shared" si="1"/>
        <v>193.9</v>
      </c>
      <c r="D248" s="843">
        <v>0.27700000000000002</v>
      </c>
      <c r="E248" s="815">
        <f>D248*'Info utili'!$P$20</f>
        <v>3220.8944444444446</v>
      </c>
      <c r="F248" s="829">
        <v>0.1</v>
      </c>
      <c r="G248" s="878">
        <v>0.3</v>
      </c>
      <c r="M248" s="34"/>
      <c r="N248" s="34"/>
      <c r="O248" s="34"/>
      <c r="P248" s="34"/>
      <c r="Q248" s="34"/>
      <c r="R248" s="36"/>
      <c r="S248" s="21"/>
      <c r="T248" s="34"/>
      <c r="U248" s="34"/>
      <c r="V248" s="34"/>
      <c r="W248" s="37"/>
      <c r="X248" s="35"/>
      <c r="Y248" s="37"/>
      <c r="Z248" s="37"/>
      <c r="AA248" s="37"/>
      <c r="AB248" s="37"/>
      <c r="AC248" s="35"/>
      <c r="AD248" s="38"/>
      <c r="AE248" s="38"/>
      <c r="AF248" s="38"/>
      <c r="AG248" s="38"/>
    </row>
    <row r="249" spans="2:33" hidden="1" outlineLevel="2" x14ac:dyDescent="0.15">
      <c r="B249" s="800" t="s">
        <v>316</v>
      </c>
      <c r="C249" s="815">
        <f t="shared" si="1"/>
        <v>191.10000000000002</v>
      </c>
      <c r="D249" s="843">
        <v>0.27300000000000002</v>
      </c>
      <c r="E249" s="815">
        <f>D249*'Info utili'!$P$20</f>
        <v>3174.3833333333337</v>
      </c>
      <c r="F249" s="829">
        <v>0.1</v>
      </c>
      <c r="G249" s="878">
        <v>0.3</v>
      </c>
      <c r="M249" s="34"/>
      <c r="N249" s="34"/>
      <c r="O249" s="34"/>
      <c r="P249" s="34"/>
      <c r="Q249" s="34"/>
      <c r="R249" s="36"/>
      <c r="S249" s="21"/>
      <c r="T249" s="34"/>
      <c r="U249" s="34"/>
      <c r="V249" s="34"/>
      <c r="W249" s="37"/>
      <c r="X249" s="35"/>
      <c r="Y249" s="37"/>
      <c r="Z249" s="37"/>
      <c r="AA249" s="37"/>
      <c r="AB249" s="37"/>
      <c r="AC249" s="35"/>
      <c r="AD249" s="38"/>
      <c r="AE249" s="38"/>
      <c r="AF249" s="38"/>
      <c r="AG249" s="38"/>
    </row>
    <row r="250" spans="2:33" hidden="1" outlineLevel="2" x14ac:dyDescent="0.15">
      <c r="B250" s="800" t="s">
        <v>317</v>
      </c>
      <c r="C250" s="815">
        <f t="shared" si="1"/>
        <v>151.19999999999999</v>
      </c>
      <c r="D250" s="843">
        <v>0.216</v>
      </c>
      <c r="E250" s="815">
        <f>D250*'Info utili'!$P$20</f>
        <v>2511.6</v>
      </c>
      <c r="F250" s="829">
        <v>0.1</v>
      </c>
      <c r="G250" s="878">
        <v>0.3</v>
      </c>
      <c r="M250" s="34"/>
      <c r="N250" s="34"/>
      <c r="O250" s="34"/>
      <c r="P250" s="34"/>
      <c r="Q250" s="34"/>
      <c r="R250" s="36"/>
      <c r="S250" s="21"/>
      <c r="T250" s="34"/>
      <c r="U250" s="34"/>
      <c r="V250" s="34"/>
      <c r="W250" s="37"/>
      <c r="X250" s="35"/>
      <c r="Y250" s="37"/>
      <c r="Z250" s="37"/>
      <c r="AA250" s="37"/>
      <c r="AB250" s="37"/>
      <c r="AC250" s="35"/>
      <c r="AD250" s="38"/>
      <c r="AE250" s="38"/>
      <c r="AF250" s="38"/>
      <c r="AG250" s="38"/>
    </row>
    <row r="251" spans="2:33" hidden="1" outlineLevel="2" x14ac:dyDescent="0.15">
      <c r="B251" s="800" t="s">
        <v>318</v>
      </c>
      <c r="C251" s="815">
        <f t="shared" si="1"/>
        <v>169.4</v>
      </c>
      <c r="D251" s="843">
        <v>0.24199999999999999</v>
      </c>
      <c r="E251" s="815">
        <f>D251*'Info utili'!$P$20</f>
        <v>2813.922222222222</v>
      </c>
      <c r="F251" s="829">
        <v>0.1</v>
      </c>
      <c r="G251" s="878">
        <v>0.3</v>
      </c>
      <c r="M251" s="34"/>
      <c r="N251" s="34"/>
      <c r="O251" s="34"/>
      <c r="P251" s="34"/>
      <c r="Q251" s="34"/>
      <c r="R251" s="36"/>
      <c r="S251" s="21"/>
      <c r="T251" s="34"/>
      <c r="U251" s="34"/>
      <c r="V251" s="34"/>
      <c r="W251" s="37"/>
      <c r="X251" s="35"/>
      <c r="Y251" s="37"/>
      <c r="Z251" s="37"/>
      <c r="AA251" s="37"/>
      <c r="AB251" s="37"/>
      <c r="AC251" s="35"/>
      <c r="AD251" s="38"/>
      <c r="AE251" s="38"/>
      <c r="AF251" s="38"/>
      <c r="AG251" s="38"/>
    </row>
    <row r="252" spans="2:33" hidden="1" outlineLevel="2" x14ac:dyDescent="0.15">
      <c r="B252" s="800" t="s">
        <v>319</v>
      </c>
      <c r="C252" s="815">
        <f t="shared" si="1"/>
        <v>191.10000000000002</v>
      </c>
      <c r="D252" s="843">
        <v>0.27300000000000002</v>
      </c>
      <c r="E252" s="815">
        <f>D252*'Info utili'!$P$20</f>
        <v>3174.3833333333337</v>
      </c>
      <c r="F252" s="829">
        <v>0.1</v>
      </c>
      <c r="G252" s="878">
        <v>0.3</v>
      </c>
      <c r="M252" s="34"/>
      <c r="N252" s="34"/>
      <c r="O252" s="34"/>
      <c r="P252" s="34"/>
      <c r="Q252" s="34"/>
      <c r="R252" s="36"/>
      <c r="S252" s="21"/>
      <c r="T252" s="34"/>
      <c r="U252" s="34"/>
      <c r="V252" s="34"/>
      <c r="W252" s="37"/>
      <c r="X252" s="35"/>
      <c r="Y252" s="37"/>
      <c r="Z252" s="37"/>
      <c r="AA252" s="37"/>
      <c r="AB252" s="37"/>
      <c r="AC252" s="35"/>
      <c r="AD252" s="38"/>
      <c r="AE252" s="38"/>
      <c r="AF252" s="38"/>
      <c r="AG252" s="38"/>
    </row>
    <row r="253" spans="2:33" hidden="1" outlineLevel="2" x14ac:dyDescent="0.15">
      <c r="B253" s="800" t="s">
        <v>320</v>
      </c>
      <c r="C253" s="815">
        <f t="shared" si="1"/>
        <v>186.20000000000002</v>
      </c>
      <c r="D253" s="843">
        <v>0.26600000000000001</v>
      </c>
      <c r="E253" s="815">
        <f>D253*'Info utili'!$P$20</f>
        <v>3092.9888888888891</v>
      </c>
      <c r="F253" s="829">
        <v>0.1</v>
      </c>
      <c r="G253" s="878">
        <v>0.3</v>
      </c>
      <c r="M253" s="34"/>
      <c r="N253" s="34"/>
      <c r="O253" s="34"/>
      <c r="P253" s="34"/>
      <c r="Q253" s="34"/>
      <c r="R253" s="36"/>
      <c r="S253" s="21"/>
      <c r="T253" s="34"/>
      <c r="U253" s="34"/>
      <c r="V253" s="34"/>
      <c r="W253" s="37"/>
      <c r="X253" s="35"/>
      <c r="Y253" s="37"/>
      <c r="Z253" s="37"/>
      <c r="AA253" s="37"/>
      <c r="AB253" s="37"/>
      <c r="AC253" s="35"/>
      <c r="AD253" s="38"/>
      <c r="AE253" s="38"/>
      <c r="AF253" s="38"/>
      <c r="AG253" s="38"/>
    </row>
    <row r="254" spans="2:33" hidden="1" outlineLevel="2" x14ac:dyDescent="0.15">
      <c r="B254" s="800" t="s">
        <v>321</v>
      </c>
      <c r="C254" s="815">
        <f t="shared" si="1"/>
        <v>34.300000000000004</v>
      </c>
      <c r="D254" s="843">
        <v>4.9000000000000002E-2</v>
      </c>
      <c r="E254" s="815">
        <f>D254*'Info utili'!$P$20</f>
        <v>569.76111111111106</v>
      </c>
      <c r="F254" s="829">
        <v>0.1</v>
      </c>
      <c r="G254" s="878">
        <v>0.3</v>
      </c>
      <c r="M254" s="34"/>
      <c r="N254" s="34"/>
      <c r="O254" s="34"/>
      <c r="P254" s="34"/>
      <c r="Q254" s="34"/>
      <c r="R254" s="36"/>
      <c r="S254" s="21"/>
      <c r="T254" s="34"/>
      <c r="U254" s="34"/>
      <c r="V254" s="34"/>
      <c r="W254" s="37"/>
      <c r="X254" s="35"/>
      <c r="Y254" s="37"/>
      <c r="Z254" s="37"/>
      <c r="AA254" s="37"/>
      <c r="AB254" s="37"/>
      <c r="AC254" s="35"/>
      <c r="AD254" s="38"/>
      <c r="AE254" s="38"/>
      <c r="AF254" s="38"/>
      <c r="AG254" s="38"/>
    </row>
    <row r="255" spans="2:33" hidden="1" outlineLevel="2" x14ac:dyDescent="0.15">
      <c r="B255" s="800" t="s">
        <v>322</v>
      </c>
      <c r="C255" s="815">
        <f t="shared" si="1"/>
        <v>39.9</v>
      </c>
      <c r="D255" s="843">
        <v>5.7000000000000002E-2</v>
      </c>
      <c r="E255" s="815">
        <f>D255*'Info utili'!$P$20</f>
        <v>662.7833333333333</v>
      </c>
      <c r="F255" s="829">
        <v>0.1</v>
      </c>
      <c r="G255" s="878">
        <v>0.3</v>
      </c>
      <c r="M255" s="34"/>
      <c r="N255" s="34"/>
      <c r="O255" s="34"/>
      <c r="P255" s="34"/>
      <c r="Q255" s="34"/>
      <c r="R255" s="36"/>
      <c r="S255" s="21"/>
      <c r="T255" s="34"/>
      <c r="U255" s="34"/>
      <c r="V255" s="34"/>
      <c r="W255" s="37"/>
      <c r="X255" s="35"/>
      <c r="Y255" s="37"/>
      <c r="Z255" s="37"/>
      <c r="AA255" s="37"/>
      <c r="AB255" s="37"/>
      <c r="AC255" s="35"/>
      <c r="AD255" s="38"/>
      <c r="AE255" s="38"/>
      <c r="AF255" s="38"/>
      <c r="AG255" s="38"/>
    </row>
    <row r="256" spans="2:33" hidden="1" outlineLevel="2" x14ac:dyDescent="0.15">
      <c r="B256" s="800" t="s">
        <v>323</v>
      </c>
      <c r="C256" s="815">
        <f t="shared" si="1"/>
        <v>185.5</v>
      </c>
      <c r="D256" s="843">
        <v>0.26500000000000001</v>
      </c>
      <c r="E256" s="815">
        <f>D256*'Info utili'!$P$20</f>
        <v>3081.3611111111113</v>
      </c>
      <c r="F256" s="829">
        <v>0.1</v>
      </c>
      <c r="G256" s="878">
        <v>0.3</v>
      </c>
      <c r="M256" s="34"/>
      <c r="N256" s="34"/>
      <c r="O256" s="34"/>
      <c r="P256" s="34"/>
      <c r="Q256" s="34"/>
      <c r="R256" s="36"/>
      <c r="S256" s="21"/>
      <c r="T256" s="34"/>
      <c r="U256" s="34"/>
      <c r="V256" s="34"/>
      <c r="W256" s="37"/>
      <c r="X256" s="35"/>
      <c r="Y256" s="37"/>
      <c r="Z256" s="37"/>
      <c r="AA256" s="37"/>
      <c r="AB256" s="37"/>
      <c r="AC256" s="35"/>
      <c r="AD256" s="38"/>
      <c r="AE256" s="38"/>
      <c r="AF256" s="38"/>
      <c r="AG256" s="38"/>
    </row>
    <row r="257" spans="2:33" hidden="1" outlineLevel="2" x14ac:dyDescent="0.15">
      <c r="B257" s="800" t="s">
        <v>324</v>
      </c>
      <c r="C257" s="815">
        <f t="shared" si="1"/>
        <v>166.6</v>
      </c>
      <c r="D257" s="843">
        <v>0.23799999999999999</v>
      </c>
      <c r="E257" s="815">
        <f>D257*'Info utili'!$P$20</f>
        <v>2767.411111111111</v>
      </c>
      <c r="F257" s="829">
        <v>0.1</v>
      </c>
      <c r="G257" s="878">
        <v>0.3</v>
      </c>
      <c r="M257" s="34"/>
      <c r="N257" s="34"/>
      <c r="O257" s="34"/>
      <c r="P257" s="34"/>
      <c r="Q257" s="34"/>
      <c r="R257" s="36"/>
      <c r="S257" s="21"/>
      <c r="T257" s="34"/>
      <c r="U257" s="34"/>
      <c r="V257" s="34"/>
      <c r="W257" s="37"/>
      <c r="X257" s="35"/>
      <c r="Y257" s="37"/>
      <c r="Z257" s="37"/>
      <c r="AA257" s="37"/>
      <c r="AB257" s="37"/>
      <c r="AC257" s="35"/>
      <c r="AD257" s="38"/>
      <c r="AE257" s="38"/>
      <c r="AF257" s="38"/>
      <c r="AG257" s="38"/>
    </row>
    <row r="258" spans="2:33" hidden="1" outlineLevel="2" x14ac:dyDescent="0.15">
      <c r="B258" s="800" t="s">
        <v>325</v>
      </c>
      <c r="C258" s="815">
        <f t="shared" si="1"/>
        <v>119.00000000000001</v>
      </c>
      <c r="D258" s="843">
        <v>0.17</v>
      </c>
      <c r="E258" s="815">
        <f>D258*'Info utili'!$P$20</f>
        <v>1976.7222222222224</v>
      </c>
      <c r="F258" s="829">
        <v>0.1</v>
      </c>
      <c r="G258" s="878">
        <v>0.3</v>
      </c>
      <c r="M258" s="34"/>
      <c r="N258" s="34"/>
      <c r="O258" s="34"/>
      <c r="P258" s="34"/>
      <c r="Q258" s="34"/>
      <c r="R258" s="36"/>
      <c r="S258" s="21"/>
      <c r="T258" s="34"/>
      <c r="U258" s="34"/>
      <c r="V258" s="34"/>
      <c r="W258" s="37"/>
      <c r="X258" s="35"/>
      <c r="Y258" s="37"/>
      <c r="Z258" s="37"/>
      <c r="AA258" s="37"/>
      <c r="AB258" s="37"/>
      <c r="AC258" s="35"/>
      <c r="AD258" s="38"/>
      <c r="AE258" s="38"/>
      <c r="AF258" s="38"/>
      <c r="AG258" s="38"/>
    </row>
    <row r="259" spans="2:33" hidden="1" outlineLevel="2" x14ac:dyDescent="0.15">
      <c r="B259" s="800" t="s">
        <v>326</v>
      </c>
      <c r="C259" s="815">
        <f t="shared" si="1"/>
        <v>151.19999999999999</v>
      </c>
      <c r="D259" s="843">
        <v>0.216</v>
      </c>
      <c r="E259" s="815">
        <f>D259*'Info utili'!$P$20</f>
        <v>2511.6</v>
      </c>
      <c r="F259" s="829">
        <v>0.1</v>
      </c>
      <c r="G259" s="878">
        <v>0.3</v>
      </c>
      <c r="M259" s="34"/>
      <c r="N259" s="34"/>
      <c r="O259" s="34"/>
      <c r="P259" s="34"/>
      <c r="Q259" s="34"/>
      <c r="R259" s="36"/>
      <c r="S259" s="21"/>
      <c r="T259" s="34"/>
      <c r="U259" s="34"/>
      <c r="V259" s="34"/>
      <c r="W259" s="37"/>
      <c r="X259" s="35"/>
      <c r="Y259" s="37"/>
      <c r="Z259" s="37"/>
      <c r="AA259" s="37"/>
      <c r="AB259" s="37"/>
      <c r="AC259" s="35"/>
      <c r="AD259" s="38"/>
      <c r="AE259" s="38"/>
      <c r="AF259" s="38"/>
      <c r="AG259" s="38"/>
    </row>
    <row r="260" spans="2:33" hidden="1" outlineLevel="2" x14ac:dyDescent="0.15">
      <c r="B260" s="800" t="s">
        <v>327</v>
      </c>
      <c r="C260" s="815">
        <f t="shared" si="1"/>
        <v>0</v>
      </c>
      <c r="D260" s="843">
        <v>0</v>
      </c>
      <c r="E260" s="815">
        <f>D260*'Info utili'!$P$20</f>
        <v>0</v>
      </c>
      <c r="F260" s="829">
        <v>0.1</v>
      </c>
      <c r="G260" s="878">
        <v>0.3</v>
      </c>
      <c r="M260" s="34"/>
      <c r="N260" s="34"/>
      <c r="O260" s="34"/>
      <c r="P260" s="34"/>
      <c r="Q260" s="34"/>
      <c r="R260" s="36"/>
      <c r="S260" s="21"/>
      <c r="T260" s="34"/>
      <c r="U260" s="34"/>
      <c r="V260" s="34"/>
      <c r="W260" s="37"/>
      <c r="X260" s="35"/>
      <c r="Y260" s="37"/>
      <c r="Z260" s="37"/>
      <c r="AA260" s="37"/>
      <c r="AB260" s="37"/>
      <c r="AC260" s="35"/>
      <c r="AD260" s="38"/>
      <c r="AE260" s="38"/>
      <c r="AF260" s="38"/>
      <c r="AG260" s="38"/>
    </row>
    <row r="261" spans="2:33" hidden="1" outlineLevel="2" x14ac:dyDescent="0.15">
      <c r="B261" s="800" t="s">
        <v>328</v>
      </c>
      <c r="C261" s="815">
        <f t="shared" si="1"/>
        <v>139.30000000000001</v>
      </c>
      <c r="D261" s="843">
        <v>0.19900000000000001</v>
      </c>
      <c r="E261" s="815">
        <f>D261*'Info utili'!$P$20</f>
        <v>2313.9277777777779</v>
      </c>
      <c r="F261" s="829">
        <v>0.1</v>
      </c>
      <c r="G261" s="878">
        <v>0.3</v>
      </c>
      <c r="M261" s="34"/>
      <c r="N261" s="34"/>
      <c r="O261" s="34"/>
      <c r="P261" s="34"/>
      <c r="Q261" s="34"/>
      <c r="R261" s="36"/>
      <c r="S261" s="21"/>
      <c r="T261" s="34"/>
      <c r="U261" s="34"/>
      <c r="V261" s="34"/>
      <c r="W261" s="37"/>
      <c r="X261" s="35"/>
      <c r="Y261" s="37"/>
      <c r="Z261" s="37"/>
      <c r="AA261" s="37"/>
      <c r="AB261" s="37"/>
      <c r="AC261" s="35"/>
      <c r="AD261" s="38"/>
      <c r="AE261" s="38"/>
      <c r="AF261" s="38"/>
      <c r="AG261" s="38"/>
    </row>
    <row r="262" spans="2:33" hidden="1" outlineLevel="2" x14ac:dyDescent="0.15">
      <c r="B262" s="800" t="s">
        <v>329</v>
      </c>
      <c r="C262" s="815">
        <f t="shared" si="1"/>
        <v>35.699999999999996</v>
      </c>
      <c r="D262" s="843">
        <v>5.0999999999999997E-2</v>
      </c>
      <c r="E262" s="815">
        <f>D262*'Info utili'!$P$20</f>
        <v>593.01666666666665</v>
      </c>
      <c r="F262" s="829">
        <v>0.1</v>
      </c>
      <c r="G262" s="878">
        <v>0.3</v>
      </c>
      <c r="M262" s="34"/>
      <c r="N262" s="34"/>
      <c r="O262" s="34"/>
      <c r="P262" s="34"/>
      <c r="Q262" s="34"/>
      <c r="R262" s="36"/>
      <c r="S262" s="21"/>
      <c r="T262" s="34"/>
      <c r="U262" s="34"/>
      <c r="V262" s="34"/>
      <c r="W262" s="37"/>
      <c r="X262" s="35"/>
      <c r="Y262" s="37"/>
      <c r="Z262" s="37"/>
      <c r="AA262" s="37"/>
      <c r="AB262" s="37"/>
      <c r="AC262" s="35"/>
      <c r="AD262" s="38"/>
      <c r="AE262" s="38"/>
      <c r="AF262" s="38"/>
      <c r="AG262" s="38"/>
    </row>
    <row r="263" spans="2:33" hidden="1" outlineLevel="2" x14ac:dyDescent="0.15">
      <c r="B263" s="800" t="s">
        <v>330</v>
      </c>
      <c r="C263" s="815">
        <f t="shared" si="1"/>
        <v>4.2</v>
      </c>
      <c r="D263" s="843">
        <v>6.0000000000000001E-3</v>
      </c>
      <c r="E263" s="815">
        <f>D263*'Info utili'!$P$20</f>
        <v>69.766666666666666</v>
      </c>
      <c r="F263" s="829">
        <v>0.1</v>
      </c>
      <c r="G263" s="878">
        <v>0.3</v>
      </c>
      <c r="M263" s="34"/>
      <c r="N263" s="34"/>
      <c r="O263" s="34"/>
      <c r="P263" s="34"/>
      <c r="Q263" s="34"/>
      <c r="R263" s="36"/>
      <c r="S263" s="21"/>
      <c r="T263" s="34"/>
      <c r="U263" s="34"/>
      <c r="V263" s="34"/>
      <c r="W263" s="37"/>
      <c r="X263" s="35"/>
      <c r="Y263" s="37"/>
      <c r="Z263" s="37"/>
      <c r="AA263" s="37"/>
      <c r="AB263" s="37"/>
      <c r="AC263" s="35"/>
      <c r="AD263" s="38"/>
      <c r="AE263" s="38"/>
      <c r="AF263" s="38"/>
      <c r="AG263" s="38"/>
    </row>
    <row r="264" spans="2:33" hidden="1" outlineLevel="2" x14ac:dyDescent="0.15">
      <c r="B264" s="800" t="s">
        <v>331</v>
      </c>
      <c r="C264" s="815">
        <f t="shared" si="1"/>
        <v>121.1</v>
      </c>
      <c r="D264" s="843">
        <v>0.17299999999999999</v>
      </c>
      <c r="E264" s="815">
        <f>D264*'Info utili'!$P$20</f>
        <v>2011.6055555555554</v>
      </c>
      <c r="F264" s="829">
        <v>0.1</v>
      </c>
      <c r="G264" s="878">
        <v>0.3</v>
      </c>
      <c r="M264" s="34"/>
      <c r="N264" s="34"/>
      <c r="O264" s="34"/>
      <c r="P264" s="34"/>
      <c r="Q264" s="34"/>
      <c r="R264" s="36"/>
      <c r="S264" s="21"/>
      <c r="T264" s="34"/>
      <c r="U264" s="34"/>
      <c r="V264" s="34"/>
      <c r="W264" s="37"/>
      <c r="X264" s="35"/>
      <c r="Y264" s="37"/>
      <c r="Z264" s="37"/>
      <c r="AA264" s="37"/>
      <c r="AB264" s="37"/>
      <c r="AC264" s="35"/>
      <c r="AD264" s="38"/>
      <c r="AE264" s="38"/>
      <c r="AF264" s="38"/>
      <c r="AG264" s="38"/>
    </row>
    <row r="265" spans="2:33" hidden="1" outlineLevel="2" x14ac:dyDescent="0.15">
      <c r="B265" s="800" t="s">
        <v>332</v>
      </c>
      <c r="C265" s="815">
        <f t="shared" si="1"/>
        <v>168</v>
      </c>
      <c r="D265" s="843">
        <v>0.24</v>
      </c>
      <c r="E265" s="815">
        <f>D265*'Info utili'!$P$20</f>
        <v>2790.6666666666665</v>
      </c>
      <c r="F265" s="829">
        <v>0.1</v>
      </c>
      <c r="G265" s="878">
        <v>0.3</v>
      </c>
      <c r="M265" s="34"/>
      <c r="N265" s="34"/>
      <c r="O265" s="34"/>
      <c r="P265" s="34"/>
      <c r="Q265" s="34"/>
      <c r="R265" s="36"/>
      <c r="S265" s="21"/>
      <c r="T265" s="34"/>
      <c r="U265" s="34"/>
      <c r="V265" s="34"/>
      <c r="W265" s="37"/>
      <c r="X265" s="35"/>
      <c r="Y265" s="37"/>
      <c r="Z265" s="37"/>
      <c r="AA265" s="37"/>
      <c r="AB265" s="37"/>
      <c r="AC265" s="35"/>
      <c r="AD265" s="38"/>
      <c r="AE265" s="38"/>
      <c r="AF265" s="38"/>
      <c r="AG265" s="38"/>
    </row>
    <row r="266" spans="2:33" hidden="1" outlineLevel="2" x14ac:dyDescent="0.15">
      <c r="B266" s="800" t="s">
        <v>333</v>
      </c>
      <c r="C266" s="815">
        <f t="shared" si="1"/>
        <v>3.5</v>
      </c>
      <c r="D266" s="843">
        <v>5.0000000000000001E-3</v>
      </c>
      <c r="E266" s="815">
        <f>D266*'Info utili'!$P$20</f>
        <v>58.138888888888886</v>
      </c>
      <c r="F266" s="829">
        <v>0.1</v>
      </c>
      <c r="G266" s="878">
        <v>0.3</v>
      </c>
      <c r="M266" s="34"/>
      <c r="N266" s="34"/>
      <c r="O266" s="34"/>
      <c r="P266" s="34"/>
      <c r="Q266" s="34"/>
      <c r="R266" s="36"/>
      <c r="S266" s="21"/>
      <c r="T266" s="34"/>
      <c r="U266" s="34"/>
      <c r="V266" s="34"/>
      <c r="W266" s="37"/>
      <c r="X266" s="35"/>
      <c r="Y266" s="37"/>
      <c r="Z266" s="37"/>
      <c r="AA266" s="37"/>
      <c r="AB266" s="37"/>
      <c r="AC266" s="35"/>
      <c r="AD266" s="38"/>
      <c r="AE266" s="38"/>
      <c r="AF266" s="38"/>
      <c r="AG266" s="38"/>
    </row>
    <row r="267" spans="2:33" hidden="1" outlineLevel="2" x14ac:dyDescent="0.15">
      <c r="B267" s="800" t="s">
        <v>334</v>
      </c>
      <c r="C267" s="815">
        <f t="shared" si="1"/>
        <v>15.399999999999999</v>
      </c>
      <c r="D267" s="843">
        <v>2.1999999999999999E-2</v>
      </c>
      <c r="E267" s="815">
        <f>D267*'Info utili'!$P$20</f>
        <v>255.81111111111107</v>
      </c>
      <c r="F267" s="829">
        <v>0.1</v>
      </c>
      <c r="G267" s="878">
        <v>0.3</v>
      </c>
      <c r="M267" s="34"/>
      <c r="N267" s="34"/>
      <c r="O267" s="34"/>
      <c r="P267" s="34"/>
      <c r="Q267" s="34"/>
      <c r="R267" s="36"/>
      <c r="S267" s="21"/>
      <c r="T267" s="34"/>
      <c r="U267" s="34"/>
      <c r="V267" s="34"/>
      <c r="W267" s="37"/>
      <c r="X267" s="35"/>
      <c r="Y267" s="37"/>
      <c r="Z267" s="37"/>
      <c r="AA267" s="37"/>
      <c r="AB267" s="37"/>
      <c r="AC267" s="35"/>
      <c r="AD267" s="38"/>
      <c r="AE267" s="38"/>
      <c r="AF267" s="38"/>
      <c r="AG267" s="38"/>
    </row>
    <row r="268" spans="2:33" hidden="1" outlineLevel="2" x14ac:dyDescent="0.15">
      <c r="B268" s="800" t="s">
        <v>335</v>
      </c>
      <c r="C268" s="815">
        <f t="shared" si="1"/>
        <v>146.29999999999998</v>
      </c>
      <c r="D268" s="843">
        <v>0.20899999999999999</v>
      </c>
      <c r="E268" s="815">
        <f>D268*'Info utili'!$P$20</f>
        <v>2430.2055555555553</v>
      </c>
      <c r="F268" s="829">
        <v>0.1</v>
      </c>
      <c r="G268" s="878">
        <v>0.3</v>
      </c>
      <c r="M268" s="34"/>
      <c r="N268" s="34"/>
      <c r="O268" s="34"/>
      <c r="P268" s="34"/>
      <c r="Q268" s="34"/>
      <c r="R268" s="36"/>
      <c r="S268" s="21"/>
      <c r="T268" s="34"/>
      <c r="U268" s="34"/>
      <c r="V268" s="34"/>
      <c r="W268" s="37"/>
      <c r="X268" s="35"/>
      <c r="Y268" s="37"/>
      <c r="Z268" s="37"/>
      <c r="AA268" s="37"/>
      <c r="AB268" s="37"/>
      <c r="AC268" s="35"/>
      <c r="AD268" s="38"/>
      <c r="AE268" s="38"/>
      <c r="AF268" s="38"/>
      <c r="AG268" s="38"/>
    </row>
    <row r="269" spans="2:33" hidden="1" outlineLevel="2" x14ac:dyDescent="0.15">
      <c r="B269" s="800" t="s">
        <v>336</v>
      </c>
      <c r="C269" s="815">
        <f t="shared" si="1"/>
        <v>184.1</v>
      </c>
      <c r="D269" s="843">
        <v>0.26300000000000001</v>
      </c>
      <c r="E269" s="815">
        <f>D269*'Info utili'!$P$20</f>
        <v>3058.1055555555554</v>
      </c>
      <c r="F269" s="829">
        <v>0.1</v>
      </c>
      <c r="G269" s="878">
        <v>0.3</v>
      </c>
      <c r="M269" s="34"/>
      <c r="N269" s="34"/>
      <c r="O269" s="34"/>
      <c r="P269" s="34"/>
      <c r="Q269" s="34"/>
      <c r="R269" s="36"/>
      <c r="S269" s="21"/>
      <c r="T269" s="34"/>
      <c r="U269" s="34"/>
      <c r="V269" s="34"/>
      <c r="W269" s="37"/>
      <c r="X269" s="35"/>
      <c r="Y269" s="37"/>
      <c r="Z269" s="37"/>
      <c r="AA269" s="37"/>
      <c r="AB269" s="37"/>
      <c r="AC269" s="35"/>
      <c r="AD269" s="38"/>
      <c r="AE269" s="38"/>
      <c r="AF269" s="38"/>
      <c r="AG269" s="38"/>
    </row>
    <row r="270" spans="2:33" hidden="1" outlineLevel="2" x14ac:dyDescent="0.15">
      <c r="B270" s="800" t="s">
        <v>337</v>
      </c>
      <c r="C270" s="815">
        <f t="shared" si="1"/>
        <v>154</v>
      </c>
      <c r="D270" s="843">
        <v>0.22</v>
      </c>
      <c r="E270" s="815">
        <f>D270*'Info utili'!$P$20</f>
        <v>2558.1111111111109</v>
      </c>
      <c r="F270" s="829">
        <v>0.1</v>
      </c>
      <c r="G270" s="878">
        <v>0.3</v>
      </c>
      <c r="M270" s="34"/>
      <c r="N270" s="34"/>
      <c r="O270" s="34"/>
      <c r="P270" s="34"/>
      <c r="Q270" s="34"/>
      <c r="R270" s="36"/>
      <c r="S270" s="21"/>
      <c r="T270" s="34"/>
      <c r="U270" s="34"/>
      <c r="V270" s="34"/>
      <c r="W270" s="37"/>
      <c r="X270" s="35"/>
      <c r="Y270" s="37"/>
      <c r="Z270" s="37"/>
      <c r="AA270" s="37"/>
      <c r="AB270" s="37"/>
      <c r="AC270" s="35"/>
      <c r="AD270" s="38"/>
      <c r="AE270" s="38"/>
      <c r="AF270" s="38"/>
      <c r="AG270" s="38"/>
    </row>
    <row r="271" spans="2:33" hidden="1" outlineLevel="2" x14ac:dyDescent="0.15">
      <c r="B271" s="800" t="s">
        <v>338</v>
      </c>
      <c r="C271" s="815">
        <f t="shared" si="1"/>
        <v>72.8</v>
      </c>
      <c r="D271" s="843">
        <v>0.104</v>
      </c>
      <c r="E271" s="815">
        <f>D271*'Info utili'!$P$20</f>
        <v>1209.2888888888888</v>
      </c>
      <c r="F271" s="829">
        <v>0.1</v>
      </c>
      <c r="G271" s="878">
        <v>0.3</v>
      </c>
      <c r="M271" s="34"/>
      <c r="N271" s="34"/>
      <c r="O271" s="34"/>
      <c r="P271" s="34"/>
      <c r="Q271" s="34"/>
      <c r="R271" s="36"/>
      <c r="S271" s="21"/>
      <c r="T271" s="34"/>
      <c r="U271" s="34"/>
      <c r="V271" s="34"/>
      <c r="W271" s="37"/>
      <c r="X271" s="35"/>
      <c r="Y271" s="37"/>
      <c r="Z271" s="37"/>
      <c r="AA271" s="37"/>
      <c r="AB271" s="37"/>
      <c r="AC271" s="35"/>
      <c r="AD271" s="38"/>
      <c r="AE271" s="38"/>
      <c r="AF271" s="38"/>
      <c r="AG271" s="38"/>
    </row>
    <row r="272" spans="2:33" hidden="1" outlineLevel="2" x14ac:dyDescent="0.15">
      <c r="B272" s="800" t="s">
        <v>339</v>
      </c>
      <c r="C272" s="815">
        <f t="shared" si="1"/>
        <v>151.19999999999999</v>
      </c>
      <c r="D272" s="843">
        <v>0.216</v>
      </c>
      <c r="E272" s="815">
        <f>D272*'Info utili'!$P$20</f>
        <v>2511.6</v>
      </c>
      <c r="F272" s="829">
        <v>0.1</v>
      </c>
      <c r="G272" s="878">
        <v>0.3</v>
      </c>
      <c r="M272" s="34"/>
      <c r="N272" s="34"/>
      <c r="O272" s="34"/>
      <c r="P272" s="34"/>
      <c r="Q272" s="34"/>
      <c r="R272" s="36"/>
      <c r="S272" s="21"/>
      <c r="T272" s="34"/>
      <c r="U272" s="34"/>
      <c r="V272" s="34"/>
      <c r="W272" s="37"/>
      <c r="X272" s="35"/>
      <c r="Y272" s="37"/>
      <c r="Z272" s="37"/>
      <c r="AA272" s="37"/>
      <c r="AB272" s="37"/>
      <c r="AC272" s="35"/>
      <c r="AD272" s="38"/>
      <c r="AE272" s="38"/>
      <c r="AF272" s="38"/>
      <c r="AG272" s="38"/>
    </row>
    <row r="273" spans="2:33" hidden="1" outlineLevel="2" x14ac:dyDescent="0.15">
      <c r="B273" s="800" t="s">
        <v>339</v>
      </c>
      <c r="C273" s="815">
        <f t="shared" si="1"/>
        <v>9.8000000000000007</v>
      </c>
      <c r="D273" s="843">
        <v>1.4E-2</v>
      </c>
      <c r="E273" s="815">
        <f>D273*'Info utili'!$P$20</f>
        <v>162.78888888888889</v>
      </c>
      <c r="F273" s="829">
        <v>0.1</v>
      </c>
      <c r="G273" s="878">
        <v>0.3</v>
      </c>
      <c r="M273" s="34"/>
      <c r="N273" s="34"/>
      <c r="O273" s="34"/>
      <c r="P273" s="34"/>
      <c r="Q273" s="34"/>
      <c r="R273" s="36"/>
      <c r="S273" s="21"/>
      <c r="T273" s="34"/>
      <c r="U273" s="34"/>
      <c r="V273" s="34"/>
      <c r="W273" s="37"/>
      <c r="X273" s="35"/>
      <c r="Y273" s="37"/>
      <c r="Z273" s="37"/>
      <c r="AA273" s="37"/>
      <c r="AB273" s="37"/>
      <c r="AC273" s="35"/>
      <c r="AD273" s="38"/>
      <c r="AE273" s="38"/>
      <c r="AF273" s="38"/>
      <c r="AG273" s="38"/>
    </row>
    <row r="274" spans="2:33" hidden="1" outlineLevel="2" x14ac:dyDescent="0.15">
      <c r="B274" s="800" t="s">
        <v>340</v>
      </c>
      <c r="C274" s="815">
        <f t="shared" si="1"/>
        <v>13.299999999999999</v>
      </c>
      <c r="D274" s="843">
        <v>1.9E-2</v>
      </c>
      <c r="E274" s="815">
        <f>D274*'Info utili'!$P$20</f>
        <v>220.92777777777778</v>
      </c>
      <c r="F274" s="829">
        <v>0.1</v>
      </c>
      <c r="G274" s="878">
        <v>0.3</v>
      </c>
      <c r="M274" s="34"/>
      <c r="N274" s="34"/>
      <c r="O274" s="34"/>
      <c r="P274" s="34"/>
      <c r="Q274" s="34"/>
      <c r="R274" s="36"/>
      <c r="S274" s="21"/>
      <c r="T274" s="34"/>
      <c r="U274" s="34"/>
      <c r="V274" s="34"/>
      <c r="W274" s="37"/>
      <c r="X274" s="35"/>
      <c r="Y274" s="37"/>
      <c r="Z274" s="37"/>
      <c r="AA274" s="37"/>
      <c r="AB274" s="37"/>
      <c r="AC274" s="35"/>
      <c r="AD274" s="38"/>
      <c r="AE274" s="38"/>
      <c r="AF274" s="38"/>
      <c r="AG274" s="38"/>
    </row>
    <row r="275" spans="2:33" hidden="1" outlineLevel="2" x14ac:dyDescent="0.15">
      <c r="B275" s="800" t="s">
        <v>341</v>
      </c>
      <c r="C275" s="815">
        <f t="shared" si="1"/>
        <v>132.30000000000001</v>
      </c>
      <c r="D275" s="843">
        <v>0.189</v>
      </c>
      <c r="E275" s="815">
        <f>D275*'Info utili'!$P$20</f>
        <v>2197.65</v>
      </c>
      <c r="F275" s="829">
        <v>0.1</v>
      </c>
      <c r="G275" s="878">
        <v>0.3</v>
      </c>
      <c r="M275" s="34"/>
      <c r="N275" s="34"/>
      <c r="O275" s="34"/>
      <c r="P275" s="34"/>
      <c r="Q275" s="34"/>
      <c r="R275" s="36"/>
      <c r="S275" s="21"/>
      <c r="T275" s="34"/>
      <c r="U275" s="34"/>
      <c r="V275" s="34"/>
      <c r="W275" s="37"/>
      <c r="X275" s="35"/>
      <c r="Y275" s="37"/>
      <c r="Z275" s="37"/>
      <c r="AA275" s="37"/>
      <c r="AB275" s="37"/>
      <c r="AC275" s="35"/>
      <c r="AD275" s="38"/>
      <c r="AE275" s="38"/>
      <c r="AF275" s="38"/>
      <c r="AG275" s="38"/>
    </row>
    <row r="276" spans="2:33" hidden="1" outlineLevel="2" x14ac:dyDescent="0.15">
      <c r="B276" s="800" t="s">
        <v>342</v>
      </c>
      <c r="C276" s="815">
        <f t="shared" si="1"/>
        <v>144.19999999999999</v>
      </c>
      <c r="D276" s="843">
        <v>0.20599999999999999</v>
      </c>
      <c r="E276" s="815">
        <f>D276*'Info utili'!$P$20</f>
        <v>2395.3222222222221</v>
      </c>
      <c r="F276" s="829">
        <v>0.1</v>
      </c>
      <c r="G276" s="878">
        <v>0.3</v>
      </c>
      <c r="M276" s="34"/>
      <c r="N276" s="34"/>
      <c r="O276" s="34"/>
      <c r="P276" s="34"/>
      <c r="Q276" s="34"/>
      <c r="R276" s="36"/>
      <c r="S276" s="21"/>
      <c r="T276" s="34"/>
      <c r="U276" s="34"/>
      <c r="V276" s="34"/>
      <c r="W276" s="37"/>
      <c r="X276" s="35"/>
      <c r="Y276" s="37"/>
      <c r="Z276" s="37"/>
      <c r="AA276" s="37"/>
      <c r="AB276" s="37"/>
      <c r="AC276" s="35"/>
      <c r="AD276" s="38"/>
      <c r="AE276" s="38"/>
      <c r="AF276" s="38"/>
      <c r="AG276" s="38"/>
    </row>
    <row r="277" spans="2:33" hidden="1" outlineLevel="2" x14ac:dyDescent="0.15">
      <c r="B277" s="800" t="s">
        <v>343</v>
      </c>
      <c r="C277" s="815">
        <f t="shared" si="1"/>
        <v>143.5</v>
      </c>
      <c r="D277" s="843">
        <v>0.20499999999999999</v>
      </c>
      <c r="E277" s="815">
        <f>D277*'Info utili'!$P$20</f>
        <v>2383.6944444444443</v>
      </c>
      <c r="F277" s="829">
        <v>0.1</v>
      </c>
      <c r="G277" s="878">
        <v>0.3</v>
      </c>
      <c r="M277" s="34"/>
      <c r="N277" s="34"/>
      <c r="O277" s="34"/>
      <c r="P277" s="34"/>
      <c r="Q277" s="34"/>
      <c r="R277" s="36"/>
      <c r="S277" s="21"/>
      <c r="T277" s="34"/>
      <c r="U277" s="34"/>
      <c r="V277" s="34"/>
      <c r="W277" s="37"/>
      <c r="X277" s="35"/>
      <c r="Y277" s="37"/>
      <c r="Z277" s="37"/>
      <c r="AA277" s="37"/>
      <c r="AB277" s="37"/>
      <c r="AC277" s="35"/>
      <c r="AD277" s="38"/>
      <c r="AE277" s="38"/>
      <c r="AF277" s="38"/>
      <c r="AG277" s="38"/>
    </row>
    <row r="278" spans="2:33" hidden="1" outlineLevel="2" x14ac:dyDescent="0.15">
      <c r="B278" s="800" t="s">
        <v>344</v>
      </c>
      <c r="C278" s="815">
        <f t="shared" si="1"/>
        <v>23.8</v>
      </c>
      <c r="D278" s="843">
        <v>3.4000000000000002E-2</v>
      </c>
      <c r="E278" s="815">
        <f>D278*'Info utili'!$P$20</f>
        <v>395.34444444444443</v>
      </c>
      <c r="F278" s="829">
        <v>0.1</v>
      </c>
      <c r="G278" s="878">
        <v>0.3</v>
      </c>
      <c r="M278" s="34"/>
      <c r="N278" s="34"/>
      <c r="O278" s="34"/>
      <c r="P278" s="34"/>
      <c r="Q278" s="34"/>
      <c r="R278" s="36"/>
      <c r="S278" s="21"/>
      <c r="T278" s="34"/>
      <c r="U278" s="34"/>
      <c r="V278" s="34"/>
      <c r="W278" s="37"/>
      <c r="X278" s="35"/>
      <c r="Y278" s="37"/>
      <c r="Z278" s="37"/>
      <c r="AA278" s="37"/>
      <c r="AB278" s="37"/>
      <c r="AC278" s="35"/>
      <c r="AD278" s="38"/>
      <c r="AE278" s="38"/>
      <c r="AF278" s="38"/>
      <c r="AG278" s="38"/>
    </row>
    <row r="279" spans="2:33" hidden="1" outlineLevel="2" x14ac:dyDescent="0.15">
      <c r="B279" s="800" t="s">
        <v>345</v>
      </c>
      <c r="C279" s="815">
        <f t="shared" si="1"/>
        <v>48.300000000000004</v>
      </c>
      <c r="D279" s="843">
        <v>6.9000000000000006E-2</v>
      </c>
      <c r="E279" s="815">
        <f>D279*'Info utili'!$P$20</f>
        <v>802.31666666666672</v>
      </c>
      <c r="F279" s="829">
        <v>0.1</v>
      </c>
      <c r="G279" s="878">
        <v>0.3</v>
      </c>
      <c r="M279" s="34"/>
      <c r="N279" s="34"/>
      <c r="O279" s="34"/>
      <c r="P279" s="34"/>
      <c r="Q279" s="34"/>
      <c r="R279" s="36"/>
      <c r="S279" s="21"/>
      <c r="T279" s="34"/>
      <c r="U279" s="34"/>
      <c r="V279" s="34"/>
      <c r="W279" s="37"/>
      <c r="X279" s="35"/>
      <c r="Y279" s="37"/>
      <c r="Z279" s="37"/>
      <c r="AA279" s="37"/>
      <c r="AB279" s="37"/>
      <c r="AC279" s="35"/>
      <c r="AD279" s="38"/>
      <c r="AE279" s="38"/>
      <c r="AF279" s="38"/>
      <c r="AG279" s="38"/>
    </row>
    <row r="280" spans="2:33" hidden="1" outlineLevel="2" x14ac:dyDescent="0.15">
      <c r="B280" s="800" t="s">
        <v>346</v>
      </c>
      <c r="C280" s="815">
        <f t="shared" si="1"/>
        <v>156.80000000000001</v>
      </c>
      <c r="D280" s="843">
        <v>0.224</v>
      </c>
      <c r="E280" s="815">
        <f>D280*'Info utili'!$P$20</f>
        <v>2604.6222222222223</v>
      </c>
      <c r="F280" s="829">
        <v>0.1</v>
      </c>
      <c r="G280" s="878">
        <v>0.3</v>
      </c>
      <c r="M280" s="34"/>
      <c r="N280" s="34"/>
      <c r="O280" s="34"/>
      <c r="P280" s="34"/>
      <c r="Q280" s="34"/>
      <c r="R280" s="36"/>
      <c r="S280" s="21"/>
      <c r="T280" s="34"/>
      <c r="U280" s="34"/>
      <c r="V280" s="34"/>
      <c r="W280" s="37"/>
      <c r="X280" s="35"/>
      <c r="Y280" s="37"/>
      <c r="Z280" s="37"/>
      <c r="AA280" s="37"/>
      <c r="AB280" s="37"/>
      <c r="AC280" s="35"/>
      <c r="AD280" s="38"/>
      <c r="AE280" s="38"/>
      <c r="AF280" s="38"/>
      <c r="AG280" s="38"/>
    </row>
    <row r="281" spans="2:33" hidden="1" outlineLevel="2" x14ac:dyDescent="0.15">
      <c r="B281" s="800" t="s">
        <v>347</v>
      </c>
      <c r="C281" s="815">
        <f t="shared" si="1"/>
        <v>163.80000000000001</v>
      </c>
      <c r="D281" s="843">
        <v>0.23400000000000001</v>
      </c>
      <c r="E281" s="815">
        <f>D281*'Info utili'!$P$20</f>
        <v>2720.9</v>
      </c>
      <c r="F281" s="829">
        <v>0.1</v>
      </c>
      <c r="G281" s="878">
        <v>0.3</v>
      </c>
      <c r="M281" s="34"/>
      <c r="N281" s="34"/>
      <c r="O281" s="34"/>
      <c r="P281" s="34"/>
      <c r="Q281" s="34"/>
      <c r="R281" s="36"/>
      <c r="S281" s="21"/>
      <c r="T281" s="34"/>
      <c r="U281" s="34"/>
      <c r="V281" s="34"/>
      <c r="W281" s="37"/>
      <c r="X281" s="35"/>
      <c r="Y281" s="37"/>
      <c r="Z281" s="37"/>
      <c r="AA281" s="37"/>
      <c r="AB281" s="37"/>
      <c r="AC281" s="35"/>
      <c r="AD281" s="38"/>
      <c r="AE281" s="38"/>
      <c r="AF281" s="38"/>
      <c r="AG281" s="38"/>
    </row>
    <row r="282" spans="2:33" hidden="1" outlineLevel="2" x14ac:dyDescent="0.15">
      <c r="B282" s="800" t="s">
        <v>348</v>
      </c>
      <c r="C282" s="815">
        <f t="shared" si="1"/>
        <v>0</v>
      </c>
      <c r="D282" s="843">
        <v>0</v>
      </c>
      <c r="E282" s="815">
        <f>D282*'Info utili'!$P$20</f>
        <v>0</v>
      </c>
      <c r="F282" s="829">
        <v>0.1</v>
      </c>
      <c r="G282" s="878">
        <v>0.3</v>
      </c>
      <c r="M282" s="34"/>
      <c r="N282" s="34"/>
      <c r="O282" s="34"/>
      <c r="P282" s="34"/>
      <c r="Q282" s="34"/>
      <c r="R282" s="36"/>
      <c r="S282" s="21"/>
      <c r="T282" s="34"/>
      <c r="U282" s="34"/>
      <c r="V282" s="34"/>
      <c r="W282" s="37"/>
      <c r="X282" s="35"/>
      <c r="Y282" s="37"/>
      <c r="Z282" s="37"/>
      <c r="AA282" s="37"/>
      <c r="AB282" s="37"/>
      <c r="AC282" s="35"/>
      <c r="AD282" s="38"/>
      <c r="AE282" s="38"/>
      <c r="AF282" s="38"/>
      <c r="AG282" s="38"/>
    </row>
    <row r="283" spans="2:33" hidden="1" outlineLevel="2" x14ac:dyDescent="0.15">
      <c r="B283" s="800" t="s">
        <v>349</v>
      </c>
      <c r="C283" s="815">
        <f t="shared" si="1"/>
        <v>128.80000000000001</v>
      </c>
      <c r="D283" s="843">
        <v>0.184</v>
      </c>
      <c r="E283" s="815">
        <f>D283*'Info utili'!$P$20</f>
        <v>2139.5111111111109</v>
      </c>
      <c r="F283" s="829">
        <v>0.1</v>
      </c>
      <c r="G283" s="878">
        <v>0.3</v>
      </c>
      <c r="M283" s="34"/>
      <c r="N283" s="34"/>
      <c r="O283" s="34"/>
      <c r="P283" s="34"/>
      <c r="Q283" s="34"/>
      <c r="R283" s="36"/>
      <c r="S283" s="21"/>
      <c r="T283" s="34"/>
      <c r="U283" s="34"/>
      <c r="V283" s="34"/>
      <c r="W283" s="37"/>
      <c r="X283" s="35"/>
      <c r="Y283" s="37"/>
      <c r="Z283" s="37"/>
      <c r="AA283" s="37"/>
      <c r="AB283" s="37"/>
      <c r="AC283" s="35"/>
      <c r="AD283" s="38"/>
      <c r="AE283" s="38"/>
      <c r="AF283" s="38"/>
      <c r="AG283" s="38"/>
    </row>
    <row r="284" spans="2:33" hidden="1" outlineLevel="2" x14ac:dyDescent="0.15">
      <c r="B284" s="800" t="s">
        <v>350</v>
      </c>
      <c r="C284" s="815">
        <f t="shared" si="1"/>
        <v>144.9</v>
      </c>
      <c r="D284" s="843">
        <v>0.20699999999999999</v>
      </c>
      <c r="E284" s="815">
        <f>D284*'Info utili'!$P$20</f>
        <v>2406.9499999999998</v>
      </c>
      <c r="F284" s="829">
        <v>0.1</v>
      </c>
      <c r="G284" s="878">
        <v>0.3</v>
      </c>
      <c r="M284" s="34"/>
      <c r="N284" s="34"/>
      <c r="O284" s="34"/>
      <c r="P284" s="34"/>
      <c r="Q284" s="34"/>
      <c r="R284" s="36"/>
      <c r="S284" s="21"/>
      <c r="T284" s="34"/>
      <c r="U284" s="34"/>
      <c r="V284" s="34"/>
      <c r="W284" s="37"/>
      <c r="X284" s="35"/>
      <c r="Y284" s="37"/>
      <c r="Z284" s="37"/>
      <c r="AA284" s="37"/>
      <c r="AB284" s="37"/>
      <c r="AC284" s="35"/>
      <c r="AD284" s="38"/>
      <c r="AE284" s="38"/>
      <c r="AF284" s="38"/>
      <c r="AG284" s="38"/>
    </row>
    <row r="285" spans="2:33" hidden="1" outlineLevel="2" x14ac:dyDescent="0.15">
      <c r="B285" s="800" t="s">
        <v>351</v>
      </c>
      <c r="C285" s="815">
        <f t="shared" si="1"/>
        <v>171.5</v>
      </c>
      <c r="D285" s="843">
        <v>0.245</v>
      </c>
      <c r="E285" s="815">
        <f>D285*'Info utili'!$P$20</f>
        <v>2848.8055555555552</v>
      </c>
      <c r="F285" s="829">
        <v>0.1</v>
      </c>
      <c r="G285" s="878">
        <v>0.3</v>
      </c>
      <c r="M285" s="34"/>
      <c r="N285" s="34"/>
      <c r="O285" s="34"/>
      <c r="P285" s="34"/>
      <c r="Q285" s="34"/>
      <c r="R285" s="36"/>
      <c r="S285" s="21"/>
      <c r="T285" s="34"/>
      <c r="U285" s="34"/>
      <c r="V285" s="34"/>
      <c r="W285" s="37"/>
      <c r="X285" s="35"/>
      <c r="Y285" s="37"/>
      <c r="Z285" s="37"/>
      <c r="AA285" s="37"/>
      <c r="AB285" s="37"/>
      <c r="AC285" s="35"/>
      <c r="AD285" s="38"/>
      <c r="AE285" s="38"/>
      <c r="AF285" s="38"/>
      <c r="AG285" s="38"/>
    </row>
    <row r="286" spans="2:33" hidden="1" outlineLevel="2" x14ac:dyDescent="0.15">
      <c r="B286" s="800" t="s">
        <v>352</v>
      </c>
      <c r="C286" s="815">
        <f t="shared" si="1"/>
        <v>147</v>
      </c>
      <c r="D286" s="843">
        <v>0.21</v>
      </c>
      <c r="E286" s="815">
        <f>D286*'Info utili'!$P$20</f>
        <v>2441.833333333333</v>
      </c>
      <c r="F286" s="829">
        <v>0.1</v>
      </c>
      <c r="G286" s="878">
        <v>0.3</v>
      </c>
      <c r="M286" s="34"/>
      <c r="N286" s="34"/>
      <c r="O286" s="34"/>
      <c r="P286" s="34"/>
      <c r="Q286" s="34"/>
      <c r="R286" s="36"/>
      <c r="S286" s="21"/>
      <c r="T286" s="34"/>
      <c r="U286" s="34"/>
      <c r="V286" s="34"/>
      <c r="W286" s="37"/>
      <c r="X286" s="35"/>
      <c r="Y286" s="37"/>
      <c r="Z286" s="37"/>
      <c r="AA286" s="37"/>
      <c r="AB286" s="37"/>
      <c r="AC286" s="35"/>
      <c r="AD286" s="38"/>
      <c r="AE286" s="38"/>
      <c r="AF286" s="38"/>
      <c r="AG286" s="38"/>
    </row>
    <row r="287" spans="2:33" hidden="1" outlineLevel="2" x14ac:dyDescent="0.15">
      <c r="B287" s="800" t="s">
        <v>353</v>
      </c>
      <c r="C287" s="815">
        <f t="shared" si="1"/>
        <v>17.5</v>
      </c>
      <c r="D287" s="843">
        <v>2.5000000000000001E-2</v>
      </c>
      <c r="E287" s="815">
        <f>D287*'Info utili'!$P$20</f>
        <v>290.69444444444446</v>
      </c>
      <c r="F287" s="829">
        <v>0.1</v>
      </c>
      <c r="G287" s="878">
        <v>0.3</v>
      </c>
      <c r="M287" s="34"/>
      <c r="N287" s="34"/>
      <c r="O287" s="34"/>
      <c r="P287" s="34"/>
      <c r="Q287" s="34"/>
      <c r="R287" s="36"/>
      <c r="S287" s="21"/>
      <c r="T287" s="34"/>
      <c r="U287" s="34"/>
      <c r="V287" s="34"/>
      <c r="W287" s="37"/>
      <c r="X287" s="35"/>
      <c r="Y287" s="37"/>
      <c r="Z287" s="37"/>
      <c r="AA287" s="37"/>
      <c r="AB287" s="37"/>
      <c r="AC287" s="35"/>
      <c r="AD287" s="38"/>
      <c r="AE287" s="38"/>
      <c r="AF287" s="38"/>
      <c r="AG287" s="38"/>
    </row>
    <row r="288" spans="2:33" hidden="1" outlineLevel="2" x14ac:dyDescent="0.15">
      <c r="B288" s="800" t="s">
        <v>354</v>
      </c>
      <c r="C288" s="815">
        <f t="shared" si="1"/>
        <v>0</v>
      </c>
      <c r="D288" s="843">
        <v>0</v>
      </c>
      <c r="E288" s="815">
        <f>D288*'Info utili'!$P$20</f>
        <v>0</v>
      </c>
      <c r="F288" s="829">
        <v>0.1</v>
      </c>
      <c r="G288" s="878">
        <v>0.3</v>
      </c>
      <c r="M288" s="34"/>
      <c r="N288" s="34"/>
      <c r="O288" s="34"/>
      <c r="P288" s="34"/>
      <c r="Q288" s="34"/>
      <c r="R288" s="36"/>
      <c r="S288" s="21"/>
      <c r="T288" s="34"/>
      <c r="U288" s="34"/>
      <c r="V288" s="34"/>
      <c r="W288" s="37"/>
      <c r="X288" s="35"/>
      <c r="Y288" s="37"/>
      <c r="Z288" s="37"/>
      <c r="AA288" s="37"/>
      <c r="AB288" s="37"/>
      <c r="AC288" s="35"/>
      <c r="AD288" s="38"/>
      <c r="AE288" s="38"/>
      <c r="AF288" s="38"/>
      <c r="AG288" s="38"/>
    </row>
    <row r="289" spans="2:33" hidden="1" outlineLevel="2" x14ac:dyDescent="0.15">
      <c r="B289" s="800" t="s">
        <v>355</v>
      </c>
      <c r="C289" s="815">
        <f t="shared" si="1"/>
        <v>102.19999999999999</v>
      </c>
      <c r="D289" s="843">
        <v>0.14599999999999999</v>
      </c>
      <c r="E289" s="815">
        <f>D289*'Info utili'!$P$20</f>
        <v>1697.6555555555553</v>
      </c>
      <c r="F289" s="829">
        <v>0.1</v>
      </c>
      <c r="G289" s="878">
        <v>0.3</v>
      </c>
      <c r="M289" s="34"/>
      <c r="N289" s="34"/>
      <c r="O289" s="34"/>
      <c r="P289" s="34"/>
      <c r="Q289" s="34"/>
      <c r="R289" s="36"/>
      <c r="S289" s="21"/>
      <c r="T289" s="34"/>
      <c r="U289" s="34"/>
      <c r="V289" s="34"/>
      <c r="W289" s="37"/>
      <c r="X289" s="35"/>
      <c r="Y289" s="37"/>
      <c r="Z289" s="37"/>
      <c r="AA289" s="37"/>
      <c r="AB289" s="37"/>
      <c r="AC289" s="35"/>
      <c r="AD289" s="38"/>
      <c r="AE289" s="38"/>
      <c r="AF289" s="38"/>
      <c r="AG289" s="38"/>
    </row>
    <row r="290" spans="2:33" hidden="1" outlineLevel="2" x14ac:dyDescent="0.15">
      <c r="B290" s="800" t="s">
        <v>356</v>
      </c>
      <c r="C290" s="815">
        <f t="shared" si="1"/>
        <v>6.3</v>
      </c>
      <c r="D290" s="843">
        <v>8.9999999999999993E-3</v>
      </c>
      <c r="E290" s="815">
        <f>D290*'Info utili'!$P$20</f>
        <v>104.64999999999999</v>
      </c>
      <c r="F290" s="829">
        <v>0.1</v>
      </c>
      <c r="G290" s="878">
        <v>0.3</v>
      </c>
      <c r="M290" s="34"/>
      <c r="N290" s="34"/>
      <c r="O290" s="34"/>
      <c r="P290" s="34"/>
      <c r="Q290" s="34"/>
      <c r="R290" s="36"/>
      <c r="S290" s="21"/>
      <c r="T290" s="34"/>
      <c r="U290" s="34"/>
      <c r="V290" s="34"/>
      <c r="W290" s="37"/>
      <c r="X290" s="35"/>
      <c r="Y290" s="37"/>
      <c r="Z290" s="37"/>
      <c r="AA290" s="37"/>
      <c r="AB290" s="37"/>
      <c r="AC290" s="35"/>
      <c r="AD290" s="38"/>
      <c r="AE290" s="38"/>
      <c r="AF290" s="38"/>
      <c r="AG290" s="38"/>
    </row>
    <row r="291" spans="2:33" hidden="1" outlineLevel="2" x14ac:dyDescent="0.15">
      <c r="B291" s="800" t="s">
        <v>357</v>
      </c>
      <c r="C291" s="815">
        <f t="shared" si="1"/>
        <v>116.9</v>
      </c>
      <c r="D291" s="843">
        <v>0.16700000000000001</v>
      </c>
      <c r="E291" s="815">
        <f>D291*'Info utili'!$P$20</f>
        <v>1941.838888888889</v>
      </c>
      <c r="F291" s="829">
        <v>0.1</v>
      </c>
      <c r="G291" s="878">
        <v>0.3</v>
      </c>
      <c r="M291" s="34"/>
      <c r="N291" s="34"/>
      <c r="O291" s="34"/>
      <c r="P291" s="34"/>
      <c r="Q291" s="34"/>
      <c r="R291" s="36"/>
      <c r="S291" s="21"/>
      <c r="T291" s="34"/>
      <c r="U291" s="34"/>
      <c r="V291" s="34"/>
      <c r="W291" s="37"/>
      <c r="X291" s="35"/>
      <c r="Y291" s="37"/>
      <c r="Z291" s="37"/>
      <c r="AA291" s="37"/>
      <c r="AB291" s="37"/>
      <c r="AC291" s="35"/>
      <c r="AD291" s="38"/>
      <c r="AE291" s="38"/>
      <c r="AF291" s="38"/>
      <c r="AG291" s="38"/>
    </row>
    <row r="292" spans="2:33" hidden="1" outlineLevel="2" x14ac:dyDescent="0.15">
      <c r="B292" s="800" t="s">
        <v>358</v>
      </c>
      <c r="C292" s="815">
        <f t="shared" si="1"/>
        <v>68.600000000000009</v>
      </c>
      <c r="D292" s="843">
        <v>9.8000000000000004E-2</v>
      </c>
      <c r="E292" s="815">
        <f>D292*'Info utili'!$P$20</f>
        <v>1139.5222222222221</v>
      </c>
      <c r="F292" s="829">
        <v>0.1</v>
      </c>
      <c r="G292" s="878">
        <v>0.3</v>
      </c>
      <c r="M292" s="34"/>
      <c r="N292" s="34"/>
      <c r="O292" s="34"/>
      <c r="P292" s="34"/>
      <c r="Q292" s="34"/>
      <c r="R292" s="36"/>
      <c r="S292" s="21"/>
      <c r="T292" s="34"/>
      <c r="U292" s="34"/>
      <c r="V292" s="34"/>
      <c r="W292" s="37"/>
      <c r="X292" s="35"/>
      <c r="Y292" s="37"/>
      <c r="Z292" s="37"/>
      <c r="AA292" s="37"/>
      <c r="AB292" s="37"/>
      <c r="AC292" s="35"/>
      <c r="AD292" s="38"/>
      <c r="AE292" s="38"/>
      <c r="AF292" s="38"/>
      <c r="AG292" s="38"/>
    </row>
    <row r="293" spans="2:33" hidden="1" outlineLevel="2" x14ac:dyDescent="0.15">
      <c r="B293" s="800" t="s">
        <v>359</v>
      </c>
      <c r="C293" s="815">
        <f t="shared" si="1"/>
        <v>98.000000000000014</v>
      </c>
      <c r="D293" s="843">
        <v>0.14000000000000001</v>
      </c>
      <c r="E293" s="815">
        <f>D293*'Info utili'!$P$20</f>
        <v>1627.8888888888889</v>
      </c>
      <c r="F293" s="829">
        <v>0.1</v>
      </c>
      <c r="G293" s="878">
        <v>0.3</v>
      </c>
      <c r="M293" s="34"/>
      <c r="N293" s="34"/>
      <c r="O293" s="34"/>
      <c r="P293" s="34"/>
      <c r="Q293" s="34"/>
      <c r="R293" s="36"/>
      <c r="S293" s="21"/>
      <c r="T293" s="34"/>
      <c r="U293" s="34"/>
      <c r="V293" s="34"/>
      <c r="W293" s="37"/>
      <c r="X293" s="35"/>
      <c r="Y293" s="37"/>
      <c r="Z293" s="37"/>
      <c r="AA293" s="37"/>
      <c r="AB293" s="37"/>
      <c r="AC293" s="35"/>
      <c r="AD293" s="38"/>
      <c r="AE293" s="38"/>
      <c r="AF293" s="38"/>
      <c r="AG293" s="38"/>
    </row>
    <row r="294" spans="2:33" hidden="1" outlineLevel="2" x14ac:dyDescent="0.15">
      <c r="B294" s="800" t="s">
        <v>360</v>
      </c>
      <c r="C294" s="815">
        <f t="shared" si="1"/>
        <v>191.8</v>
      </c>
      <c r="D294" s="843">
        <v>0.27400000000000002</v>
      </c>
      <c r="E294" s="815">
        <f>D294*'Info utili'!$P$20</f>
        <v>3186.0111111111114</v>
      </c>
      <c r="F294" s="829">
        <v>0.1</v>
      </c>
      <c r="G294" s="878">
        <v>0.3</v>
      </c>
      <c r="M294" s="34"/>
      <c r="N294" s="34"/>
      <c r="O294" s="34"/>
      <c r="P294" s="34"/>
      <c r="Q294" s="34"/>
      <c r="R294" s="36"/>
      <c r="S294" s="21"/>
      <c r="T294" s="34"/>
      <c r="U294" s="34"/>
      <c r="V294" s="34"/>
      <c r="W294" s="37"/>
      <c r="X294" s="35"/>
      <c r="Y294" s="37"/>
      <c r="Z294" s="37"/>
      <c r="AA294" s="37"/>
      <c r="AB294" s="37"/>
      <c r="AC294" s="35"/>
      <c r="AD294" s="38"/>
      <c r="AE294" s="38"/>
      <c r="AF294" s="38"/>
      <c r="AG294" s="38"/>
    </row>
    <row r="295" spans="2:33" hidden="1" outlineLevel="2" x14ac:dyDescent="0.15">
      <c r="B295" s="800" t="s">
        <v>361</v>
      </c>
      <c r="C295" s="815">
        <f t="shared" si="1"/>
        <v>28</v>
      </c>
      <c r="D295" s="843">
        <v>0.04</v>
      </c>
      <c r="E295" s="815">
        <f>D295*'Info utili'!$P$20</f>
        <v>465.11111111111109</v>
      </c>
      <c r="F295" s="829">
        <v>0.1</v>
      </c>
      <c r="G295" s="878">
        <v>0.3</v>
      </c>
      <c r="M295" s="34"/>
      <c r="N295" s="34"/>
      <c r="O295" s="34"/>
      <c r="P295" s="34"/>
      <c r="Q295" s="34"/>
      <c r="R295" s="36"/>
      <c r="S295" s="21"/>
      <c r="T295" s="34"/>
      <c r="U295" s="34"/>
      <c r="V295" s="34"/>
      <c r="W295" s="37"/>
      <c r="X295" s="35"/>
      <c r="Y295" s="37"/>
      <c r="Z295" s="37"/>
      <c r="AA295" s="37"/>
      <c r="AB295" s="37"/>
      <c r="AC295" s="35"/>
      <c r="AD295" s="38"/>
      <c r="AE295" s="38"/>
      <c r="AF295" s="38"/>
      <c r="AG295" s="38"/>
    </row>
    <row r="296" spans="2:33" hidden="1" outlineLevel="2" x14ac:dyDescent="0.15">
      <c r="B296" s="800" t="s">
        <v>362</v>
      </c>
      <c r="C296" s="815">
        <f t="shared" si="1"/>
        <v>42.699999999999996</v>
      </c>
      <c r="D296" s="843">
        <v>6.0999999999999999E-2</v>
      </c>
      <c r="E296" s="815">
        <f>D296*'Info utili'!$P$20</f>
        <v>709.29444444444437</v>
      </c>
      <c r="F296" s="829">
        <v>0.1</v>
      </c>
      <c r="G296" s="878">
        <v>0.3</v>
      </c>
      <c r="M296" s="34"/>
      <c r="N296" s="34"/>
      <c r="O296" s="34"/>
      <c r="P296" s="34"/>
      <c r="Q296" s="34"/>
      <c r="R296" s="36"/>
      <c r="S296" s="21"/>
      <c r="T296" s="34"/>
      <c r="U296" s="34"/>
      <c r="V296" s="34"/>
      <c r="W296" s="37"/>
      <c r="X296" s="35"/>
      <c r="Y296" s="37"/>
      <c r="Z296" s="37"/>
      <c r="AA296" s="37"/>
      <c r="AB296" s="37"/>
      <c r="AC296" s="35"/>
      <c r="AD296" s="38"/>
      <c r="AE296" s="38"/>
      <c r="AF296" s="38"/>
      <c r="AG296" s="38"/>
    </row>
    <row r="297" spans="2:33" hidden="1" outlineLevel="2" x14ac:dyDescent="0.15">
      <c r="B297" s="800" t="s">
        <v>363</v>
      </c>
      <c r="C297" s="815">
        <f t="shared" si="1"/>
        <v>35</v>
      </c>
      <c r="D297" s="843">
        <v>0.05</v>
      </c>
      <c r="E297" s="815">
        <f>D297*'Info utili'!$P$20</f>
        <v>581.38888888888891</v>
      </c>
      <c r="F297" s="829">
        <v>0.1</v>
      </c>
      <c r="G297" s="878">
        <v>0.3</v>
      </c>
      <c r="M297" s="34"/>
      <c r="N297" s="34"/>
      <c r="O297" s="34"/>
      <c r="P297" s="34"/>
      <c r="Q297" s="34"/>
      <c r="R297" s="36"/>
      <c r="S297" s="21"/>
      <c r="T297" s="34"/>
      <c r="U297" s="34"/>
      <c r="V297" s="34"/>
      <c r="W297" s="37"/>
      <c r="X297" s="35"/>
      <c r="Y297" s="37"/>
      <c r="Z297" s="37"/>
      <c r="AA297" s="37"/>
      <c r="AB297" s="37"/>
      <c r="AC297" s="35"/>
      <c r="AD297" s="38"/>
      <c r="AE297" s="38"/>
      <c r="AF297" s="38"/>
      <c r="AG297" s="38"/>
    </row>
    <row r="298" spans="2:33" hidden="1" outlineLevel="2" x14ac:dyDescent="0.15">
      <c r="B298" s="800" t="s">
        <v>364</v>
      </c>
      <c r="C298" s="815">
        <f t="shared" si="1"/>
        <v>46.2</v>
      </c>
      <c r="D298" s="843">
        <v>6.6000000000000003E-2</v>
      </c>
      <c r="E298" s="815">
        <f>D298*'Info utili'!$P$20</f>
        <v>767.43333333333339</v>
      </c>
      <c r="F298" s="829">
        <v>0.1</v>
      </c>
      <c r="G298" s="878">
        <v>0.3</v>
      </c>
      <c r="M298" s="34"/>
      <c r="N298" s="34"/>
      <c r="O298" s="34"/>
      <c r="P298" s="34"/>
      <c r="Q298" s="34"/>
      <c r="R298" s="36"/>
      <c r="S298" s="21"/>
      <c r="T298" s="34"/>
      <c r="U298" s="34"/>
      <c r="V298" s="34"/>
      <c r="W298" s="37"/>
      <c r="X298" s="35"/>
      <c r="Y298" s="37"/>
      <c r="Z298" s="37"/>
      <c r="AA298" s="37"/>
      <c r="AB298" s="37"/>
      <c r="AC298" s="35"/>
      <c r="AD298" s="38"/>
      <c r="AE298" s="38"/>
      <c r="AF298" s="38"/>
      <c r="AG298" s="38"/>
    </row>
    <row r="299" spans="2:33" hidden="1" outlineLevel="2" x14ac:dyDescent="0.15">
      <c r="B299" s="800" t="s">
        <v>365</v>
      </c>
      <c r="C299" s="815">
        <f t="shared" si="1"/>
        <v>185.5</v>
      </c>
      <c r="D299" s="843">
        <v>0.26500000000000001</v>
      </c>
      <c r="E299" s="815">
        <f>D299*'Info utili'!$P$20</f>
        <v>3081.3611111111113</v>
      </c>
      <c r="F299" s="829">
        <v>0.1</v>
      </c>
      <c r="G299" s="878">
        <v>0.3</v>
      </c>
      <c r="M299" s="34"/>
      <c r="N299" s="34"/>
      <c r="O299" s="34"/>
      <c r="P299" s="34"/>
      <c r="Q299" s="34"/>
      <c r="R299" s="36"/>
      <c r="S299" s="21"/>
      <c r="T299" s="34"/>
      <c r="U299" s="34"/>
      <c r="V299" s="34"/>
      <c r="W299" s="37"/>
      <c r="X299" s="35"/>
      <c r="Y299" s="37"/>
      <c r="Z299" s="37"/>
      <c r="AA299" s="37"/>
      <c r="AB299" s="37"/>
      <c r="AC299" s="35"/>
      <c r="AD299" s="38"/>
      <c r="AE299" s="38"/>
      <c r="AF299" s="38"/>
      <c r="AG299" s="38"/>
    </row>
    <row r="300" spans="2:33" hidden="1" outlineLevel="2" x14ac:dyDescent="0.15">
      <c r="B300" s="800" t="s">
        <v>366</v>
      </c>
      <c r="C300" s="815">
        <f t="shared" si="1"/>
        <v>12.6</v>
      </c>
      <c r="D300" s="843">
        <v>1.7999999999999999E-2</v>
      </c>
      <c r="E300" s="815">
        <f>D300*'Info utili'!$P$20</f>
        <v>209.29999999999998</v>
      </c>
      <c r="F300" s="829">
        <v>0.1</v>
      </c>
      <c r="G300" s="878">
        <v>0.3</v>
      </c>
      <c r="M300" s="34"/>
      <c r="N300" s="34"/>
      <c r="O300" s="34"/>
      <c r="P300" s="34"/>
      <c r="Q300" s="34"/>
      <c r="R300" s="36"/>
      <c r="S300" s="21"/>
      <c r="T300" s="34"/>
      <c r="U300" s="34"/>
      <c r="V300" s="34"/>
      <c r="W300" s="37"/>
      <c r="X300" s="35"/>
      <c r="Y300" s="37"/>
      <c r="Z300" s="37"/>
      <c r="AA300" s="37"/>
      <c r="AB300" s="37"/>
      <c r="AC300" s="35"/>
      <c r="AD300" s="38"/>
      <c r="AE300" s="38"/>
      <c r="AF300" s="38"/>
      <c r="AG300" s="38"/>
    </row>
    <row r="301" spans="2:33" hidden="1" outlineLevel="2" x14ac:dyDescent="0.15">
      <c r="B301" s="800" t="s">
        <v>367</v>
      </c>
      <c r="C301" s="815">
        <f t="shared" si="1"/>
        <v>206.5</v>
      </c>
      <c r="D301" s="843">
        <v>0.29499999999999998</v>
      </c>
      <c r="E301" s="815">
        <f>D301*'Info utili'!$P$20</f>
        <v>3430.1944444444443</v>
      </c>
      <c r="F301" s="829">
        <v>0.1</v>
      </c>
      <c r="G301" s="878">
        <v>0.3</v>
      </c>
      <c r="M301" s="34"/>
      <c r="N301" s="34"/>
      <c r="O301" s="34"/>
      <c r="P301" s="34"/>
      <c r="Q301" s="34"/>
      <c r="R301" s="36"/>
      <c r="S301" s="21"/>
      <c r="T301" s="34"/>
      <c r="U301" s="34"/>
      <c r="V301" s="34"/>
      <c r="W301" s="37"/>
      <c r="X301" s="35"/>
      <c r="Y301" s="37"/>
      <c r="Z301" s="37"/>
      <c r="AA301" s="37"/>
      <c r="AB301" s="37"/>
      <c r="AC301" s="35"/>
      <c r="AD301" s="38"/>
      <c r="AE301" s="38"/>
      <c r="AF301" s="38"/>
      <c r="AG301" s="38"/>
    </row>
    <row r="302" spans="2:33" hidden="1" outlineLevel="2" x14ac:dyDescent="0.15">
      <c r="B302" s="800" t="s">
        <v>368</v>
      </c>
      <c r="C302" s="815">
        <f t="shared" si="1"/>
        <v>219.1</v>
      </c>
      <c r="D302" s="843">
        <v>0.313</v>
      </c>
      <c r="E302" s="815">
        <f>D302*'Info utili'!$P$20</f>
        <v>3639.4944444444445</v>
      </c>
      <c r="F302" s="829">
        <v>0.1</v>
      </c>
      <c r="G302" s="878">
        <v>0.3</v>
      </c>
      <c r="M302" s="34"/>
      <c r="N302" s="34"/>
      <c r="O302" s="34"/>
      <c r="P302" s="34"/>
      <c r="Q302" s="34"/>
      <c r="R302" s="36"/>
      <c r="S302" s="21"/>
      <c r="T302" s="34"/>
      <c r="U302" s="34"/>
      <c r="V302" s="34"/>
      <c r="W302" s="37"/>
      <c r="X302" s="35"/>
      <c r="Y302" s="37"/>
      <c r="Z302" s="37"/>
      <c r="AA302" s="37"/>
      <c r="AB302" s="37"/>
      <c r="AC302" s="35"/>
      <c r="AD302" s="38"/>
      <c r="AE302" s="38"/>
      <c r="AF302" s="38"/>
      <c r="AG302" s="38"/>
    </row>
    <row r="303" spans="2:33" hidden="1" outlineLevel="2" x14ac:dyDescent="0.15">
      <c r="B303" s="800" t="s">
        <v>369</v>
      </c>
      <c r="C303" s="815">
        <f t="shared" si="1"/>
        <v>163.10000000000002</v>
      </c>
      <c r="D303" s="843">
        <v>0.23300000000000001</v>
      </c>
      <c r="E303" s="815">
        <f>D303*'Info utili'!$P$20</f>
        <v>2709.2722222222224</v>
      </c>
      <c r="F303" s="829">
        <v>0.1</v>
      </c>
      <c r="G303" s="878">
        <v>0.3</v>
      </c>
      <c r="M303" s="34"/>
      <c r="N303" s="34"/>
      <c r="O303" s="34"/>
      <c r="P303" s="34"/>
      <c r="Q303" s="34"/>
      <c r="R303" s="36"/>
      <c r="S303" s="21"/>
      <c r="T303" s="34"/>
      <c r="U303" s="34"/>
      <c r="V303" s="34"/>
      <c r="W303" s="37"/>
      <c r="X303" s="35"/>
      <c r="Y303" s="37"/>
      <c r="Z303" s="37"/>
      <c r="AA303" s="37"/>
      <c r="AB303" s="37"/>
      <c r="AC303" s="35"/>
      <c r="AD303" s="38"/>
      <c r="AE303" s="38"/>
      <c r="AF303" s="38"/>
      <c r="AG303" s="38"/>
    </row>
    <row r="304" spans="2:33" hidden="1" outlineLevel="2" x14ac:dyDescent="0.15">
      <c r="B304" s="800" t="s">
        <v>370</v>
      </c>
      <c r="C304" s="815">
        <f t="shared" si="1"/>
        <v>170.1</v>
      </c>
      <c r="D304" s="843">
        <v>0.24299999999999999</v>
      </c>
      <c r="E304" s="815">
        <f>D304*'Info utili'!$P$20</f>
        <v>2825.5499999999997</v>
      </c>
      <c r="F304" s="829">
        <v>0.1</v>
      </c>
      <c r="G304" s="878">
        <v>0.3</v>
      </c>
      <c r="M304" s="34"/>
      <c r="N304" s="34"/>
      <c r="O304" s="34"/>
      <c r="P304" s="34"/>
      <c r="Q304" s="34"/>
      <c r="R304" s="36"/>
      <c r="S304" s="21"/>
      <c r="T304" s="34"/>
      <c r="U304" s="34"/>
      <c r="V304" s="34"/>
      <c r="W304" s="37"/>
      <c r="X304" s="35"/>
      <c r="Y304" s="37"/>
      <c r="Z304" s="37"/>
      <c r="AA304" s="37"/>
      <c r="AB304" s="37"/>
      <c r="AC304" s="35"/>
      <c r="AD304" s="38"/>
      <c r="AE304" s="38"/>
      <c r="AF304" s="38"/>
      <c r="AG304" s="38"/>
    </row>
    <row r="305" spans="2:33" hidden="1" outlineLevel="2" x14ac:dyDescent="0.15">
      <c r="B305" s="800" t="s">
        <v>371</v>
      </c>
      <c r="C305" s="815">
        <f t="shared" si="1"/>
        <v>51.099999999999994</v>
      </c>
      <c r="D305" s="843">
        <v>7.2999999999999995E-2</v>
      </c>
      <c r="E305" s="815">
        <f>D305*'Info utili'!$P$20</f>
        <v>848.82777777777767</v>
      </c>
      <c r="F305" s="829">
        <v>0.1</v>
      </c>
      <c r="G305" s="878">
        <v>0.3</v>
      </c>
      <c r="M305" s="34"/>
      <c r="N305" s="34"/>
      <c r="O305" s="34"/>
      <c r="P305" s="34"/>
      <c r="Q305" s="34"/>
      <c r="R305" s="36"/>
      <c r="S305" s="21"/>
      <c r="T305" s="34"/>
      <c r="U305" s="34"/>
      <c r="V305" s="34"/>
      <c r="W305" s="37"/>
      <c r="X305" s="35"/>
      <c r="Y305" s="37"/>
      <c r="Z305" s="37"/>
      <c r="AA305" s="37"/>
      <c r="AB305" s="37"/>
      <c r="AC305" s="35"/>
      <c r="AD305" s="38"/>
      <c r="AE305" s="38"/>
      <c r="AF305" s="38"/>
      <c r="AG305" s="38"/>
    </row>
    <row r="306" spans="2:33" hidden="1" outlineLevel="2" x14ac:dyDescent="0.15">
      <c r="B306" s="800" t="s">
        <v>372</v>
      </c>
      <c r="C306" s="815">
        <f t="shared" si="1"/>
        <v>130.9</v>
      </c>
      <c r="D306" s="843">
        <v>0.187</v>
      </c>
      <c r="E306" s="815">
        <f>D306*'Info utili'!$P$20</f>
        <v>2174.3944444444442</v>
      </c>
      <c r="F306" s="829">
        <v>0.1</v>
      </c>
      <c r="G306" s="878">
        <v>0.3</v>
      </c>
      <c r="M306" s="34"/>
      <c r="N306" s="34"/>
      <c r="O306" s="34"/>
      <c r="P306" s="34"/>
      <c r="Q306" s="34"/>
      <c r="R306" s="36"/>
      <c r="S306" s="21"/>
      <c r="T306" s="34"/>
      <c r="U306" s="34"/>
      <c r="V306" s="34"/>
      <c r="W306" s="37"/>
      <c r="X306" s="35"/>
      <c r="Y306" s="37"/>
      <c r="Z306" s="37"/>
      <c r="AA306" s="37"/>
      <c r="AB306" s="37"/>
      <c r="AC306" s="35"/>
      <c r="AD306" s="38"/>
      <c r="AE306" s="38"/>
      <c r="AF306" s="38"/>
      <c r="AG306" s="38"/>
    </row>
    <row r="307" spans="2:33" hidden="1" outlineLevel="2" x14ac:dyDescent="0.15">
      <c r="B307" s="800" t="s">
        <v>373</v>
      </c>
      <c r="C307" s="815">
        <f t="shared" si="1"/>
        <v>47.6</v>
      </c>
      <c r="D307" s="843">
        <v>6.8000000000000005E-2</v>
      </c>
      <c r="E307" s="815">
        <f>D307*'Info utili'!$P$20</f>
        <v>790.68888888888887</v>
      </c>
      <c r="F307" s="829">
        <v>0.1</v>
      </c>
      <c r="G307" s="878">
        <v>0.3</v>
      </c>
      <c r="M307" s="34"/>
      <c r="N307" s="34"/>
      <c r="O307" s="34"/>
      <c r="P307" s="34"/>
      <c r="Q307" s="34"/>
      <c r="R307" s="36"/>
      <c r="S307" s="21"/>
      <c r="T307" s="34"/>
      <c r="U307" s="34"/>
      <c r="V307" s="34"/>
      <c r="W307" s="37"/>
      <c r="X307" s="35"/>
      <c r="Y307" s="37"/>
      <c r="Z307" s="37"/>
      <c r="AA307" s="37"/>
      <c r="AB307" s="37"/>
      <c r="AC307" s="35"/>
      <c r="AD307" s="38"/>
      <c r="AE307" s="38"/>
      <c r="AF307" s="38"/>
      <c r="AG307" s="38"/>
    </row>
    <row r="308" spans="2:33" hidden="1" outlineLevel="2" x14ac:dyDescent="0.15">
      <c r="B308" s="800" t="s">
        <v>374</v>
      </c>
      <c r="C308" s="815">
        <f t="shared" si="1"/>
        <v>89.600000000000009</v>
      </c>
      <c r="D308" s="843">
        <v>0.128</v>
      </c>
      <c r="E308" s="815">
        <f>D308*'Info utili'!$P$20</f>
        <v>1488.3555555555556</v>
      </c>
      <c r="F308" s="829">
        <v>0.1</v>
      </c>
      <c r="G308" s="878">
        <v>0.3</v>
      </c>
      <c r="M308" s="34"/>
      <c r="N308" s="34"/>
      <c r="O308" s="34"/>
      <c r="P308" s="34"/>
      <c r="Q308" s="34"/>
      <c r="R308" s="36"/>
      <c r="S308" s="21"/>
      <c r="T308" s="34"/>
      <c r="U308" s="34"/>
      <c r="V308" s="34"/>
      <c r="W308" s="37"/>
      <c r="X308" s="35"/>
      <c r="Y308" s="37"/>
      <c r="Z308" s="37"/>
      <c r="AA308" s="37"/>
      <c r="AB308" s="37"/>
      <c r="AC308" s="35"/>
      <c r="AD308" s="38"/>
      <c r="AE308" s="38"/>
      <c r="AF308" s="38"/>
      <c r="AG308" s="38"/>
    </row>
    <row r="309" spans="2:33" hidden="1" outlineLevel="2" x14ac:dyDescent="0.15">
      <c r="B309" s="800" t="s">
        <v>375</v>
      </c>
      <c r="C309" s="815">
        <f t="shared" si="1"/>
        <v>89.600000000000009</v>
      </c>
      <c r="D309" s="843">
        <v>0.128</v>
      </c>
      <c r="E309" s="815">
        <f>D309*'Info utili'!$P$20</f>
        <v>1488.3555555555556</v>
      </c>
      <c r="F309" s="829">
        <v>0.1</v>
      </c>
      <c r="G309" s="878">
        <v>0.3</v>
      </c>
      <c r="M309" s="34"/>
      <c r="N309" s="34"/>
      <c r="O309" s="34"/>
      <c r="P309" s="34"/>
      <c r="Q309" s="34"/>
      <c r="R309" s="36"/>
      <c r="S309" s="21"/>
      <c r="T309" s="34"/>
      <c r="U309" s="34"/>
      <c r="V309" s="34"/>
      <c r="W309" s="37"/>
      <c r="X309" s="35"/>
      <c r="Y309" s="37"/>
      <c r="Z309" s="37"/>
      <c r="AA309" s="37"/>
      <c r="AB309" s="37"/>
      <c r="AC309" s="35"/>
      <c r="AD309" s="38"/>
      <c r="AE309" s="38"/>
      <c r="AF309" s="38"/>
      <c r="AG309" s="38"/>
    </row>
    <row r="310" spans="2:33" hidden="1" outlineLevel="2" x14ac:dyDescent="0.15">
      <c r="B310" s="800" t="s">
        <v>376</v>
      </c>
      <c r="C310" s="815">
        <f t="shared" si="1"/>
        <v>0</v>
      </c>
      <c r="D310" s="843">
        <v>0</v>
      </c>
      <c r="E310" s="815">
        <f>D310*'Info utili'!$P$20</f>
        <v>0</v>
      </c>
      <c r="F310" s="829">
        <v>0.1</v>
      </c>
      <c r="G310" s="878">
        <v>0.3</v>
      </c>
      <c r="M310" s="34"/>
      <c r="N310" s="34"/>
      <c r="O310" s="34"/>
      <c r="P310" s="34"/>
      <c r="Q310" s="34"/>
      <c r="R310" s="36"/>
      <c r="S310" s="21"/>
      <c r="T310" s="34"/>
      <c r="U310" s="34"/>
      <c r="V310" s="34"/>
      <c r="W310" s="37"/>
      <c r="X310" s="35"/>
      <c r="Y310" s="37"/>
      <c r="Z310" s="37"/>
      <c r="AA310" s="37"/>
      <c r="AB310" s="37"/>
      <c r="AC310" s="35"/>
      <c r="AD310" s="38"/>
      <c r="AE310" s="38"/>
      <c r="AF310" s="38"/>
      <c r="AG310" s="38"/>
    </row>
    <row r="311" spans="2:33" hidden="1" outlineLevel="2" x14ac:dyDescent="0.15">
      <c r="B311" s="800" t="s">
        <v>377</v>
      </c>
      <c r="C311" s="815">
        <f t="shared" ref="C311:C374" si="2">D311*700</f>
        <v>79.8</v>
      </c>
      <c r="D311" s="843">
        <v>0.114</v>
      </c>
      <c r="E311" s="815">
        <f>D311*'Info utili'!$P$20</f>
        <v>1325.5666666666666</v>
      </c>
      <c r="F311" s="829">
        <v>0.1</v>
      </c>
      <c r="G311" s="878">
        <v>0.3</v>
      </c>
      <c r="M311" s="34"/>
      <c r="N311" s="34"/>
      <c r="O311" s="34"/>
      <c r="P311" s="34"/>
      <c r="Q311" s="34"/>
      <c r="R311" s="36"/>
      <c r="S311" s="21"/>
      <c r="T311" s="34"/>
      <c r="U311" s="34"/>
      <c r="V311" s="34"/>
      <c r="W311" s="37"/>
      <c r="X311" s="35"/>
      <c r="Y311" s="37"/>
      <c r="Z311" s="37"/>
      <c r="AA311" s="37"/>
      <c r="AB311" s="37"/>
      <c r="AC311" s="35"/>
      <c r="AD311" s="38"/>
      <c r="AE311" s="38"/>
      <c r="AF311" s="38"/>
      <c r="AG311" s="38"/>
    </row>
    <row r="312" spans="2:33" hidden="1" outlineLevel="2" x14ac:dyDescent="0.15">
      <c r="B312" s="800" t="s">
        <v>378</v>
      </c>
      <c r="C312" s="815">
        <f t="shared" si="2"/>
        <v>10.5</v>
      </c>
      <c r="D312" s="843">
        <v>1.4999999999999999E-2</v>
      </c>
      <c r="E312" s="815">
        <f>D312*'Info utili'!$P$20</f>
        <v>174.41666666666666</v>
      </c>
      <c r="F312" s="829">
        <v>0.1</v>
      </c>
      <c r="G312" s="878">
        <v>0.3</v>
      </c>
      <c r="M312" s="34"/>
      <c r="N312" s="34"/>
      <c r="O312" s="34"/>
      <c r="P312" s="34"/>
      <c r="Q312" s="34"/>
      <c r="R312" s="36"/>
      <c r="S312" s="21"/>
      <c r="T312" s="34"/>
      <c r="U312" s="34"/>
      <c r="V312" s="34"/>
      <c r="W312" s="37"/>
      <c r="X312" s="35"/>
      <c r="Y312" s="37"/>
      <c r="Z312" s="37"/>
      <c r="AA312" s="37"/>
      <c r="AB312" s="37"/>
      <c r="AC312" s="35"/>
      <c r="AD312" s="38"/>
      <c r="AE312" s="38"/>
      <c r="AF312" s="38"/>
      <c r="AG312" s="38"/>
    </row>
    <row r="313" spans="2:33" hidden="1" outlineLevel="2" x14ac:dyDescent="0.15">
      <c r="B313" s="800" t="s">
        <v>379</v>
      </c>
      <c r="C313" s="815">
        <f t="shared" si="2"/>
        <v>168</v>
      </c>
      <c r="D313" s="843">
        <v>0.24</v>
      </c>
      <c r="E313" s="815">
        <f>D313*'Info utili'!$P$20</f>
        <v>2790.6666666666665</v>
      </c>
      <c r="F313" s="829">
        <v>0.1</v>
      </c>
      <c r="G313" s="878">
        <v>0.3</v>
      </c>
      <c r="M313" s="34"/>
      <c r="N313" s="34"/>
      <c r="O313" s="34"/>
      <c r="P313" s="34"/>
      <c r="Q313" s="34"/>
      <c r="R313" s="36"/>
      <c r="S313" s="21"/>
      <c r="T313" s="34"/>
      <c r="U313" s="34"/>
      <c r="V313" s="34"/>
      <c r="W313" s="37"/>
      <c r="X313" s="35"/>
      <c r="Y313" s="37"/>
      <c r="Z313" s="37"/>
      <c r="AA313" s="37"/>
      <c r="AB313" s="37"/>
      <c r="AC313" s="35"/>
      <c r="AD313" s="38"/>
      <c r="AE313" s="38"/>
      <c r="AF313" s="38"/>
      <c r="AG313" s="38"/>
    </row>
    <row r="314" spans="2:33" hidden="1" outlineLevel="2" x14ac:dyDescent="0.15">
      <c r="B314" s="800" t="s">
        <v>380</v>
      </c>
      <c r="C314" s="815">
        <f t="shared" si="2"/>
        <v>178.5</v>
      </c>
      <c r="D314" s="843">
        <v>0.255</v>
      </c>
      <c r="E314" s="815">
        <f>D314*'Info utili'!$P$20</f>
        <v>2965.0833333333335</v>
      </c>
      <c r="F314" s="829">
        <v>0.1</v>
      </c>
      <c r="G314" s="878">
        <v>0.3</v>
      </c>
      <c r="M314" s="34"/>
      <c r="N314" s="34"/>
      <c r="O314" s="34"/>
      <c r="P314" s="34"/>
      <c r="Q314" s="34"/>
      <c r="R314" s="36"/>
      <c r="S314" s="21"/>
      <c r="T314" s="34"/>
      <c r="U314" s="34"/>
      <c r="V314" s="34"/>
      <c r="W314" s="37"/>
      <c r="X314" s="35"/>
      <c r="Y314" s="37"/>
      <c r="Z314" s="37"/>
      <c r="AA314" s="37"/>
      <c r="AB314" s="37"/>
      <c r="AC314" s="35"/>
      <c r="AD314" s="38"/>
      <c r="AE314" s="38"/>
      <c r="AF314" s="38"/>
      <c r="AG314" s="38"/>
    </row>
    <row r="315" spans="2:33" hidden="1" outlineLevel="2" x14ac:dyDescent="0.15">
      <c r="B315" s="800" t="s">
        <v>381</v>
      </c>
      <c r="C315" s="815">
        <f t="shared" si="2"/>
        <v>44.800000000000004</v>
      </c>
      <c r="D315" s="843">
        <v>6.4000000000000001E-2</v>
      </c>
      <c r="E315" s="815">
        <f>D315*'Info utili'!$P$20</f>
        <v>744.17777777777781</v>
      </c>
      <c r="F315" s="829">
        <v>0.1</v>
      </c>
      <c r="G315" s="878">
        <v>0.3</v>
      </c>
      <c r="M315" s="34"/>
      <c r="N315" s="34"/>
      <c r="O315" s="34"/>
      <c r="P315" s="34"/>
      <c r="Q315" s="34"/>
      <c r="R315" s="36"/>
      <c r="S315" s="21"/>
      <c r="T315" s="34"/>
      <c r="U315" s="34"/>
      <c r="V315" s="34"/>
      <c r="W315" s="37"/>
      <c r="X315" s="35"/>
      <c r="Y315" s="37"/>
      <c r="Z315" s="37"/>
      <c r="AA315" s="37"/>
      <c r="AB315" s="37"/>
      <c r="AC315" s="35"/>
      <c r="AD315" s="38"/>
      <c r="AE315" s="38"/>
      <c r="AF315" s="38"/>
      <c r="AG315" s="38"/>
    </row>
    <row r="316" spans="2:33" hidden="1" outlineLevel="2" x14ac:dyDescent="0.15">
      <c r="B316" s="800" t="s">
        <v>382</v>
      </c>
      <c r="C316" s="815">
        <f t="shared" si="2"/>
        <v>168.7</v>
      </c>
      <c r="D316" s="843">
        <v>0.24099999999999999</v>
      </c>
      <c r="E316" s="815">
        <f>D316*'Info utili'!$P$20</f>
        <v>2802.2944444444443</v>
      </c>
      <c r="F316" s="829">
        <v>0.1</v>
      </c>
      <c r="G316" s="878">
        <v>0.3</v>
      </c>
      <c r="M316" s="34"/>
      <c r="N316" s="34"/>
      <c r="O316" s="34"/>
      <c r="P316" s="34"/>
      <c r="Q316" s="34"/>
      <c r="R316" s="36"/>
      <c r="S316" s="21"/>
      <c r="T316" s="34"/>
      <c r="U316" s="34"/>
      <c r="V316" s="34"/>
      <c r="W316" s="37"/>
      <c r="X316" s="35"/>
      <c r="Y316" s="37"/>
      <c r="Z316" s="37"/>
      <c r="AA316" s="37"/>
      <c r="AB316" s="37"/>
      <c r="AC316" s="35"/>
      <c r="AD316" s="38"/>
      <c r="AE316" s="38"/>
      <c r="AF316" s="38"/>
      <c r="AG316" s="38"/>
    </row>
    <row r="317" spans="2:33" hidden="1" outlineLevel="2" x14ac:dyDescent="0.15">
      <c r="B317" s="800" t="s">
        <v>383</v>
      </c>
      <c r="C317" s="815">
        <f t="shared" si="2"/>
        <v>182</v>
      </c>
      <c r="D317" s="843">
        <v>0.26</v>
      </c>
      <c r="E317" s="815">
        <f>D317*'Info utili'!$P$20</f>
        <v>3023.2222222222222</v>
      </c>
      <c r="F317" s="829">
        <v>0.1</v>
      </c>
      <c r="G317" s="878">
        <v>0.3</v>
      </c>
      <c r="M317" s="34"/>
      <c r="N317" s="34"/>
      <c r="O317" s="34"/>
      <c r="P317" s="34"/>
      <c r="Q317" s="34"/>
      <c r="R317" s="36"/>
      <c r="S317" s="21"/>
      <c r="T317" s="34"/>
      <c r="U317" s="34"/>
      <c r="V317" s="34"/>
      <c r="W317" s="37"/>
      <c r="X317" s="35"/>
      <c r="Y317" s="37"/>
      <c r="Z317" s="37"/>
      <c r="AA317" s="37"/>
      <c r="AB317" s="37"/>
      <c r="AC317" s="35"/>
      <c r="AD317" s="38"/>
      <c r="AE317" s="38"/>
      <c r="AF317" s="38"/>
      <c r="AG317" s="38"/>
    </row>
    <row r="318" spans="2:33" hidden="1" outlineLevel="2" x14ac:dyDescent="0.15">
      <c r="B318" s="800" t="s">
        <v>384</v>
      </c>
      <c r="C318" s="815">
        <f t="shared" si="2"/>
        <v>0</v>
      </c>
      <c r="D318" s="843">
        <v>0</v>
      </c>
      <c r="E318" s="815">
        <f>D318*'Info utili'!$P$20</f>
        <v>0</v>
      </c>
      <c r="F318" s="829">
        <v>0.1</v>
      </c>
      <c r="G318" s="878">
        <v>0.3</v>
      </c>
      <c r="M318" s="34"/>
      <c r="N318" s="34"/>
      <c r="O318" s="34"/>
      <c r="P318" s="34"/>
      <c r="Q318" s="34"/>
      <c r="R318" s="36"/>
      <c r="S318" s="21"/>
      <c r="T318" s="34"/>
      <c r="U318" s="34"/>
      <c r="V318" s="34"/>
      <c r="W318" s="37"/>
      <c r="X318" s="35"/>
      <c r="Y318" s="37"/>
      <c r="Z318" s="37"/>
      <c r="AA318" s="37"/>
      <c r="AB318" s="37"/>
      <c r="AC318" s="35"/>
      <c r="AD318" s="38"/>
      <c r="AE318" s="38"/>
      <c r="AF318" s="38"/>
      <c r="AG318" s="38"/>
    </row>
    <row r="319" spans="2:33" hidden="1" outlineLevel="2" x14ac:dyDescent="0.15">
      <c r="B319" s="800" t="s">
        <v>385</v>
      </c>
      <c r="C319" s="815">
        <f t="shared" si="2"/>
        <v>14</v>
      </c>
      <c r="D319" s="843">
        <v>0.02</v>
      </c>
      <c r="E319" s="815">
        <f>D319*'Info utili'!$P$20</f>
        <v>232.55555555555554</v>
      </c>
      <c r="F319" s="829">
        <v>0.1</v>
      </c>
      <c r="G319" s="878">
        <v>0.3</v>
      </c>
      <c r="M319" s="34"/>
      <c r="N319" s="34"/>
      <c r="O319" s="34"/>
      <c r="P319" s="34"/>
      <c r="Q319" s="34"/>
      <c r="R319" s="36"/>
      <c r="S319" s="21"/>
      <c r="T319" s="34"/>
      <c r="U319" s="34"/>
      <c r="V319" s="34"/>
      <c r="W319" s="37"/>
      <c r="X319" s="35"/>
      <c r="Y319" s="37"/>
      <c r="Z319" s="37"/>
      <c r="AA319" s="37"/>
      <c r="AB319" s="37"/>
      <c r="AC319" s="35"/>
      <c r="AD319" s="38"/>
      <c r="AE319" s="38"/>
      <c r="AF319" s="38"/>
      <c r="AG319" s="38"/>
    </row>
    <row r="320" spans="2:33" hidden="1" outlineLevel="2" x14ac:dyDescent="0.15">
      <c r="B320" s="800" t="s">
        <v>386</v>
      </c>
      <c r="C320" s="815">
        <f t="shared" si="2"/>
        <v>25.9</v>
      </c>
      <c r="D320" s="843">
        <v>3.6999999999999998E-2</v>
      </c>
      <c r="E320" s="815">
        <f>D320*'Info utili'!$P$20</f>
        <v>430.22777777777776</v>
      </c>
      <c r="F320" s="829">
        <v>0.1</v>
      </c>
      <c r="G320" s="878">
        <v>0.3</v>
      </c>
      <c r="M320" s="34"/>
      <c r="N320" s="34"/>
      <c r="O320" s="34"/>
      <c r="P320" s="34"/>
      <c r="Q320" s="34"/>
      <c r="R320" s="36"/>
      <c r="S320" s="21"/>
      <c r="T320" s="34"/>
      <c r="U320" s="34"/>
      <c r="V320" s="34"/>
      <c r="W320" s="37"/>
      <c r="X320" s="35"/>
      <c r="Y320" s="37"/>
      <c r="Z320" s="37"/>
      <c r="AA320" s="37"/>
      <c r="AB320" s="37"/>
      <c r="AC320" s="35"/>
      <c r="AD320" s="38"/>
      <c r="AE320" s="38"/>
      <c r="AF320" s="38"/>
      <c r="AG320" s="38"/>
    </row>
    <row r="321" spans="2:33" hidden="1" outlineLevel="2" x14ac:dyDescent="0.15">
      <c r="B321" s="800" t="s">
        <v>387</v>
      </c>
      <c r="C321" s="815">
        <f t="shared" si="2"/>
        <v>7.6999999999999993</v>
      </c>
      <c r="D321" s="843">
        <v>1.0999999999999999E-2</v>
      </c>
      <c r="E321" s="815">
        <f>D321*'Info utili'!$P$20</f>
        <v>127.90555555555554</v>
      </c>
      <c r="F321" s="829">
        <v>0.1</v>
      </c>
      <c r="G321" s="878">
        <v>0.3</v>
      </c>
      <c r="M321" s="34"/>
      <c r="N321" s="34"/>
      <c r="O321" s="34"/>
      <c r="P321" s="34"/>
      <c r="Q321" s="34"/>
      <c r="R321" s="36"/>
      <c r="S321" s="21"/>
      <c r="T321" s="34"/>
      <c r="U321" s="34"/>
      <c r="V321" s="34"/>
      <c r="W321" s="37"/>
      <c r="X321" s="35"/>
      <c r="Y321" s="37"/>
      <c r="Z321" s="37"/>
      <c r="AA321" s="37"/>
      <c r="AB321" s="37"/>
      <c r="AC321" s="35"/>
      <c r="AD321" s="38"/>
      <c r="AE321" s="38"/>
      <c r="AF321" s="38"/>
      <c r="AG321" s="38"/>
    </row>
    <row r="322" spans="2:33" hidden="1" outlineLevel="2" x14ac:dyDescent="0.15">
      <c r="B322" s="800" t="s">
        <v>388</v>
      </c>
      <c r="C322" s="815">
        <f t="shared" si="2"/>
        <v>16.100000000000001</v>
      </c>
      <c r="D322" s="843">
        <v>2.3E-2</v>
      </c>
      <c r="E322" s="815">
        <f>D322*'Info utili'!$P$20</f>
        <v>267.43888888888887</v>
      </c>
      <c r="F322" s="829">
        <v>0.1</v>
      </c>
      <c r="G322" s="878">
        <v>0.3</v>
      </c>
      <c r="M322" s="34"/>
      <c r="N322" s="34"/>
      <c r="O322" s="34"/>
      <c r="P322" s="34"/>
      <c r="Q322" s="34"/>
      <c r="R322" s="36"/>
      <c r="S322" s="21"/>
      <c r="T322" s="34"/>
      <c r="U322" s="34"/>
      <c r="V322" s="34"/>
      <c r="W322" s="37"/>
      <c r="X322" s="35"/>
      <c r="Y322" s="37"/>
      <c r="Z322" s="37"/>
      <c r="AA322" s="37"/>
      <c r="AB322" s="37"/>
      <c r="AC322" s="35"/>
      <c r="AD322" s="38"/>
      <c r="AE322" s="38"/>
      <c r="AF322" s="38"/>
      <c r="AG322" s="38"/>
    </row>
    <row r="323" spans="2:33" hidden="1" outlineLevel="2" x14ac:dyDescent="0.15">
      <c r="B323" s="800" t="s">
        <v>389</v>
      </c>
      <c r="C323" s="815">
        <f t="shared" si="2"/>
        <v>0</v>
      </c>
      <c r="D323" s="843">
        <v>0</v>
      </c>
      <c r="E323" s="815">
        <f>D323*'Info utili'!$P$20</f>
        <v>0</v>
      </c>
      <c r="F323" s="829">
        <v>0.1</v>
      </c>
      <c r="G323" s="878">
        <v>0.3</v>
      </c>
      <c r="M323" s="34"/>
      <c r="N323" s="34"/>
      <c r="O323" s="34"/>
      <c r="P323" s="34"/>
      <c r="Q323" s="34"/>
      <c r="R323" s="36"/>
      <c r="S323" s="21"/>
      <c r="T323" s="34"/>
      <c r="U323" s="34"/>
      <c r="V323" s="34"/>
      <c r="W323" s="37"/>
      <c r="X323" s="35"/>
      <c r="Y323" s="37"/>
      <c r="Z323" s="37"/>
      <c r="AA323" s="37"/>
      <c r="AB323" s="37"/>
      <c r="AC323" s="35"/>
      <c r="AD323" s="38"/>
      <c r="AE323" s="38"/>
      <c r="AF323" s="38"/>
      <c r="AG323" s="38"/>
    </row>
    <row r="324" spans="2:33" hidden="1" outlineLevel="2" x14ac:dyDescent="0.15">
      <c r="B324" s="800" t="s">
        <v>390</v>
      </c>
      <c r="C324" s="815">
        <f t="shared" si="2"/>
        <v>7</v>
      </c>
      <c r="D324" s="843">
        <v>0.01</v>
      </c>
      <c r="E324" s="815">
        <f>D324*'Info utili'!$P$20</f>
        <v>116.27777777777777</v>
      </c>
      <c r="F324" s="829">
        <v>0.1</v>
      </c>
      <c r="G324" s="878">
        <v>0.3</v>
      </c>
      <c r="M324" s="34"/>
      <c r="N324" s="34"/>
      <c r="O324" s="34"/>
      <c r="P324" s="34"/>
      <c r="Q324" s="34"/>
      <c r="R324" s="36"/>
      <c r="S324" s="21"/>
      <c r="T324" s="34"/>
      <c r="U324" s="34"/>
      <c r="V324" s="34"/>
      <c r="W324" s="37"/>
      <c r="X324" s="35"/>
      <c r="Y324" s="37"/>
      <c r="Z324" s="37"/>
      <c r="AA324" s="37"/>
      <c r="AB324" s="37"/>
      <c r="AC324" s="35"/>
      <c r="AD324" s="38"/>
      <c r="AE324" s="38"/>
      <c r="AF324" s="38"/>
      <c r="AG324" s="38"/>
    </row>
    <row r="325" spans="2:33" hidden="1" outlineLevel="2" x14ac:dyDescent="0.15">
      <c r="B325" s="800" t="s">
        <v>391</v>
      </c>
      <c r="C325" s="815">
        <f t="shared" si="2"/>
        <v>37.1</v>
      </c>
      <c r="D325" s="843">
        <v>5.2999999999999999E-2</v>
      </c>
      <c r="E325" s="815">
        <f>D325*'Info utili'!$P$20</f>
        <v>616.27222222222224</v>
      </c>
      <c r="F325" s="829">
        <v>0.1</v>
      </c>
      <c r="G325" s="878">
        <v>0.3</v>
      </c>
      <c r="M325" s="34"/>
      <c r="N325" s="34"/>
      <c r="O325" s="34"/>
      <c r="P325" s="34"/>
      <c r="Q325" s="34"/>
      <c r="R325" s="36"/>
      <c r="S325" s="21"/>
      <c r="T325" s="34"/>
      <c r="U325" s="34"/>
      <c r="V325" s="34"/>
      <c r="W325" s="37"/>
      <c r="X325" s="35"/>
      <c r="Y325" s="37"/>
      <c r="Z325" s="37"/>
      <c r="AA325" s="37"/>
      <c r="AB325" s="37"/>
      <c r="AC325" s="35"/>
      <c r="AD325" s="38"/>
      <c r="AE325" s="38"/>
      <c r="AF325" s="38"/>
      <c r="AG325" s="38"/>
    </row>
    <row r="326" spans="2:33" hidden="1" outlineLevel="2" x14ac:dyDescent="0.15">
      <c r="B326" s="800" t="s">
        <v>392</v>
      </c>
      <c r="C326" s="815">
        <f t="shared" si="2"/>
        <v>194.60000000000002</v>
      </c>
      <c r="D326" s="843">
        <v>0.27800000000000002</v>
      </c>
      <c r="E326" s="815">
        <f>D326*'Info utili'!$P$20</f>
        <v>3232.5222222222224</v>
      </c>
      <c r="F326" s="829">
        <v>0.1</v>
      </c>
      <c r="G326" s="878">
        <v>0.3</v>
      </c>
      <c r="M326" s="34"/>
      <c r="N326" s="34"/>
      <c r="O326" s="34"/>
      <c r="P326" s="34"/>
      <c r="Q326" s="34"/>
      <c r="R326" s="36"/>
      <c r="S326" s="21"/>
      <c r="T326" s="34"/>
      <c r="U326" s="34"/>
      <c r="V326" s="34"/>
      <c r="W326" s="37"/>
      <c r="X326" s="35"/>
      <c r="Y326" s="37"/>
      <c r="Z326" s="37"/>
      <c r="AA326" s="37"/>
      <c r="AB326" s="37"/>
      <c r="AC326" s="35"/>
      <c r="AD326" s="38"/>
      <c r="AE326" s="38"/>
      <c r="AF326" s="38"/>
      <c r="AG326" s="38"/>
    </row>
    <row r="327" spans="2:33" hidden="1" outlineLevel="2" x14ac:dyDescent="0.15">
      <c r="B327" s="800" t="s">
        <v>393</v>
      </c>
      <c r="C327" s="815">
        <f t="shared" si="2"/>
        <v>30.799999999999997</v>
      </c>
      <c r="D327" s="843">
        <v>4.3999999999999997E-2</v>
      </c>
      <c r="E327" s="815">
        <f>D327*'Info utili'!$P$20</f>
        <v>511.62222222222215</v>
      </c>
      <c r="F327" s="829">
        <v>0.1</v>
      </c>
      <c r="G327" s="878">
        <v>0.3</v>
      </c>
      <c r="M327" s="34"/>
      <c r="N327" s="34"/>
      <c r="O327" s="34"/>
      <c r="P327" s="34"/>
      <c r="Q327" s="34"/>
      <c r="R327" s="36"/>
      <c r="S327" s="21"/>
      <c r="T327" s="34"/>
      <c r="U327" s="34"/>
      <c r="V327" s="34"/>
      <c r="W327" s="37"/>
      <c r="X327" s="35"/>
      <c r="Y327" s="37"/>
      <c r="Z327" s="37"/>
      <c r="AA327" s="37"/>
      <c r="AB327" s="37"/>
      <c r="AC327" s="35"/>
      <c r="AD327" s="38"/>
      <c r="AE327" s="38"/>
      <c r="AF327" s="38"/>
      <c r="AG327" s="38"/>
    </row>
    <row r="328" spans="2:33" hidden="1" outlineLevel="2" x14ac:dyDescent="0.15">
      <c r="B328" s="800" t="s">
        <v>394</v>
      </c>
      <c r="C328" s="815">
        <f t="shared" si="2"/>
        <v>9.8000000000000007</v>
      </c>
      <c r="D328" s="843">
        <v>1.4E-2</v>
      </c>
      <c r="E328" s="815">
        <f>D328*'Info utili'!$P$20</f>
        <v>162.78888888888889</v>
      </c>
      <c r="F328" s="829">
        <v>0.1</v>
      </c>
      <c r="G328" s="878">
        <v>0.3</v>
      </c>
      <c r="M328" s="34"/>
      <c r="N328" s="34"/>
      <c r="O328" s="34"/>
      <c r="P328" s="34"/>
      <c r="Q328" s="34"/>
      <c r="R328" s="36"/>
      <c r="S328" s="21"/>
      <c r="T328" s="34"/>
      <c r="U328" s="34"/>
      <c r="V328" s="34"/>
      <c r="W328" s="37"/>
      <c r="X328" s="35"/>
      <c r="Y328" s="37"/>
      <c r="Z328" s="37"/>
      <c r="AA328" s="37"/>
      <c r="AB328" s="37"/>
      <c r="AC328" s="35"/>
      <c r="AD328" s="38"/>
      <c r="AE328" s="38"/>
      <c r="AF328" s="38"/>
      <c r="AG328" s="38"/>
    </row>
    <row r="329" spans="2:33" hidden="1" outlineLevel="2" x14ac:dyDescent="0.15">
      <c r="B329" s="800" t="s">
        <v>395</v>
      </c>
      <c r="C329" s="815">
        <f t="shared" si="2"/>
        <v>179.20000000000002</v>
      </c>
      <c r="D329" s="843">
        <v>0.25600000000000001</v>
      </c>
      <c r="E329" s="815">
        <f>D329*'Info utili'!$P$20</f>
        <v>2976.7111111111112</v>
      </c>
      <c r="F329" s="829">
        <v>0.1</v>
      </c>
      <c r="G329" s="878">
        <v>0.3</v>
      </c>
      <c r="M329" s="34"/>
      <c r="N329" s="34"/>
      <c r="O329" s="34"/>
      <c r="P329" s="34"/>
      <c r="Q329" s="34"/>
      <c r="R329" s="36"/>
      <c r="S329" s="21"/>
      <c r="T329" s="34"/>
      <c r="U329" s="34"/>
      <c r="V329" s="34"/>
      <c r="W329" s="37"/>
      <c r="X329" s="35"/>
      <c r="Y329" s="37"/>
      <c r="Z329" s="37"/>
      <c r="AA329" s="37"/>
      <c r="AB329" s="37"/>
      <c r="AC329" s="35"/>
      <c r="AD329" s="38"/>
      <c r="AE329" s="38"/>
      <c r="AF329" s="38"/>
      <c r="AG329" s="38"/>
    </row>
    <row r="330" spans="2:33" hidden="1" outlineLevel="2" x14ac:dyDescent="0.15">
      <c r="B330" s="800" t="s">
        <v>396</v>
      </c>
      <c r="C330" s="815">
        <f t="shared" si="2"/>
        <v>0.70000000000000007</v>
      </c>
      <c r="D330" s="843">
        <v>1E-3</v>
      </c>
      <c r="E330" s="815">
        <f>D330*'Info utili'!$P$20</f>
        <v>11.627777777777778</v>
      </c>
      <c r="F330" s="829">
        <v>0.1</v>
      </c>
      <c r="G330" s="878">
        <v>0.3</v>
      </c>
      <c r="M330" s="34"/>
      <c r="N330" s="34"/>
      <c r="O330" s="34"/>
      <c r="P330" s="34"/>
      <c r="Q330" s="34"/>
      <c r="R330" s="36"/>
      <c r="S330" s="21"/>
      <c r="T330" s="34"/>
      <c r="U330" s="34"/>
      <c r="V330" s="34"/>
      <c r="W330" s="37"/>
      <c r="X330" s="35"/>
      <c r="Y330" s="37"/>
      <c r="Z330" s="37"/>
      <c r="AA330" s="37"/>
      <c r="AB330" s="37"/>
      <c r="AC330" s="35"/>
      <c r="AD330" s="38"/>
      <c r="AE330" s="38"/>
      <c r="AF330" s="38"/>
      <c r="AG330" s="38"/>
    </row>
    <row r="331" spans="2:33" hidden="1" outlineLevel="2" x14ac:dyDescent="0.15">
      <c r="B331" s="800" t="s">
        <v>397</v>
      </c>
      <c r="C331" s="815">
        <f t="shared" si="2"/>
        <v>6.3</v>
      </c>
      <c r="D331" s="843">
        <v>8.9999999999999993E-3</v>
      </c>
      <c r="E331" s="815">
        <f>D331*'Info utili'!$P$20</f>
        <v>104.64999999999999</v>
      </c>
      <c r="F331" s="829">
        <v>0.1</v>
      </c>
      <c r="G331" s="878">
        <v>0.3</v>
      </c>
      <c r="M331" s="34"/>
      <c r="N331" s="34"/>
      <c r="O331" s="34"/>
      <c r="P331" s="34"/>
      <c r="Q331" s="34"/>
      <c r="R331" s="36"/>
      <c r="S331" s="21"/>
      <c r="T331" s="34"/>
      <c r="U331" s="34"/>
      <c r="V331" s="34"/>
      <c r="W331" s="37"/>
      <c r="X331" s="35"/>
      <c r="Y331" s="37"/>
      <c r="Z331" s="37"/>
      <c r="AA331" s="37"/>
      <c r="AB331" s="37"/>
      <c r="AC331" s="35"/>
      <c r="AD331" s="38"/>
      <c r="AE331" s="38"/>
      <c r="AF331" s="38"/>
      <c r="AG331" s="38"/>
    </row>
    <row r="332" spans="2:33" hidden="1" outlineLevel="2" x14ac:dyDescent="0.15">
      <c r="B332" s="800" t="s">
        <v>398</v>
      </c>
      <c r="C332" s="815">
        <f t="shared" si="2"/>
        <v>149.1</v>
      </c>
      <c r="D332" s="843">
        <v>0.21299999999999999</v>
      </c>
      <c r="E332" s="815">
        <f>D332*'Info utili'!$P$20</f>
        <v>2476.7166666666667</v>
      </c>
      <c r="F332" s="829">
        <v>0.1</v>
      </c>
      <c r="G332" s="878">
        <v>0.3</v>
      </c>
      <c r="M332" s="34"/>
      <c r="N332" s="34"/>
      <c r="O332" s="34"/>
      <c r="P332" s="34"/>
      <c r="Q332" s="34"/>
      <c r="R332" s="36"/>
      <c r="S332" s="21"/>
      <c r="T332" s="34"/>
      <c r="U332" s="34"/>
      <c r="V332" s="34"/>
      <c r="W332" s="37"/>
      <c r="X332" s="35"/>
      <c r="Y332" s="37"/>
      <c r="Z332" s="37"/>
      <c r="AA332" s="37"/>
      <c r="AB332" s="37"/>
      <c r="AC332" s="35"/>
      <c r="AD332" s="38"/>
      <c r="AE332" s="38"/>
      <c r="AF332" s="38"/>
      <c r="AG332" s="38"/>
    </row>
    <row r="333" spans="2:33" hidden="1" outlineLevel="2" x14ac:dyDescent="0.15">
      <c r="B333" s="800" t="s">
        <v>399</v>
      </c>
      <c r="C333" s="815">
        <f t="shared" si="2"/>
        <v>100.1</v>
      </c>
      <c r="D333" s="843">
        <v>0.14299999999999999</v>
      </c>
      <c r="E333" s="815">
        <f>D333*'Info utili'!$P$20</f>
        <v>1662.7722222222221</v>
      </c>
      <c r="F333" s="829">
        <v>0.1</v>
      </c>
      <c r="G333" s="878">
        <v>0.3</v>
      </c>
      <c r="M333" s="34"/>
      <c r="N333" s="34"/>
      <c r="O333" s="34"/>
      <c r="P333" s="34"/>
      <c r="Q333" s="34"/>
      <c r="R333" s="36"/>
      <c r="S333" s="21"/>
      <c r="T333" s="34"/>
      <c r="U333" s="34"/>
      <c r="V333" s="34"/>
      <c r="W333" s="37"/>
      <c r="X333" s="35"/>
      <c r="Y333" s="37"/>
      <c r="Z333" s="37"/>
      <c r="AA333" s="37"/>
      <c r="AB333" s="37"/>
      <c r="AC333" s="35"/>
      <c r="AD333" s="38"/>
      <c r="AE333" s="38"/>
      <c r="AF333" s="38"/>
      <c r="AG333" s="38"/>
    </row>
    <row r="334" spans="2:33" hidden="1" outlineLevel="2" x14ac:dyDescent="0.15">
      <c r="B334" s="800" t="s">
        <v>400</v>
      </c>
      <c r="C334" s="815">
        <f t="shared" si="2"/>
        <v>159.6</v>
      </c>
      <c r="D334" s="843">
        <v>0.22800000000000001</v>
      </c>
      <c r="E334" s="815">
        <f>D334*'Info utili'!$P$20</f>
        <v>2651.1333333333332</v>
      </c>
      <c r="F334" s="829">
        <v>0.1</v>
      </c>
      <c r="G334" s="878">
        <v>0.3</v>
      </c>
      <c r="M334" s="34"/>
      <c r="N334" s="34"/>
      <c r="O334" s="34"/>
      <c r="P334" s="34"/>
      <c r="Q334" s="34"/>
      <c r="R334" s="36"/>
      <c r="S334" s="21"/>
      <c r="T334" s="34"/>
      <c r="U334" s="34"/>
      <c r="V334" s="34"/>
      <c r="W334" s="37"/>
      <c r="X334" s="35"/>
      <c r="Y334" s="37"/>
      <c r="Z334" s="37"/>
      <c r="AA334" s="37"/>
      <c r="AB334" s="37"/>
      <c r="AC334" s="35"/>
      <c r="AD334" s="38"/>
      <c r="AE334" s="38"/>
      <c r="AF334" s="38"/>
      <c r="AG334" s="38"/>
    </row>
    <row r="335" spans="2:33" hidden="1" outlineLevel="2" x14ac:dyDescent="0.15">
      <c r="B335" s="800" t="s">
        <v>401</v>
      </c>
      <c r="C335" s="815">
        <f t="shared" si="2"/>
        <v>54.6</v>
      </c>
      <c r="D335" s="843">
        <v>7.8E-2</v>
      </c>
      <c r="E335" s="815">
        <f>D335*'Info utili'!$P$20</f>
        <v>906.96666666666658</v>
      </c>
      <c r="F335" s="829">
        <v>0.1</v>
      </c>
      <c r="G335" s="878">
        <v>0.3</v>
      </c>
      <c r="M335" s="34"/>
      <c r="N335" s="34"/>
      <c r="O335" s="34"/>
      <c r="P335" s="34"/>
      <c r="Q335" s="34"/>
      <c r="R335" s="36"/>
      <c r="S335" s="21"/>
      <c r="T335" s="34"/>
      <c r="U335" s="34"/>
      <c r="V335" s="34"/>
      <c r="W335" s="37"/>
      <c r="X335" s="35"/>
      <c r="Y335" s="37"/>
      <c r="Z335" s="37"/>
      <c r="AA335" s="37"/>
      <c r="AB335" s="37"/>
      <c r="AC335" s="35"/>
      <c r="AD335" s="38"/>
      <c r="AE335" s="38"/>
      <c r="AF335" s="38"/>
      <c r="AG335" s="38"/>
    </row>
    <row r="336" spans="2:33" hidden="1" outlineLevel="2" x14ac:dyDescent="0.15">
      <c r="B336" s="800" t="s">
        <v>402</v>
      </c>
      <c r="C336" s="815">
        <f t="shared" si="2"/>
        <v>184.8</v>
      </c>
      <c r="D336" s="843">
        <v>0.26400000000000001</v>
      </c>
      <c r="E336" s="815">
        <f>D336*'Info utili'!$P$20</f>
        <v>3069.7333333333336</v>
      </c>
      <c r="F336" s="829">
        <v>0.1</v>
      </c>
      <c r="G336" s="878">
        <v>0.3</v>
      </c>
      <c r="M336" s="34"/>
      <c r="N336" s="34"/>
      <c r="O336" s="34"/>
      <c r="P336" s="34"/>
      <c r="Q336" s="34"/>
      <c r="R336" s="36"/>
      <c r="S336" s="21"/>
      <c r="T336" s="34"/>
      <c r="U336" s="34"/>
      <c r="V336" s="34"/>
      <c r="W336" s="37"/>
      <c r="X336" s="35"/>
      <c r="Y336" s="37"/>
      <c r="Z336" s="37"/>
      <c r="AA336" s="37"/>
      <c r="AB336" s="37"/>
      <c r="AC336" s="35"/>
      <c r="AD336" s="38"/>
      <c r="AE336" s="38"/>
      <c r="AF336" s="38"/>
      <c r="AG336" s="38"/>
    </row>
    <row r="337" spans="2:33" hidden="1" outlineLevel="2" x14ac:dyDescent="0.15">
      <c r="B337" s="800" t="s">
        <v>403</v>
      </c>
      <c r="C337" s="815">
        <f t="shared" si="2"/>
        <v>88.9</v>
      </c>
      <c r="D337" s="843">
        <v>0.127</v>
      </c>
      <c r="E337" s="815">
        <f>D337*'Info utili'!$P$20</f>
        <v>1476.7277777777776</v>
      </c>
      <c r="F337" s="829">
        <v>0.1</v>
      </c>
      <c r="G337" s="878">
        <v>0.3</v>
      </c>
      <c r="M337" s="34"/>
      <c r="N337" s="34"/>
      <c r="O337" s="34"/>
      <c r="P337" s="34"/>
      <c r="Q337" s="34"/>
      <c r="R337" s="36"/>
      <c r="S337" s="21"/>
      <c r="T337" s="34"/>
      <c r="U337" s="34"/>
      <c r="V337" s="34"/>
      <c r="W337" s="37"/>
      <c r="X337" s="35"/>
      <c r="Y337" s="37"/>
      <c r="Z337" s="37"/>
      <c r="AA337" s="37"/>
      <c r="AB337" s="37"/>
      <c r="AC337" s="35"/>
      <c r="AD337" s="38"/>
      <c r="AE337" s="38"/>
      <c r="AF337" s="38"/>
      <c r="AG337" s="38"/>
    </row>
    <row r="338" spans="2:33" hidden="1" outlineLevel="2" x14ac:dyDescent="0.15">
      <c r="B338" s="800" t="s">
        <v>404</v>
      </c>
      <c r="C338" s="815">
        <f t="shared" si="2"/>
        <v>122.49999999999999</v>
      </c>
      <c r="D338" s="843">
        <v>0.17499999999999999</v>
      </c>
      <c r="E338" s="815">
        <f>D338*'Info utili'!$P$20</f>
        <v>2034.8611111111109</v>
      </c>
      <c r="F338" s="829">
        <v>0.1</v>
      </c>
      <c r="G338" s="878">
        <v>0.3</v>
      </c>
      <c r="M338" s="34"/>
      <c r="N338" s="34"/>
      <c r="O338" s="34"/>
      <c r="P338" s="34"/>
      <c r="Q338" s="34"/>
      <c r="R338" s="36"/>
      <c r="S338" s="21"/>
      <c r="T338" s="34"/>
      <c r="U338" s="34"/>
      <c r="V338" s="34"/>
      <c r="W338" s="37"/>
      <c r="X338" s="35"/>
      <c r="Y338" s="37"/>
      <c r="Z338" s="37"/>
      <c r="AA338" s="37"/>
      <c r="AB338" s="37"/>
      <c r="AC338" s="35"/>
      <c r="AD338" s="38"/>
      <c r="AE338" s="38"/>
      <c r="AF338" s="38"/>
      <c r="AG338" s="38"/>
    </row>
    <row r="339" spans="2:33" hidden="1" outlineLevel="2" x14ac:dyDescent="0.15">
      <c r="B339" s="800" t="s">
        <v>405</v>
      </c>
      <c r="C339" s="815">
        <f t="shared" si="2"/>
        <v>173.6</v>
      </c>
      <c r="D339" s="843">
        <v>0.248</v>
      </c>
      <c r="E339" s="815">
        <f>D339*'Info utili'!$P$20</f>
        <v>2883.6888888888889</v>
      </c>
      <c r="F339" s="829">
        <v>0.1</v>
      </c>
      <c r="G339" s="878">
        <v>0.3</v>
      </c>
      <c r="M339" s="34"/>
      <c r="N339" s="34"/>
      <c r="O339" s="34"/>
      <c r="P339" s="34"/>
      <c r="Q339" s="34"/>
      <c r="R339" s="36"/>
      <c r="S339" s="21"/>
      <c r="T339" s="34"/>
      <c r="U339" s="34"/>
      <c r="V339" s="34"/>
      <c r="W339" s="37"/>
      <c r="X339" s="35"/>
      <c r="Y339" s="37"/>
      <c r="Z339" s="37"/>
      <c r="AA339" s="37"/>
      <c r="AB339" s="37"/>
      <c r="AC339" s="35"/>
      <c r="AD339" s="38"/>
      <c r="AE339" s="38"/>
      <c r="AF339" s="38"/>
      <c r="AG339" s="38"/>
    </row>
    <row r="340" spans="2:33" hidden="1" outlineLevel="2" x14ac:dyDescent="0.15">
      <c r="B340" s="800" t="s">
        <v>406</v>
      </c>
      <c r="C340" s="815">
        <f t="shared" si="2"/>
        <v>0</v>
      </c>
      <c r="D340" s="843">
        <v>0</v>
      </c>
      <c r="E340" s="815">
        <f>D340*'Info utili'!$P$20</f>
        <v>0</v>
      </c>
      <c r="F340" s="829">
        <v>0.1</v>
      </c>
      <c r="G340" s="878">
        <v>0.3</v>
      </c>
      <c r="M340" s="34"/>
      <c r="N340" s="34"/>
      <c r="O340" s="34"/>
      <c r="P340" s="34"/>
      <c r="Q340" s="34"/>
      <c r="R340" s="36"/>
      <c r="S340" s="21"/>
      <c r="T340" s="34"/>
      <c r="U340" s="34"/>
      <c r="V340" s="34"/>
      <c r="W340" s="37"/>
      <c r="X340" s="35"/>
      <c r="Y340" s="37"/>
      <c r="Z340" s="37"/>
      <c r="AA340" s="37"/>
      <c r="AB340" s="37"/>
      <c r="AC340" s="35"/>
      <c r="AD340" s="38"/>
      <c r="AE340" s="38"/>
      <c r="AF340" s="38"/>
      <c r="AG340" s="38"/>
    </row>
    <row r="341" spans="2:33" hidden="1" outlineLevel="2" x14ac:dyDescent="0.15">
      <c r="B341" s="800" t="s">
        <v>407</v>
      </c>
      <c r="C341" s="815">
        <f t="shared" si="2"/>
        <v>148.4</v>
      </c>
      <c r="D341" s="843">
        <v>0.21199999999999999</v>
      </c>
      <c r="E341" s="815">
        <f>D341*'Info utili'!$P$20</f>
        <v>2465.088888888889</v>
      </c>
      <c r="F341" s="829">
        <v>0.1</v>
      </c>
      <c r="G341" s="878">
        <v>0.3</v>
      </c>
      <c r="M341" s="34"/>
      <c r="N341" s="34"/>
      <c r="O341" s="34"/>
      <c r="P341" s="34"/>
      <c r="Q341" s="34"/>
      <c r="R341" s="36"/>
      <c r="S341" s="21"/>
      <c r="T341" s="34"/>
      <c r="U341" s="34"/>
      <c r="V341" s="34"/>
      <c r="W341" s="37"/>
      <c r="X341" s="35"/>
      <c r="Y341" s="37"/>
      <c r="Z341" s="37"/>
      <c r="AA341" s="37"/>
      <c r="AB341" s="37"/>
      <c r="AC341" s="35"/>
      <c r="AD341" s="38"/>
      <c r="AE341" s="38"/>
      <c r="AF341" s="38"/>
      <c r="AG341" s="38"/>
    </row>
    <row r="342" spans="2:33" hidden="1" outlineLevel="2" x14ac:dyDescent="0.15">
      <c r="B342" s="800" t="s">
        <v>408</v>
      </c>
      <c r="C342" s="815">
        <f t="shared" si="2"/>
        <v>181.3</v>
      </c>
      <c r="D342" s="843">
        <v>0.25900000000000001</v>
      </c>
      <c r="E342" s="815">
        <f>D342*'Info utili'!$P$20</f>
        <v>3011.5944444444444</v>
      </c>
      <c r="F342" s="829">
        <v>0.1</v>
      </c>
      <c r="G342" s="878">
        <v>0.3</v>
      </c>
      <c r="M342" s="34"/>
      <c r="N342" s="34"/>
      <c r="O342" s="34"/>
      <c r="P342" s="34"/>
      <c r="Q342" s="34"/>
      <c r="R342" s="36"/>
      <c r="S342" s="21"/>
      <c r="T342" s="34"/>
      <c r="U342" s="34"/>
      <c r="V342" s="34"/>
      <c r="W342" s="37"/>
      <c r="X342" s="35"/>
      <c r="Y342" s="37"/>
      <c r="Z342" s="37"/>
      <c r="AA342" s="37"/>
      <c r="AB342" s="37"/>
      <c r="AC342" s="35"/>
      <c r="AD342" s="38"/>
      <c r="AE342" s="38"/>
      <c r="AF342" s="38"/>
      <c r="AG342" s="38"/>
    </row>
    <row r="343" spans="2:33" hidden="1" outlineLevel="2" x14ac:dyDescent="0.15">
      <c r="B343" s="800" t="s">
        <v>409</v>
      </c>
      <c r="C343" s="815">
        <f t="shared" si="2"/>
        <v>141.4</v>
      </c>
      <c r="D343" s="843">
        <v>0.20200000000000001</v>
      </c>
      <c r="E343" s="815">
        <f>D343*'Info utili'!$P$20</f>
        <v>2348.8111111111111</v>
      </c>
      <c r="F343" s="829">
        <v>0.1</v>
      </c>
      <c r="G343" s="878">
        <v>0.3</v>
      </c>
      <c r="M343" s="34"/>
      <c r="N343" s="34"/>
      <c r="O343" s="34"/>
      <c r="P343" s="34"/>
      <c r="Q343" s="34"/>
      <c r="R343" s="36"/>
      <c r="S343" s="21"/>
      <c r="T343" s="34"/>
      <c r="U343" s="34"/>
      <c r="V343" s="34"/>
      <c r="W343" s="37"/>
      <c r="X343" s="35"/>
      <c r="Y343" s="37"/>
      <c r="Z343" s="37"/>
      <c r="AA343" s="37"/>
      <c r="AB343" s="37"/>
      <c r="AC343" s="35"/>
      <c r="AD343" s="38"/>
      <c r="AE343" s="38"/>
      <c r="AF343" s="38"/>
      <c r="AG343" s="38"/>
    </row>
    <row r="344" spans="2:33" hidden="1" outlineLevel="2" x14ac:dyDescent="0.15">
      <c r="B344" s="800" t="s">
        <v>410</v>
      </c>
      <c r="C344" s="815">
        <f t="shared" si="2"/>
        <v>149.1</v>
      </c>
      <c r="D344" s="843">
        <v>0.21299999999999999</v>
      </c>
      <c r="E344" s="815">
        <f>D344*'Info utili'!$P$20</f>
        <v>2476.7166666666667</v>
      </c>
      <c r="F344" s="829">
        <v>0.1</v>
      </c>
      <c r="G344" s="878">
        <v>0.3</v>
      </c>
      <c r="M344" s="34"/>
      <c r="N344" s="34"/>
      <c r="O344" s="34"/>
      <c r="P344" s="34"/>
      <c r="Q344" s="34"/>
      <c r="R344" s="36"/>
      <c r="S344" s="21"/>
      <c r="T344" s="34"/>
      <c r="U344" s="34"/>
      <c r="V344" s="34"/>
      <c r="W344" s="37"/>
      <c r="X344" s="35"/>
      <c r="Y344" s="37"/>
      <c r="Z344" s="37"/>
      <c r="AA344" s="37"/>
      <c r="AB344" s="37"/>
      <c r="AC344" s="35"/>
      <c r="AD344" s="38"/>
      <c r="AE344" s="38"/>
      <c r="AF344" s="38"/>
      <c r="AG344" s="38"/>
    </row>
    <row r="345" spans="2:33" hidden="1" outlineLevel="2" x14ac:dyDescent="0.15">
      <c r="B345" s="800" t="s">
        <v>411</v>
      </c>
      <c r="C345" s="815">
        <f t="shared" si="2"/>
        <v>162.4</v>
      </c>
      <c r="D345" s="843">
        <v>0.23200000000000001</v>
      </c>
      <c r="E345" s="815">
        <f>D345*'Info utili'!$P$20</f>
        <v>2697.6444444444446</v>
      </c>
      <c r="F345" s="829">
        <v>0.1</v>
      </c>
      <c r="G345" s="878">
        <v>0.3</v>
      </c>
      <c r="M345" s="34"/>
      <c r="N345" s="34"/>
      <c r="O345" s="34"/>
      <c r="P345" s="34"/>
      <c r="Q345" s="34"/>
      <c r="R345" s="36"/>
      <c r="S345" s="21"/>
      <c r="T345" s="34"/>
      <c r="U345" s="34"/>
      <c r="V345" s="34"/>
      <c r="W345" s="37"/>
      <c r="X345" s="35"/>
      <c r="Y345" s="37"/>
      <c r="Z345" s="37"/>
      <c r="AA345" s="37"/>
      <c r="AB345" s="37"/>
      <c r="AC345" s="35"/>
      <c r="AD345" s="38"/>
      <c r="AE345" s="38"/>
      <c r="AF345" s="38"/>
      <c r="AG345" s="38"/>
    </row>
    <row r="346" spans="2:33" hidden="1" outlineLevel="2" x14ac:dyDescent="0.15">
      <c r="B346" s="800" t="s">
        <v>412</v>
      </c>
      <c r="C346" s="815">
        <f t="shared" si="2"/>
        <v>117.60000000000001</v>
      </c>
      <c r="D346" s="843">
        <v>0.16800000000000001</v>
      </c>
      <c r="E346" s="815">
        <f>D346*'Info utili'!$P$20</f>
        <v>1953.4666666666667</v>
      </c>
      <c r="F346" s="829">
        <v>0.1</v>
      </c>
      <c r="G346" s="878">
        <v>0.3</v>
      </c>
      <c r="M346" s="34"/>
      <c r="N346" s="34"/>
      <c r="O346" s="34"/>
      <c r="P346" s="34"/>
      <c r="Q346" s="34"/>
      <c r="R346" s="36"/>
      <c r="S346" s="21"/>
      <c r="T346" s="34"/>
      <c r="U346" s="34"/>
      <c r="V346" s="34"/>
      <c r="W346" s="37"/>
      <c r="X346" s="35"/>
      <c r="Y346" s="37"/>
      <c r="Z346" s="37"/>
      <c r="AA346" s="37"/>
      <c r="AB346" s="37"/>
      <c r="AC346" s="35"/>
      <c r="AD346" s="38"/>
      <c r="AE346" s="38"/>
      <c r="AF346" s="38"/>
      <c r="AG346" s="38"/>
    </row>
    <row r="347" spans="2:33" hidden="1" outlineLevel="2" x14ac:dyDescent="0.15">
      <c r="B347" s="800" t="s">
        <v>413</v>
      </c>
      <c r="C347" s="815">
        <f t="shared" si="2"/>
        <v>77</v>
      </c>
      <c r="D347" s="843">
        <v>0.11</v>
      </c>
      <c r="E347" s="815">
        <f>D347*'Info utili'!$P$20</f>
        <v>1279.0555555555554</v>
      </c>
      <c r="F347" s="829">
        <v>0.1</v>
      </c>
      <c r="G347" s="878">
        <v>0.3</v>
      </c>
      <c r="M347" s="34"/>
      <c r="N347" s="34"/>
      <c r="O347" s="34"/>
      <c r="P347" s="34"/>
      <c r="Q347" s="34"/>
      <c r="R347" s="36"/>
      <c r="S347" s="21"/>
      <c r="T347" s="34"/>
      <c r="U347" s="34"/>
      <c r="V347" s="34"/>
      <c r="W347" s="37"/>
      <c r="X347" s="35"/>
      <c r="Y347" s="37"/>
      <c r="Z347" s="37"/>
      <c r="AA347" s="37"/>
      <c r="AB347" s="37"/>
      <c r="AC347" s="35"/>
      <c r="AD347" s="38"/>
      <c r="AE347" s="38"/>
      <c r="AF347" s="38"/>
      <c r="AG347" s="38"/>
    </row>
    <row r="348" spans="2:33" hidden="1" outlineLevel="2" x14ac:dyDescent="0.15">
      <c r="B348" s="800" t="s">
        <v>414</v>
      </c>
      <c r="C348" s="815">
        <f t="shared" si="2"/>
        <v>83.3</v>
      </c>
      <c r="D348" s="843">
        <v>0.11899999999999999</v>
      </c>
      <c r="E348" s="815">
        <f>D348*'Info utili'!$P$20</f>
        <v>1383.7055555555555</v>
      </c>
      <c r="F348" s="829">
        <v>0.1</v>
      </c>
      <c r="G348" s="878">
        <v>0.3</v>
      </c>
      <c r="M348" s="34"/>
      <c r="N348" s="34"/>
      <c r="O348" s="34"/>
      <c r="P348" s="34"/>
      <c r="Q348" s="34"/>
      <c r="R348" s="36"/>
      <c r="S348" s="21"/>
      <c r="T348" s="34"/>
      <c r="U348" s="34"/>
      <c r="V348" s="34"/>
      <c r="W348" s="37"/>
      <c r="X348" s="35"/>
      <c r="Y348" s="37"/>
      <c r="Z348" s="37"/>
      <c r="AA348" s="37"/>
      <c r="AB348" s="37"/>
      <c r="AC348" s="35"/>
      <c r="AD348" s="38"/>
      <c r="AE348" s="38"/>
      <c r="AF348" s="38"/>
      <c r="AG348" s="38"/>
    </row>
    <row r="349" spans="2:33" hidden="1" outlineLevel="2" x14ac:dyDescent="0.15">
      <c r="B349" s="800" t="s">
        <v>415</v>
      </c>
      <c r="C349" s="815">
        <f t="shared" si="2"/>
        <v>25.9</v>
      </c>
      <c r="D349" s="843">
        <v>3.6999999999999998E-2</v>
      </c>
      <c r="E349" s="815">
        <f>D349*'Info utili'!$P$20</f>
        <v>430.22777777777776</v>
      </c>
      <c r="F349" s="829">
        <v>0.1</v>
      </c>
      <c r="G349" s="878">
        <v>0.3</v>
      </c>
      <c r="M349" s="34"/>
      <c r="N349" s="34"/>
      <c r="O349" s="34"/>
      <c r="P349" s="34"/>
      <c r="Q349" s="34"/>
      <c r="R349" s="36"/>
      <c r="S349" s="21"/>
      <c r="T349" s="34"/>
      <c r="U349" s="34"/>
      <c r="V349" s="34"/>
      <c r="W349" s="37"/>
      <c r="X349" s="35"/>
      <c r="Y349" s="37"/>
      <c r="Z349" s="37"/>
      <c r="AA349" s="37"/>
      <c r="AB349" s="37"/>
      <c r="AC349" s="35"/>
      <c r="AD349" s="38"/>
      <c r="AE349" s="38"/>
      <c r="AF349" s="38"/>
      <c r="AG349" s="38"/>
    </row>
    <row r="350" spans="2:33" hidden="1" outlineLevel="2" x14ac:dyDescent="0.15">
      <c r="B350" s="800" t="s">
        <v>416</v>
      </c>
      <c r="C350" s="815">
        <f t="shared" si="2"/>
        <v>172.2</v>
      </c>
      <c r="D350" s="843">
        <v>0.246</v>
      </c>
      <c r="E350" s="815">
        <f>D350*'Info utili'!$P$20</f>
        <v>2860.4333333333334</v>
      </c>
      <c r="F350" s="829">
        <v>0.1</v>
      </c>
      <c r="G350" s="878">
        <v>0.3</v>
      </c>
      <c r="M350" s="34"/>
      <c r="N350" s="34"/>
      <c r="O350" s="34"/>
      <c r="P350" s="34"/>
      <c r="Q350" s="34"/>
      <c r="R350" s="36"/>
      <c r="S350" s="21"/>
      <c r="T350" s="34"/>
      <c r="U350" s="34"/>
      <c r="V350" s="34"/>
      <c r="W350" s="37"/>
      <c r="X350" s="35"/>
      <c r="Y350" s="37"/>
      <c r="Z350" s="37"/>
      <c r="AA350" s="37"/>
      <c r="AB350" s="37"/>
      <c r="AC350" s="35"/>
      <c r="AD350" s="38"/>
      <c r="AE350" s="38"/>
      <c r="AF350" s="38"/>
      <c r="AG350" s="38"/>
    </row>
    <row r="351" spans="2:33" hidden="1" outlineLevel="2" x14ac:dyDescent="0.15">
      <c r="B351" s="800" t="s">
        <v>417</v>
      </c>
      <c r="C351" s="815">
        <f t="shared" si="2"/>
        <v>28.700000000000003</v>
      </c>
      <c r="D351" s="843">
        <v>4.1000000000000002E-2</v>
      </c>
      <c r="E351" s="815">
        <f>D351*'Info utili'!$P$20</f>
        <v>476.73888888888888</v>
      </c>
      <c r="F351" s="829">
        <v>0.1</v>
      </c>
      <c r="G351" s="878">
        <v>0.3</v>
      </c>
      <c r="M351" s="34"/>
      <c r="N351" s="34"/>
      <c r="O351" s="34"/>
      <c r="P351" s="34"/>
      <c r="Q351" s="34"/>
      <c r="R351" s="36"/>
      <c r="S351" s="21"/>
      <c r="T351" s="34"/>
      <c r="U351" s="34"/>
      <c r="V351" s="34"/>
      <c r="W351" s="37"/>
      <c r="X351" s="35"/>
      <c r="Y351" s="37"/>
      <c r="Z351" s="37"/>
      <c r="AA351" s="37"/>
      <c r="AB351" s="37"/>
      <c r="AC351" s="35"/>
      <c r="AD351" s="38"/>
      <c r="AE351" s="38"/>
      <c r="AF351" s="38"/>
      <c r="AG351" s="38"/>
    </row>
    <row r="352" spans="2:33" hidden="1" outlineLevel="2" x14ac:dyDescent="0.15">
      <c r="B352" s="800" t="s">
        <v>418</v>
      </c>
      <c r="C352" s="815">
        <f t="shared" si="2"/>
        <v>137.9</v>
      </c>
      <c r="D352" s="843">
        <v>0.19700000000000001</v>
      </c>
      <c r="E352" s="815">
        <f>D352*'Info utili'!$P$20</f>
        <v>2290.6722222222224</v>
      </c>
      <c r="F352" s="829">
        <v>0.1</v>
      </c>
      <c r="G352" s="878">
        <v>0.3</v>
      </c>
      <c r="M352" s="34"/>
      <c r="N352" s="34"/>
      <c r="O352" s="34"/>
      <c r="P352" s="34"/>
      <c r="Q352" s="34"/>
      <c r="R352" s="36"/>
      <c r="S352" s="21"/>
      <c r="T352" s="34"/>
      <c r="U352" s="34"/>
      <c r="V352" s="34"/>
      <c r="W352" s="37"/>
      <c r="X352" s="35"/>
      <c r="Y352" s="37"/>
      <c r="Z352" s="37"/>
      <c r="AA352" s="37"/>
      <c r="AB352" s="37"/>
      <c r="AC352" s="35"/>
      <c r="AD352" s="38"/>
      <c r="AE352" s="38"/>
      <c r="AF352" s="38"/>
      <c r="AG352" s="38"/>
    </row>
    <row r="353" spans="2:33" hidden="1" outlineLevel="2" x14ac:dyDescent="0.15">
      <c r="B353" s="800" t="s">
        <v>419</v>
      </c>
      <c r="C353" s="815">
        <f t="shared" si="2"/>
        <v>23.1</v>
      </c>
      <c r="D353" s="843">
        <v>3.3000000000000002E-2</v>
      </c>
      <c r="E353" s="815">
        <f>D353*'Info utili'!$P$20</f>
        <v>383.7166666666667</v>
      </c>
      <c r="F353" s="829">
        <v>0.1</v>
      </c>
      <c r="G353" s="878">
        <v>0.3</v>
      </c>
      <c r="M353" s="34"/>
      <c r="N353" s="34"/>
      <c r="O353" s="34"/>
      <c r="P353" s="34"/>
      <c r="Q353" s="34"/>
      <c r="R353" s="36"/>
      <c r="S353" s="21"/>
      <c r="T353" s="34"/>
      <c r="U353" s="34"/>
      <c r="V353" s="34"/>
      <c r="W353" s="37"/>
      <c r="X353" s="35"/>
      <c r="Y353" s="37"/>
      <c r="Z353" s="37"/>
      <c r="AA353" s="37"/>
      <c r="AB353" s="37"/>
      <c r="AC353" s="35"/>
      <c r="AD353" s="38"/>
      <c r="AE353" s="38"/>
      <c r="AF353" s="38"/>
      <c r="AG353" s="38"/>
    </row>
    <row r="354" spans="2:33" hidden="1" outlineLevel="2" x14ac:dyDescent="0.15">
      <c r="B354" s="800" t="s">
        <v>420</v>
      </c>
      <c r="C354" s="815">
        <f t="shared" si="2"/>
        <v>9.1</v>
      </c>
      <c r="D354" s="843">
        <v>1.2999999999999999E-2</v>
      </c>
      <c r="E354" s="815">
        <f>D354*'Info utili'!$P$20</f>
        <v>151.1611111111111</v>
      </c>
      <c r="F354" s="829">
        <v>0.1</v>
      </c>
      <c r="G354" s="878">
        <v>0.3</v>
      </c>
      <c r="M354" s="34"/>
      <c r="N354" s="34"/>
      <c r="O354" s="34"/>
      <c r="P354" s="34"/>
      <c r="Q354" s="34"/>
      <c r="R354" s="36"/>
      <c r="S354" s="21"/>
      <c r="T354" s="34"/>
      <c r="U354" s="34"/>
      <c r="V354" s="34"/>
      <c r="W354" s="37"/>
      <c r="X354" s="35"/>
      <c r="Y354" s="37"/>
      <c r="Z354" s="37"/>
      <c r="AA354" s="37"/>
      <c r="AB354" s="37"/>
      <c r="AC354" s="35"/>
      <c r="AD354" s="38"/>
      <c r="AE354" s="38"/>
      <c r="AF354" s="38"/>
      <c r="AG354" s="38"/>
    </row>
    <row r="355" spans="2:33" hidden="1" outlineLevel="2" x14ac:dyDescent="0.15">
      <c r="B355" s="800" t="s">
        <v>421</v>
      </c>
      <c r="C355" s="815">
        <f t="shared" si="2"/>
        <v>156.1</v>
      </c>
      <c r="D355" s="843">
        <v>0.223</v>
      </c>
      <c r="E355" s="815">
        <f>D355*'Info utili'!$P$20</f>
        <v>2592.9944444444445</v>
      </c>
      <c r="F355" s="829">
        <v>0.1</v>
      </c>
      <c r="G355" s="878">
        <v>0.3</v>
      </c>
      <c r="M355" s="34"/>
      <c r="N355" s="34"/>
      <c r="O355" s="34"/>
      <c r="P355" s="34"/>
      <c r="Q355" s="34"/>
      <c r="R355" s="36"/>
      <c r="S355" s="21"/>
      <c r="T355" s="34"/>
      <c r="U355" s="34"/>
      <c r="V355" s="34"/>
      <c r="W355" s="37"/>
      <c r="X355" s="35"/>
      <c r="Y355" s="37"/>
      <c r="Z355" s="37"/>
      <c r="AA355" s="37"/>
      <c r="AB355" s="37"/>
      <c r="AC355" s="35"/>
      <c r="AD355" s="38"/>
      <c r="AE355" s="38"/>
      <c r="AF355" s="38"/>
      <c r="AG355" s="38"/>
    </row>
    <row r="356" spans="2:33" hidden="1" outlineLevel="2" x14ac:dyDescent="0.15">
      <c r="B356" s="800" t="s">
        <v>422</v>
      </c>
      <c r="C356" s="815">
        <f t="shared" si="2"/>
        <v>39.200000000000003</v>
      </c>
      <c r="D356" s="843">
        <v>5.6000000000000001E-2</v>
      </c>
      <c r="E356" s="815">
        <f>D356*'Info utili'!$P$20</f>
        <v>651.15555555555557</v>
      </c>
      <c r="F356" s="829">
        <v>0.1</v>
      </c>
      <c r="G356" s="878">
        <v>0.3</v>
      </c>
      <c r="M356" s="34"/>
      <c r="N356" s="34"/>
      <c r="O356" s="34"/>
      <c r="P356" s="34"/>
      <c r="Q356" s="34"/>
      <c r="R356" s="36"/>
      <c r="S356" s="21"/>
      <c r="T356" s="34"/>
      <c r="U356" s="34"/>
      <c r="V356" s="34"/>
      <c r="W356" s="37"/>
      <c r="X356" s="35"/>
      <c r="Y356" s="37"/>
      <c r="Z356" s="37"/>
      <c r="AA356" s="37"/>
      <c r="AB356" s="37"/>
      <c r="AC356" s="35"/>
      <c r="AD356" s="38"/>
      <c r="AE356" s="38"/>
      <c r="AF356" s="38"/>
      <c r="AG356" s="38"/>
    </row>
    <row r="357" spans="2:33" hidden="1" outlineLevel="2" x14ac:dyDescent="0.15">
      <c r="B357" s="800" t="s">
        <v>423</v>
      </c>
      <c r="C357" s="815">
        <f t="shared" si="2"/>
        <v>207.89999999999998</v>
      </c>
      <c r="D357" s="843">
        <v>0.29699999999999999</v>
      </c>
      <c r="E357" s="815">
        <f>D357*'Info utili'!$P$20</f>
        <v>3453.45</v>
      </c>
      <c r="F357" s="829">
        <v>0.1</v>
      </c>
      <c r="G357" s="878">
        <v>0.3</v>
      </c>
      <c r="M357" s="34"/>
      <c r="N357" s="34"/>
      <c r="O357" s="34"/>
      <c r="P357" s="34"/>
      <c r="Q357" s="34"/>
      <c r="R357" s="36"/>
      <c r="S357" s="21"/>
      <c r="T357" s="34"/>
      <c r="U357" s="34"/>
      <c r="V357" s="34"/>
      <c r="W357" s="37"/>
      <c r="X357" s="35"/>
      <c r="Y357" s="37"/>
      <c r="Z357" s="37"/>
      <c r="AA357" s="37"/>
      <c r="AB357" s="37"/>
      <c r="AC357" s="35"/>
      <c r="AD357" s="38"/>
      <c r="AE357" s="38"/>
      <c r="AF357" s="38"/>
      <c r="AG357" s="38"/>
    </row>
    <row r="358" spans="2:33" hidden="1" outlineLevel="2" x14ac:dyDescent="0.15">
      <c r="B358" s="800" t="s">
        <v>424</v>
      </c>
      <c r="C358" s="815">
        <f t="shared" si="2"/>
        <v>126.7</v>
      </c>
      <c r="D358" s="843">
        <v>0.18099999999999999</v>
      </c>
      <c r="E358" s="815">
        <f>D358*'Info utili'!$P$20</f>
        <v>2104.6277777777777</v>
      </c>
      <c r="F358" s="829">
        <v>0.1</v>
      </c>
      <c r="G358" s="878">
        <v>0.3</v>
      </c>
      <c r="M358" s="34"/>
      <c r="N358" s="34"/>
      <c r="O358" s="34"/>
      <c r="P358" s="34"/>
      <c r="Q358" s="34"/>
      <c r="R358" s="36"/>
      <c r="S358" s="21"/>
      <c r="T358" s="34"/>
      <c r="U358" s="34"/>
      <c r="V358" s="34"/>
      <c r="W358" s="37"/>
      <c r="X358" s="35"/>
      <c r="Y358" s="37"/>
      <c r="Z358" s="37"/>
      <c r="AA358" s="37"/>
      <c r="AB358" s="37"/>
      <c r="AC358" s="35"/>
      <c r="AD358" s="38"/>
      <c r="AE358" s="38"/>
      <c r="AF358" s="38"/>
      <c r="AG358" s="38"/>
    </row>
    <row r="359" spans="2:33" hidden="1" outlineLevel="2" x14ac:dyDescent="0.15">
      <c r="B359" s="800" t="s">
        <v>425</v>
      </c>
      <c r="C359" s="815">
        <f t="shared" si="2"/>
        <v>152.6</v>
      </c>
      <c r="D359" s="843">
        <v>0.218</v>
      </c>
      <c r="E359" s="815">
        <f>D359*'Info utili'!$P$20</f>
        <v>2534.8555555555554</v>
      </c>
      <c r="F359" s="829">
        <v>0.1</v>
      </c>
      <c r="G359" s="878">
        <v>0.3</v>
      </c>
      <c r="M359" s="34"/>
      <c r="N359" s="34"/>
      <c r="O359" s="34"/>
      <c r="P359" s="34"/>
      <c r="Q359" s="34"/>
      <c r="R359" s="36"/>
      <c r="S359" s="21"/>
      <c r="T359" s="34"/>
      <c r="U359" s="34"/>
      <c r="V359" s="34"/>
      <c r="W359" s="37"/>
      <c r="X359" s="35"/>
      <c r="Y359" s="37"/>
      <c r="Z359" s="37"/>
      <c r="AA359" s="37"/>
      <c r="AB359" s="37"/>
      <c r="AC359" s="35"/>
      <c r="AD359" s="38"/>
      <c r="AE359" s="38"/>
      <c r="AF359" s="38"/>
      <c r="AG359" s="38"/>
    </row>
    <row r="360" spans="2:33" hidden="1" outlineLevel="2" x14ac:dyDescent="0.15">
      <c r="B360" s="800" t="s">
        <v>426</v>
      </c>
      <c r="C360" s="815">
        <f t="shared" si="2"/>
        <v>125.3</v>
      </c>
      <c r="D360" s="843">
        <v>0.17899999999999999</v>
      </c>
      <c r="E360" s="815">
        <f>D360*'Info utili'!$P$20</f>
        <v>2081.3722222222223</v>
      </c>
      <c r="F360" s="829">
        <v>0.1</v>
      </c>
      <c r="G360" s="878">
        <v>0.3</v>
      </c>
      <c r="M360" s="34"/>
      <c r="N360" s="34"/>
      <c r="O360" s="34"/>
      <c r="P360" s="34"/>
      <c r="Q360" s="34"/>
      <c r="R360" s="36"/>
      <c r="S360" s="21"/>
      <c r="T360" s="34"/>
      <c r="U360" s="34"/>
      <c r="V360" s="34"/>
      <c r="W360" s="37"/>
      <c r="X360" s="35"/>
      <c r="Y360" s="37"/>
      <c r="Z360" s="37"/>
      <c r="AA360" s="37"/>
      <c r="AB360" s="37"/>
      <c r="AC360" s="35"/>
      <c r="AD360" s="38"/>
      <c r="AE360" s="38"/>
      <c r="AF360" s="38"/>
      <c r="AG360" s="38"/>
    </row>
    <row r="361" spans="2:33" hidden="1" outlineLevel="2" x14ac:dyDescent="0.15">
      <c r="B361" s="800" t="s">
        <v>427</v>
      </c>
      <c r="C361" s="815">
        <f t="shared" si="2"/>
        <v>139.30000000000001</v>
      </c>
      <c r="D361" s="843">
        <v>0.19900000000000001</v>
      </c>
      <c r="E361" s="815">
        <f>D361*'Info utili'!$P$20</f>
        <v>2313.9277777777779</v>
      </c>
      <c r="F361" s="829">
        <v>0.1</v>
      </c>
      <c r="G361" s="878">
        <v>0.3</v>
      </c>
      <c r="M361" s="34"/>
      <c r="N361" s="34"/>
      <c r="O361" s="34"/>
      <c r="P361" s="34"/>
      <c r="Q361" s="34"/>
      <c r="R361" s="36"/>
      <c r="S361" s="21"/>
      <c r="T361" s="34"/>
      <c r="U361" s="34"/>
      <c r="V361" s="34"/>
      <c r="W361" s="37"/>
      <c r="X361" s="35"/>
      <c r="Y361" s="37"/>
      <c r="Z361" s="37"/>
      <c r="AA361" s="37"/>
      <c r="AB361" s="37"/>
      <c r="AC361" s="35"/>
      <c r="AD361" s="38"/>
      <c r="AE361" s="38"/>
      <c r="AF361" s="38"/>
      <c r="AG361" s="38"/>
    </row>
    <row r="362" spans="2:33" hidden="1" outlineLevel="2" x14ac:dyDescent="0.15">
      <c r="B362" s="800" t="s">
        <v>428</v>
      </c>
      <c r="C362" s="815">
        <f t="shared" si="2"/>
        <v>135.80000000000001</v>
      </c>
      <c r="D362" s="843">
        <v>0.19400000000000001</v>
      </c>
      <c r="E362" s="815">
        <f>D362*'Info utili'!$P$20</f>
        <v>2255.7888888888888</v>
      </c>
      <c r="F362" s="829">
        <v>0.1</v>
      </c>
      <c r="G362" s="878">
        <v>0.3</v>
      </c>
      <c r="M362" s="34"/>
      <c r="N362" s="34"/>
      <c r="O362" s="34"/>
      <c r="P362" s="34"/>
      <c r="Q362" s="34"/>
      <c r="R362" s="36"/>
      <c r="S362" s="21"/>
      <c r="T362" s="34"/>
      <c r="U362" s="34"/>
      <c r="V362" s="34"/>
      <c r="W362" s="37"/>
      <c r="X362" s="35"/>
      <c r="Y362" s="37"/>
      <c r="Z362" s="37"/>
      <c r="AA362" s="37"/>
      <c r="AB362" s="37"/>
      <c r="AC362" s="35"/>
      <c r="AD362" s="38"/>
      <c r="AE362" s="38"/>
      <c r="AF362" s="38"/>
      <c r="AG362" s="38"/>
    </row>
    <row r="363" spans="2:33" hidden="1" outlineLevel="2" x14ac:dyDescent="0.15">
      <c r="B363" s="800" t="s">
        <v>429</v>
      </c>
      <c r="C363" s="815">
        <f t="shared" si="2"/>
        <v>156.1</v>
      </c>
      <c r="D363" s="843">
        <v>0.223</v>
      </c>
      <c r="E363" s="815">
        <f>D363*'Info utili'!$P$20</f>
        <v>2592.9944444444445</v>
      </c>
      <c r="F363" s="829">
        <v>0.1</v>
      </c>
      <c r="G363" s="878">
        <v>0.3</v>
      </c>
      <c r="M363" s="34"/>
      <c r="N363" s="34"/>
      <c r="O363" s="34"/>
      <c r="P363" s="34"/>
      <c r="Q363" s="34"/>
      <c r="R363" s="36"/>
      <c r="S363" s="21"/>
      <c r="T363" s="34"/>
      <c r="U363" s="34"/>
      <c r="V363" s="34"/>
      <c r="W363" s="37"/>
      <c r="X363" s="35"/>
      <c r="Y363" s="37"/>
      <c r="Z363" s="37"/>
      <c r="AA363" s="37"/>
      <c r="AB363" s="37"/>
      <c r="AC363" s="35"/>
      <c r="AD363" s="38"/>
      <c r="AE363" s="38"/>
      <c r="AF363" s="38"/>
      <c r="AG363" s="38"/>
    </row>
    <row r="364" spans="2:33" hidden="1" outlineLevel="2" x14ac:dyDescent="0.15">
      <c r="B364" s="800" t="s">
        <v>430</v>
      </c>
      <c r="C364" s="815">
        <f t="shared" si="2"/>
        <v>166.6</v>
      </c>
      <c r="D364" s="843">
        <v>0.23799999999999999</v>
      </c>
      <c r="E364" s="815">
        <f>D364*'Info utili'!$P$20</f>
        <v>2767.411111111111</v>
      </c>
      <c r="F364" s="829">
        <v>0.1</v>
      </c>
      <c r="G364" s="878">
        <v>0.3</v>
      </c>
      <c r="M364" s="34"/>
      <c r="N364" s="34"/>
      <c r="O364" s="34"/>
      <c r="P364" s="34"/>
      <c r="Q364" s="34"/>
      <c r="R364" s="36"/>
      <c r="S364" s="21"/>
      <c r="T364" s="34"/>
      <c r="U364" s="34"/>
      <c r="V364" s="34"/>
      <c r="W364" s="37"/>
      <c r="X364" s="35"/>
      <c r="Y364" s="37"/>
      <c r="Z364" s="37"/>
      <c r="AA364" s="37"/>
      <c r="AB364" s="37"/>
      <c r="AC364" s="35"/>
      <c r="AD364" s="38"/>
      <c r="AE364" s="38"/>
      <c r="AF364" s="38"/>
      <c r="AG364" s="38"/>
    </row>
    <row r="365" spans="2:33" hidden="1" outlineLevel="2" x14ac:dyDescent="0.15">
      <c r="B365" s="800" t="s">
        <v>431</v>
      </c>
      <c r="C365" s="815">
        <f t="shared" si="2"/>
        <v>156.80000000000001</v>
      </c>
      <c r="D365" s="843">
        <v>0.224</v>
      </c>
      <c r="E365" s="815">
        <f>D365*'Info utili'!$P$20</f>
        <v>2604.6222222222223</v>
      </c>
      <c r="F365" s="829">
        <v>0.1</v>
      </c>
      <c r="G365" s="878">
        <v>0.3</v>
      </c>
      <c r="M365" s="34"/>
      <c r="N365" s="34"/>
      <c r="O365" s="34"/>
      <c r="P365" s="34"/>
      <c r="Q365" s="34"/>
      <c r="R365" s="36"/>
      <c r="S365" s="21"/>
      <c r="T365" s="34"/>
      <c r="U365" s="34"/>
      <c r="V365" s="34"/>
      <c r="W365" s="37"/>
      <c r="X365" s="35"/>
      <c r="Y365" s="37"/>
      <c r="Z365" s="37"/>
      <c r="AA365" s="37"/>
      <c r="AB365" s="37"/>
      <c r="AC365" s="35"/>
      <c r="AD365" s="38"/>
      <c r="AE365" s="38"/>
      <c r="AF365" s="38"/>
      <c r="AG365" s="38"/>
    </row>
    <row r="366" spans="2:33" hidden="1" outlineLevel="2" x14ac:dyDescent="0.15">
      <c r="B366" s="800" t="s">
        <v>432</v>
      </c>
      <c r="C366" s="815">
        <f t="shared" si="2"/>
        <v>74.899999999999991</v>
      </c>
      <c r="D366" s="843">
        <v>0.107</v>
      </c>
      <c r="E366" s="815">
        <f>D366*'Info utili'!$P$20</f>
        <v>1244.1722222222222</v>
      </c>
      <c r="F366" s="829">
        <v>0.1</v>
      </c>
      <c r="G366" s="878">
        <v>0.3</v>
      </c>
      <c r="M366" s="34"/>
      <c r="N366" s="34"/>
      <c r="O366" s="34"/>
      <c r="P366" s="34"/>
      <c r="Q366" s="34"/>
      <c r="R366" s="36"/>
      <c r="S366" s="21"/>
      <c r="T366" s="34"/>
      <c r="U366" s="34"/>
      <c r="V366" s="34"/>
      <c r="W366" s="37"/>
      <c r="X366" s="35"/>
      <c r="Y366" s="37"/>
      <c r="Z366" s="37"/>
      <c r="AA366" s="37"/>
      <c r="AB366" s="37"/>
      <c r="AC366" s="35"/>
      <c r="AD366" s="38"/>
      <c r="AE366" s="38"/>
      <c r="AF366" s="38"/>
      <c r="AG366" s="38"/>
    </row>
    <row r="367" spans="2:33" hidden="1" outlineLevel="2" x14ac:dyDescent="0.15">
      <c r="B367" s="800" t="s">
        <v>433</v>
      </c>
      <c r="C367" s="815">
        <f t="shared" si="2"/>
        <v>169.4</v>
      </c>
      <c r="D367" s="843">
        <v>0.24199999999999999</v>
      </c>
      <c r="E367" s="815">
        <f>D367*'Info utili'!$P$20</f>
        <v>2813.922222222222</v>
      </c>
      <c r="F367" s="829">
        <v>0.1</v>
      </c>
      <c r="G367" s="878">
        <v>0.3</v>
      </c>
      <c r="M367" s="34"/>
      <c r="N367" s="34"/>
      <c r="O367" s="34"/>
      <c r="P367" s="34"/>
      <c r="Q367" s="34"/>
      <c r="R367" s="36"/>
      <c r="S367" s="21"/>
      <c r="T367" s="34"/>
      <c r="U367" s="34"/>
      <c r="V367" s="34"/>
      <c r="W367" s="37"/>
      <c r="X367" s="35"/>
      <c r="Y367" s="37"/>
      <c r="Z367" s="37"/>
      <c r="AA367" s="37"/>
      <c r="AB367" s="37"/>
      <c r="AC367" s="35"/>
      <c r="AD367" s="38"/>
      <c r="AE367" s="38"/>
      <c r="AF367" s="38"/>
      <c r="AG367" s="38"/>
    </row>
    <row r="368" spans="2:33" hidden="1" outlineLevel="2" x14ac:dyDescent="0.15">
      <c r="B368" s="800" t="s">
        <v>434</v>
      </c>
      <c r="C368" s="815">
        <f t="shared" si="2"/>
        <v>177.1</v>
      </c>
      <c r="D368" s="843">
        <v>0.253</v>
      </c>
      <c r="E368" s="815">
        <f>D368*'Info utili'!$P$20</f>
        <v>2941.8277777777776</v>
      </c>
      <c r="F368" s="829">
        <v>0.1</v>
      </c>
      <c r="G368" s="878">
        <v>0.3</v>
      </c>
      <c r="M368" s="34"/>
      <c r="N368" s="34"/>
      <c r="O368" s="34"/>
      <c r="P368" s="34"/>
      <c r="Q368" s="34"/>
      <c r="R368" s="36"/>
      <c r="S368" s="21"/>
      <c r="T368" s="34"/>
      <c r="U368" s="34"/>
      <c r="V368" s="34"/>
      <c r="W368" s="37"/>
      <c r="X368" s="35"/>
      <c r="Y368" s="37"/>
      <c r="Z368" s="37"/>
      <c r="AA368" s="37"/>
      <c r="AB368" s="37"/>
      <c r="AC368" s="35"/>
      <c r="AD368" s="38"/>
      <c r="AE368" s="38"/>
      <c r="AF368" s="38"/>
      <c r="AG368" s="38"/>
    </row>
    <row r="369" spans="2:33" hidden="1" outlineLevel="2" x14ac:dyDescent="0.15">
      <c r="B369" s="800" t="s">
        <v>435</v>
      </c>
      <c r="C369" s="815">
        <f t="shared" si="2"/>
        <v>154.69999999999999</v>
      </c>
      <c r="D369" s="843">
        <v>0.221</v>
      </c>
      <c r="E369" s="815">
        <f>D369*'Info utili'!$P$20</f>
        <v>2569.7388888888886</v>
      </c>
      <c r="F369" s="829">
        <v>0.1</v>
      </c>
      <c r="G369" s="878">
        <v>0.3</v>
      </c>
      <c r="M369" s="34"/>
      <c r="N369" s="34"/>
      <c r="O369" s="34"/>
      <c r="P369" s="34"/>
      <c r="Q369" s="34"/>
      <c r="R369" s="36"/>
      <c r="S369" s="21"/>
      <c r="T369" s="34"/>
      <c r="U369" s="34"/>
      <c r="V369" s="34"/>
      <c r="W369" s="37"/>
      <c r="X369" s="35"/>
      <c r="Y369" s="37"/>
      <c r="Z369" s="37"/>
      <c r="AA369" s="37"/>
      <c r="AB369" s="37"/>
      <c r="AC369" s="35"/>
      <c r="AD369" s="38"/>
      <c r="AE369" s="38"/>
      <c r="AF369" s="38"/>
      <c r="AG369" s="38"/>
    </row>
    <row r="370" spans="2:33" hidden="1" outlineLevel="2" x14ac:dyDescent="0.15">
      <c r="B370" s="800" t="s">
        <v>436</v>
      </c>
      <c r="C370" s="815">
        <f t="shared" si="2"/>
        <v>157.5</v>
      </c>
      <c r="D370" s="843">
        <v>0.22500000000000001</v>
      </c>
      <c r="E370" s="815">
        <f>D370*'Info utili'!$P$20</f>
        <v>2616.25</v>
      </c>
      <c r="F370" s="829">
        <v>0.1</v>
      </c>
      <c r="G370" s="878">
        <v>0.3</v>
      </c>
      <c r="M370" s="34"/>
      <c r="N370" s="34"/>
      <c r="O370" s="34"/>
      <c r="P370" s="34"/>
      <c r="Q370" s="34"/>
      <c r="R370" s="36"/>
      <c r="S370" s="21"/>
      <c r="T370" s="34"/>
      <c r="U370" s="34"/>
      <c r="V370" s="34"/>
      <c r="W370" s="37"/>
      <c r="X370" s="35"/>
      <c r="Y370" s="37"/>
      <c r="Z370" s="37"/>
      <c r="AA370" s="37"/>
      <c r="AB370" s="37"/>
      <c r="AC370" s="35"/>
      <c r="AD370" s="38"/>
      <c r="AE370" s="38"/>
      <c r="AF370" s="38"/>
      <c r="AG370" s="38"/>
    </row>
    <row r="371" spans="2:33" hidden="1" outlineLevel="2" x14ac:dyDescent="0.15">
      <c r="B371" s="800" t="s">
        <v>437</v>
      </c>
      <c r="C371" s="815">
        <f t="shared" si="2"/>
        <v>151.19999999999999</v>
      </c>
      <c r="D371" s="843">
        <v>0.216</v>
      </c>
      <c r="E371" s="815">
        <f>D371*'Info utili'!$P$20</f>
        <v>2511.6</v>
      </c>
      <c r="F371" s="829">
        <v>0.1</v>
      </c>
      <c r="G371" s="878">
        <v>0.3</v>
      </c>
      <c r="M371" s="34"/>
      <c r="N371" s="34"/>
      <c r="O371" s="34"/>
      <c r="P371" s="34"/>
      <c r="Q371" s="34"/>
      <c r="R371" s="36"/>
      <c r="S371" s="21"/>
      <c r="T371" s="34"/>
      <c r="U371" s="34"/>
      <c r="V371" s="34"/>
      <c r="W371" s="37"/>
      <c r="X371" s="35"/>
      <c r="Y371" s="37"/>
      <c r="Z371" s="37"/>
      <c r="AA371" s="37"/>
      <c r="AB371" s="37"/>
      <c r="AC371" s="35"/>
      <c r="AD371" s="38"/>
      <c r="AE371" s="38"/>
      <c r="AF371" s="38"/>
      <c r="AG371" s="38"/>
    </row>
    <row r="372" spans="2:33" hidden="1" outlineLevel="2" x14ac:dyDescent="0.15">
      <c r="B372" s="800" t="s">
        <v>438</v>
      </c>
      <c r="C372" s="815">
        <f t="shared" si="2"/>
        <v>147.69999999999999</v>
      </c>
      <c r="D372" s="843">
        <v>0.21099999999999999</v>
      </c>
      <c r="E372" s="815">
        <f>D372*'Info utili'!$P$20</f>
        <v>2453.4611111111108</v>
      </c>
      <c r="F372" s="829">
        <v>0.1</v>
      </c>
      <c r="G372" s="878">
        <v>0.3</v>
      </c>
      <c r="M372" s="34"/>
      <c r="N372" s="34"/>
      <c r="O372" s="34"/>
      <c r="P372" s="34"/>
      <c r="Q372" s="34"/>
      <c r="R372" s="36"/>
      <c r="S372" s="21"/>
      <c r="T372" s="34"/>
      <c r="U372" s="34"/>
      <c r="V372" s="34"/>
      <c r="W372" s="37"/>
      <c r="X372" s="35"/>
      <c r="Y372" s="37"/>
      <c r="Z372" s="37"/>
      <c r="AA372" s="37"/>
      <c r="AB372" s="37"/>
      <c r="AC372" s="35"/>
      <c r="AD372" s="38"/>
      <c r="AE372" s="38"/>
      <c r="AF372" s="38"/>
      <c r="AG372" s="38"/>
    </row>
    <row r="373" spans="2:33" hidden="1" outlineLevel="2" x14ac:dyDescent="0.15">
      <c r="B373" s="800" t="s">
        <v>439</v>
      </c>
      <c r="C373" s="815">
        <f t="shared" si="2"/>
        <v>165.2</v>
      </c>
      <c r="D373" s="843">
        <v>0.23599999999999999</v>
      </c>
      <c r="E373" s="815">
        <f>D373*'Info utili'!$P$20</f>
        <v>2744.1555555555551</v>
      </c>
      <c r="F373" s="829">
        <v>0.1</v>
      </c>
      <c r="G373" s="878">
        <v>0.3</v>
      </c>
      <c r="M373" s="34"/>
      <c r="N373" s="34"/>
      <c r="O373" s="34"/>
      <c r="P373" s="34"/>
      <c r="Q373" s="34"/>
      <c r="R373" s="36"/>
      <c r="S373" s="21"/>
      <c r="T373" s="34"/>
      <c r="U373" s="34"/>
      <c r="V373" s="34"/>
      <c r="W373" s="37"/>
      <c r="X373" s="35"/>
      <c r="Y373" s="37"/>
      <c r="Z373" s="37"/>
      <c r="AA373" s="37"/>
      <c r="AB373" s="37"/>
      <c r="AC373" s="35"/>
      <c r="AD373" s="38"/>
      <c r="AE373" s="38"/>
      <c r="AF373" s="38"/>
      <c r="AG373" s="38"/>
    </row>
    <row r="374" spans="2:33" hidden="1" outlineLevel="2" x14ac:dyDescent="0.15">
      <c r="B374" s="800" t="s">
        <v>440</v>
      </c>
      <c r="C374" s="815">
        <f t="shared" si="2"/>
        <v>122.49999999999999</v>
      </c>
      <c r="D374" s="843">
        <v>0.17499999999999999</v>
      </c>
      <c r="E374" s="815">
        <f>D374*'Info utili'!$P$20</f>
        <v>2034.8611111111109</v>
      </c>
      <c r="F374" s="829">
        <v>0.1</v>
      </c>
      <c r="G374" s="878">
        <v>0.3</v>
      </c>
      <c r="M374" s="34"/>
      <c r="N374" s="34"/>
      <c r="O374" s="34"/>
      <c r="P374" s="34"/>
      <c r="Q374" s="34"/>
      <c r="R374" s="36"/>
      <c r="S374" s="21"/>
      <c r="T374" s="34"/>
      <c r="U374" s="34"/>
      <c r="V374" s="34"/>
      <c r="W374" s="37"/>
      <c r="X374" s="35"/>
      <c r="Y374" s="37"/>
      <c r="Z374" s="37"/>
      <c r="AA374" s="37"/>
      <c r="AB374" s="37"/>
      <c r="AC374" s="35"/>
      <c r="AD374" s="38"/>
      <c r="AE374" s="38"/>
      <c r="AF374" s="38"/>
      <c r="AG374" s="38"/>
    </row>
    <row r="375" spans="2:33" hidden="1" outlineLevel="2" x14ac:dyDescent="0.15">
      <c r="B375" s="800" t="s">
        <v>441</v>
      </c>
      <c r="C375" s="815">
        <f t="shared" ref="C375:C438" si="3">D375*700</f>
        <v>133.69999999999999</v>
      </c>
      <c r="D375" s="843">
        <v>0.191</v>
      </c>
      <c r="E375" s="815">
        <f>D375*'Info utili'!$P$20</f>
        <v>2220.9055555555556</v>
      </c>
      <c r="F375" s="829">
        <v>0.1</v>
      </c>
      <c r="G375" s="878">
        <v>0.3</v>
      </c>
      <c r="M375" s="34"/>
      <c r="N375" s="34"/>
      <c r="O375" s="34"/>
      <c r="P375" s="34"/>
      <c r="Q375" s="34"/>
      <c r="R375" s="36"/>
      <c r="S375" s="21"/>
      <c r="T375" s="34"/>
      <c r="U375" s="34"/>
      <c r="V375" s="34"/>
      <c r="W375" s="37"/>
      <c r="X375" s="35"/>
      <c r="Y375" s="37"/>
      <c r="Z375" s="37"/>
      <c r="AA375" s="37"/>
      <c r="AB375" s="37"/>
      <c r="AC375" s="35"/>
      <c r="AD375" s="38"/>
      <c r="AE375" s="38"/>
      <c r="AF375" s="38"/>
      <c r="AG375" s="38"/>
    </row>
    <row r="376" spans="2:33" hidden="1" outlineLevel="2" x14ac:dyDescent="0.15">
      <c r="B376" s="800" t="s">
        <v>442</v>
      </c>
      <c r="C376" s="815">
        <f t="shared" si="3"/>
        <v>161</v>
      </c>
      <c r="D376" s="843">
        <v>0.23</v>
      </c>
      <c r="E376" s="815">
        <f>D376*'Info utili'!$P$20</f>
        <v>2674.3888888888887</v>
      </c>
      <c r="F376" s="829">
        <v>0.1</v>
      </c>
      <c r="G376" s="878">
        <v>0.3</v>
      </c>
      <c r="M376" s="34"/>
      <c r="N376" s="34"/>
      <c r="O376" s="34"/>
      <c r="P376" s="34"/>
      <c r="Q376" s="34"/>
      <c r="R376" s="36"/>
      <c r="S376" s="21"/>
      <c r="T376" s="34"/>
      <c r="U376" s="34"/>
      <c r="V376" s="34"/>
      <c r="W376" s="37"/>
      <c r="X376" s="35"/>
      <c r="Y376" s="37"/>
      <c r="Z376" s="37"/>
      <c r="AA376" s="37"/>
      <c r="AB376" s="37"/>
      <c r="AC376" s="35"/>
      <c r="AD376" s="38"/>
      <c r="AE376" s="38"/>
      <c r="AF376" s="38"/>
      <c r="AG376" s="38"/>
    </row>
    <row r="377" spans="2:33" hidden="1" outlineLevel="2" x14ac:dyDescent="0.15">
      <c r="B377" s="800" t="s">
        <v>443</v>
      </c>
      <c r="C377" s="815">
        <f t="shared" si="3"/>
        <v>175</v>
      </c>
      <c r="D377" s="843">
        <v>0.25</v>
      </c>
      <c r="E377" s="815">
        <f>D377*'Info utili'!$P$20</f>
        <v>2906.9444444444443</v>
      </c>
      <c r="F377" s="829">
        <v>0.1</v>
      </c>
      <c r="G377" s="878">
        <v>0.3</v>
      </c>
      <c r="M377" s="34"/>
      <c r="N377" s="34"/>
      <c r="O377" s="34"/>
      <c r="P377" s="34"/>
      <c r="Q377" s="34"/>
      <c r="R377" s="36"/>
      <c r="S377" s="21"/>
      <c r="T377" s="34"/>
      <c r="U377" s="34"/>
      <c r="V377" s="34"/>
      <c r="W377" s="37"/>
      <c r="X377" s="35"/>
      <c r="Y377" s="37"/>
      <c r="Z377" s="37"/>
      <c r="AA377" s="37"/>
      <c r="AB377" s="37"/>
      <c r="AC377" s="35"/>
      <c r="AD377" s="38"/>
      <c r="AE377" s="38"/>
      <c r="AF377" s="38"/>
      <c r="AG377" s="38"/>
    </row>
    <row r="378" spans="2:33" hidden="1" outlineLevel="2" x14ac:dyDescent="0.15">
      <c r="B378" s="800" t="s">
        <v>444</v>
      </c>
      <c r="C378" s="815">
        <f t="shared" si="3"/>
        <v>97.300000000000011</v>
      </c>
      <c r="D378" s="843">
        <v>0.13900000000000001</v>
      </c>
      <c r="E378" s="815">
        <f>D378*'Info utili'!$P$20</f>
        <v>1616.2611111111112</v>
      </c>
      <c r="F378" s="829">
        <v>0.1</v>
      </c>
      <c r="G378" s="878">
        <v>0.3</v>
      </c>
      <c r="M378" s="34"/>
      <c r="N378" s="34"/>
      <c r="O378" s="34"/>
      <c r="P378" s="34"/>
      <c r="Q378" s="34"/>
      <c r="R378" s="36"/>
      <c r="S378" s="21"/>
      <c r="T378" s="34"/>
      <c r="U378" s="34"/>
      <c r="V378" s="34"/>
      <c r="W378" s="37"/>
      <c r="X378" s="35"/>
      <c r="Y378" s="37"/>
      <c r="Z378" s="37"/>
      <c r="AA378" s="37"/>
      <c r="AB378" s="37"/>
      <c r="AC378" s="35"/>
      <c r="AD378" s="38"/>
      <c r="AE378" s="38"/>
      <c r="AF378" s="38"/>
      <c r="AG378" s="38"/>
    </row>
    <row r="379" spans="2:33" hidden="1" outlineLevel="2" x14ac:dyDescent="0.15">
      <c r="B379" s="800" t="s">
        <v>445</v>
      </c>
      <c r="C379" s="815">
        <f t="shared" si="3"/>
        <v>184.8</v>
      </c>
      <c r="D379" s="843">
        <v>0.26400000000000001</v>
      </c>
      <c r="E379" s="815">
        <f>D379*'Info utili'!$P$20</f>
        <v>3069.7333333333336</v>
      </c>
      <c r="F379" s="829">
        <v>0.1</v>
      </c>
      <c r="G379" s="878">
        <v>0.3</v>
      </c>
      <c r="M379" s="34"/>
      <c r="N379" s="34"/>
      <c r="O379" s="34"/>
      <c r="P379" s="34"/>
      <c r="Q379" s="34"/>
      <c r="R379" s="36"/>
      <c r="S379" s="21"/>
      <c r="T379" s="34"/>
      <c r="U379" s="34"/>
      <c r="V379" s="34"/>
      <c r="W379" s="37"/>
      <c r="X379" s="35"/>
      <c r="Y379" s="37"/>
      <c r="Z379" s="37"/>
      <c r="AA379" s="37"/>
      <c r="AB379" s="37"/>
      <c r="AC379" s="35"/>
      <c r="AD379" s="38"/>
      <c r="AE379" s="38"/>
      <c r="AF379" s="38"/>
      <c r="AG379" s="38"/>
    </row>
    <row r="380" spans="2:33" hidden="1" outlineLevel="2" x14ac:dyDescent="0.15">
      <c r="B380" s="800" t="s">
        <v>446</v>
      </c>
      <c r="C380" s="815">
        <f t="shared" si="3"/>
        <v>152.6</v>
      </c>
      <c r="D380" s="843">
        <v>0.218</v>
      </c>
      <c r="E380" s="815">
        <f>D380*'Info utili'!$P$20</f>
        <v>2534.8555555555554</v>
      </c>
      <c r="F380" s="829">
        <v>0.1</v>
      </c>
      <c r="G380" s="878">
        <v>0.3</v>
      </c>
      <c r="M380" s="34"/>
      <c r="N380" s="34"/>
      <c r="O380" s="34"/>
      <c r="P380" s="34"/>
      <c r="Q380" s="34"/>
      <c r="R380" s="36"/>
      <c r="S380" s="21"/>
      <c r="T380" s="34"/>
      <c r="U380" s="34"/>
      <c r="V380" s="34"/>
      <c r="W380" s="37"/>
      <c r="X380" s="35"/>
      <c r="Y380" s="37"/>
      <c r="Z380" s="37"/>
      <c r="AA380" s="37"/>
      <c r="AB380" s="37"/>
      <c r="AC380" s="35"/>
      <c r="AD380" s="38"/>
      <c r="AE380" s="38"/>
      <c r="AF380" s="38"/>
      <c r="AG380" s="38"/>
    </row>
    <row r="381" spans="2:33" hidden="1" outlineLevel="2" x14ac:dyDescent="0.15">
      <c r="B381" s="800" t="s">
        <v>447</v>
      </c>
      <c r="C381" s="815">
        <f t="shared" si="3"/>
        <v>175</v>
      </c>
      <c r="D381" s="843">
        <v>0.25</v>
      </c>
      <c r="E381" s="815">
        <f>D381*'Info utili'!$P$20</f>
        <v>2906.9444444444443</v>
      </c>
      <c r="F381" s="829">
        <v>0.1</v>
      </c>
      <c r="G381" s="878">
        <v>0.3</v>
      </c>
      <c r="M381" s="34"/>
      <c r="N381" s="34"/>
      <c r="O381" s="34"/>
      <c r="P381" s="34"/>
      <c r="Q381" s="34"/>
      <c r="R381" s="36"/>
      <c r="S381" s="21"/>
      <c r="T381" s="34"/>
      <c r="U381" s="34"/>
      <c r="V381" s="34"/>
      <c r="W381" s="37"/>
      <c r="X381" s="35"/>
      <c r="Y381" s="37"/>
      <c r="Z381" s="37"/>
      <c r="AA381" s="37"/>
      <c r="AB381" s="37"/>
      <c r="AC381" s="35"/>
      <c r="AD381" s="38"/>
      <c r="AE381" s="38"/>
      <c r="AF381" s="38"/>
      <c r="AG381" s="38"/>
    </row>
    <row r="382" spans="2:33" hidden="1" outlineLevel="2" x14ac:dyDescent="0.15">
      <c r="B382" s="800" t="s">
        <v>448</v>
      </c>
      <c r="C382" s="815">
        <f t="shared" si="3"/>
        <v>130.9</v>
      </c>
      <c r="D382" s="843">
        <v>0.187</v>
      </c>
      <c r="E382" s="815">
        <f>D382*'Info utili'!$P$20</f>
        <v>2174.3944444444442</v>
      </c>
      <c r="F382" s="829">
        <v>0.1</v>
      </c>
      <c r="G382" s="878">
        <v>0.3</v>
      </c>
      <c r="M382" s="34"/>
      <c r="N382" s="34"/>
      <c r="O382" s="34"/>
      <c r="P382" s="34"/>
      <c r="Q382" s="34"/>
      <c r="R382" s="36"/>
      <c r="S382" s="21"/>
      <c r="T382" s="34"/>
      <c r="U382" s="34"/>
      <c r="V382" s="34"/>
      <c r="W382" s="37"/>
      <c r="X382" s="35"/>
      <c r="Y382" s="37"/>
      <c r="Z382" s="37"/>
      <c r="AA382" s="37"/>
      <c r="AB382" s="37"/>
      <c r="AC382" s="35"/>
      <c r="AD382" s="38"/>
      <c r="AE382" s="38"/>
      <c r="AF382" s="38"/>
      <c r="AG382" s="38"/>
    </row>
    <row r="383" spans="2:33" hidden="1" outlineLevel="2" x14ac:dyDescent="0.15">
      <c r="B383" s="800" t="s">
        <v>2667</v>
      </c>
      <c r="C383" s="815">
        <f t="shared" si="3"/>
        <v>13.299999999999999</v>
      </c>
      <c r="D383" s="843">
        <v>1.9E-2</v>
      </c>
      <c r="E383" s="815">
        <f>D383*'Info utili'!$P$20</f>
        <v>220.92777777777778</v>
      </c>
      <c r="F383" s="829">
        <v>0.1</v>
      </c>
      <c r="G383" s="878">
        <v>0.3</v>
      </c>
      <c r="M383" s="34"/>
      <c r="N383" s="34"/>
      <c r="O383" s="34"/>
      <c r="P383" s="34"/>
      <c r="Q383" s="34"/>
      <c r="R383" s="36"/>
      <c r="S383" s="21"/>
      <c r="T383" s="34"/>
      <c r="U383" s="34"/>
      <c r="V383" s="34"/>
      <c r="W383" s="37"/>
      <c r="X383" s="35"/>
      <c r="Y383" s="37"/>
      <c r="Z383" s="37"/>
      <c r="AA383" s="37"/>
      <c r="AB383" s="37"/>
      <c r="AC383" s="35"/>
      <c r="AD383" s="38"/>
      <c r="AE383" s="38"/>
      <c r="AF383" s="38"/>
      <c r="AG383" s="38"/>
    </row>
    <row r="384" spans="2:33" hidden="1" outlineLevel="2" x14ac:dyDescent="0.15">
      <c r="B384" s="800" t="s">
        <v>449</v>
      </c>
      <c r="C384" s="815">
        <f t="shared" si="3"/>
        <v>243.6</v>
      </c>
      <c r="D384" s="843">
        <v>0.34799999999999998</v>
      </c>
      <c r="E384" s="815">
        <f>D384*'Info utili'!$P$20</f>
        <v>4046.4666666666662</v>
      </c>
      <c r="F384" s="829">
        <v>0.1</v>
      </c>
      <c r="G384" s="878">
        <v>0.3</v>
      </c>
      <c r="M384" s="34"/>
      <c r="N384" s="34"/>
      <c r="O384" s="34"/>
      <c r="P384" s="34"/>
      <c r="Q384" s="34"/>
      <c r="R384" s="36"/>
      <c r="S384" s="21"/>
      <c r="T384" s="34"/>
      <c r="U384" s="34"/>
      <c r="V384" s="34"/>
      <c r="W384" s="37"/>
      <c r="X384" s="35"/>
      <c r="Y384" s="37"/>
      <c r="Z384" s="37"/>
      <c r="AA384" s="37"/>
      <c r="AB384" s="37"/>
      <c r="AC384" s="35"/>
      <c r="AD384" s="38"/>
      <c r="AE384" s="38"/>
      <c r="AF384" s="38"/>
      <c r="AG384" s="38"/>
    </row>
    <row r="385" spans="2:33" hidden="1" outlineLevel="2" x14ac:dyDescent="0.15">
      <c r="B385" s="800" t="s">
        <v>450</v>
      </c>
      <c r="C385" s="815">
        <f t="shared" si="3"/>
        <v>11.200000000000001</v>
      </c>
      <c r="D385" s="843">
        <v>1.6E-2</v>
      </c>
      <c r="E385" s="815">
        <f>D385*'Info utili'!$P$20</f>
        <v>186.04444444444445</v>
      </c>
      <c r="F385" s="829">
        <v>0.1</v>
      </c>
      <c r="G385" s="878">
        <v>0.3</v>
      </c>
      <c r="M385" s="34"/>
      <c r="N385" s="34"/>
      <c r="O385" s="34"/>
      <c r="P385" s="34"/>
      <c r="Q385" s="34"/>
      <c r="R385" s="36"/>
      <c r="S385" s="21"/>
      <c r="T385" s="34"/>
      <c r="U385" s="34"/>
      <c r="V385" s="34"/>
      <c r="W385" s="37"/>
      <c r="X385" s="35"/>
      <c r="Y385" s="37"/>
      <c r="Z385" s="37"/>
      <c r="AA385" s="37"/>
      <c r="AB385" s="37"/>
      <c r="AC385" s="35"/>
      <c r="AD385" s="38"/>
      <c r="AE385" s="38"/>
      <c r="AF385" s="38"/>
      <c r="AG385" s="38"/>
    </row>
    <row r="386" spans="2:33" hidden="1" outlineLevel="2" x14ac:dyDescent="0.15">
      <c r="B386" s="800" t="s">
        <v>451</v>
      </c>
      <c r="C386" s="815">
        <f t="shared" si="3"/>
        <v>148.4</v>
      </c>
      <c r="D386" s="843">
        <v>0.21199999999999999</v>
      </c>
      <c r="E386" s="815">
        <f>D386*'Info utili'!$P$20</f>
        <v>2465.088888888889</v>
      </c>
      <c r="F386" s="829">
        <v>0.1</v>
      </c>
      <c r="G386" s="878">
        <v>0.3</v>
      </c>
      <c r="M386" s="34"/>
      <c r="N386" s="34"/>
      <c r="O386" s="34"/>
      <c r="P386" s="34"/>
      <c r="Q386" s="34"/>
      <c r="R386" s="36"/>
      <c r="S386" s="21"/>
      <c r="T386" s="34"/>
      <c r="U386" s="34"/>
      <c r="V386" s="34"/>
      <c r="W386" s="37"/>
      <c r="X386" s="35"/>
      <c r="Y386" s="37"/>
      <c r="Z386" s="37"/>
      <c r="AA386" s="37"/>
      <c r="AB386" s="37"/>
      <c r="AC386" s="35"/>
      <c r="AD386" s="38"/>
      <c r="AE386" s="38"/>
      <c r="AF386" s="38"/>
      <c r="AG386" s="38"/>
    </row>
    <row r="387" spans="2:33" hidden="1" outlineLevel="2" x14ac:dyDescent="0.15">
      <c r="B387" s="800" t="s">
        <v>2661</v>
      </c>
      <c r="C387" s="815">
        <f t="shared" si="3"/>
        <v>162.4</v>
      </c>
      <c r="D387" s="843">
        <v>0.23200000000000001</v>
      </c>
      <c r="E387" s="815">
        <f>D387*'Info utili'!$P$20</f>
        <v>2697.6444444444446</v>
      </c>
      <c r="F387" s="829">
        <v>0.1</v>
      </c>
      <c r="G387" s="878">
        <v>0.3</v>
      </c>
      <c r="M387" s="34"/>
      <c r="N387" s="34"/>
      <c r="O387" s="34"/>
      <c r="P387" s="34"/>
      <c r="Q387" s="34"/>
      <c r="R387" s="36"/>
      <c r="S387" s="21"/>
      <c r="T387" s="34"/>
      <c r="U387" s="34"/>
      <c r="V387" s="34"/>
      <c r="W387" s="37"/>
      <c r="X387" s="35"/>
      <c r="Y387" s="37"/>
      <c r="Z387" s="37"/>
      <c r="AA387" s="37"/>
      <c r="AB387" s="37"/>
      <c r="AC387" s="35"/>
      <c r="AD387" s="38"/>
      <c r="AE387" s="38"/>
      <c r="AF387" s="38"/>
      <c r="AG387" s="38"/>
    </row>
    <row r="388" spans="2:33" hidden="1" outlineLevel="2" x14ac:dyDescent="0.15">
      <c r="B388" s="800" t="s">
        <v>452</v>
      </c>
      <c r="C388" s="815">
        <f t="shared" si="3"/>
        <v>161</v>
      </c>
      <c r="D388" s="843">
        <v>0.23</v>
      </c>
      <c r="E388" s="815">
        <f>D388*'Info utili'!$P$20</f>
        <v>2674.3888888888887</v>
      </c>
      <c r="F388" s="829">
        <v>0.1</v>
      </c>
      <c r="G388" s="878">
        <v>0.3</v>
      </c>
      <c r="M388" s="34"/>
      <c r="N388" s="34"/>
      <c r="O388" s="34"/>
      <c r="P388" s="34"/>
      <c r="Q388" s="34"/>
      <c r="R388" s="36"/>
      <c r="S388" s="21"/>
      <c r="T388" s="34"/>
      <c r="U388" s="34"/>
      <c r="V388" s="34"/>
      <c r="W388" s="37"/>
      <c r="X388" s="35"/>
      <c r="Y388" s="37"/>
      <c r="Z388" s="37"/>
      <c r="AA388" s="37"/>
      <c r="AB388" s="37"/>
      <c r="AC388" s="35"/>
      <c r="AD388" s="38"/>
      <c r="AE388" s="38"/>
      <c r="AF388" s="38"/>
      <c r="AG388" s="38"/>
    </row>
    <row r="389" spans="2:33" hidden="1" outlineLevel="2" x14ac:dyDescent="0.15">
      <c r="B389" s="800" t="s">
        <v>453</v>
      </c>
      <c r="C389" s="815">
        <f t="shared" si="3"/>
        <v>164.5</v>
      </c>
      <c r="D389" s="843">
        <v>0.23499999999999999</v>
      </c>
      <c r="E389" s="815">
        <f>D389*'Info utili'!$P$20</f>
        <v>2732.5277777777774</v>
      </c>
      <c r="F389" s="829">
        <v>0.1</v>
      </c>
      <c r="G389" s="878">
        <v>0.3</v>
      </c>
      <c r="M389" s="34"/>
      <c r="N389" s="34"/>
      <c r="O389" s="34"/>
      <c r="P389" s="34"/>
      <c r="Q389" s="34"/>
      <c r="R389" s="36"/>
      <c r="S389" s="21"/>
      <c r="T389" s="34"/>
      <c r="U389" s="34"/>
      <c r="V389" s="34"/>
      <c r="W389" s="37"/>
      <c r="X389" s="35"/>
      <c r="Y389" s="37"/>
      <c r="Z389" s="37"/>
      <c r="AA389" s="37"/>
      <c r="AB389" s="37"/>
      <c r="AC389" s="35"/>
      <c r="AD389" s="38"/>
      <c r="AE389" s="38"/>
      <c r="AF389" s="38"/>
      <c r="AG389" s="38"/>
    </row>
    <row r="390" spans="2:33" hidden="1" outlineLevel="2" x14ac:dyDescent="0.15">
      <c r="B390" s="800" t="s">
        <v>454</v>
      </c>
      <c r="C390" s="815">
        <f t="shared" si="3"/>
        <v>135.1</v>
      </c>
      <c r="D390" s="843">
        <v>0.193</v>
      </c>
      <c r="E390" s="815">
        <f>D390*'Info utili'!$P$20</f>
        <v>2244.161111111111</v>
      </c>
      <c r="F390" s="829">
        <v>0.1</v>
      </c>
      <c r="G390" s="878">
        <v>0.3</v>
      </c>
      <c r="M390" s="34"/>
      <c r="N390" s="34"/>
      <c r="O390" s="34"/>
      <c r="P390" s="34"/>
      <c r="Q390" s="34"/>
      <c r="R390" s="36"/>
      <c r="S390" s="21"/>
      <c r="T390" s="34"/>
      <c r="U390" s="34"/>
      <c r="V390" s="34"/>
      <c r="W390" s="37"/>
      <c r="X390" s="35"/>
      <c r="Y390" s="37"/>
      <c r="Z390" s="37"/>
      <c r="AA390" s="37"/>
      <c r="AB390" s="37"/>
      <c r="AC390" s="35"/>
      <c r="AD390" s="38"/>
      <c r="AE390" s="38"/>
      <c r="AF390" s="38"/>
      <c r="AG390" s="38"/>
    </row>
    <row r="391" spans="2:33" hidden="1" outlineLevel="2" x14ac:dyDescent="0.15">
      <c r="B391" s="800" t="s">
        <v>455</v>
      </c>
      <c r="C391" s="815">
        <f t="shared" si="3"/>
        <v>160.30000000000001</v>
      </c>
      <c r="D391" s="843">
        <v>0.22900000000000001</v>
      </c>
      <c r="E391" s="815">
        <f>D391*'Info utili'!$P$20</f>
        <v>2662.7611111111109</v>
      </c>
      <c r="F391" s="829">
        <v>0.1</v>
      </c>
      <c r="G391" s="878">
        <v>0.3</v>
      </c>
      <c r="M391" s="34"/>
      <c r="N391" s="34"/>
      <c r="O391" s="34"/>
      <c r="P391" s="34"/>
      <c r="Q391" s="34"/>
      <c r="R391" s="36"/>
      <c r="S391" s="21"/>
      <c r="T391" s="34"/>
      <c r="U391" s="34"/>
      <c r="V391" s="34"/>
      <c r="W391" s="37"/>
      <c r="X391" s="35"/>
      <c r="Y391" s="37"/>
      <c r="Z391" s="37"/>
      <c r="AA391" s="37"/>
      <c r="AB391" s="37"/>
      <c r="AC391" s="35"/>
      <c r="AD391" s="38"/>
      <c r="AE391" s="38"/>
      <c r="AF391" s="38"/>
      <c r="AG391" s="38"/>
    </row>
    <row r="392" spans="2:33" hidden="1" outlineLevel="2" x14ac:dyDescent="0.15">
      <c r="B392" s="800" t="s">
        <v>456</v>
      </c>
      <c r="C392" s="815">
        <f t="shared" si="3"/>
        <v>170.79999999999998</v>
      </c>
      <c r="D392" s="843">
        <v>0.24399999999999999</v>
      </c>
      <c r="E392" s="815">
        <f>D392*'Info utili'!$P$20</f>
        <v>2837.1777777777775</v>
      </c>
      <c r="F392" s="829">
        <v>0.1</v>
      </c>
      <c r="G392" s="878">
        <v>0.3</v>
      </c>
      <c r="M392" s="34"/>
      <c r="N392" s="34"/>
      <c r="O392" s="34"/>
      <c r="P392" s="34"/>
      <c r="Q392" s="34"/>
      <c r="R392" s="36"/>
      <c r="S392" s="21"/>
      <c r="T392" s="34"/>
      <c r="U392" s="34"/>
      <c r="V392" s="34"/>
      <c r="W392" s="37"/>
      <c r="X392" s="35"/>
      <c r="Y392" s="37"/>
      <c r="Z392" s="37"/>
      <c r="AA392" s="37"/>
      <c r="AB392" s="37"/>
      <c r="AC392" s="35"/>
      <c r="AD392" s="38"/>
      <c r="AE392" s="38"/>
      <c r="AF392" s="38"/>
      <c r="AG392" s="38"/>
    </row>
    <row r="393" spans="2:33" hidden="1" outlineLevel="2" x14ac:dyDescent="0.15">
      <c r="B393" s="800" t="s">
        <v>457</v>
      </c>
      <c r="C393" s="815">
        <f t="shared" si="3"/>
        <v>165.9</v>
      </c>
      <c r="D393" s="843">
        <v>0.23699999999999999</v>
      </c>
      <c r="E393" s="815">
        <f>D393*'Info utili'!$P$20</f>
        <v>2755.7833333333333</v>
      </c>
      <c r="F393" s="829">
        <v>0.1</v>
      </c>
      <c r="G393" s="878">
        <v>0.3</v>
      </c>
      <c r="M393" s="34"/>
      <c r="N393" s="34"/>
      <c r="O393" s="34"/>
      <c r="P393" s="34"/>
      <c r="Q393" s="34"/>
      <c r="R393" s="36"/>
      <c r="S393" s="21"/>
      <c r="T393" s="34"/>
      <c r="U393" s="34"/>
      <c r="V393" s="34"/>
      <c r="W393" s="37"/>
      <c r="X393" s="35"/>
      <c r="Y393" s="37"/>
      <c r="Z393" s="37"/>
      <c r="AA393" s="37"/>
      <c r="AB393" s="37"/>
      <c r="AC393" s="35"/>
      <c r="AD393" s="38"/>
      <c r="AE393" s="38"/>
      <c r="AF393" s="38"/>
      <c r="AG393" s="38"/>
    </row>
    <row r="394" spans="2:33" hidden="1" outlineLevel="2" x14ac:dyDescent="0.15">
      <c r="B394" s="800" t="s">
        <v>458</v>
      </c>
      <c r="C394" s="815">
        <f t="shared" si="3"/>
        <v>154</v>
      </c>
      <c r="D394" s="843">
        <v>0.22</v>
      </c>
      <c r="E394" s="815">
        <f>D394*'Info utili'!$P$20</f>
        <v>2558.1111111111109</v>
      </c>
      <c r="F394" s="829">
        <v>0.1</v>
      </c>
      <c r="G394" s="878">
        <v>0.3</v>
      </c>
      <c r="M394" s="34"/>
      <c r="N394" s="34"/>
      <c r="O394" s="34"/>
      <c r="P394" s="34"/>
      <c r="Q394" s="34"/>
      <c r="R394" s="36"/>
      <c r="S394" s="21"/>
      <c r="T394" s="34"/>
      <c r="U394" s="34"/>
      <c r="V394" s="34"/>
      <c r="W394" s="37"/>
      <c r="X394" s="35"/>
      <c r="Y394" s="37"/>
      <c r="Z394" s="37"/>
      <c r="AA394" s="37"/>
      <c r="AB394" s="37"/>
      <c r="AC394" s="35"/>
      <c r="AD394" s="38"/>
      <c r="AE394" s="38"/>
      <c r="AF394" s="38"/>
      <c r="AG394" s="38"/>
    </row>
    <row r="395" spans="2:33" hidden="1" outlineLevel="2" x14ac:dyDescent="0.15">
      <c r="B395" s="800" t="s">
        <v>459</v>
      </c>
      <c r="C395" s="815">
        <f t="shared" si="3"/>
        <v>158.20000000000002</v>
      </c>
      <c r="D395" s="843">
        <v>0.22600000000000001</v>
      </c>
      <c r="E395" s="815">
        <f>D395*'Info utili'!$P$20</f>
        <v>2627.8777777777777</v>
      </c>
      <c r="F395" s="829">
        <v>0.1</v>
      </c>
      <c r="G395" s="878">
        <v>0.3</v>
      </c>
      <c r="M395" s="34"/>
      <c r="N395" s="34"/>
      <c r="O395" s="34"/>
      <c r="P395" s="34"/>
      <c r="Q395" s="34"/>
      <c r="R395" s="36"/>
      <c r="S395" s="21"/>
      <c r="T395" s="34"/>
      <c r="U395" s="34"/>
      <c r="V395" s="34"/>
      <c r="W395" s="37"/>
      <c r="X395" s="35"/>
      <c r="Y395" s="37"/>
      <c r="Z395" s="37"/>
      <c r="AA395" s="37"/>
      <c r="AB395" s="37"/>
      <c r="AC395" s="35"/>
      <c r="AD395" s="38"/>
      <c r="AE395" s="38"/>
      <c r="AF395" s="38"/>
      <c r="AG395" s="38"/>
    </row>
    <row r="396" spans="2:33" hidden="1" outlineLevel="2" x14ac:dyDescent="0.15">
      <c r="B396" s="800" t="s">
        <v>460</v>
      </c>
      <c r="C396" s="815">
        <f t="shared" si="3"/>
        <v>152.6</v>
      </c>
      <c r="D396" s="843">
        <v>0.218</v>
      </c>
      <c r="E396" s="815">
        <f>D396*'Info utili'!$P$20</f>
        <v>2534.8555555555554</v>
      </c>
      <c r="F396" s="829">
        <v>0.1</v>
      </c>
      <c r="G396" s="878">
        <v>0.3</v>
      </c>
      <c r="M396" s="34"/>
      <c r="N396" s="34"/>
      <c r="O396" s="34"/>
      <c r="P396" s="34"/>
      <c r="Q396" s="34"/>
      <c r="R396" s="36"/>
      <c r="S396" s="21"/>
      <c r="T396" s="34"/>
      <c r="U396" s="34"/>
      <c r="V396" s="34"/>
      <c r="W396" s="37"/>
      <c r="X396" s="35"/>
      <c r="Y396" s="37"/>
      <c r="Z396" s="37"/>
      <c r="AA396" s="37"/>
      <c r="AB396" s="37"/>
      <c r="AC396" s="35"/>
      <c r="AD396" s="38"/>
      <c r="AE396" s="38"/>
      <c r="AF396" s="38"/>
      <c r="AG396" s="38"/>
    </row>
    <row r="397" spans="2:33" hidden="1" outlineLevel="2" x14ac:dyDescent="0.15">
      <c r="B397" s="800" t="s">
        <v>461</v>
      </c>
      <c r="C397" s="815">
        <f t="shared" si="3"/>
        <v>149.79999999999998</v>
      </c>
      <c r="D397" s="843">
        <v>0.214</v>
      </c>
      <c r="E397" s="815">
        <f>D397*'Info utili'!$P$20</f>
        <v>2488.3444444444444</v>
      </c>
      <c r="F397" s="829">
        <v>0.1</v>
      </c>
      <c r="G397" s="878">
        <v>0.3</v>
      </c>
      <c r="M397" s="34"/>
      <c r="N397" s="34"/>
      <c r="O397" s="34"/>
      <c r="P397" s="34"/>
      <c r="Q397" s="34"/>
      <c r="R397" s="36"/>
      <c r="S397" s="21"/>
      <c r="T397" s="34"/>
      <c r="U397" s="34"/>
      <c r="V397" s="34"/>
      <c r="W397" s="37"/>
      <c r="X397" s="35"/>
      <c r="Y397" s="37"/>
      <c r="Z397" s="37"/>
      <c r="AA397" s="37"/>
      <c r="AB397" s="37"/>
      <c r="AC397" s="35"/>
      <c r="AD397" s="38"/>
      <c r="AE397" s="38"/>
      <c r="AF397" s="38"/>
      <c r="AG397" s="38"/>
    </row>
    <row r="398" spans="2:33" hidden="1" outlineLevel="2" x14ac:dyDescent="0.15">
      <c r="B398" s="800" t="s">
        <v>462</v>
      </c>
      <c r="C398" s="815">
        <f t="shared" si="3"/>
        <v>44.1</v>
      </c>
      <c r="D398" s="843">
        <v>6.3E-2</v>
      </c>
      <c r="E398" s="815">
        <f>D398*'Info utili'!$P$20</f>
        <v>732.55</v>
      </c>
      <c r="F398" s="829">
        <v>0.1</v>
      </c>
      <c r="G398" s="878">
        <v>0.3</v>
      </c>
      <c r="M398" s="34"/>
      <c r="N398" s="34"/>
      <c r="O398" s="34"/>
      <c r="P398" s="34"/>
      <c r="Q398" s="34"/>
      <c r="R398" s="36"/>
      <c r="S398" s="21"/>
      <c r="T398" s="34"/>
      <c r="U398" s="34"/>
      <c r="V398" s="34"/>
      <c r="W398" s="37"/>
      <c r="X398" s="35"/>
      <c r="Y398" s="37"/>
      <c r="Z398" s="37"/>
      <c r="AA398" s="37"/>
      <c r="AB398" s="37"/>
      <c r="AC398" s="35"/>
      <c r="AD398" s="38"/>
      <c r="AE398" s="38"/>
      <c r="AF398" s="38"/>
      <c r="AG398" s="38"/>
    </row>
    <row r="399" spans="2:33" hidden="1" outlineLevel="2" x14ac:dyDescent="0.15">
      <c r="B399" s="800" t="s">
        <v>463</v>
      </c>
      <c r="C399" s="815">
        <f t="shared" si="3"/>
        <v>158.20000000000002</v>
      </c>
      <c r="D399" s="843">
        <v>0.22600000000000001</v>
      </c>
      <c r="E399" s="815">
        <f>D399*'Info utili'!$P$20</f>
        <v>2627.8777777777777</v>
      </c>
      <c r="F399" s="829">
        <v>0.1</v>
      </c>
      <c r="G399" s="878">
        <v>0.3</v>
      </c>
      <c r="M399" s="34"/>
      <c r="N399" s="34"/>
      <c r="O399" s="34"/>
      <c r="P399" s="34"/>
      <c r="Q399" s="34"/>
      <c r="R399" s="36"/>
      <c r="S399" s="21"/>
      <c r="T399" s="34"/>
      <c r="U399" s="34"/>
      <c r="V399" s="34"/>
      <c r="W399" s="37"/>
      <c r="X399" s="35"/>
      <c r="Y399" s="37"/>
      <c r="Z399" s="37"/>
      <c r="AA399" s="37"/>
      <c r="AB399" s="37"/>
      <c r="AC399" s="35"/>
      <c r="AD399" s="38"/>
      <c r="AE399" s="38"/>
      <c r="AF399" s="38"/>
      <c r="AG399" s="38"/>
    </row>
    <row r="400" spans="2:33" hidden="1" outlineLevel="2" x14ac:dyDescent="0.15">
      <c r="B400" s="800" t="s">
        <v>464</v>
      </c>
      <c r="C400" s="815">
        <f t="shared" si="3"/>
        <v>81.900000000000006</v>
      </c>
      <c r="D400" s="843">
        <v>0.11700000000000001</v>
      </c>
      <c r="E400" s="815">
        <f>D400*'Info utili'!$P$20</f>
        <v>1360.45</v>
      </c>
      <c r="F400" s="829">
        <v>0.1</v>
      </c>
      <c r="G400" s="878">
        <v>0.3</v>
      </c>
      <c r="M400" s="34"/>
      <c r="N400" s="34"/>
      <c r="O400" s="34"/>
      <c r="P400" s="34"/>
      <c r="Q400" s="34"/>
      <c r="R400" s="36"/>
      <c r="S400" s="21"/>
      <c r="T400" s="34"/>
      <c r="U400" s="34"/>
      <c r="V400" s="34"/>
      <c r="W400" s="37"/>
      <c r="X400" s="35"/>
      <c r="Y400" s="37"/>
      <c r="Z400" s="37"/>
      <c r="AA400" s="37"/>
      <c r="AB400" s="37"/>
      <c r="AC400" s="35"/>
      <c r="AD400" s="38"/>
      <c r="AE400" s="38"/>
      <c r="AF400" s="38"/>
      <c r="AG400" s="38"/>
    </row>
    <row r="401" spans="2:33" hidden="1" outlineLevel="2" x14ac:dyDescent="0.15">
      <c r="B401" s="800" t="s">
        <v>465</v>
      </c>
      <c r="C401" s="815">
        <f t="shared" si="3"/>
        <v>173.6</v>
      </c>
      <c r="D401" s="843">
        <v>0.248</v>
      </c>
      <c r="E401" s="815">
        <f>D401*'Info utili'!$P$20</f>
        <v>2883.6888888888889</v>
      </c>
      <c r="F401" s="829">
        <v>0.1</v>
      </c>
      <c r="G401" s="878">
        <v>0.3</v>
      </c>
      <c r="M401" s="34"/>
      <c r="N401" s="34"/>
      <c r="O401" s="34"/>
      <c r="P401" s="34"/>
      <c r="Q401" s="34"/>
      <c r="R401" s="36"/>
      <c r="S401" s="21"/>
      <c r="T401" s="34"/>
      <c r="U401" s="34"/>
      <c r="V401" s="34"/>
      <c r="W401" s="37"/>
      <c r="X401" s="35"/>
      <c r="Y401" s="37"/>
      <c r="Z401" s="37"/>
      <c r="AA401" s="37"/>
      <c r="AB401" s="37"/>
      <c r="AC401" s="35"/>
      <c r="AD401" s="38"/>
      <c r="AE401" s="38"/>
      <c r="AF401" s="38"/>
      <c r="AG401" s="38"/>
    </row>
    <row r="402" spans="2:33" hidden="1" outlineLevel="2" x14ac:dyDescent="0.15">
      <c r="B402" s="800" t="s">
        <v>2556</v>
      </c>
      <c r="C402" s="815">
        <f t="shared" si="3"/>
        <v>153.30000000000001</v>
      </c>
      <c r="D402" s="843">
        <v>0.219</v>
      </c>
      <c r="E402" s="815">
        <f>D402*'Info utili'!$P$20</f>
        <v>2546.4833333333331</v>
      </c>
      <c r="F402" s="829">
        <v>0.1</v>
      </c>
      <c r="G402" s="878">
        <v>0.3</v>
      </c>
      <c r="M402" s="34"/>
      <c r="N402" s="34"/>
      <c r="O402" s="34"/>
      <c r="P402" s="34"/>
      <c r="Q402" s="34"/>
      <c r="R402" s="36"/>
      <c r="S402" s="21"/>
      <c r="T402" s="34"/>
      <c r="U402" s="34"/>
      <c r="V402" s="34"/>
      <c r="W402" s="37"/>
      <c r="X402" s="35"/>
      <c r="Y402" s="37"/>
      <c r="Z402" s="37"/>
      <c r="AA402" s="37"/>
      <c r="AB402" s="37"/>
      <c r="AC402" s="35"/>
      <c r="AD402" s="38"/>
      <c r="AE402" s="38"/>
      <c r="AF402" s="38"/>
      <c r="AG402" s="38"/>
    </row>
    <row r="403" spans="2:33" hidden="1" outlineLevel="2" x14ac:dyDescent="0.15">
      <c r="B403" s="800" t="s">
        <v>466</v>
      </c>
      <c r="C403" s="815">
        <f t="shared" si="3"/>
        <v>164.5</v>
      </c>
      <c r="D403" s="843">
        <v>0.23499999999999999</v>
      </c>
      <c r="E403" s="815">
        <f>D403*'Info utili'!$P$20</f>
        <v>2732.5277777777774</v>
      </c>
      <c r="F403" s="829">
        <v>0.1</v>
      </c>
      <c r="G403" s="878">
        <v>0.3</v>
      </c>
      <c r="M403" s="34"/>
      <c r="N403" s="34"/>
      <c r="O403" s="34"/>
      <c r="P403" s="34"/>
      <c r="Q403" s="34"/>
      <c r="R403" s="36"/>
      <c r="S403" s="21"/>
      <c r="T403" s="34"/>
      <c r="U403" s="34"/>
      <c r="V403" s="34"/>
      <c r="W403" s="37"/>
      <c r="X403" s="35"/>
      <c r="Y403" s="37"/>
      <c r="Z403" s="37"/>
      <c r="AA403" s="37"/>
      <c r="AB403" s="37"/>
      <c r="AC403" s="35"/>
      <c r="AD403" s="38"/>
      <c r="AE403" s="38"/>
      <c r="AF403" s="38"/>
      <c r="AG403" s="38"/>
    </row>
    <row r="404" spans="2:33" hidden="1" outlineLevel="2" x14ac:dyDescent="0.15">
      <c r="B404" s="800" t="s">
        <v>467</v>
      </c>
      <c r="C404" s="815">
        <f t="shared" si="3"/>
        <v>190.4</v>
      </c>
      <c r="D404" s="843">
        <v>0.27200000000000002</v>
      </c>
      <c r="E404" s="815">
        <f>D404*'Info utili'!$P$20</f>
        <v>3162.7555555555555</v>
      </c>
      <c r="F404" s="829">
        <v>0.1</v>
      </c>
      <c r="G404" s="878">
        <v>0.3</v>
      </c>
      <c r="M404" s="34"/>
      <c r="N404" s="34"/>
      <c r="O404" s="34"/>
      <c r="P404" s="34"/>
      <c r="Q404" s="34"/>
      <c r="R404" s="36"/>
      <c r="S404" s="21"/>
      <c r="T404" s="34"/>
      <c r="U404" s="34"/>
      <c r="V404" s="34"/>
      <c r="W404" s="37"/>
      <c r="X404" s="35"/>
      <c r="Y404" s="37"/>
      <c r="Z404" s="37"/>
      <c r="AA404" s="37"/>
      <c r="AB404" s="37"/>
      <c r="AC404" s="35"/>
      <c r="AD404" s="38"/>
      <c r="AE404" s="38"/>
      <c r="AF404" s="38"/>
      <c r="AG404" s="38"/>
    </row>
    <row r="405" spans="2:33" hidden="1" outlineLevel="2" x14ac:dyDescent="0.15">
      <c r="B405" s="800" t="s">
        <v>468</v>
      </c>
      <c r="C405" s="815">
        <f t="shared" si="3"/>
        <v>177.1</v>
      </c>
      <c r="D405" s="843">
        <v>0.253</v>
      </c>
      <c r="E405" s="815">
        <f>D405*'Info utili'!$P$20</f>
        <v>2941.8277777777776</v>
      </c>
      <c r="F405" s="829">
        <v>0.1</v>
      </c>
      <c r="G405" s="878">
        <v>0.3</v>
      </c>
      <c r="M405" s="34"/>
      <c r="N405" s="34"/>
      <c r="O405" s="34"/>
      <c r="P405" s="34"/>
      <c r="Q405" s="34"/>
      <c r="R405" s="36"/>
      <c r="S405" s="21"/>
      <c r="T405" s="34"/>
      <c r="U405" s="34"/>
      <c r="V405" s="34"/>
      <c r="W405" s="37"/>
      <c r="X405" s="35"/>
      <c r="Y405" s="37"/>
      <c r="Z405" s="37"/>
      <c r="AA405" s="37"/>
      <c r="AB405" s="37"/>
      <c r="AC405" s="35"/>
      <c r="AD405" s="38"/>
      <c r="AE405" s="38"/>
      <c r="AF405" s="38"/>
      <c r="AG405" s="38"/>
    </row>
    <row r="406" spans="2:33" hidden="1" outlineLevel="2" x14ac:dyDescent="0.15">
      <c r="B406" s="800" t="s">
        <v>469</v>
      </c>
      <c r="C406" s="815">
        <f t="shared" si="3"/>
        <v>76.3</v>
      </c>
      <c r="D406" s="843">
        <v>0.109</v>
      </c>
      <c r="E406" s="815">
        <f>D406*'Info utili'!$P$20</f>
        <v>1267.4277777777777</v>
      </c>
      <c r="F406" s="829">
        <v>0.1</v>
      </c>
      <c r="G406" s="878">
        <v>0.3</v>
      </c>
      <c r="M406" s="34"/>
      <c r="N406" s="34"/>
      <c r="O406" s="34"/>
      <c r="P406" s="34"/>
      <c r="Q406" s="34"/>
      <c r="R406" s="36"/>
      <c r="S406" s="21"/>
      <c r="T406" s="34"/>
      <c r="U406" s="34"/>
      <c r="V406" s="34"/>
      <c r="W406" s="37"/>
      <c r="X406" s="35"/>
      <c r="Y406" s="37"/>
      <c r="Z406" s="37"/>
      <c r="AA406" s="37"/>
      <c r="AB406" s="37"/>
      <c r="AC406" s="35"/>
      <c r="AD406" s="38"/>
      <c r="AE406" s="38"/>
      <c r="AF406" s="38"/>
      <c r="AG406" s="38"/>
    </row>
    <row r="407" spans="2:33" hidden="1" outlineLevel="2" x14ac:dyDescent="0.15">
      <c r="B407" s="800" t="s">
        <v>470</v>
      </c>
      <c r="C407" s="815">
        <f t="shared" si="3"/>
        <v>161</v>
      </c>
      <c r="D407" s="843">
        <v>0.23</v>
      </c>
      <c r="E407" s="815">
        <f>D407*'Info utili'!$P$20</f>
        <v>2674.3888888888887</v>
      </c>
      <c r="F407" s="829">
        <v>0.1</v>
      </c>
      <c r="G407" s="878">
        <v>0.3</v>
      </c>
      <c r="M407" s="34"/>
      <c r="N407" s="34"/>
      <c r="O407" s="34"/>
      <c r="P407" s="34"/>
      <c r="Q407" s="34"/>
      <c r="R407" s="36"/>
      <c r="S407" s="21"/>
      <c r="T407" s="34"/>
      <c r="U407" s="34"/>
      <c r="V407" s="34"/>
      <c r="W407" s="37"/>
      <c r="X407" s="35"/>
      <c r="Y407" s="37"/>
      <c r="Z407" s="37"/>
      <c r="AA407" s="37"/>
      <c r="AB407" s="37"/>
      <c r="AC407" s="35"/>
      <c r="AD407" s="38"/>
      <c r="AE407" s="38"/>
      <c r="AF407" s="38"/>
      <c r="AG407" s="38"/>
    </row>
    <row r="408" spans="2:33" hidden="1" outlineLevel="2" x14ac:dyDescent="0.15">
      <c r="B408" s="800" t="s">
        <v>471</v>
      </c>
      <c r="C408" s="815">
        <f t="shared" si="3"/>
        <v>15.399999999999999</v>
      </c>
      <c r="D408" s="843">
        <v>2.1999999999999999E-2</v>
      </c>
      <c r="E408" s="815">
        <f>D408*'Info utili'!$P$20</f>
        <v>255.81111111111107</v>
      </c>
      <c r="F408" s="829">
        <v>0.1</v>
      </c>
      <c r="G408" s="878">
        <v>0.3</v>
      </c>
      <c r="M408" s="34"/>
      <c r="N408" s="34"/>
      <c r="O408" s="34"/>
      <c r="P408" s="34"/>
      <c r="Q408" s="34"/>
      <c r="R408" s="36"/>
      <c r="S408" s="21"/>
      <c r="T408" s="34"/>
      <c r="U408" s="34"/>
      <c r="V408" s="34"/>
      <c r="W408" s="37"/>
      <c r="X408" s="35"/>
      <c r="Y408" s="37"/>
      <c r="Z408" s="37"/>
      <c r="AA408" s="37"/>
      <c r="AB408" s="37"/>
      <c r="AC408" s="35"/>
      <c r="AD408" s="38"/>
      <c r="AE408" s="38"/>
      <c r="AF408" s="38"/>
      <c r="AG408" s="38"/>
    </row>
    <row r="409" spans="2:33" hidden="1" outlineLevel="2" x14ac:dyDescent="0.15">
      <c r="B409" s="800" t="s">
        <v>472</v>
      </c>
      <c r="C409" s="815">
        <f t="shared" si="3"/>
        <v>159.6</v>
      </c>
      <c r="D409" s="843">
        <v>0.22800000000000001</v>
      </c>
      <c r="E409" s="815">
        <f>D409*'Info utili'!$P$20</f>
        <v>2651.1333333333332</v>
      </c>
      <c r="F409" s="829">
        <v>0.1</v>
      </c>
      <c r="G409" s="878">
        <v>0.3</v>
      </c>
      <c r="M409" s="34"/>
      <c r="N409" s="34"/>
      <c r="O409" s="34"/>
      <c r="P409" s="34"/>
      <c r="Q409" s="34"/>
      <c r="R409" s="36"/>
      <c r="S409" s="21"/>
      <c r="T409" s="34"/>
      <c r="U409" s="34"/>
      <c r="V409" s="34"/>
      <c r="W409" s="37"/>
      <c r="X409" s="35"/>
      <c r="Y409" s="37"/>
      <c r="Z409" s="37"/>
      <c r="AA409" s="37"/>
      <c r="AB409" s="37"/>
      <c r="AC409" s="35"/>
      <c r="AD409" s="38"/>
      <c r="AE409" s="38"/>
      <c r="AF409" s="38"/>
      <c r="AG409" s="38"/>
    </row>
    <row r="410" spans="2:33" hidden="1" outlineLevel="2" x14ac:dyDescent="0.15">
      <c r="B410" s="800" t="s">
        <v>473</v>
      </c>
      <c r="C410" s="815">
        <f t="shared" si="3"/>
        <v>138.6</v>
      </c>
      <c r="D410" s="843">
        <v>0.19800000000000001</v>
      </c>
      <c r="E410" s="815">
        <f>D410*'Info utili'!$P$20</f>
        <v>2302.3000000000002</v>
      </c>
      <c r="F410" s="829">
        <v>0.1</v>
      </c>
      <c r="G410" s="878">
        <v>0.3</v>
      </c>
      <c r="M410" s="34"/>
      <c r="N410" s="34"/>
      <c r="O410" s="34"/>
      <c r="P410" s="34"/>
      <c r="Q410" s="34"/>
      <c r="R410" s="36"/>
      <c r="S410" s="21"/>
      <c r="T410" s="34"/>
      <c r="U410" s="34"/>
      <c r="V410" s="34"/>
      <c r="W410" s="37"/>
      <c r="X410" s="35"/>
      <c r="Y410" s="37"/>
      <c r="Z410" s="37"/>
      <c r="AA410" s="37"/>
      <c r="AB410" s="37"/>
      <c r="AC410" s="35"/>
      <c r="AD410" s="38"/>
      <c r="AE410" s="38"/>
      <c r="AF410" s="38"/>
      <c r="AG410" s="38"/>
    </row>
    <row r="411" spans="2:33" hidden="1" outlineLevel="2" x14ac:dyDescent="0.15">
      <c r="B411" s="800" t="s">
        <v>474</v>
      </c>
      <c r="C411" s="815">
        <f t="shared" si="3"/>
        <v>204.39999999999998</v>
      </c>
      <c r="D411" s="843">
        <v>0.29199999999999998</v>
      </c>
      <c r="E411" s="815">
        <f>D411*'Info utili'!$P$20</f>
        <v>3395.3111111111107</v>
      </c>
      <c r="F411" s="829">
        <v>0.1</v>
      </c>
      <c r="G411" s="878">
        <v>0.3</v>
      </c>
      <c r="M411" s="34"/>
      <c r="N411" s="34"/>
      <c r="O411" s="34"/>
      <c r="P411" s="34"/>
      <c r="Q411" s="34"/>
      <c r="R411" s="36"/>
      <c r="S411" s="21"/>
      <c r="T411" s="34"/>
      <c r="U411" s="34"/>
      <c r="V411" s="34"/>
      <c r="W411" s="37"/>
      <c r="X411" s="35"/>
      <c r="Y411" s="37"/>
      <c r="Z411" s="37"/>
      <c r="AA411" s="37"/>
      <c r="AB411" s="37"/>
      <c r="AC411" s="35"/>
      <c r="AD411" s="38"/>
      <c r="AE411" s="38"/>
      <c r="AF411" s="38"/>
      <c r="AG411" s="38"/>
    </row>
    <row r="412" spans="2:33" hidden="1" outlineLevel="2" x14ac:dyDescent="0.15">
      <c r="B412" s="800" t="s">
        <v>475</v>
      </c>
      <c r="C412" s="815">
        <f t="shared" si="3"/>
        <v>140</v>
      </c>
      <c r="D412" s="843">
        <v>0.2</v>
      </c>
      <c r="E412" s="815">
        <f>D412*'Info utili'!$P$20</f>
        <v>2325.5555555555557</v>
      </c>
      <c r="F412" s="829">
        <v>0.1</v>
      </c>
      <c r="G412" s="878">
        <v>0.3</v>
      </c>
      <c r="M412" s="34"/>
      <c r="N412" s="34"/>
      <c r="O412" s="34"/>
      <c r="P412" s="34"/>
      <c r="Q412" s="34"/>
      <c r="R412" s="36"/>
      <c r="S412" s="21"/>
      <c r="T412" s="34"/>
      <c r="U412" s="34"/>
      <c r="V412" s="34"/>
      <c r="W412" s="37"/>
      <c r="X412" s="35"/>
      <c r="Y412" s="37"/>
      <c r="Z412" s="37"/>
      <c r="AA412" s="37"/>
      <c r="AB412" s="37"/>
      <c r="AC412" s="35"/>
      <c r="AD412" s="38"/>
      <c r="AE412" s="38"/>
      <c r="AF412" s="38"/>
      <c r="AG412" s="38"/>
    </row>
    <row r="413" spans="2:33" hidden="1" outlineLevel="2" x14ac:dyDescent="0.15">
      <c r="B413" s="800" t="s">
        <v>476</v>
      </c>
      <c r="C413" s="815">
        <f t="shared" si="3"/>
        <v>60.9</v>
      </c>
      <c r="D413" s="843">
        <v>8.6999999999999994E-2</v>
      </c>
      <c r="E413" s="815">
        <f>D413*'Info utili'!$P$20</f>
        <v>1011.6166666666666</v>
      </c>
      <c r="F413" s="829">
        <v>0.1</v>
      </c>
      <c r="G413" s="878">
        <v>0.3</v>
      </c>
      <c r="M413" s="34"/>
      <c r="N413" s="34"/>
      <c r="O413" s="34"/>
      <c r="P413" s="34"/>
      <c r="Q413" s="34"/>
      <c r="R413" s="36"/>
      <c r="S413" s="21"/>
      <c r="T413" s="34"/>
      <c r="U413" s="34"/>
      <c r="V413" s="34"/>
      <c r="W413" s="37"/>
      <c r="X413" s="35"/>
      <c r="Y413" s="37"/>
      <c r="Z413" s="37"/>
      <c r="AA413" s="37"/>
      <c r="AB413" s="37"/>
      <c r="AC413" s="35"/>
      <c r="AD413" s="38"/>
      <c r="AE413" s="38"/>
      <c r="AF413" s="38"/>
      <c r="AG413" s="38"/>
    </row>
    <row r="414" spans="2:33" hidden="1" outlineLevel="2" x14ac:dyDescent="0.15">
      <c r="B414" s="800" t="s">
        <v>477</v>
      </c>
      <c r="C414" s="815">
        <f t="shared" si="3"/>
        <v>155.4</v>
      </c>
      <c r="D414" s="843">
        <v>0.222</v>
      </c>
      <c r="E414" s="815">
        <f>D414*'Info utili'!$P$20</f>
        <v>2581.3666666666668</v>
      </c>
      <c r="F414" s="829">
        <v>0.1</v>
      </c>
      <c r="G414" s="878">
        <v>0.3</v>
      </c>
      <c r="M414" s="34"/>
      <c r="N414" s="34"/>
      <c r="O414" s="34"/>
      <c r="P414" s="34"/>
      <c r="Q414" s="34"/>
      <c r="R414" s="36"/>
      <c r="S414" s="21"/>
      <c r="T414" s="34"/>
      <c r="U414" s="34"/>
      <c r="V414" s="34"/>
      <c r="W414" s="37"/>
      <c r="X414" s="35"/>
      <c r="Y414" s="37"/>
      <c r="Z414" s="37"/>
      <c r="AA414" s="37"/>
      <c r="AB414" s="37"/>
      <c r="AC414" s="35"/>
      <c r="AD414" s="38"/>
      <c r="AE414" s="38"/>
      <c r="AF414" s="38"/>
      <c r="AG414" s="38"/>
    </row>
    <row r="415" spans="2:33" hidden="1" outlineLevel="2" x14ac:dyDescent="0.15">
      <c r="B415" s="800" t="s">
        <v>478</v>
      </c>
      <c r="C415" s="815">
        <f t="shared" si="3"/>
        <v>163.80000000000001</v>
      </c>
      <c r="D415" s="843">
        <v>0.23400000000000001</v>
      </c>
      <c r="E415" s="815">
        <f>D415*'Info utili'!$P$20</f>
        <v>2720.9</v>
      </c>
      <c r="F415" s="829">
        <v>0.1</v>
      </c>
      <c r="G415" s="878">
        <v>0.3</v>
      </c>
      <c r="M415" s="34"/>
      <c r="N415" s="34"/>
      <c r="O415" s="34"/>
      <c r="P415" s="34"/>
      <c r="Q415" s="34"/>
      <c r="R415" s="36"/>
      <c r="S415" s="21"/>
      <c r="T415" s="34"/>
      <c r="U415" s="34"/>
      <c r="V415" s="34"/>
      <c r="W415" s="37"/>
      <c r="X415" s="35"/>
      <c r="Y415" s="37"/>
      <c r="Z415" s="37"/>
      <c r="AA415" s="37"/>
      <c r="AB415" s="37"/>
      <c r="AC415" s="35"/>
      <c r="AD415" s="38"/>
      <c r="AE415" s="38"/>
      <c r="AF415" s="38"/>
      <c r="AG415" s="38"/>
    </row>
    <row r="416" spans="2:33" hidden="1" outlineLevel="2" x14ac:dyDescent="0.15">
      <c r="B416" s="800" t="s">
        <v>479</v>
      </c>
      <c r="C416" s="815">
        <f t="shared" si="3"/>
        <v>56.7</v>
      </c>
      <c r="D416" s="843">
        <v>8.1000000000000003E-2</v>
      </c>
      <c r="E416" s="815">
        <f>D416*'Info utili'!$P$20</f>
        <v>941.85</v>
      </c>
      <c r="F416" s="829">
        <v>0.1</v>
      </c>
      <c r="G416" s="878">
        <v>0.3</v>
      </c>
      <c r="M416" s="34"/>
      <c r="N416" s="34"/>
      <c r="O416" s="34"/>
      <c r="P416" s="34"/>
      <c r="Q416" s="34"/>
      <c r="R416" s="36"/>
      <c r="S416" s="21"/>
      <c r="T416" s="34"/>
      <c r="U416" s="34"/>
      <c r="V416" s="34"/>
      <c r="W416" s="37"/>
      <c r="X416" s="35"/>
      <c r="Y416" s="37"/>
      <c r="Z416" s="37"/>
      <c r="AA416" s="37"/>
      <c r="AB416" s="37"/>
      <c r="AC416" s="35"/>
      <c r="AD416" s="38"/>
      <c r="AE416" s="38"/>
      <c r="AF416" s="38"/>
      <c r="AG416" s="38"/>
    </row>
    <row r="417" spans="2:33" hidden="1" outlineLevel="2" x14ac:dyDescent="0.15">
      <c r="B417" s="800" t="s">
        <v>480</v>
      </c>
      <c r="C417" s="815">
        <f t="shared" si="3"/>
        <v>135.1</v>
      </c>
      <c r="D417" s="843">
        <v>0.193</v>
      </c>
      <c r="E417" s="815">
        <f>D417*'Info utili'!$P$20</f>
        <v>2244.161111111111</v>
      </c>
      <c r="F417" s="829">
        <v>0.1</v>
      </c>
      <c r="G417" s="878">
        <v>0.3</v>
      </c>
      <c r="M417" s="34"/>
      <c r="N417" s="34"/>
      <c r="O417" s="34"/>
      <c r="P417" s="34"/>
      <c r="Q417" s="34"/>
      <c r="R417" s="36"/>
      <c r="S417" s="21"/>
      <c r="T417" s="34"/>
      <c r="U417" s="34"/>
      <c r="V417" s="34"/>
      <c r="W417" s="37"/>
      <c r="X417" s="35"/>
      <c r="Y417" s="37"/>
      <c r="Z417" s="37"/>
      <c r="AA417" s="37"/>
      <c r="AB417" s="37"/>
      <c r="AC417" s="35"/>
      <c r="AD417" s="38"/>
      <c r="AE417" s="38"/>
      <c r="AF417" s="38"/>
      <c r="AG417" s="38"/>
    </row>
    <row r="418" spans="2:33" hidden="1" outlineLevel="2" x14ac:dyDescent="0.15">
      <c r="B418" s="800" t="s">
        <v>481</v>
      </c>
      <c r="C418" s="815">
        <f t="shared" si="3"/>
        <v>167.29999999999998</v>
      </c>
      <c r="D418" s="843">
        <v>0.23899999999999999</v>
      </c>
      <c r="E418" s="815">
        <f>D418*'Info utili'!$P$20</f>
        <v>2779.0388888888888</v>
      </c>
      <c r="F418" s="829">
        <v>0.1</v>
      </c>
      <c r="G418" s="878">
        <v>0.3</v>
      </c>
      <c r="M418" s="34"/>
      <c r="N418" s="34"/>
      <c r="O418" s="34"/>
      <c r="P418" s="34"/>
      <c r="Q418" s="34"/>
      <c r="R418" s="36"/>
      <c r="S418" s="21"/>
      <c r="T418" s="34"/>
      <c r="U418" s="34"/>
      <c r="V418" s="34"/>
      <c r="W418" s="37"/>
      <c r="X418" s="35"/>
      <c r="Y418" s="37"/>
      <c r="Z418" s="37"/>
      <c r="AA418" s="37"/>
      <c r="AB418" s="37"/>
      <c r="AC418" s="35"/>
      <c r="AD418" s="38"/>
      <c r="AE418" s="38"/>
      <c r="AF418" s="38"/>
      <c r="AG418" s="38"/>
    </row>
    <row r="419" spans="2:33" hidden="1" outlineLevel="2" x14ac:dyDescent="0.15">
      <c r="B419" s="800" t="s">
        <v>482</v>
      </c>
      <c r="C419" s="815">
        <f t="shared" si="3"/>
        <v>77</v>
      </c>
      <c r="D419" s="843">
        <v>0.11</v>
      </c>
      <c r="E419" s="815">
        <f>D419*'Info utili'!$P$20</f>
        <v>1279.0555555555554</v>
      </c>
      <c r="F419" s="829">
        <v>0.1</v>
      </c>
      <c r="G419" s="878">
        <v>0.3</v>
      </c>
      <c r="M419" s="34"/>
      <c r="N419" s="34"/>
      <c r="O419" s="34"/>
      <c r="P419" s="34"/>
      <c r="Q419" s="34"/>
      <c r="R419" s="36"/>
      <c r="S419" s="21"/>
      <c r="T419" s="34"/>
      <c r="U419" s="34"/>
      <c r="V419" s="34"/>
      <c r="W419" s="37"/>
      <c r="X419" s="35"/>
      <c r="Y419" s="37"/>
      <c r="Z419" s="37"/>
      <c r="AA419" s="37"/>
      <c r="AB419" s="37"/>
      <c r="AC419" s="35"/>
      <c r="AD419" s="38"/>
      <c r="AE419" s="38"/>
      <c r="AF419" s="38"/>
      <c r="AG419" s="38"/>
    </row>
    <row r="420" spans="2:33" hidden="1" outlineLevel="2" x14ac:dyDescent="0.15">
      <c r="B420" s="800" t="s">
        <v>483</v>
      </c>
      <c r="C420" s="815">
        <f t="shared" si="3"/>
        <v>163.80000000000001</v>
      </c>
      <c r="D420" s="843">
        <v>0.23400000000000001</v>
      </c>
      <c r="E420" s="815">
        <f>D420*'Info utili'!$P$20</f>
        <v>2720.9</v>
      </c>
      <c r="F420" s="829">
        <v>0.1</v>
      </c>
      <c r="G420" s="878">
        <v>0.3</v>
      </c>
      <c r="M420" s="34"/>
      <c r="N420" s="34"/>
      <c r="O420" s="34"/>
      <c r="P420" s="34"/>
      <c r="Q420" s="34"/>
      <c r="R420" s="36"/>
      <c r="S420" s="21"/>
      <c r="T420" s="34"/>
      <c r="U420" s="34"/>
      <c r="V420" s="34"/>
      <c r="W420" s="37"/>
      <c r="X420" s="35"/>
      <c r="Y420" s="37"/>
      <c r="Z420" s="37"/>
      <c r="AA420" s="37"/>
      <c r="AB420" s="37"/>
      <c r="AC420" s="35"/>
      <c r="AD420" s="38"/>
      <c r="AE420" s="38"/>
      <c r="AF420" s="38"/>
      <c r="AG420" s="38"/>
    </row>
    <row r="421" spans="2:33" hidden="1" outlineLevel="2" x14ac:dyDescent="0.15">
      <c r="B421" s="800" t="s">
        <v>484</v>
      </c>
      <c r="C421" s="815">
        <f t="shared" si="3"/>
        <v>160.30000000000001</v>
      </c>
      <c r="D421" s="843">
        <v>0.22900000000000001</v>
      </c>
      <c r="E421" s="815">
        <f>D421*'Info utili'!$P$20</f>
        <v>2662.7611111111109</v>
      </c>
      <c r="F421" s="829">
        <v>0.1</v>
      </c>
      <c r="G421" s="878">
        <v>0.3</v>
      </c>
      <c r="M421" s="34"/>
      <c r="N421" s="34"/>
      <c r="O421" s="34"/>
      <c r="P421" s="34"/>
      <c r="Q421" s="34"/>
      <c r="R421" s="36"/>
      <c r="S421" s="21"/>
      <c r="T421" s="34"/>
      <c r="U421" s="34"/>
      <c r="V421" s="34"/>
      <c r="W421" s="37"/>
      <c r="X421" s="35"/>
      <c r="Y421" s="37"/>
      <c r="Z421" s="37"/>
      <c r="AA421" s="37"/>
      <c r="AB421" s="37"/>
      <c r="AC421" s="35"/>
      <c r="AD421" s="38"/>
      <c r="AE421" s="38"/>
      <c r="AF421" s="38"/>
      <c r="AG421" s="38"/>
    </row>
    <row r="422" spans="2:33" hidden="1" outlineLevel="2" x14ac:dyDescent="0.15">
      <c r="B422" s="800" t="s">
        <v>485</v>
      </c>
      <c r="C422" s="815">
        <f t="shared" si="3"/>
        <v>130.9</v>
      </c>
      <c r="D422" s="843">
        <v>0.187</v>
      </c>
      <c r="E422" s="815">
        <f>D422*'Info utili'!$P$20</f>
        <v>2174.3944444444442</v>
      </c>
      <c r="F422" s="829">
        <v>0.1</v>
      </c>
      <c r="G422" s="878">
        <v>0.3</v>
      </c>
      <c r="M422" s="34"/>
      <c r="N422" s="34"/>
      <c r="O422" s="34"/>
      <c r="P422" s="34"/>
      <c r="Q422" s="34"/>
      <c r="R422" s="36"/>
      <c r="S422" s="21"/>
      <c r="T422" s="34"/>
      <c r="U422" s="34"/>
      <c r="V422" s="34"/>
      <c r="W422" s="37"/>
      <c r="X422" s="35"/>
      <c r="Y422" s="37"/>
      <c r="Z422" s="37"/>
      <c r="AA422" s="37"/>
      <c r="AB422" s="37"/>
      <c r="AC422" s="35"/>
      <c r="AD422" s="38"/>
      <c r="AE422" s="38"/>
      <c r="AF422" s="38"/>
      <c r="AG422" s="38"/>
    </row>
    <row r="423" spans="2:33" hidden="1" outlineLevel="2" x14ac:dyDescent="0.15">
      <c r="B423" s="800" t="s">
        <v>486</v>
      </c>
      <c r="C423" s="815">
        <f t="shared" si="3"/>
        <v>0</v>
      </c>
      <c r="D423" s="843">
        <v>0</v>
      </c>
      <c r="E423" s="815">
        <f>D423*'Info utili'!$P$20</f>
        <v>0</v>
      </c>
      <c r="F423" s="829">
        <v>0.1</v>
      </c>
      <c r="G423" s="878">
        <v>0.3</v>
      </c>
      <c r="M423" s="34"/>
      <c r="N423" s="34"/>
      <c r="O423" s="34"/>
      <c r="P423" s="34"/>
      <c r="Q423" s="34"/>
      <c r="R423" s="36"/>
      <c r="S423" s="21"/>
      <c r="T423" s="34"/>
      <c r="U423" s="34"/>
      <c r="V423" s="34"/>
      <c r="W423" s="37"/>
      <c r="X423" s="35"/>
      <c r="Y423" s="37"/>
      <c r="Z423" s="37"/>
      <c r="AA423" s="37"/>
      <c r="AB423" s="37"/>
      <c r="AC423" s="35"/>
      <c r="AD423" s="38"/>
      <c r="AE423" s="38"/>
      <c r="AF423" s="38"/>
      <c r="AG423" s="38"/>
    </row>
    <row r="424" spans="2:33" hidden="1" outlineLevel="2" x14ac:dyDescent="0.15">
      <c r="B424" s="800" t="s">
        <v>487</v>
      </c>
      <c r="C424" s="815">
        <f t="shared" si="3"/>
        <v>244.29999999999998</v>
      </c>
      <c r="D424" s="843">
        <v>0.34899999999999998</v>
      </c>
      <c r="E424" s="815">
        <f>D424*'Info utili'!$P$20</f>
        <v>4058.094444444444</v>
      </c>
      <c r="F424" s="829">
        <v>0.1</v>
      </c>
      <c r="G424" s="878">
        <v>0.3</v>
      </c>
      <c r="M424" s="34"/>
      <c r="N424" s="34"/>
      <c r="O424" s="34"/>
      <c r="P424" s="34"/>
      <c r="Q424" s="34"/>
      <c r="R424" s="36"/>
      <c r="S424" s="21"/>
      <c r="T424" s="34"/>
      <c r="U424" s="34"/>
      <c r="V424" s="34"/>
      <c r="W424" s="37"/>
      <c r="X424" s="35"/>
      <c r="Y424" s="37"/>
      <c r="Z424" s="37"/>
      <c r="AA424" s="37"/>
      <c r="AB424" s="37"/>
      <c r="AC424" s="35"/>
      <c r="AD424" s="38"/>
      <c r="AE424" s="38"/>
      <c r="AF424" s="38"/>
      <c r="AG424" s="38"/>
    </row>
    <row r="425" spans="2:33" hidden="1" outlineLevel="2" x14ac:dyDescent="0.15">
      <c r="B425" s="800" t="s">
        <v>488</v>
      </c>
      <c r="C425" s="815">
        <f t="shared" si="3"/>
        <v>127.39999999999999</v>
      </c>
      <c r="D425" s="843">
        <v>0.182</v>
      </c>
      <c r="E425" s="815">
        <f>D425*'Info utili'!$P$20</f>
        <v>2116.2555555555555</v>
      </c>
      <c r="F425" s="829">
        <v>0.1</v>
      </c>
      <c r="G425" s="878">
        <v>0.3</v>
      </c>
      <c r="M425" s="34"/>
      <c r="N425" s="34"/>
      <c r="O425" s="34"/>
      <c r="P425" s="34"/>
      <c r="Q425" s="34"/>
      <c r="R425" s="36"/>
      <c r="S425" s="21"/>
      <c r="T425" s="34"/>
      <c r="U425" s="34"/>
      <c r="V425" s="34"/>
      <c r="W425" s="37"/>
      <c r="X425" s="35"/>
      <c r="Y425" s="37"/>
      <c r="Z425" s="37"/>
      <c r="AA425" s="37"/>
      <c r="AB425" s="37"/>
      <c r="AC425" s="35"/>
      <c r="AD425" s="38"/>
      <c r="AE425" s="38"/>
      <c r="AF425" s="38"/>
      <c r="AG425" s="38"/>
    </row>
    <row r="426" spans="2:33" hidden="1" outlineLevel="2" x14ac:dyDescent="0.15">
      <c r="B426" s="800" t="s">
        <v>489</v>
      </c>
      <c r="C426" s="815">
        <f t="shared" si="3"/>
        <v>4.9000000000000004</v>
      </c>
      <c r="D426" s="843">
        <v>7.0000000000000001E-3</v>
      </c>
      <c r="E426" s="815">
        <f>D426*'Info utili'!$P$20</f>
        <v>81.394444444444446</v>
      </c>
      <c r="F426" s="829">
        <v>0.1</v>
      </c>
      <c r="G426" s="878">
        <v>0.3</v>
      </c>
      <c r="M426" s="34"/>
      <c r="N426" s="34"/>
      <c r="O426" s="34"/>
      <c r="P426" s="34"/>
      <c r="Q426" s="34"/>
      <c r="R426" s="36"/>
      <c r="S426" s="21"/>
      <c r="T426" s="34"/>
      <c r="U426" s="34"/>
      <c r="V426" s="34"/>
      <c r="W426" s="37"/>
      <c r="X426" s="35"/>
      <c r="Y426" s="37"/>
      <c r="Z426" s="37"/>
      <c r="AA426" s="37"/>
      <c r="AB426" s="37"/>
      <c r="AC426" s="35"/>
      <c r="AD426" s="38"/>
      <c r="AE426" s="38"/>
      <c r="AF426" s="38"/>
      <c r="AG426" s="38"/>
    </row>
    <row r="427" spans="2:33" hidden="1" outlineLevel="2" x14ac:dyDescent="0.15">
      <c r="B427" s="800" t="s">
        <v>490</v>
      </c>
      <c r="C427" s="815">
        <f t="shared" si="3"/>
        <v>173.6</v>
      </c>
      <c r="D427" s="843">
        <v>0.248</v>
      </c>
      <c r="E427" s="815">
        <f>D427*'Info utili'!$P$20</f>
        <v>2883.6888888888889</v>
      </c>
      <c r="F427" s="829">
        <v>0.1</v>
      </c>
      <c r="G427" s="878">
        <v>0.3</v>
      </c>
      <c r="M427" s="34"/>
      <c r="N427" s="34"/>
      <c r="O427" s="34"/>
      <c r="P427" s="34"/>
      <c r="Q427" s="34"/>
      <c r="R427" s="36"/>
      <c r="S427" s="21"/>
      <c r="T427" s="34"/>
      <c r="U427" s="34"/>
      <c r="V427" s="34"/>
      <c r="W427" s="37"/>
      <c r="X427" s="35"/>
      <c r="Y427" s="37"/>
      <c r="Z427" s="37"/>
      <c r="AA427" s="37"/>
      <c r="AB427" s="37"/>
      <c r="AC427" s="35"/>
      <c r="AD427" s="38"/>
      <c r="AE427" s="38"/>
      <c r="AF427" s="38"/>
      <c r="AG427" s="38"/>
    </row>
    <row r="428" spans="2:33" hidden="1" outlineLevel="2" x14ac:dyDescent="0.15">
      <c r="B428" s="800" t="s">
        <v>491</v>
      </c>
      <c r="C428" s="815">
        <f t="shared" si="3"/>
        <v>149.79999999999998</v>
      </c>
      <c r="D428" s="843">
        <v>0.214</v>
      </c>
      <c r="E428" s="815">
        <f>D428*'Info utili'!$P$20</f>
        <v>2488.3444444444444</v>
      </c>
      <c r="F428" s="829">
        <v>0.1</v>
      </c>
      <c r="G428" s="878">
        <v>0.3</v>
      </c>
      <c r="M428" s="34"/>
      <c r="N428" s="34"/>
      <c r="O428" s="34"/>
      <c r="P428" s="34"/>
      <c r="Q428" s="34"/>
      <c r="R428" s="36"/>
      <c r="S428" s="21"/>
      <c r="T428" s="34"/>
      <c r="U428" s="34"/>
      <c r="V428" s="34"/>
      <c r="W428" s="37"/>
      <c r="X428" s="35"/>
      <c r="Y428" s="37"/>
      <c r="Z428" s="37"/>
      <c r="AA428" s="37"/>
      <c r="AB428" s="37"/>
      <c r="AC428" s="35"/>
      <c r="AD428" s="38"/>
      <c r="AE428" s="38"/>
      <c r="AF428" s="38"/>
      <c r="AG428" s="38"/>
    </row>
    <row r="429" spans="2:33" hidden="1" outlineLevel="2" x14ac:dyDescent="0.15">
      <c r="B429" s="800" t="s">
        <v>492</v>
      </c>
      <c r="C429" s="815">
        <f t="shared" si="3"/>
        <v>26.599999999999998</v>
      </c>
      <c r="D429" s="843">
        <v>3.7999999999999999E-2</v>
      </c>
      <c r="E429" s="815">
        <f>D429*'Info utili'!$P$20</f>
        <v>441.85555555555555</v>
      </c>
      <c r="F429" s="829">
        <v>0.1</v>
      </c>
      <c r="G429" s="878">
        <v>0.3</v>
      </c>
      <c r="M429" s="34"/>
      <c r="N429" s="34"/>
      <c r="O429" s="34"/>
      <c r="P429" s="34"/>
      <c r="Q429" s="34"/>
      <c r="R429" s="36"/>
      <c r="S429" s="21"/>
      <c r="T429" s="34"/>
      <c r="U429" s="34"/>
      <c r="V429" s="34"/>
      <c r="W429" s="37"/>
      <c r="X429" s="35"/>
      <c r="Y429" s="37"/>
      <c r="Z429" s="37"/>
      <c r="AA429" s="37"/>
      <c r="AB429" s="37"/>
      <c r="AC429" s="35"/>
      <c r="AD429" s="38"/>
      <c r="AE429" s="38"/>
      <c r="AF429" s="38"/>
      <c r="AG429" s="38"/>
    </row>
    <row r="430" spans="2:33" hidden="1" outlineLevel="2" x14ac:dyDescent="0.15">
      <c r="B430" s="800" t="s">
        <v>493</v>
      </c>
      <c r="C430" s="815">
        <f t="shared" si="3"/>
        <v>4.9000000000000004</v>
      </c>
      <c r="D430" s="843">
        <v>7.0000000000000001E-3</v>
      </c>
      <c r="E430" s="815">
        <f>D430*'Info utili'!$P$20</f>
        <v>81.394444444444446</v>
      </c>
      <c r="F430" s="829">
        <v>0.1</v>
      </c>
      <c r="G430" s="878">
        <v>0.3</v>
      </c>
      <c r="M430" s="34"/>
      <c r="N430" s="34"/>
      <c r="O430" s="34"/>
      <c r="P430" s="34"/>
      <c r="Q430" s="34"/>
      <c r="R430" s="36"/>
      <c r="S430" s="21"/>
      <c r="T430" s="34"/>
      <c r="U430" s="34"/>
      <c r="V430" s="34"/>
      <c r="W430" s="37"/>
      <c r="X430" s="35"/>
      <c r="Y430" s="37"/>
      <c r="Z430" s="37"/>
      <c r="AA430" s="37"/>
      <c r="AB430" s="37"/>
      <c r="AC430" s="35"/>
      <c r="AD430" s="38"/>
      <c r="AE430" s="38"/>
      <c r="AF430" s="38"/>
      <c r="AG430" s="38"/>
    </row>
    <row r="431" spans="2:33" hidden="1" outlineLevel="2" x14ac:dyDescent="0.15">
      <c r="B431" s="800" t="s">
        <v>494</v>
      </c>
      <c r="C431" s="815">
        <f t="shared" si="3"/>
        <v>81.900000000000006</v>
      </c>
      <c r="D431" s="843">
        <v>0.11700000000000001</v>
      </c>
      <c r="E431" s="815">
        <f>D431*'Info utili'!$P$20</f>
        <v>1360.45</v>
      </c>
      <c r="F431" s="829">
        <v>0.1</v>
      </c>
      <c r="G431" s="878">
        <v>0.3</v>
      </c>
      <c r="M431" s="34"/>
      <c r="N431" s="34"/>
      <c r="O431" s="34"/>
      <c r="P431" s="34"/>
      <c r="Q431" s="34"/>
      <c r="R431" s="36"/>
      <c r="S431" s="21"/>
      <c r="T431" s="34"/>
      <c r="U431" s="34"/>
      <c r="V431" s="34"/>
      <c r="W431" s="37"/>
      <c r="X431" s="35"/>
      <c r="Y431" s="37"/>
      <c r="Z431" s="37"/>
      <c r="AA431" s="37"/>
      <c r="AB431" s="37"/>
      <c r="AC431" s="35"/>
      <c r="AD431" s="38"/>
      <c r="AE431" s="38"/>
      <c r="AF431" s="38"/>
      <c r="AG431" s="38"/>
    </row>
    <row r="432" spans="2:33" hidden="1" outlineLevel="2" x14ac:dyDescent="0.15">
      <c r="B432" s="800" t="s">
        <v>495</v>
      </c>
      <c r="C432" s="815">
        <f t="shared" si="3"/>
        <v>123.19999999999999</v>
      </c>
      <c r="D432" s="843">
        <v>0.17599999999999999</v>
      </c>
      <c r="E432" s="815">
        <f>D432*'Info utili'!$P$20</f>
        <v>2046.4888888888886</v>
      </c>
      <c r="F432" s="829">
        <v>0.1</v>
      </c>
      <c r="G432" s="878">
        <v>0.3</v>
      </c>
      <c r="M432" s="34"/>
      <c r="N432" s="34"/>
      <c r="O432" s="34"/>
      <c r="P432" s="34"/>
      <c r="Q432" s="34"/>
      <c r="R432" s="36"/>
      <c r="S432" s="21"/>
      <c r="T432" s="34"/>
      <c r="U432" s="34"/>
      <c r="V432" s="34"/>
      <c r="W432" s="37"/>
      <c r="X432" s="35"/>
      <c r="Y432" s="37"/>
      <c r="Z432" s="37"/>
      <c r="AA432" s="37"/>
      <c r="AB432" s="37"/>
      <c r="AC432" s="35"/>
      <c r="AD432" s="38"/>
      <c r="AE432" s="38"/>
      <c r="AF432" s="38"/>
      <c r="AG432" s="38"/>
    </row>
    <row r="433" spans="2:33" hidden="1" outlineLevel="2" x14ac:dyDescent="0.15">
      <c r="B433" s="800" t="s">
        <v>496</v>
      </c>
      <c r="C433" s="815">
        <f t="shared" si="3"/>
        <v>253.4</v>
      </c>
      <c r="D433" s="843">
        <v>0.36199999999999999</v>
      </c>
      <c r="E433" s="815">
        <f>D433*'Info utili'!$P$20</f>
        <v>4209.2555555555555</v>
      </c>
      <c r="F433" s="829">
        <v>0.1</v>
      </c>
      <c r="G433" s="878">
        <v>0.3</v>
      </c>
      <c r="M433" s="34"/>
      <c r="N433" s="34"/>
      <c r="O433" s="34"/>
      <c r="P433" s="34"/>
      <c r="Q433" s="34"/>
      <c r="R433" s="36"/>
      <c r="S433" s="21"/>
      <c r="T433" s="34"/>
      <c r="U433" s="34"/>
      <c r="V433" s="34"/>
      <c r="W433" s="37"/>
      <c r="X433" s="35"/>
      <c r="Y433" s="37"/>
      <c r="Z433" s="37"/>
      <c r="AA433" s="37"/>
      <c r="AB433" s="37"/>
      <c r="AC433" s="35"/>
      <c r="AD433" s="38"/>
      <c r="AE433" s="38"/>
      <c r="AF433" s="38"/>
      <c r="AG433" s="38"/>
    </row>
    <row r="434" spans="2:33" hidden="1" outlineLevel="2" x14ac:dyDescent="0.15">
      <c r="B434" s="800" t="s">
        <v>497</v>
      </c>
      <c r="C434" s="815">
        <f t="shared" si="3"/>
        <v>227.5</v>
      </c>
      <c r="D434" s="843">
        <v>0.32500000000000001</v>
      </c>
      <c r="E434" s="815">
        <f>D434*'Info utili'!$P$20</f>
        <v>3779.0277777777778</v>
      </c>
      <c r="F434" s="829">
        <v>0.1</v>
      </c>
      <c r="G434" s="878">
        <v>0.3</v>
      </c>
      <c r="M434" s="34"/>
      <c r="N434" s="34"/>
      <c r="O434" s="34"/>
      <c r="P434" s="34"/>
      <c r="Q434" s="34"/>
      <c r="R434" s="36"/>
      <c r="S434" s="21"/>
      <c r="T434" s="34"/>
      <c r="U434" s="34"/>
      <c r="V434" s="34"/>
      <c r="W434" s="37"/>
      <c r="X434" s="35"/>
      <c r="Y434" s="37"/>
      <c r="Z434" s="37"/>
      <c r="AA434" s="37"/>
      <c r="AB434" s="37"/>
      <c r="AC434" s="35"/>
      <c r="AD434" s="38"/>
      <c r="AE434" s="38"/>
      <c r="AF434" s="38"/>
      <c r="AG434" s="38"/>
    </row>
    <row r="435" spans="2:33" hidden="1" outlineLevel="2" x14ac:dyDescent="0.15">
      <c r="B435" s="800" t="s">
        <v>498</v>
      </c>
      <c r="C435" s="815">
        <f t="shared" si="3"/>
        <v>16.100000000000001</v>
      </c>
      <c r="D435" s="843">
        <v>2.3E-2</v>
      </c>
      <c r="E435" s="815">
        <f>D435*'Info utili'!$P$20</f>
        <v>267.43888888888887</v>
      </c>
      <c r="F435" s="829">
        <v>0.1</v>
      </c>
      <c r="G435" s="878">
        <v>0.3</v>
      </c>
      <c r="M435" s="34"/>
      <c r="N435" s="34"/>
      <c r="O435" s="34"/>
      <c r="P435" s="34"/>
      <c r="Q435" s="34"/>
      <c r="R435" s="36"/>
      <c r="S435" s="21"/>
      <c r="T435" s="34"/>
      <c r="U435" s="34"/>
      <c r="V435" s="34"/>
      <c r="W435" s="37"/>
      <c r="X435" s="35"/>
      <c r="Y435" s="37"/>
      <c r="Z435" s="37"/>
      <c r="AA435" s="37"/>
      <c r="AB435" s="37"/>
      <c r="AC435" s="35"/>
      <c r="AD435" s="38"/>
      <c r="AE435" s="38"/>
      <c r="AF435" s="38"/>
      <c r="AG435" s="38"/>
    </row>
    <row r="436" spans="2:33" hidden="1" outlineLevel="2" x14ac:dyDescent="0.15">
      <c r="B436" s="800" t="s">
        <v>499</v>
      </c>
      <c r="C436" s="815">
        <f t="shared" si="3"/>
        <v>39.9</v>
      </c>
      <c r="D436" s="843">
        <v>5.7000000000000002E-2</v>
      </c>
      <c r="E436" s="815">
        <f>D436*'Info utili'!$P$20</f>
        <v>662.7833333333333</v>
      </c>
      <c r="F436" s="829">
        <v>0.1</v>
      </c>
      <c r="G436" s="878">
        <v>0.3</v>
      </c>
      <c r="M436" s="34"/>
      <c r="N436" s="34"/>
      <c r="O436" s="34"/>
      <c r="P436" s="34"/>
      <c r="Q436" s="34"/>
      <c r="R436" s="36"/>
      <c r="S436" s="21"/>
      <c r="T436" s="34"/>
      <c r="U436" s="34"/>
      <c r="V436" s="34"/>
      <c r="W436" s="37"/>
      <c r="X436" s="35"/>
      <c r="Y436" s="37"/>
      <c r="Z436" s="37"/>
      <c r="AA436" s="37"/>
      <c r="AB436" s="37"/>
      <c r="AC436" s="35"/>
      <c r="AD436" s="38"/>
      <c r="AE436" s="38"/>
      <c r="AF436" s="38"/>
      <c r="AG436" s="38"/>
    </row>
    <row r="437" spans="2:33" hidden="1" outlineLevel="2" x14ac:dyDescent="0.15">
      <c r="B437" s="800" t="s">
        <v>500</v>
      </c>
      <c r="C437" s="815">
        <f t="shared" si="3"/>
        <v>85.399999999999991</v>
      </c>
      <c r="D437" s="843">
        <v>0.122</v>
      </c>
      <c r="E437" s="815">
        <f>D437*'Info utili'!$P$20</f>
        <v>1418.5888888888887</v>
      </c>
      <c r="F437" s="829">
        <v>0.1</v>
      </c>
      <c r="G437" s="878">
        <v>0.3</v>
      </c>
      <c r="M437" s="34"/>
      <c r="N437" s="34"/>
      <c r="O437" s="34"/>
      <c r="P437" s="34"/>
      <c r="Q437" s="34"/>
      <c r="R437" s="36"/>
      <c r="S437" s="21"/>
      <c r="T437" s="34"/>
      <c r="U437" s="34"/>
      <c r="V437" s="34"/>
      <c r="W437" s="37"/>
      <c r="X437" s="35"/>
      <c r="Y437" s="37"/>
      <c r="Z437" s="37"/>
      <c r="AA437" s="37"/>
      <c r="AB437" s="37"/>
      <c r="AC437" s="35"/>
      <c r="AD437" s="38"/>
      <c r="AE437" s="38"/>
      <c r="AF437" s="38"/>
      <c r="AG437" s="38"/>
    </row>
    <row r="438" spans="2:33" hidden="1" outlineLevel="2" x14ac:dyDescent="0.15">
      <c r="B438" s="800" t="s">
        <v>501</v>
      </c>
      <c r="C438" s="815">
        <f t="shared" si="3"/>
        <v>140.70000000000002</v>
      </c>
      <c r="D438" s="843">
        <v>0.20100000000000001</v>
      </c>
      <c r="E438" s="815">
        <f>D438*'Info utili'!$P$20</f>
        <v>2337.1833333333334</v>
      </c>
      <c r="F438" s="829">
        <v>0.1</v>
      </c>
      <c r="G438" s="878">
        <v>0.3</v>
      </c>
      <c r="M438" s="34"/>
      <c r="N438" s="34"/>
      <c r="O438" s="34"/>
      <c r="P438" s="34"/>
      <c r="Q438" s="34"/>
      <c r="R438" s="36"/>
      <c r="S438" s="21"/>
      <c r="T438" s="34"/>
      <c r="U438" s="34"/>
      <c r="V438" s="34"/>
      <c r="W438" s="37"/>
      <c r="X438" s="35"/>
      <c r="Y438" s="37"/>
      <c r="Z438" s="37"/>
      <c r="AA438" s="37"/>
      <c r="AB438" s="37"/>
      <c r="AC438" s="35"/>
      <c r="AD438" s="38"/>
      <c r="AE438" s="38"/>
      <c r="AF438" s="38"/>
      <c r="AG438" s="38"/>
    </row>
    <row r="439" spans="2:33" hidden="1" outlineLevel="2" x14ac:dyDescent="0.15">
      <c r="B439" s="800" t="s">
        <v>502</v>
      </c>
      <c r="C439" s="815">
        <f t="shared" ref="C439:C502" si="4">D439*700</f>
        <v>154.69999999999999</v>
      </c>
      <c r="D439" s="843">
        <v>0.221</v>
      </c>
      <c r="E439" s="815">
        <f>D439*'Info utili'!$P$20</f>
        <v>2569.7388888888886</v>
      </c>
      <c r="F439" s="829">
        <v>0.1</v>
      </c>
      <c r="G439" s="878">
        <v>0.3</v>
      </c>
      <c r="M439" s="34"/>
      <c r="N439" s="34"/>
      <c r="O439" s="34"/>
      <c r="P439" s="34"/>
      <c r="Q439" s="34"/>
      <c r="R439" s="36"/>
      <c r="S439" s="21"/>
      <c r="T439" s="34"/>
      <c r="U439" s="34"/>
      <c r="V439" s="34"/>
      <c r="W439" s="37"/>
      <c r="X439" s="35"/>
      <c r="Y439" s="37"/>
      <c r="Z439" s="37"/>
      <c r="AA439" s="37"/>
      <c r="AB439" s="37"/>
      <c r="AC439" s="35"/>
      <c r="AD439" s="38"/>
      <c r="AE439" s="38"/>
      <c r="AF439" s="38"/>
      <c r="AG439" s="38"/>
    </row>
    <row r="440" spans="2:33" hidden="1" outlineLevel="2" x14ac:dyDescent="0.15">
      <c r="B440" s="800" t="s">
        <v>503</v>
      </c>
      <c r="C440" s="815">
        <f t="shared" si="4"/>
        <v>121.1</v>
      </c>
      <c r="D440" s="843">
        <v>0.17299999999999999</v>
      </c>
      <c r="E440" s="815">
        <f>D440*'Info utili'!$P$20</f>
        <v>2011.6055555555554</v>
      </c>
      <c r="F440" s="829">
        <v>0.1</v>
      </c>
      <c r="G440" s="878">
        <v>0.3</v>
      </c>
      <c r="M440" s="34"/>
      <c r="N440" s="34"/>
      <c r="O440" s="34"/>
      <c r="P440" s="34"/>
      <c r="Q440" s="34"/>
      <c r="R440" s="36"/>
      <c r="S440" s="21"/>
      <c r="T440" s="34"/>
      <c r="U440" s="34"/>
      <c r="V440" s="34"/>
      <c r="W440" s="37"/>
      <c r="X440" s="35"/>
      <c r="Y440" s="37"/>
      <c r="Z440" s="37"/>
      <c r="AA440" s="37"/>
      <c r="AB440" s="37"/>
      <c r="AC440" s="35"/>
      <c r="AD440" s="38"/>
      <c r="AE440" s="38"/>
      <c r="AF440" s="38"/>
      <c r="AG440" s="38"/>
    </row>
    <row r="441" spans="2:33" hidden="1" outlineLevel="2" x14ac:dyDescent="0.15">
      <c r="B441" s="800" t="s">
        <v>504</v>
      </c>
      <c r="C441" s="815">
        <f t="shared" si="4"/>
        <v>93.800000000000011</v>
      </c>
      <c r="D441" s="843">
        <v>0.13400000000000001</v>
      </c>
      <c r="E441" s="815">
        <f>D441*'Info utili'!$P$20</f>
        <v>1558.1222222222223</v>
      </c>
      <c r="F441" s="829">
        <v>0.1</v>
      </c>
      <c r="G441" s="878">
        <v>0.3</v>
      </c>
      <c r="M441" s="34"/>
      <c r="N441" s="34"/>
      <c r="O441" s="34"/>
      <c r="P441" s="34"/>
      <c r="Q441" s="34"/>
      <c r="R441" s="36"/>
      <c r="S441" s="21"/>
      <c r="T441" s="34"/>
      <c r="U441" s="34"/>
      <c r="V441" s="34"/>
      <c r="W441" s="37"/>
      <c r="X441" s="35"/>
      <c r="Y441" s="37"/>
      <c r="Z441" s="37"/>
      <c r="AA441" s="37"/>
      <c r="AB441" s="37"/>
      <c r="AC441" s="35"/>
      <c r="AD441" s="38"/>
      <c r="AE441" s="38"/>
      <c r="AF441" s="38"/>
      <c r="AG441" s="38"/>
    </row>
    <row r="442" spans="2:33" hidden="1" outlineLevel="2" x14ac:dyDescent="0.15">
      <c r="B442" s="800" t="s">
        <v>505</v>
      </c>
      <c r="C442" s="815">
        <f t="shared" si="4"/>
        <v>183.4</v>
      </c>
      <c r="D442" s="843">
        <v>0.26200000000000001</v>
      </c>
      <c r="E442" s="815">
        <f>D442*'Info utili'!$P$20</f>
        <v>3046.4777777777776</v>
      </c>
      <c r="F442" s="829">
        <v>0.1</v>
      </c>
      <c r="G442" s="878">
        <v>0.3</v>
      </c>
      <c r="M442" s="34"/>
      <c r="N442" s="34"/>
      <c r="O442" s="34"/>
      <c r="P442" s="34"/>
      <c r="Q442" s="34"/>
      <c r="R442" s="36"/>
      <c r="S442" s="21"/>
      <c r="T442" s="34"/>
      <c r="U442" s="34"/>
      <c r="V442" s="34"/>
      <c r="W442" s="37"/>
      <c r="X442" s="35"/>
      <c r="Y442" s="37"/>
      <c r="Z442" s="37"/>
      <c r="AA442" s="37"/>
      <c r="AB442" s="37"/>
      <c r="AC442" s="35"/>
      <c r="AD442" s="38"/>
      <c r="AE442" s="38"/>
      <c r="AF442" s="38"/>
      <c r="AG442" s="38"/>
    </row>
    <row r="443" spans="2:33" hidden="1" outlineLevel="2" x14ac:dyDescent="0.15">
      <c r="B443" s="800" t="s">
        <v>506</v>
      </c>
      <c r="C443" s="815">
        <f t="shared" si="4"/>
        <v>196.70000000000002</v>
      </c>
      <c r="D443" s="843">
        <v>0.28100000000000003</v>
      </c>
      <c r="E443" s="815">
        <f>D443*'Info utili'!$P$20</f>
        <v>3267.4055555555556</v>
      </c>
      <c r="F443" s="829">
        <v>0.1</v>
      </c>
      <c r="G443" s="878">
        <v>0.3</v>
      </c>
      <c r="M443" s="34"/>
      <c r="N443" s="34"/>
      <c r="O443" s="34"/>
      <c r="P443" s="34"/>
      <c r="Q443" s="34"/>
      <c r="R443" s="36"/>
      <c r="S443" s="21"/>
      <c r="T443" s="34"/>
      <c r="U443" s="34"/>
      <c r="V443" s="34"/>
      <c r="W443" s="37"/>
      <c r="X443" s="35"/>
      <c r="Y443" s="37"/>
      <c r="Z443" s="37"/>
      <c r="AA443" s="37"/>
      <c r="AB443" s="37"/>
      <c r="AC443" s="35"/>
      <c r="AD443" s="38"/>
      <c r="AE443" s="38"/>
      <c r="AF443" s="38"/>
      <c r="AG443" s="38"/>
    </row>
    <row r="444" spans="2:33" hidden="1" outlineLevel="2" x14ac:dyDescent="0.15">
      <c r="B444" s="800" t="s">
        <v>507</v>
      </c>
      <c r="C444" s="815">
        <f t="shared" si="4"/>
        <v>147.69999999999999</v>
      </c>
      <c r="D444" s="843">
        <v>0.21099999999999999</v>
      </c>
      <c r="E444" s="815">
        <f>D444*'Info utili'!$P$20</f>
        <v>2453.4611111111108</v>
      </c>
      <c r="F444" s="829">
        <v>0.1</v>
      </c>
      <c r="G444" s="878">
        <v>0.3</v>
      </c>
      <c r="M444" s="34"/>
      <c r="N444" s="34"/>
      <c r="O444" s="34"/>
      <c r="P444" s="34"/>
      <c r="Q444" s="34"/>
      <c r="R444" s="36"/>
      <c r="S444" s="21"/>
      <c r="T444" s="34"/>
      <c r="U444" s="34"/>
      <c r="V444" s="34"/>
      <c r="W444" s="37"/>
      <c r="X444" s="35"/>
      <c r="Y444" s="37"/>
      <c r="Z444" s="37"/>
      <c r="AA444" s="37"/>
      <c r="AB444" s="37"/>
      <c r="AC444" s="35"/>
      <c r="AD444" s="38"/>
      <c r="AE444" s="38"/>
      <c r="AF444" s="38"/>
      <c r="AG444" s="38"/>
    </row>
    <row r="445" spans="2:33" hidden="1" outlineLevel="2" x14ac:dyDescent="0.15">
      <c r="B445" s="800" t="s">
        <v>508</v>
      </c>
      <c r="C445" s="815">
        <f t="shared" si="4"/>
        <v>172.9</v>
      </c>
      <c r="D445" s="843">
        <v>0.247</v>
      </c>
      <c r="E445" s="815">
        <f>D445*'Info utili'!$P$20</f>
        <v>2872.0611111111111</v>
      </c>
      <c r="F445" s="829">
        <v>0.1</v>
      </c>
      <c r="G445" s="878">
        <v>0.3</v>
      </c>
      <c r="M445" s="34"/>
      <c r="N445" s="34"/>
      <c r="O445" s="34"/>
      <c r="P445" s="34"/>
      <c r="Q445" s="34"/>
      <c r="R445" s="36"/>
      <c r="S445" s="21"/>
      <c r="T445" s="34"/>
      <c r="U445" s="34"/>
      <c r="V445" s="34"/>
      <c r="W445" s="37"/>
      <c r="X445" s="35"/>
      <c r="Y445" s="37"/>
      <c r="Z445" s="37"/>
      <c r="AA445" s="37"/>
      <c r="AB445" s="37"/>
      <c r="AC445" s="35"/>
      <c r="AD445" s="38"/>
      <c r="AE445" s="38"/>
      <c r="AF445" s="38"/>
      <c r="AG445" s="38"/>
    </row>
    <row r="446" spans="2:33" hidden="1" outlineLevel="2" x14ac:dyDescent="0.15">
      <c r="B446" s="800" t="s">
        <v>509</v>
      </c>
      <c r="C446" s="815">
        <f t="shared" si="4"/>
        <v>6.3</v>
      </c>
      <c r="D446" s="843">
        <v>8.9999999999999993E-3</v>
      </c>
      <c r="E446" s="815">
        <f>D446*'Info utili'!$P$20</f>
        <v>104.64999999999999</v>
      </c>
      <c r="F446" s="829">
        <v>0.1</v>
      </c>
      <c r="G446" s="878">
        <v>0.3</v>
      </c>
      <c r="M446" s="34"/>
      <c r="N446" s="34"/>
      <c r="O446" s="34"/>
      <c r="P446" s="34"/>
      <c r="Q446" s="34"/>
      <c r="R446" s="36"/>
      <c r="S446" s="21"/>
      <c r="T446" s="34"/>
      <c r="U446" s="34"/>
      <c r="V446" s="34"/>
      <c r="W446" s="37"/>
      <c r="X446" s="35"/>
      <c r="Y446" s="37"/>
      <c r="Z446" s="37"/>
      <c r="AA446" s="37"/>
      <c r="AB446" s="37"/>
      <c r="AC446" s="35"/>
      <c r="AD446" s="38"/>
      <c r="AE446" s="38"/>
      <c r="AF446" s="38"/>
      <c r="AG446" s="38"/>
    </row>
    <row r="447" spans="2:33" hidden="1" outlineLevel="2" x14ac:dyDescent="0.15">
      <c r="B447" s="800" t="s">
        <v>510</v>
      </c>
      <c r="C447" s="815">
        <f t="shared" si="4"/>
        <v>179.9</v>
      </c>
      <c r="D447" s="843">
        <v>0.25700000000000001</v>
      </c>
      <c r="E447" s="815">
        <f>D447*'Info utili'!$P$20</f>
        <v>2988.338888888889</v>
      </c>
      <c r="F447" s="829">
        <v>0.1</v>
      </c>
      <c r="G447" s="878">
        <v>0.3</v>
      </c>
      <c r="M447" s="34"/>
      <c r="N447" s="34"/>
      <c r="O447" s="34"/>
      <c r="P447" s="34"/>
      <c r="Q447" s="34"/>
      <c r="R447" s="36"/>
      <c r="S447" s="21"/>
      <c r="T447" s="34"/>
      <c r="U447" s="34"/>
      <c r="V447" s="34"/>
      <c r="W447" s="37"/>
      <c r="X447" s="35"/>
      <c r="Y447" s="37"/>
      <c r="Z447" s="37"/>
      <c r="AA447" s="37"/>
      <c r="AB447" s="37"/>
      <c r="AC447" s="35"/>
      <c r="AD447" s="38"/>
      <c r="AE447" s="38"/>
      <c r="AF447" s="38"/>
      <c r="AG447" s="38"/>
    </row>
    <row r="448" spans="2:33" hidden="1" outlineLevel="2" x14ac:dyDescent="0.15">
      <c r="B448" s="800" t="s">
        <v>511</v>
      </c>
      <c r="C448" s="815">
        <f t="shared" si="4"/>
        <v>193.20000000000002</v>
      </c>
      <c r="D448" s="843">
        <v>0.27600000000000002</v>
      </c>
      <c r="E448" s="815">
        <f>D448*'Info utili'!$P$20</f>
        <v>3209.2666666666669</v>
      </c>
      <c r="F448" s="829">
        <v>0.1</v>
      </c>
      <c r="G448" s="878">
        <v>0.3</v>
      </c>
      <c r="M448" s="34"/>
      <c r="N448" s="34"/>
      <c r="O448" s="34"/>
      <c r="P448" s="34"/>
      <c r="Q448" s="34"/>
      <c r="R448" s="36"/>
      <c r="S448" s="21"/>
      <c r="T448" s="34"/>
      <c r="U448" s="34"/>
      <c r="V448" s="34"/>
      <c r="W448" s="37"/>
      <c r="X448" s="35"/>
      <c r="Y448" s="37"/>
      <c r="Z448" s="37"/>
      <c r="AA448" s="37"/>
      <c r="AB448" s="37"/>
      <c r="AC448" s="35"/>
      <c r="AD448" s="38"/>
      <c r="AE448" s="38"/>
      <c r="AF448" s="38"/>
      <c r="AG448" s="38"/>
    </row>
    <row r="449" spans="2:33" hidden="1" outlineLevel="2" x14ac:dyDescent="0.15">
      <c r="B449" s="800" t="s">
        <v>512</v>
      </c>
      <c r="C449" s="815">
        <f t="shared" si="4"/>
        <v>34.300000000000004</v>
      </c>
      <c r="D449" s="843">
        <v>4.9000000000000002E-2</v>
      </c>
      <c r="E449" s="815">
        <f>D449*'Info utili'!$P$20</f>
        <v>569.76111111111106</v>
      </c>
      <c r="F449" s="829">
        <v>0.1</v>
      </c>
      <c r="G449" s="878">
        <v>0.3</v>
      </c>
      <c r="M449" s="34"/>
      <c r="N449" s="34"/>
      <c r="O449" s="34"/>
      <c r="P449" s="34"/>
      <c r="Q449" s="34"/>
      <c r="R449" s="36"/>
      <c r="S449" s="21"/>
      <c r="T449" s="34"/>
      <c r="U449" s="34"/>
      <c r="V449" s="34"/>
      <c r="W449" s="37"/>
      <c r="X449" s="35"/>
      <c r="Y449" s="37"/>
      <c r="Z449" s="37"/>
      <c r="AA449" s="37"/>
      <c r="AB449" s="37"/>
      <c r="AC449" s="35"/>
      <c r="AD449" s="38"/>
      <c r="AE449" s="38"/>
      <c r="AF449" s="38"/>
      <c r="AG449" s="38"/>
    </row>
    <row r="450" spans="2:33" hidden="1" outlineLevel="2" x14ac:dyDescent="0.15">
      <c r="B450" s="800" t="s">
        <v>513</v>
      </c>
      <c r="C450" s="815">
        <f t="shared" si="4"/>
        <v>205.79999999999998</v>
      </c>
      <c r="D450" s="843">
        <v>0.29399999999999998</v>
      </c>
      <c r="E450" s="815">
        <f>D450*'Info utili'!$P$20</f>
        <v>3418.5666666666662</v>
      </c>
      <c r="F450" s="829">
        <v>0.1</v>
      </c>
      <c r="G450" s="878">
        <v>0.3</v>
      </c>
      <c r="M450" s="34"/>
      <c r="N450" s="34"/>
      <c r="O450" s="34"/>
      <c r="P450" s="34"/>
      <c r="Q450" s="34"/>
      <c r="R450" s="36"/>
      <c r="S450" s="21"/>
      <c r="T450" s="34"/>
      <c r="U450" s="34"/>
      <c r="V450" s="34"/>
      <c r="W450" s="37"/>
      <c r="X450" s="35"/>
      <c r="Y450" s="37"/>
      <c r="Z450" s="37"/>
      <c r="AA450" s="37"/>
      <c r="AB450" s="37"/>
      <c r="AC450" s="35"/>
      <c r="AD450" s="38"/>
      <c r="AE450" s="38"/>
      <c r="AF450" s="38"/>
      <c r="AG450" s="38"/>
    </row>
    <row r="451" spans="2:33" hidden="1" outlineLevel="2" x14ac:dyDescent="0.15">
      <c r="B451" s="800" t="s">
        <v>514</v>
      </c>
      <c r="C451" s="815">
        <f t="shared" si="4"/>
        <v>136.5</v>
      </c>
      <c r="D451" s="843">
        <v>0.19500000000000001</v>
      </c>
      <c r="E451" s="815">
        <f>D451*'Info utili'!$P$20</f>
        <v>2267.4166666666665</v>
      </c>
      <c r="F451" s="829">
        <v>0.1</v>
      </c>
      <c r="G451" s="878">
        <v>0.3</v>
      </c>
      <c r="M451" s="34"/>
      <c r="N451" s="34"/>
      <c r="O451" s="34"/>
      <c r="P451" s="34"/>
      <c r="Q451" s="34"/>
      <c r="R451" s="36"/>
      <c r="S451" s="21"/>
      <c r="T451" s="34"/>
      <c r="U451" s="34"/>
      <c r="V451" s="34"/>
      <c r="W451" s="37"/>
      <c r="X451" s="35"/>
      <c r="Y451" s="37"/>
      <c r="Z451" s="37"/>
      <c r="AA451" s="37"/>
      <c r="AB451" s="37"/>
      <c r="AC451" s="35"/>
      <c r="AD451" s="38"/>
      <c r="AE451" s="38"/>
      <c r="AF451" s="38"/>
      <c r="AG451" s="38"/>
    </row>
    <row r="452" spans="2:33" hidden="1" outlineLevel="2" x14ac:dyDescent="0.15">
      <c r="B452" s="800" t="s">
        <v>515</v>
      </c>
      <c r="C452" s="815">
        <f t="shared" si="4"/>
        <v>148.4</v>
      </c>
      <c r="D452" s="843">
        <v>0.21199999999999999</v>
      </c>
      <c r="E452" s="815">
        <f>D452*'Info utili'!$P$20</f>
        <v>2465.088888888889</v>
      </c>
      <c r="F452" s="829">
        <v>0.1</v>
      </c>
      <c r="G452" s="878">
        <v>0.3</v>
      </c>
      <c r="M452" s="34"/>
      <c r="N452" s="34"/>
      <c r="O452" s="34"/>
      <c r="P452" s="34"/>
      <c r="Q452" s="34"/>
      <c r="R452" s="36"/>
      <c r="S452" s="21"/>
      <c r="T452" s="34"/>
      <c r="U452" s="34"/>
      <c r="V452" s="34"/>
      <c r="W452" s="37"/>
      <c r="X452" s="35"/>
      <c r="Y452" s="37"/>
      <c r="Z452" s="37"/>
      <c r="AA452" s="37"/>
      <c r="AB452" s="37"/>
      <c r="AC452" s="35"/>
      <c r="AD452" s="38"/>
      <c r="AE452" s="38"/>
      <c r="AF452" s="38"/>
      <c r="AG452" s="38"/>
    </row>
    <row r="453" spans="2:33" hidden="1" outlineLevel="2" x14ac:dyDescent="0.15">
      <c r="B453" s="800" t="s">
        <v>516</v>
      </c>
      <c r="C453" s="815">
        <f t="shared" si="4"/>
        <v>151.9</v>
      </c>
      <c r="D453" s="843">
        <v>0.217</v>
      </c>
      <c r="E453" s="815">
        <f>D453*'Info utili'!$P$20</f>
        <v>2523.2277777777776</v>
      </c>
      <c r="F453" s="829">
        <v>0.1</v>
      </c>
      <c r="G453" s="878">
        <v>0.3</v>
      </c>
      <c r="M453" s="34"/>
      <c r="N453" s="34"/>
      <c r="O453" s="34"/>
      <c r="P453" s="34"/>
      <c r="Q453" s="34"/>
      <c r="R453" s="36"/>
      <c r="S453" s="21"/>
      <c r="T453" s="34"/>
      <c r="U453" s="34"/>
      <c r="V453" s="34"/>
      <c r="W453" s="37"/>
      <c r="X453" s="35"/>
      <c r="Y453" s="37"/>
      <c r="Z453" s="37"/>
      <c r="AA453" s="37"/>
      <c r="AB453" s="37"/>
      <c r="AC453" s="35"/>
      <c r="AD453" s="38"/>
      <c r="AE453" s="38"/>
      <c r="AF453" s="38"/>
      <c r="AG453" s="38"/>
    </row>
    <row r="454" spans="2:33" hidden="1" outlineLevel="2" x14ac:dyDescent="0.15">
      <c r="B454" s="800" t="s">
        <v>517</v>
      </c>
      <c r="C454" s="815">
        <f t="shared" si="4"/>
        <v>150.5</v>
      </c>
      <c r="D454" s="843">
        <v>0.215</v>
      </c>
      <c r="E454" s="815">
        <f>D454*'Info utili'!$P$20</f>
        <v>2499.9722222222222</v>
      </c>
      <c r="F454" s="829">
        <v>0.1</v>
      </c>
      <c r="G454" s="878">
        <v>0.3</v>
      </c>
      <c r="M454" s="34"/>
      <c r="N454" s="34"/>
      <c r="O454" s="34"/>
      <c r="P454" s="34"/>
      <c r="Q454" s="34"/>
      <c r="R454" s="36"/>
      <c r="S454" s="21"/>
      <c r="T454" s="34"/>
      <c r="U454" s="34"/>
      <c r="V454" s="34"/>
      <c r="W454" s="37"/>
      <c r="X454" s="35"/>
      <c r="Y454" s="37"/>
      <c r="Z454" s="37"/>
      <c r="AA454" s="37"/>
      <c r="AB454" s="37"/>
      <c r="AC454" s="35"/>
      <c r="AD454" s="38"/>
      <c r="AE454" s="38"/>
      <c r="AF454" s="38"/>
      <c r="AG454" s="38"/>
    </row>
    <row r="455" spans="2:33" hidden="1" outlineLevel="2" x14ac:dyDescent="0.15">
      <c r="B455" s="800" t="s">
        <v>518</v>
      </c>
      <c r="C455" s="815">
        <f t="shared" si="4"/>
        <v>170.1</v>
      </c>
      <c r="D455" s="843">
        <v>0.24299999999999999</v>
      </c>
      <c r="E455" s="815">
        <f>D455*'Info utili'!$P$20</f>
        <v>2825.5499999999997</v>
      </c>
      <c r="F455" s="829">
        <v>0.1</v>
      </c>
      <c r="G455" s="878">
        <v>0.3</v>
      </c>
      <c r="M455" s="34"/>
      <c r="N455" s="34"/>
      <c r="O455" s="34"/>
      <c r="P455" s="34"/>
      <c r="Q455" s="34"/>
      <c r="R455" s="36"/>
      <c r="S455" s="21"/>
      <c r="T455" s="34"/>
      <c r="U455" s="34"/>
      <c r="V455" s="34"/>
      <c r="W455" s="37"/>
      <c r="X455" s="35"/>
      <c r="Y455" s="37"/>
      <c r="Z455" s="37"/>
      <c r="AA455" s="37"/>
      <c r="AB455" s="37"/>
      <c r="AC455" s="35"/>
      <c r="AD455" s="38"/>
      <c r="AE455" s="38"/>
      <c r="AF455" s="38"/>
      <c r="AG455" s="38"/>
    </row>
    <row r="456" spans="2:33" hidden="1" outlineLevel="2" x14ac:dyDescent="0.15">
      <c r="B456" s="800" t="s">
        <v>519</v>
      </c>
      <c r="C456" s="815">
        <f t="shared" si="4"/>
        <v>181.3</v>
      </c>
      <c r="D456" s="843">
        <v>0.25900000000000001</v>
      </c>
      <c r="E456" s="815">
        <f>D456*'Info utili'!$P$20</f>
        <v>3011.5944444444444</v>
      </c>
      <c r="F456" s="829">
        <v>0.1</v>
      </c>
      <c r="G456" s="878">
        <v>0.3</v>
      </c>
      <c r="M456" s="34"/>
      <c r="N456" s="34"/>
      <c r="O456" s="34"/>
      <c r="P456" s="34"/>
      <c r="Q456" s="34"/>
      <c r="R456" s="36"/>
      <c r="S456" s="21"/>
      <c r="T456" s="34"/>
      <c r="U456" s="34"/>
      <c r="V456" s="34"/>
      <c r="W456" s="37"/>
      <c r="X456" s="35"/>
      <c r="Y456" s="37"/>
      <c r="Z456" s="37"/>
      <c r="AA456" s="37"/>
      <c r="AB456" s="37"/>
      <c r="AC456" s="35"/>
      <c r="AD456" s="38"/>
      <c r="AE456" s="38"/>
      <c r="AF456" s="38"/>
      <c r="AG456" s="38"/>
    </row>
    <row r="457" spans="2:33" hidden="1" outlineLevel="2" x14ac:dyDescent="0.15">
      <c r="B457" s="800" t="s">
        <v>520</v>
      </c>
      <c r="C457" s="815">
        <f t="shared" si="4"/>
        <v>186.9</v>
      </c>
      <c r="D457" s="843">
        <v>0.26700000000000002</v>
      </c>
      <c r="E457" s="815">
        <f>D457*'Info utili'!$P$20</f>
        <v>3104.6166666666668</v>
      </c>
      <c r="F457" s="829">
        <v>0.1</v>
      </c>
      <c r="G457" s="878">
        <v>0.3</v>
      </c>
      <c r="M457" s="34"/>
      <c r="N457" s="34"/>
      <c r="O457" s="34"/>
      <c r="P457" s="34"/>
      <c r="Q457" s="34"/>
      <c r="R457" s="36"/>
      <c r="S457" s="21"/>
      <c r="T457" s="34"/>
      <c r="U457" s="34"/>
      <c r="V457" s="34"/>
      <c r="W457" s="37"/>
      <c r="X457" s="35"/>
      <c r="Y457" s="37"/>
      <c r="Z457" s="37"/>
      <c r="AA457" s="37"/>
      <c r="AB457" s="37"/>
      <c r="AC457" s="35"/>
      <c r="AD457" s="38"/>
      <c r="AE457" s="38"/>
      <c r="AF457" s="38"/>
      <c r="AG457" s="38"/>
    </row>
    <row r="458" spans="2:33" hidden="1" outlineLevel="2" x14ac:dyDescent="0.15">
      <c r="B458" s="800" t="s">
        <v>521</v>
      </c>
      <c r="C458" s="815">
        <f t="shared" si="4"/>
        <v>180.6</v>
      </c>
      <c r="D458" s="843">
        <v>0.25800000000000001</v>
      </c>
      <c r="E458" s="815">
        <f>D458*'Info utili'!$P$20</f>
        <v>2999.9666666666667</v>
      </c>
      <c r="F458" s="829">
        <v>0.1</v>
      </c>
      <c r="G458" s="878">
        <v>0.3</v>
      </c>
      <c r="M458" s="34"/>
      <c r="N458" s="34"/>
      <c r="O458" s="34"/>
      <c r="P458" s="34"/>
      <c r="Q458" s="34"/>
      <c r="R458" s="36"/>
      <c r="S458" s="21"/>
      <c r="T458" s="34"/>
      <c r="U458" s="34"/>
      <c r="V458" s="34"/>
      <c r="W458" s="37"/>
      <c r="X458" s="35"/>
      <c r="Y458" s="37"/>
      <c r="Z458" s="37"/>
      <c r="AA458" s="37"/>
      <c r="AB458" s="37"/>
      <c r="AC458" s="35"/>
      <c r="AD458" s="38"/>
      <c r="AE458" s="38"/>
      <c r="AF458" s="38"/>
      <c r="AG458" s="38"/>
    </row>
    <row r="459" spans="2:33" hidden="1" outlineLevel="2" x14ac:dyDescent="0.15">
      <c r="B459" s="800" t="s">
        <v>522</v>
      </c>
      <c r="C459" s="815">
        <f t="shared" si="4"/>
        <v>170.1</v>
      </c>
      <c r="D459" s="843">
        <v>0.24299999999999999</v>
      </c>
      <c r="E459" s="815">
        <f>D459*'Info utili'!$P$20</f>
        <v>2825.5499999999997</v>
      </c>
      <c r="F459" s="829">
        <v>0.1</v>
      </c>
      <c r="G459" s="878">
        <v>0.3</v>
      </c>
      <c r="M459" s="34"/>
      <c r="N459" s="34"/>
      <c r="O459" s="34"/>
      <c r="P459" s="34"/>
      <c r="Q459" s="34"/>
      <c r="R459" s="36"/>
      <c r="S459" s="21"/>
      <c r="T459" s="34"/>
      <c r="U459" s="34"/>
      <c r="V459" s="34"/>
      <c r="W459" s="37"/>
      <c r="X459" s="35"/>
      <c r="Y459" s="37"/>
      <c r="Z459" s="37"/>
      <c r="AA459" s="37"/>
      <c r="AB459" s="37"/>
      <c r="AC459" s="35"/>
      <c r="AD459" s="38"/>
      <c r="AE459" s="38"/>
      <c r="AF459" s="38"/>
      <c r="AG459" s="38"/>
    </row>
    <row r="460" spans="2:33" hidden="1" outlineLevel="2" x14ac:dyDescent="0.15">
      <c r="B460" s="800" t="s">
        <v>523</v>
      </c>
      <c r="C460" s="815">
        <f t="shared" si="4"/>
        <v>179.20000000000002</v>
      </c>
      <c r="D460" s="843">
        <v>0.25600000000000001</v>
      </c>
      <c r="E460" s="815">
        <f>D460*'Info utili'!$P$20</f>
        <v>2976.7111111111112</v>
      </c>
      <c r="F460" s="829">
        <v>0.1</v>
      </c>
      <c r="G460" s="878">
        <v>0.3</v>
      </c>
      <c r="M460" s="34"/>
      <c r="N460" s="34"/>
      <c r="O460" s="34"/>
      <c r="P460" s="34"/>
      <c r="Q460" s="34"/>
      <c r="R460" s="36"/>
      <c r="S460" s="21"/>
      <c r="T460" s="34"/>
      <c r="U460" s="34"/>
      <c r="V460" s="34"/>
      <c r="W460" s="37"/>
      <c r="X460" s="35"/>
      <c r="Y460" s="37"/>
      <c r="Z460" s="37"/>
      <c r="AA460" s="37"/>
      <c r="AB460" s="37"/>
      <c r="AC460" s="35"/>
      <c r="AD460" s="38"/>
      <c r="AE460" s="38"/>
      <c r="AF460" s="38"/>
      <c r="AG460" s="38"/>
    </row>
    <row r="461" spans="2:33" hidden="1" outlineLevel="2" x14ac:dyDescent="0.15">
      <c r="B461" s="800" t="s">
        <v>524</v>
      </c>
      <c r="C461" s="815">
        <f t="shared" si="4"/>
        <v>136.5</v>
      </c>
      <c r="D461" s="843">
        <v>0.19500000000000001</v>
      </c>
      <c r="E461" s="815">
        <f>D461*'Info utili'!$P$20</f>
        <v>2267.4166666666665</v>
      </c>
      <c r="F461" s="829">
        <v>0.1</v>
      </c>
      <c r="G461" s="878">
        <v>0.3</v>
      </c>
      <c r="M461" s="34"/>
      <c r="N461" s="34"/>
      <c r="O461" s="34"/>
      <c r="P461" s="34"/>
      <c r="Q461" s="34"/>
      <c r="R461" s="36"/>
      <c r="S461" s="21"/>
      <c r="T461" s="34"/>
      <c r="U461" s="34"/>
      <c r="V461" s="34"/>
      <c r="W461" s="37"/>
      <c r="X461" s="35"/>
      <c r="Y461" s="37"/>
      <c r="Z461" s="37"/>
      <c r="AA461" s="37"/>
      <c r="AB461" s="37"/>
      <c r="AC461" s="35"/>
      <c r="AD461" s="38"/>
      <c r="AE461" s="38"/>
      <c r="AF461" s="38"/>
      <c r="AG461" s="38"/>
    </row>
    <row r="462" spans="2:33" hidden="1" outlineLevel="2" x14ac:dyDescent="0.15">
      <c r="B462" s="800" t="s">
        <v>525</v>
      </c>
      <c r="C462" s="815">
        <f t="shared" si="4"/>
        <v>213.5</v>
      </c>
      <c r="D462" s="843">
        <v>0.30499999999999999</v>
      </c>
      <c r="E462" s="815">
        <f>D462*'Info utili'!$P$20</f>
        <v>3546.4722222222222</v>
      </c>
      <c r="F462" s="829">
        <v>0.1</v>
      </c>
      <c r="G462" s="878">
        <v>0.3</v>
      </c>
      <c r="M462" s="34"/>
      <c r="N462" s="34"/>
      <c r="O462" s="34"/>
      <c r="P462" s="34"/>
      <c r="Q462" s="34"/>
      <c r="R462" s="36"/>
      <c r="S462" s="21"/>
      <c r="T462" s="34"/>
      <c r="U462" s="34"/>
      <c r="V462" s="34"/>
      <c r="W462" s="37"/>
      <c r="X462" s="35"/>
      <c r="Y462" s="37"/>
      <c r="Z462" s="37"/>
      <c r="AA462" s="37"/>
      <c r="AB462" s="37"/>
      <c r="AC462" s="35"/>
      <c r="AD462" s="38"/>
      <c r="AE462" s="38"/>
      <c r="AF462" s="38"/>
      <c r="AG462" s="38"/>
    </row>
    <row r="463" spans="2:33" hidden="1" outlineLevel="2" x14ac:dyDescent="0.15">
      <c r="B463" s="800" t="s">
        <v>526</v>
      </c>
      <c r="C463" s="815">
        <f t="shared" si="4"/>
        <v>18.899999999999999</v>
      </c>
      <c r="D463" s="843">
        <v>2.7E-2</v>
      </c>
      <c r="E463" s="815">
        <f>D463*'Info utili'!$P$20</f>
        <v>313.95</v>
      </c>
      <c r="F463" s="829">
        <v>0.1</v>
      </c>
      <c r="G463" s="878">
        <v>0.3</v>
      </c>
      <c r="M463" s="34"/>
      <c r="N463" s="34"/>
      <c r="O463" s="34"/>
      <c r="P463" s="34"/>
      <c r="Q463" s="34"/>
      <c r="R463" s="36"/>
      <c r="S463" s="21"/>
      <c r="T463" s="34"/>
      <c r="U463" s="34"/>
      <c r="V463" s="34"/>
      <c r="W463" s="37"/>
      <c r="X463" s="35"/>
      <c r="Y463" s="37"/>
      <c r="Z463" s="37"/>
      <c r="AA463" s="37"/>
      <c r="AB463" s="37"/>
      <c r="AC463" s="35"/>
      <c r="AD463" s="38"/>
      <c r="AE463" s="38"/>
      <c r="AF463" s="38"/>
      <c r="AG463" s="38"/>
    </row>
    <row r="464" spans="2:33" hidden="1" outlineLevel="2" x14ac:dyDescent="0.15">
      <c r="B464" s="800" t="s">
        <v>527</v>
      </c>
      <c r="C464" s="815">
        <f t="shared" si="4"/>
        <v>20.3</v>
      </c>
      <c r="D464" s="843">
        <v>2.9000000000000001E-2</v>
      </c>
      <c r="E464" s="815">
        <f>D464*'Info utili'!$P$20</f>
        <v>337.20555555555558</v>
      </c>
      <c r="F464" s="829">
        <v>0.1</v>
      </c>
      <c r="G464" s="878">
        <v>0.3</v>
      </c>
      <c r="M464" s="34"/>
      <c r="N464" s="34"/>
      <c r="O464" s="34"/>
      <c r="P464" s="34"/>
      <c r="Q464" s="34"/>
      <c r="R464" s="36"/>
      <c r="S464" s="21"/>
      <c r="T464" s="34"/>
      <c r="U464" s="34"/>
      <c r="V464" s="34"/>
      <c r="W464" s="37"/>
      <c r="X464" s="35"/>
      <c r="Y464" s="37"/>
      <c r="Z464" s="37"/>
      <c r="AA464" s="37"/>
      <c r="AB464" s="37"/>
      <c r="AC464" s="35"/>
      <c r="AD464" s="38"/>
      <c r="AE464" s="38"/>
      <c r="AF464" s="38"/>
      <c r="AG464" s="38"/>
    </row>
    <row r="465" spans="2:33" hidden="1" outlineLevel="2" x14ac:dyDescent="0.15">
      <c r="B465" s="800" t="s">
        <v>528</v>
      </c>
      <c r="C465" s="815">
        <f t="shared" si="4"/>
        <v>168.7</v>
      </c>
      <c r="D465" s="843">
        <v>0.24099999999999999</v>
      </c>
      <c r="E465" s="815">
        <f>D465*'Info utili'!$P$20</f>
        <v>2802.2944444444443</v>
      </c>
      <c r="F465" s="829">
        <v>0.1</v>
      </c>
      <c r="G465" s="878">
        <v>0.3</v>
      </c>
      <c r="M465" s="34"/>
      <c r="N465" s="34"/>
      <c r="O465" s="34"/>
      <c r="P465" s="34"/>
      <c r="Q465" s="34"/>
      <c r="R465" s="36"/>
      <c r="S465" s="21"/>
      <c r="T465" s="34"/>
      <c r="U465" s="34"/>
      <c r="V465" s="34"/>
      <c r="W465" s="37"/>
      <c r="X465" s="35"/>
      <c r="Y465" s="37"/>
      <c r="Z465" s="37"/>
      <c r="AA465" s="37"/>
      <c r="AB465" s="37"/>
      <c r="AC465" s="35"/>
      <c r="AD465" s="38"/>
      <c r="AE465" s="38"/>
      <c r="AF465" s="38"/>
      <c r="AG465" s="38"/>
    </row>
    <row r="466" spans="2:33" hidden="1" outlineLevel="2" x14ac:dyDescent="0.15">
      <c r="B466" s="800" t="s">
        <v>529</v>
      </c>
      <c r="C466" s="815">
        <f t="shared" si="4"/>
        <v>120.39999999999999</v>
      </c>
      <c r="D466" s="843">
        <v>0.17199999999999999</v>
      </c>
      <c r="E466" s="815">
        <f>D466*'Info utili'!$P$20</f>
        <v>1999.9777777777776</v>
      </c>
      <c r="F466" s="829">
        <v>0.1</v>
      </c>
      <c r="G466" s="878">
        <v>0.3</v>
      </c>
      <c r="M466" s="34"/>
      <c r="N466" s="34"/>
      <c r="O466" s="34"/>
      <c r="P466" s="34"/>
      <c r="Q466" s="34"/>
      <c r="R466" s="36"/>
      <c r="S466" s="21"/>
      <c r="T466" s="34"/>
      <c r="U466" s="34"/>
      <c r="V466" s="34"/>
      <c r="W466" s="37"/>
      <c r="X466" s="35"/>
      <c r="Y466" s="37"/>
      <c r="Z466" s="37"/>
      <c r="AA466" s="37"/>
      <c r="AB466" s="37"/>
      <c r="AC466" s="35"/>
      <c r="AD466" s="38"/>
      <c r="AE466" s="38"/>
      <c r="AF466" s="38"/>
      <c r="AG466" s="38"/>
    </row>
    <row r="467" spans="2:33" hidden="1" outlineLevel="2" x14ac:dyDescent="0.15">
      <c r="B467" s="800" t="s">
        <v>530</v>
      </c>
      <c r="C467" s="815">
        <f t="shared" si="4"/>
        <v>22.400000000000002</v>
      </c>
      <c r="D467" s="843">
        <v>3.2000000000000001E-2</v>
      </c>
      <c r="E467" s="815">
        <f>D467*'Info utili'!$P$20</f>
        <v>372.0888888888889</v>
      </c>
      <c r="F467" s="829">
        <v>0.1</v>
      </c>
      <c r="G467" s="878">
        <v>0.3</v>
      </c>
      <c r="M467" s="34"/>
      <c r="N467" s="34"/>
      <c r="O467" s="34"/>
      <c r="P467" s="34"/>
      <c r="Q467" s="34"/>
      <c r="R467" s="36"/>
      <c r="S467" s="21"/>
      <c r="T467" s="34"/>
      <c r="U467" s="34"/>
      <c r="V467" s="34"/>
      <c r="W467" s="37"/>
      <c r="X467" s="35"/>
      <c r="Y467" s="37"/>
      <c r="Z467" s="37"/>
      <c r="AA467" s="37"/>
      <c r="AB467" s="37"/>
      <c r="AC467" s="35"/>
      <c r="AD467" s="38"/>
      <c r="AE467" s="38"/>
      <c r="AF467" s="38"/>
      <c r="AG467" s="38"/>
    </row>
    <row r="468" spans="2:33" hidden="1" outlineLevel="2" x14ac:dyDescent="0.15">
      <c r="B468" s="800" t="s">
        <v>531</v>
      </c>
      <c r="C468" s="815">
        <f t="shared" si="4"/>
        <v>149.1</v>
      </c>
      <c r="D468" s="843">
        <v>0.21299999999999999</v>
      </c>
      <c r="E468" s="815">
        <f>D468*'Info utili'!$P$20</f>
        <v>2476.7166666666667</v>
      </c>
      <c r="F468" s="829">
        <v>0.1</v>
      </c>
      <c r="G468" s="878">
        <v>0.3</v>
      </c>
      <c r="M468" s="34"/>
      <c r="N468" s="34"/>
      <c r="O468" s="34"/>
      <c r="P468" s="34"/>
      <c r="Q468" s="34"/>
      <c r="R468" s="36"/>
      <c r="S468" s="21"/>
      <c r="T468" s="34"/>
      <c r="U468" s="34"/>
      <c r="V468" s="34"/>
      <c r="W468" s="37"/>
      <c r="X468" s="35"/>
      <c r="Y468" s="37"/>
      <c r="Z468" s="37"/>
      <c r="AA468" s="37"/>
      <c r="AB468" s="37"/>
      <c r="AC468" s="35"/>
      <c r="AD468" s="38"/>
      <c r="AE468" s="38"/>
      <c r="AF468" s="38"/>
      <c r="AG468" s="38"/>
    </row>
    <row r="469" spans="2:33" hidden="1" outlineLevel="2" x14ac:dyDescent="0.15">
      <c r="B469" s="800" t="s">
        <v>532</v>
      </c>
      <c r="C469" s="815">
        <f t="shared" si="4"/>
        <v>135.1</v>
      </c>
      <c r="D469" s="843">
        <v>0.193</v>
      </c>
      <c r="E469" s="815">
        <f>D469*'Info utili'!$P$20</f>
        <v>2244.161111111111</v>
      </c>
      <c r="F469" s="829">
        <v>0.1</v>
      </c>
      <c r="G469" s="878">
        <v>0.3</v>
      </c>
      <c r="M469" s="34"/>
      <c r="N469" s="34"/>
      <c r="O469" s="34"/>
      <c r="P469" s="34"/>
      <c r="Q469" s="34"/>
      <c r="R469" s="36"/>
      <c r="S469" s="21"/>
      <c r="T469" s="34"/>
      <c r="U469" s="34"/>
      <c r="V469" s="34"/>
      <c r="W469" s="37"/>
      <c r="X469" s="35"/>
      <c r="Y469" s="37"/>
      <c r="Z469" s="37"/>
      <c r="AA469" s="37"/>
      <c r="AB469" s="37"/>
      <c r="AC469" s="35"/>
      <c r="AD469" s="38"/>
      <c r="AE469" s="38"/>
      <c r="AF469" s="38"/>
      <c r="AG469" s="38"/>
    </row>
    <row r="470" spans="2:33" hidden="1" outlineLevel="2" x14ac:dyDescent="0.15">
      <c r="B470" s="800" t="s">
        <v>533</v>
      </c>
      <c r="C470" s="815">
        <f t="shared" si="4"/>
        <v>138.6</v>
      </c>
      <c r="D470" s="843">
        <v>0.19800000000000001</v>
      </c>
      <c r="E470" s="815">
        <f>D470*'Info utili'!$P$20</f>
        <v>2302.3000000000002</v>
      </c>
      <c r="F470" s="829">
        <v>0.1</v>
      </c>
      <c r="G470" s="878">
        <v>0.3</v>
      </c>
      <c r="M470" s="34"/>
      <c r="N470" s="34"/>
      <c r="O470" s="34"/>
      <c r="P470" s="34"/>
      <c r="Q470" s="34"/>
      <c r="R470" s="36"/>
      <c r="S470" s="21"/>
      <c r="T470" s="34"/>
      <c r="U470" s="34"/>
      <c r="V470" s="34"/>
      <c r="W470" s="37"/>
      <c r="X470" s="35"/>
      <c r="Y470" s="37"/>
      <c r="Z470" s="37"/>
      <c r="AA470" s="37"/>
      <c r="AB470" s="37"/>
      <c r="AC470" s="35"/>
      <c r="AD470" s="38"/>
      <c r="AE470" s="38"/>
      <c r="AF470" s="38"/>
      <c r="AG470" s="38"/>
    </row>
    <row r="471" spans="2:33" hidden="1" outlineLevel="2" x14ac:dyDescent="0.15">
      <c r="B471" s="800" t="s">
        <v>534</v>
      </c>
      <c r="C471" s="815">
        <f t="shared" si="4"/>
        <v>118.30000000000001</v>
      </c>
      <c r="D471" s="843">
        <v>0.16900000000000001</v>
      </c>
      <c r="E471" s="815">
        <f>D471*'Info utili'!$P$20</f>
        <v>1965.0944444444444</v>
      </c>
      <c r="F471" s="829">
        <v>0.1</v>
      </c>
      <c r="G471" s="878">
        <v>0.3</v>
      </c>
      <c r="M471" s="34"/>
      <c r="N471" s="34"/>
      <c r="O471" s="34"/>
      <c r="P471" s="34"/>
      <c r="Q471" s="34"/>
      <c r="R471" s="36"/>
      <c r="S471" s="21"/>
      <c r="T471" s="34"/>
      <c r="U471" s="34"/>
      <c r="V471" s="34"/>
      <c r="W471" s="37"/>
      <c r="X471" s="35"/>
      <c r="Y471" s="37"/>
      <c r="Z471" s="37"/>
      <c r="AA471" s="37"/>
      <c r="AB471" s="37"/>
      <c r="AC471" s="35"/>
      <c r="AD471" s="38"/>
      <c r="AE471" s="38"/>
      <c r="AF471" s="38"/>
      <c r="AG471" s="38"/>
    </row>
    <row r="472" spans="2:33" hidden="1" outlineLevel="2" x14ac:dyDescent="0.15">
      <c r="B472" s="800" t="s">
        <v>535</v>
      </c>
      <c r="C472" s="815">
        <f t="shared" si="4"/>
        <v>0</v>
      </c>
      <c r="D472" s="843">
        <v>0</v>
      </c>
      <c r="E472" s="815">
        <f>D472*'Info utili'!$P$20</f>
        <v>0</v>
      </c>
      <c r="F472" s="829">
        <v>0.1</v>
      </c>
      <c r="G472" s="878">
        <v>0.3</v>
      </c>
      <c r="M472" s="34"/>
      <c r="N472" s="34"/>
      <c r="O472" s="34"/>
      <c r="P472" s="34"/>
      <c r="Q472" s="34"/>
      <c r="R472" s="36"/>
      <c r="S472" s="21"/>
      <c r="T472" s="34"/>
      <c r="U472" s="34"/>
      <c r="V472" s="34"/>
      <c r="W472" s="37"/>
      <c r="X472" s="35"/>
      <c r="Y472" s="37"/>
      <c r="Z472" s="37"/>
      <c r="AA472" s="37"/>
      <c r="AB472" s="37"/>
      <c r="AC472" s="35"/>
      <c r="AD472" s="38"/>
      <c r="AE472" s="38"/>
      <c r="AF472" s="38"/>
      <c r="AG472" s="38"/>
    </row>
    <row r="473" spans="2:33" hidden="1" outlineLevel="2" x14ac:dyDescent="0.15">
      <c r="B473" s="800" t="s">
        <v>536</v>
      </c>
      <c r="C473" s="815">
        <f t="shared" si="4"/>
        <v>154</v>
      </c>
      <c r="D473" s="843">
        <v>0.22</v>
      </c>
      <c r="E473" s="815">
        <f>D473*'Info utili'!$P$20</f>
        <v>2558.1111111111109</v>
      </c>
      <c r="F473" s="829">
        <v>0.1</v>
      </c>
      <c r="G473" s="878">
        <v>0.3</v>
      </c>
      <c r="M473" s="34"/>
      <c r="N473" s="34"/>
      <c r="O473" s="34"/>
      <c r="P473" s="34"/>
      <c r="Q473" s="34"/>
      <c r="R473" s="36"/>
      <c r="S473" s="21"/>
      <c r="T473" s="34"/>
      <c r="U473" s="34"/>
      <c r="V473" s="34"/>
      <c r="W473" s="37"/>
      <c r="X473" s="35"/>
      <c r="Y473" s="37"/>
      <c r="Z473" s="37"/>
      <c r="AA473" s="37"/>
      <c r="AB473" s="37"/>
      <c r="AC473" s="35"/>
      <c r="AD473" s="38"/>
      <c r="AE473" s="38"/>
      <c r="AF473" s="38"/>
      <c r="AG473" s="38"/>
    </row>
    <row r="474" spans="2:33" hidden="1" outlineLevel="2" x14ac:dyDescent="0.15">
      <c r="B474" s="800" t="s">
        <v>537</v>
      </c>
      <c r="C474" s="815">
        <f t="shared" si="4"/>
        <v>144.9</v>
      </c>
      <c r="D474" s="843">
        <v>0.20699999999999999</v>
      </c>
      <c r="E474" s="815">
        <f>D474*'Info utili'!$P$20</f>
        <v>2406.9499999999998</v>
      </c>
      <c r="F474" s="829">
        <v>0.1</v>
      </c>
      <c r="G474" s="878">
        <v>0.3</v>
      </c>
      <c r="M474" s="34"/>
      <c r="N474" s="34"/>
      <c r="O474" s="34"/>
      <c r="P474" s="34"/>
      <c r="Q474" s="34"/>
      <c r="R474" s="36"/>
      <c r="S474" s="21"/>
      <c r="T474" s="34"/>
      <c r="U474" s="34"/>
      <c r="V474" s="34"/>
      <c r="W474" s="37"/>
      <c r="X474" s="35"/>
      <c r="Y474" s="37"/>
      <c r="Z474" s="37"/>
      <c r="AA474" s="37"/>
      <c r="AB474" s="37"/>
      <c r="AC474" s="35"/>
      <c r="AD474" s="38"/>
      <c r="AE474" s="38"/>
      <c r="AF474" s="38"/>
      <c r="AG474" s="38"/>
    </row>
    <row r="475" spans="2:33" hidden="1" outlineLevel="2" x14ac:dyDescent="0.15">
      <c r="B475" s="800" t="s">
        <v>538</v>
      </c>
      <c r="C475" s="815">
        <f t="shared" si="4"/>
        <v>155.4</v>
      </c>
      <c r="D475" s="843">
        <v>0.222</v>
      </c>
      <c r="E475" s="815">
        <f>D475*'Info utili'!$P$20</f>
        <v>2581.3666666666668</v>
      </c>
      <c r="F475" s="829">
        <v>0.1</v>
      </c>
      <c r="G475" s="878">
        <v>0.3</v>
      </c>
      <c r="M475" s="34"/>
      <c r="N475" s="34"/>
      <c r="O475" s="34"/>
      <c r="P475" s="34"/>
      <c r="Q475" s="34"/>
      <c r="R475" s="36"/>
      <c r="S475" s="21"/>
      <c r="T475" s="34"/>
      <c r="U475" s="34"/>
      <c r="V475" s="34"/>
      <c r="W475" s="37"/>
      <c r="X475" s="35"/>
      <c r="Y475" s="37"/>
      <c r="Z475" s="37"/>
      <c r="AA475" s="37"/>
      <c r="AB475" s="37"/>
      <c r="AC475" s="35"/>
      <c r="AD475" s="38"/>
      <c r="AE475" s="38"/>
      <c r="AF475" s="38"/>
      <c r="AG475" s="38"/>
    </row>
    <row r="476" spans="2:33" hidden="1" outlineLevel="2" x14ac:dyDescent="0.15">
      <c r="B476" s="800" t="s">
        <v>539</v>
      </c>
      <c r="C476" s="815">
        <f t="shared" si="4"/>
        <v>179.9</v>
      </c>
      <c r="D476" s="843">
        <v>0.25700000000000001</v>
      </c>
      <c r="E476" s="815">
        <f>D476*'Info utili'!$P$20</f>
        <v>2988.338888888889</v>
      </c>
      <c r="F476" s="829">
        <v>0.1</v>
      </c>
      <c r="G476" s="878">
        <v>0.3</v>
      </c>
      <c r="M476" s="34"/>
      <c r="N476" s="34"/>
      <c r="O476" s="34"/>
      <c r="P476" s="34"/>
      <c r="Q476" s="34"/>
      <c r="R476" s="36"/>
      <c r="S476" s="21"/>
      <c r="T476" s="34"/>
      <c r="U476" s="34"/>
      <c r="V476" s="34"/>
      <c r="W476" s="37"/>
      <c r="X476" s="35"/>
      <c r="Y476" s="37"/>
      <c r="Z476" s="37"/>
      <c r="AA476" s="37"/>
      <c r="AB476" s="37"/>
      <c r="AC476" s="35"/>
      <c r="AD476" s="38"/>
      <c r="AE476" s="38"/>
      <c r="AF476" s="38"/>
      <c r="AG476" s="38"/>
    </row>
    <row r="477" spans="2:33" hidden="1" outlineLevel="2" x14ac:dyDescent="0.15">
      <c r="B477" s="800" t="s">
        <v>540</v>
      </c>
      <c r="C477" s="815">
        <f t="shared" si="4"/>
        <v>14</v>
      </c>
      <c r="D477" s="843">
        <v>0.02</v>
      </c>
      <c r="E477" s="815">
        <f>D477*'Info utili'!$P$20</f>
        <v>232.55555555555554</v>
      </c>
      <c r="F477" s="829">
        <v>0.1</v>
      </c>
      <c r="G477" s="878">
        <v>0.3</v>
      </c>
      <c r="M477" s="34"/>
      <c r="N477" s="34"/>
      <c r="O477" s="34"/>
      <c r="P477" s="34"/>
      <c r="Q477" s="34"/>
      <c r="R477" s="36"/>
      <c r="S477" s="21"/>
      <c r="T477" s="34"/>
      <c r="U477" s="34"/>
      <c r="V477" s="34"/>
      <c r="W477" s="37"/>
      <c r="X477" s="35"/>
      <c r="Y477" s="37"/>
      <c r="Z477" s="37"/>
      <c r="AA477" s="37"/>
      <c r="AB477" s="37"/>
      <c r="AC477" s="35"/>
      <c r="AD477" s="38"/>
      <c r="AE477" s="38"/>
      <c r="AF477" s="38"/>
      <c r="AG477" s="38"/>
    </row>
    <row r="478" spans="2:33" hidden="1" outlineLevel="2" x14ac:dyDescent="0.15">
      <c r="B478" s="800" t="s">
        <v>541</v>
      </c>
      <c r="C478" s="815">
        <f t="shared" si="4"/>
        <v>110.6</v>
      </c>
      <c r="D478" s="843">
        <v>0.158</v>
      </c>
      <c r="E478" s="815">
        <f>D478*'Info utili'!$P$20</f>
        <v>1837.1888888888889</v>
      </c>
      <c r="F478" s="829">
        <v>0.1</v>
      </c>
      <c r="G478" s="878">
        <v>0.3</v>
      </c>
      <c r="M478" s="34"/>
      <c r="N478" s="34"/>
      <c r="O478" s="34"/>
      <c r="P478" s="34"/>
      <c r="Q478" s="34"/>
      <c r="R478" s="36"/>
      <c r="S478" s="21"/>
      <c r="T478" s="34"/>
      <c r="U478" s="34"/>
      <c r="V478" s="34"/>
      <c r="W478" s="37"/>
      <c r="X478" s="35"/>
      <c r="Y478" s="37"/>
      <c r="Z478" s="37"/>
      <c r="AA478" s="37"/>
      <c r="AB478" s="37"/>
      <c r="AC478" s="35"/>
      <c r="AD478" s="38"/>
      <c r="AE478" s="38"/>
      <c r="AF478" s="38"/>
      <c r="AG478" s="38"/>
    </row>
    <row r="479" spans="2:33" hidden="1" outlineLevel="2" x14ac:dyDescent="0.15">
      <c r="B479" s="800" t="s">
        <v>542</v>
      </c>
      <c r="C479" s="815">
        <f t="shared" si="4"/>
        <v>146.29999999999998</v>
      </c>
      <c r="D479" s="843">
        <v>0.20899999999999999</v>
      </c>
      <c r="E479" s="815">
        <f>D479*'Info utili'!$P$20</f>
        <v>2430.2055555555553</v>
      </c>
      <c r="F479" s="829">
        <v>0.1</v>
      </c>
      <c r="G479" s="878">
        <v>0.3</v>
      </c>
      <c r="M479" s="34"/>
      <c r="N479" s="34"/>
      <c r="O479" s="34"/>
      <c r="P479" s="34"/>
      <c r="Q479" s="34"/>
      <c r="R479" s="36"/>
      <c r="S479" s="21"/>
      <c r="T479" s="34"/>
      <c r="U479" s="34"/>
      <c r="V479" s="34"/>
      <c r="W479" s="37"/>
      <c r="X479" s="35"/>
      <c r="Y479" s="37"/>
      <c r="Z479" s="37"/>
      <c r="AA479" s="37"/>
      <c r="AB479" s="37"/>
      <c r="AC479" s="35"/>
      <c r="AD479" s="38"/>
      <c r="AE479" s="38"/>
      <c r="AF479" s="38"/>
      <c r="AG479" s="38"/>
    </row>
    <row r="480" spans="2:33" hidden="1" outlineLevel="2" x14ac:dyDescent="0.15">
      <c r="B480" s="800" t="s">
        <v>543</v>
      </c>
      <c r="C480" s="815">
        <f t="shared" si="4"/>
        <v>137.20000000000002</v>
      </c>
      <c r="D480" s="843">
        <v>0.19600000000000001</v>
      </c>
      <c r="E480" s="815">
        <f>D480*'Info utili'!$P$20</f>
        <v>2279.0444444444443</v>
      </c>
      <c r="F480" s="829">
        <v>0.1</v>
      </c>
      <c r="G480" s="878">
        <v>0.3</v>
      </c>
      <c r="M480" s="34"/>
      <c r="N480" s="34"/>
      <c r="O480" s="34"/>
      <c r="P480" s="34"/>
      <c r="Q480" s="34"/>
      <c r="R480" s="36"/>
      <c r="S480" s="21"/>
      <c r="T480" s="34"/>
      <c r="U480" s="34"/>
      <c r="V480" s="34"/>
      <c r="W480" s="37"/>
      <c r="X480" s="35"/>
      <c r="Y480" s="37"/>
      <c r="Z480" s="37"/>
      <c r="AA480" s="37"/>
      <c r="AB480" s="37"/>
      <c r="AC480" s="35"/>
      <c r="AD480" s="38"/>
      <c r="AE480" s="38"/>
      <c r="AF480" s="38"/>
      <c r="AG480" s="38"/>
    </row>
    <row r="481" spans="2:33" hidden="1" outlineLevel="2" x14ac:dyDescent="0.15">
      <c r="B481" s="800" t="s">
        <v>544</v>
      </c>
      <c r="C481" s="815">
        <f t="shared" si="4"/>
        <v>150.5</v>
      </c>
      <c r="D481" s="843">
        <v>0.215</v>
      </c>
      <c r="E481" s="815">
        <f>D481*'Info utili'!$P$20</f>
        <v>2499.9722222222222</v>
      </c>
      <c r="F481" s="829">
        <v>0.1</v>
      </c>
      <c r="G481" s="878">
        <v>0.3</v>
      </c>
      <c r="M481" s="34"/>
      <c r="N481" s="34"/>
      <c r="O481" s="34"/>
      <c r="P481" s="34"/>
      <c r="Q481" s="34"/>
      <c r="R481" s="36"/>
      <c r="S481" s="21"/>
      <c r="T481" s="34"/>
      <c r="U481" s="34"/>
      <c r="V481" s="34"/>
      <c r="W481" s="37"/>
      <c r="X481" s="35"/>
      <c r="Y481" s="37"/>
      <c r="Z481" s="37"/>
      <c r="AA481" s="37"/>
      <c r="AB481" s="37"/>
      <c r="AC481" s="35"/>
      <c r="AD481" s="38"/>
      <c r="AE481" s="38"/>
      <c r="AF481" s="38"/>
      <c r="AG481" s="38"/>
    </row>
    <row r="482" spans="2:33" hidden="1" outlineLevel="2" x14ac:dyDescent="0.15">
      <c r="B482" s="800" t="s">
        <v>545</v>
      </c>
      <c r="C482" s="815">
        <f t="shared" si="4"/>
        <v>172.9</v>
      </c>
      <c r="D482" s="843">
        <v>0.247</v>
      </c>
      <c r="E482" s="815">
        <f>D482*'Info utili'!$P$20</f>
        <v>2872.0611111111111</v>
      </c>
      <c r="F482" s="829">
        <v>0.1</v>
      </c>
      <c r="G482" s="878">
        <v>0.3</v>
      </c>
      <c r="M482" s="34"/>
      <c r="N482" s="34"/>
      <c r="O482" s="34"/>
      <c r="P482" s="34"/>
      <c r="Q482" s="34"/>
      <c r="R482" s="36"/>
      <c r="S482" s="21"/>
      <c r="T482" s="34"/>
      <c r="U482" s="34"/>
      <c r="V482" s="34"/>
      <c r="W482" s="37"/>
      <c r="X482" s="35"/>
      <c r="Y482" s="37"/>
      <c r="Z482" s="37"/>
      <c r="AA482" s="37"/>
      <c r="AB482" s="37"/>
      <c r="AC482" s="35"/>
      <c r="AD482" s="38"/>
      <c r="AE482" s="38"/>
      <c r="AF482" s="38"/>
      <c r="AG482" s="38"/>
    </row>
    <row r="483" spans="2:33" hidden="1" outlineLevel="2" x14ac:dyDescent="0.15">
      <c r="B483" s="800" t="s">
        <v>546</v>
      </c>
      <c r="C483" s="815">
        <f t="shared" si="4"/>
        <v>158.20000000000002</v>
      </c>
      <c r="D483" s="843">
        <v>0.22600000000000001</v>
      </c>
      <c r="E483" s="815">
        <f>D483*'Info utili'!$P$20</f>
        <v>2627.8777777777777</v>
      </c>
      <c r="F483" s="829">
        <v>0.1</v>
      </c>
      <c r="G483" s="878">
        <v>0.3</v>
      </c>
      <c r="M483" s="34"/>
      <c r="N483" s="34"/>
      <c r="O483" s="34"/>
      <c r="P483" s="34"/>
      <c r="Q483" s="34"/>
      <c r="R483" s="36"/>
      <c r="S483" s="21"/>
      <c r="T483" s="34"/>
      <c r="U483" s="34"/>
      <c r="V483" s="34"/>
      <c r="W483" s="37"/>
      <c r="X483" s="35"/>
      <c r="Y483" s="37"/>
      <c r="Z483" s="37"/>
      <c r="AA483" s="37"/>
      <c r="AB483" s="37"/>
      <c r="AC483" s="35"/>
      <c r="AD483" s="38"/>
      <c r="AE483" s="38"/>
      <c r="AF483" s="38"/>
      <c r="AG483" s="38"/>
    </row>
    <row r="484" spans="2:33" hidden="1" outlineLevel="2" x14ac:dyDescent="0.15">
      <c r="B484" s="800" t="s">
        <v>547</v>
      </c>
      <c r="C484" s="815">
        <f t="shared" si="4"/>
        <v>6.3</v>
      </c>
      <c r="D484" s="843">
        <v>8.9999999999999993E-3</v>
      </c>
      <c r="E484" s="815">
        <f>D484*'Info utili'!$P$20</f>
        <v>104.64999999999999</v>
      </c>
      <c r="F484" s="829">
        <v>0.1</v>
      </c>
      <c r="G484" s="878">
        <v>0.3</v>
      </c>
      <c r="M484" s="34"/>
      <c r="N484" s="34"/>
      <c r="O484" s="34"/>
      <c r="P484" s="34"/>
      <c r="Q484" s="34"/>
      <c r="R484" s="36"/>
      <c r="S484" s="21"/>
      <c r="T484" s="34"/>
      <c r="U484" s="34"/>
      <c r="V484" s="34"/>
      <c r="W484" s="37"/>
      <c r="X484" s="35"/>
      <c r="Y484" s="37"/>
      <c r="Z484" s="37"/>
      <c r="AA484" s="37"/>
      <c r="AB484" s="37"/>
      <c r="AC484" s="35"/>
      <c r="AD484" s="38"/>
      <c r="AE484" s="38"/>
      <c r="AF484" s="38"/>
      <c r="AG484" s="38"/>
    </row>
    <row r="485" spans="2:33" hidden="1" outlineLevel="2" x14ac:dyDescent="0.15">
      <c r="B485" s="800" t="s">
        <v>548</v>
      </c>
      <c r="C485" s="815">
        <f t="shared" si="4"/>
        <v>142.79999999999998</v>
      </c>
      <c r="D485" s="843">
        <v>0.20399999999999999</v>
      </c>
      <c r="E485" s="815">
        <f>D485*'Info utili'!$P$20</f>
        <v>2372.0666666666666</v>
      </c>
      <c r="F485" s="829">
        <v>0.1</v>
      </c>
      <c r="G485" s="878">
        <v>0.3</v>
      </c>
      <c r="M485" s="34"/>
      <c r="N485" s="34"/>
      <c r="O485" s="34"/>
      <c r="P485" s="34"/>
      <c r="Q485" s="34"/>
      <c r="R485" s="36"/>
      <c r="S485" s="21"/>
      <c r="T485" s="34"/>
      <c r="U485" s="34"/>
      <c r="V485" s="34"/>
      <c r="W485" s="37"/>
      <c r="X485" s="35"/>
      <c r="Y485" s="37"/>
      <c r="Z485" s="37"/>
      <c r="AA485" s="37"/>
      <c r="AB485" s="37"/>
      <c r="AC485" s="35"/>
      <c r="AD485" s="38"/>
      <c r="AE485" s="38"/>
      <c r="AF485" s="38"/>
      <c r="AG485" s="38"/>
    </row>
    <row r="486" spans="2:33" hidden="1" outlineLevel="2" x14ac:dyDescent="0.15">
      <c r="B486" s="800" t="s">
        <v>549</v>
      </c>
      <c r="C486" s="815">
        <f t="shared" si="4"/>
        <v>158.20000000000002</v>
      </c>
      <c r="D486" s="843">
        <v>0.22600000000000001</v>
      </c>
      <c r="E486" s="815">
        <f>D486*'Info utili'!$P$20</f>
        <v>2627.8777777777777</v>
      </c>
      <c r="F486" s="829">
        <v>0.1</v>
      </c>
      <c r="G486" s="878">
        <v>0.3</v>
      </c>
      <c r="M486" s="34"/>
      <c r="N486" s="34"/>
      <c r="O486" s="34"/>
      <c r="P486" s="34"/>
      <c r="Q486" s="34"/>
      <c r="R486" s="36"/>
      <c r="S486" s="21"/>
      <c r="T486" s="34"/>
      <c r="U486" s="34"/>
      <c r="V486" s="34"/>
      <c r="W486" s="37"/>
      <c r="X486" s="35"/>
      <c r="Y486" s="37"/>
      <c r="Z486" s="37"/>
      <c r="AA486" s="37"/>
      <c r="AB486" s="37"/>
      <c r="AC486" s="35"/>
      <c r="AD486" s="38"/>
      <c r="AE486" s="38"/>
      <c r="AF486" s="38"/>
      <c r="AG486" s="38"/>
    </row>
    <row r="487" spans="2:33" hidden="1" outlineLevel="2" x14ac:dyDescent="0.15">
      <c r="B487" s="800" t="s">
        <v>550</v>
      </c>
      <c r="C487" s="815">
        <f t="shared" si="4"/>
        <v>180.6</v>
      </c>
      <c r="D487" s="843">
        <v>0.25800000000000001</v>
      </c>
      <c r="E487" s="815">
        <f>D487*'Info utili'!$P$20</f>
        <v>2999.9666666666667</v>
      </c>
      <c r="F487" s="829">
        <v>0.1</v>
      </c>
      <c r="G487" s="878">
        <v>0.3</v>
      </c>
      <c r="M487" s="34"/>
      <c r="N487" s="34"/>
      <c r="O487" s="34"/>
      <c r="P487" s="34"/>
      <c r="Q487" s="34"/>
      <c r="R487" s="36"/>
      <c r="S487" s="21"/>
      <c r="T487" s="34"/>
      <c r="U487" s="34"/>
      <c r="V487" s="34"/>
      <c r="W487" s="37"/>
      <c r="X487" s="35"/>
      <c r="Y487" s="37"/>
      <c r="Z487" s="37"/>
      <c r="AA487" s="37"/>
      <c r="AB487" s="37"/>
      <c r="AC487" s="35"/>
      <c r="AD487" s="38"/>
      <c r="AE487" s="38"/>
      <c r="AF487" s="38"/>
      <c r="AG487" s="38"/>
    </row>
    <row r="488" spans="2:33" hidden="1" outlineLevel="2" x14ac:dyDescent="0.15">
      <c r="B488" s="800" t="s">
        <v>551</v>
      </c>
      <c r="C488" s="815">
        <f t="shared" si="4"/>
        <v>18.2</v>
      </c>
      <c r="D488" s="843">
        <v>2.5999999999999999E-2</v>
      </c>
      <c r="E488" s="815">
        <f>D488*'Info utili'!$P$20</f>
        <v>302.32222222222219</v>
      </c>
      <c r="F488" s="829">
        <v>0.1</v>
      </c>
      <c r="G488" s="878">
        <v>0.3</v>
      </c>
      <c r="M488" s="34"/>
      <c r="N488" s="34"/>
      <c r="O488" s="34"/>
      <c r="P488" s="34"/>
      <c r="Q488" s="34"/>
      <c r="R488" s="36"/>
      <c r="S488" s="21"/>
      <c r="T488" s="34"/>
      <c r="U488" s="34"/>
      <c r="V488" s="34"/>
      <c r="W488" s="37"/>
      <c r="X488" s="35"/>
      <c r="Y488" s="37"/>
      <c r="Z488" s="37"/>
      <c r="AA488" s="37"/>
      <c r="AB488" s="37"/>
      <c r="AC488" s="35"/>
      <c r="AD488" s="38"/>
      <c r="AE488" s="38"/>
      <c r="AF488" s="38"/>
      <c r="AG488" s="38"/>
    </row>
    <row r="489" spans="2:33" hidden="1" outlineLevel="2" x14ac:dyDescent="0.15">
      <c r="B489" s="800" t="s">
        <v>552</v>
      </c>
      <c r="C489" s="815">
        <f t="shared" si="4"/>
        <v>144.9</v>
      </c>
      <c r="D489" s="843">
        <v>0.20699999999999999</v>
      </c>
      <c r="E489" s="815">
        <f>D489*'Info utili'!$P$20</f>
        <v>2406.9499999999998</v>
      </c>
      <c r="F489" s="829">
        <v>0.1</v>
      </c>
      <c r="G489" s="878">
        <v>0.3</v>
      </c>
      <c r="M489" s="34"/>
      <c r="N489" s="34"/>
      <c r="O489" s="34"/>
      <c r="P489" s="34"/>
      <c r="Q489" s="34"/>
      <c r="R489" s="36"/>
      <c r="S489" s="21"/>
      <c r="T489" s="34"/>
      <c r="U489" s="34"/>
      <c r="V489" s="34"/>
      <c r="W489" s="37"/>
      <c r="X489" s="35"/>
      <c r="Y489" s="37"/>
      <c r="Z489" s="37"/>
      <c r="AA489" s="37"/>
      <c r="AB489" s="37"/>
      <c r="AC489" s="35"/>
      <c r="AD489" s="38"/>
      <c r="AE489" s="38"/>
      <c r="AF489" s="38"/>
      <c r="AG489" s="38"/>
    </row>
    <row r="490" spans="2:33" hidden="1" outlineLevel="2" x14ac:dyDescent="0.15">
      <c r="B490" s="800" t="s">
        <v>553</v>
      </c>
      <c r="C490" s="815">
        <f t="shared" si="4"/>
        <v>193.20000000000002</v>
      </c>
      <c r="D490" s="843">
        <v>0.27600000000000002</v>
      </c>
      <c r="E490" s="815">
        <f>D490*'Info utili'!$P$20</f>
        <v>3209.2666666666669</v>
      </c>
      <c r="F490" s="829">
        <v>0.1</v>
      </c>
      <c r="G490" s="878">
        <v>0.3</v>
      </c>
      <c r="M490" s="34"/>
      <c r="N490" s="34"/>
      <c r="O490" s="34"/>
      <c r="P490" s="34"/>
      <c r="Q490" s="34"/>
      <c r="R490" s="36"/>
      <c r="S490" s="21"/>
      <c r="T490" s="34"/>
      <c r="U490" s="34"/>
      <c r="V490" s="34"/>
      <c r="W490" s="37"/>
      <c r="X490" s="35"/>
      <c r="Y490" s="37"/>
      <c r="Z490" s="37"/>
      <c r="AA490" s="37"/>
      <c r="AB490" s="37"/>
      <c r="AC490" s="35"/>
      <c r="AD490" s="38"/>
      <c r="AE490" s="38"/>
      <c r="AF490" s="38"/>
      <c r="AG490" s="38"/>
    </row>
    <row r="491" spans="2:33" hidden="1" outlineLevel="2" x14ac:dyDescent="0.15">
      <c r="B491" s="800" t="s">
        <v>554</v>
      </c>
      <c r="C491" s="815">
        <f t="shared" si="4"/>
        <v>142.10000000000002</v>
      </c>
      <c r="D491" s="843">
        <v>0.20300000000000001</v>
      </c>
      <c r="E491" s="815">
        <f>D491*'Info utili'!$P$20</f>
        <v>2360.4388888888889</v>
      </c>
      <c r="F491" s="829">
        <v>0.1</v>
      </c>
      <c r="G491" s="878">
        <v>0.3</v>
      </c>
      <c r="M491" s="34"/>
      <c r="N491" s="34"/>
      <c r="O491" s="34"/>
      <c r="P491" s="34"/>
      <c r="Q491" s="34"/>
      <c r="R491" s="36"/>
      <c r="S491" s="21"/>
      <c r="T491" s="34"/>
      <c r="U491" s="34"/>
      <c r="V491" s="34"/>
      <c r="W491" s="37"/>
      <c r="X491" s="35"/>
      <c r="Y491" s="37"/>
      <c r="Z491" s="37"/>
      <c r="AA491" s="37"/>
      <c r="AB491" s="37"/>
      <c r="AC491" s="35"/>
      <c r="AD491" s="38"/>
      <c r="AE491" s="38"/>
      <c r="AF491" s="38"/>
      <c r="AG491" s="38"/>
    </row>
    <row r="492" spans="2:33" hidden="1" outlineLevel="2" x14ac:dyDescent="0.15">
      <c r="B492" s="800" t="s">
        <v>555</v>
      </c>
      <c r="C492" s="815">
        <f t="shared" si="4"/>
        <v>47.6</v>
      </c>
      <c r="D492" s="843">
        <v>6.8000000000000005E-2</v>
      </c>
      <c r="E492" s="815">
        <f>D492*'Info utili'!$P$20</f>
        <v>790.68888888888887</v>
      </c>
      <c r="F492" s="829">
        <v>0.1</v>
      </c>
      <c r="G492" s="878">
        <v>0.3</v>
      </c>
      <c r="M492" s="34"/>
      <c r="N492" s="34"/>
      <c r="O492" s="34"/>
      <c r="P492" s="34"/>
      <c r="Q492" s="34"/>
      <c r="R492" s="36"/>
      <c r="S492" s="21"/>
      <c r="T492" s="34"/>
      <c r="U492" s="34"/>
      <c r="V492" s="34"/>
      <c r="W492" s="37"/>
      <c r="X492" s="35"/>
      <c r="Y492" s="37"/>
      <c r="Z492" s="37"/>
      <c r="AA492" s="37"/>
      <c r="AB492" s="37"/>
      <c r="AC492" s="35"/>
      <c r="AD492" s="38"/>
      <c r="AE492" s="38"/>
      <c r="AF492" s="38"/>
      <c r="AG492" s="38"/>
    </row>
    <row r="493" spans="2:33" hidden="1" outlineLevel="2" x14ac:dyDescent="0.15">
      <c r="B493" s="800" t="s">
        <v>556</v>
      </c>
      <c r="C493" s="815">
        <f t="shared" si="4"/>
        <v>100.8</v>
      </c>
      <c r="D493" s="843">
        <v>0.14399999999999999</v>
      </c>
      <c r="E493" s="815">
        <f>D493*'Info utili'!$P$20</f>
        <v>1674.3999999999999</v>
      </c>
      <c r="F493" s="829">
        <v>0.1</v>
      </c>
      <c r="G493" s="878">
        <v>0.3</v>
      </c>
      <c r="M493" s="34"/>
      <c r="N493" s="34"/>
      <c r="O493" s="34"/>
      <c r="P493" s="34"/>
      <c r="Q493" s="34"/>
      <c r="R493" s="36"/>
      <c r="S493" s="21"/>
      <c r="T493" s="34"/>
      <c r="U493" s="34"/>
      <c r="V493" s="34"/>
      <c r="W493" s="37"/>
      <c r="X493" s="35"/>
      <c r="Y493" s="37"/>
      <c r="Z493" s="37"/>
      <c r="AA493" s="37"/>
      <c r="AB493" s="37"/>
      <c r="AC493" s="35"/>
      <c r="AD493" s="38"/>
      <c r="AE493" s="38"/>
      <c r="AF493" s="38"/>
      <c r="AG493" s="38"/>
    </row>
    <row r="494" spans="2:33" hidden="1" outlineLevel="2" x14ac:dyDescent="0.15">
      <c r="B494" s="800" t="s">
        <v>557</v>
      </c>
      <c r="C494" s="815">
        <f t="shared" si="4"/>
        <v>8.4</v>
      </c>
      <c r="D494" s="843">
        <v>1.2E-2</v>
      </c>
      <c r="E494" s="815">
        <f>D494*'Info utili'!$P$20</f>
        <v>139.53333333333333</v>
      </c>
      <c r="F494" s="829">
        <v>0.1</v>
      </c>
      <c r="G494" s="878">
        <v>0.3</v>
      </c>
      <c r="M494" s="34"/>
      <c r="N494" s="34"/>
      <c r="O494" s="34"/>
      <c r="P494" s="34"/>
      <c r="Q494" s="34"/>
      <c r="R494" s="36"/>
      <c r="S494" s="21"/>
      <c r="T494" s="34"/>
      <c r="U494" s="34"/>
      <c r="V494" s="34"/>
      <c r="W494" s="37"/>
      <c r="X494" s="35"/>
      <c r="Y494" s="37"/>
      <c r="Z494" s="37"/>
      <c r="AA494" s="37"/>
      <c r="AB494" s="37"/>
      <c r="AC494" s="35"/>
      <c r="AD494" s="38"/>
      <c r="AE494" s="38"/>
      <c r="AF494" s="38"/>
      <c r="AG494" s="38"/>
    </row>
    <row r="495" spans="2:33" hidden="1" outlineLevel="2" x14ac:dyDescent="0.15">
      <c r="B495" s="800" t="s">
        <v>558</v>
      </c>
      <c r="C495" s="815">
        <f t="shared" si="4"/>
        <v>43.4</v>
      </c>
      <c r="D495" s="843">
        <v>6.2E-2</v>
      </c>
      <c r="E495" s="815">
        <f>D495*'Info utili'!$P$20</f>
        <v>720.92222222222222</v>
      </c>
      <c r="F495" s="829">
        <v>0.1</v>
      </c>
      <c r="G495" s="878">
        <v>0.3</v>
      </c>
      <c r="M495" s="34"/>
      <c r="N495" s="34"/>
      <c r="O495" s="34"/>
      <c r="P495" s="34"/>
      <c r="Q495" s="34"/>
      <c r="R495" s="36"/>
      <c r="S495" s="21"/>
      <c r="T495" s="34"/>
      <c r="U495" s="34"/>
      <c r="V495" s="34"/>
      <c r="W495" s="37"/>
      <c r="X495" s="35"/>
      <c r="Y495" s="37"/>
      <c r="Z495" s="37"/>
      <c r="AA495" s="37"/>
      <c r="AB495" s="37"/>
      <c r="AC495" s="35"/>
      <c r="AD495" s="38"/>
      <c r="AE495" s="38"/>
      <c r="AF495" s="38"/>
      <c r="AG495" s="38"/>
    </row>
    <row r="496" spans="2:33" hidden="1" outlineLevel="2" x14ac:dyDescent="0.15">
      <c r="B496" s="800" t="s">
        <v>559</v>
      </c>
      <c r="C496" s="815">
        <f t="shared" si="4"/>
        <v>0</v>
      </c>
      <c r="D496" s="843">
        <v>0</v>
      </c>
      <c r="E496" s="815">
        <f>D496*'Info utili'!$P$20</f>
        <v>0</v>
      </c>
      <c r="F496" s="829">
        <v>0.1</v>
      </c>
      <c r="G496" s="878">
        <v>0.3</v>
      </c>
      <c r="M496" s="34"/>
      <c r="N496" s="34"/>
      <c r="O496" s="34"/>
      <c r="P496" s="34"/>
      <c r="Q496" s="34"/>
      <c r="R496" s="36"/>
      <c r="S496" s="21"/>
      <c r="T496" s="34"/>
      <c r="U496" s="34"/>
      <c r="V496" s="34"/>
      <c r="W496" s="37"/>
      <c r="X496" s="35"/>
      <c r="Y496" s="37"/>
      <c r="Z496" s="37"/>
      <c r="AA496" s="37"/>
      <c r="AB496" s="37"/>
      <c r="AC496" s="35"/>
      <c r="AD496" s="38"/>
      <c r="AE496" s="38"/>
      <c r="AF496" s="38"/>
      <c r="AG496" s="38"/>
    </row>
    <row r="497" spans="2:33" hidden="1" outlineLevel="2" x14ac:dyDescent="0.15">
      <c r="B497" s="800" t="s">
        <v>560</v>
      </c>
      <c r="C497" s="815">
        <f t="shared" si="4"/>
        <v>11.9</v>
      </c>
      <c r="D497" s="843">
        <v>1.7000000000000001E-2</v>
      </c>
      <c r="E497" s="815">
        <f>D497*'Info utili'!$P$20</f>
        <v>197.67222222222222</v>
      </c>
      <c r="F497" s="829">
        <v>0.1</v>
      </c>
      <c r="G497" s="878">
        <v>0.3</v>
      </c>
      <c r="M497" s="34"/>
      <c r="N497" s="34"/>
      <c r="O497" s="34"/>
      <c r="P497" s="34"/>
      <c r="Q497" s="34"/>
      <c r="R497" s="36"/>
      <c r="S497" s="21"/>
      <c r="T497" s="34"/>
      <c r="U497" s="34"/>
      <c r="V497" s="34"/>
      <c r="W497" s="37"/>
      <c r="X497" s="35"/>
      <c r="Y497" s="37"/>
      <c r="Z497" s="37"/>
      <c r="AA497" s="37"/>
      <c r="AB497" s="37"/>
      <c r="AC497" s="35"/>
      <c r="AD497" s="38"/>
      <c r="AE497" s="38"/>
      <c r="AF497" s="38"/>
      <c r="AG497" s="38"/>
    </row>
    <row r="498" spans="2:33" hidden="1" outlineLevel="2" x14ac:dyDescent="0.15">
      <c r="B498" s="800" t="s">
        <v>561</v>
      </c>
      <c r="C498" s="815">
        <f t="shared" si="4"/>
        <v>89.600000000000009</v>
      </c>
      <c r="D498" s="843">
        <v>0.128</v>
      </c>
      <c r="E498" s="815">
        <f>D498*'Info utili'!$P$20</f>
        <v>1488.3555555555556</v>
      </c>
      <c r="F498" s="829">
        <v>0.1</v>
      </c>
      <c r="G498" s="878">
        <v>0.3</v>
      </c>
      <c r="M498" s="34"/>
      <c r="N498" s="34"/>
      <c r="O498" s="34"/>
      <c r="P498" s="34"/>
      <c r="Q498" s="34"/>
      <c r="R498" s="36"/>
      <c r="S498" s="21"/>
      <c r="T498" s="34"/>
      <c r="U498" s="34"/>
      <c r="V498" s="34"/>
      <c r="W498" s="37"/>
      <c r="X498" s="35"/>
      <c r="Y498" s="37"/>
      <c r="Z498" s="37"/>
      <c r="AA498" s="37"/>
      <c r="AB498" s="37"/>
      <c r="AC498" s="35"/>
      <c r="AD498" s="38"/>
      <c r="AE498" s="38"/>
      <c r="AF498" s="38"/>
      <c r="AG498" s="38"/>
    </row>
    <row r="499" spans="2:33" hidden="1" outlineLevel="2" x14ac:dyDescent="0.15">
      <c r="B499" s="800" t="s">
        <v>562</v>
      </c>
      <c r="C499" s="815">
        <f t="shared" si="4"/>
        <v>160.30000000000001</v>
      </c>
      <c r="D499" s="843">
        <v>0.22900000000000001</v>
      </c>
      <c r="E499" s="815">
        <f>D499*'Info utili'!$P$20</f>
        <v>2662.7611111111109</v>
      </c>
      <c r="F499" s="829">
        <v>0.1</v>
      </c>
      <c r="G499" s="878">
        <v>0.3</v>
      </c>
      <c r="M499" s="34"/>
      <c r="N499" s="34"/>
      <c r="O499" s="34"/>
      <c r="P499" s="34"/>
      <c r="Q499" s="34"/>
      <c r="R499" s="36"/>
      <c r="S499" s="21"/>
      <c r="T499" s="34"/>
      <c r="U499" s="34"/>
      <c r="V499" s="34"/>
      <c r="W499" s="37"/>
      <c r="X499" s="35"/>
      <c r="Y499" s="37"/>
      <c r="Z499" s="37"/>
      <c r="AA499" s="37"/>
      <c r="AB499" s="37"/>
      <c r="AC499" s="35"/>
      <c r="AD499" s="38"/>
      <c r="AE499" s="38"/>
      <c r="AF499" s="38"/>
      <c r="AG499" s="38"/>
    </row>
    <row r="500" spans="2:33" hidden="1" outlineLevel="2" x14ac:dyDescent="0.15">
      <c r="B500" s="800" t="s">
        <v>563</v>
      </c>
      <c r="C500" s="815">
        <f t="shared" si="4"/>
        <v>244.29999999999998</v>
      </c>
      <c r="D500" s="843">
        <v>0.34899999999999998</v>
      </c>
      <c r="E500" s="815">
        <f>D500*'Info utili'!$P$20</f>
        <v>4058.094444444444</v>
      </c>
      <c r="F500" s="829">
        <v>0.1</v>
      </c>
      <c r="G500" s="878">
        <v>0.3</v>
      </c>
      <c r="M500" s="34"/>
      <c r="N500" s="34"/>
      <c r="O500" s="34"/>
      <c r="P500" s="34"/>
      <c r="Q500" s="34"/>
      <c r="R500" s="36"/>
      <c r="S500" s="21"/>
      <c r="T500" s="34"/>
      <c r="U500" s="34"/>
      <c r="V500" s="34"/>
      <c r="W500" s="37"/>
      <c r="X500" s="35"/>
      <c r="Y500" s="37"/>
      <c r="Z500" s="37"/>
      <c r="AA500" s="37"/>
      <c r="AB500" s="37"/>
      <c r="AC500" s="35"/>
      <c r="AD500" s="38"/>
      <c r="AE500" s="38"/>
      <c r="AF500" s="38"/>
      <c r="AG500" s="38"/>
    </row>
    <row r="501" spans="2:33" hidden="1" outlineLevel="2" x14ac:dyDescent="0.15">
      <c r="B501" s="800" t="s">
        <v>564</v>
      </c>
      <c r="C501" s="815">
        <f t="shared" si="4"/>
        <v>51.099999999999994</v>
      </c>
      <c r="D501" s="843">
        <v>7.2999999999999995E-2</v>
      </c>
      <c r="E501" s="815">
        <f>D501*'Info utili'!$P$20</f>
        <v>848.82777777777767</v>
      </c>
      <c r="F501" s="829">
        <v>0.1</v>
      </c>
      <c r="G501" s="878">
        <v>0.3</v>
      </c>
      <c r="M501" s="34"/>
      <c r="N501" s="34"/>
      <c r="O501" s="34"/>
      <c r="P501" s="34"/>
      <c r="Q501" s="34"/>
      <c r="R501" s="36"/>
      <c r="S501" s="21"/>
      <c r="T501" s="34"/>
      <c r="U501" s="34"/>
      <c r="V501" s="34"/>
      <c r="W501" s="37"/>
      <c r="X501" s="35"/>
      <c r="Y501" s="37"/>
      <c r="Z501" s="37"/>
      <c r="AA501" s="37"/>
      <c r="AB501" s="37"/>
      <c r="AC501" s="35"/>
      <c r="AD501" s="38"/>
      <c r="AE501" s="38"/>
      <c r="AF501" s="38"/>
      <c r="AG501" s="38"/>
    </row>
    <row r="502" spans="2:33" hidden="1" outlineLevel="2" x14ac:dyDescent="0.15">
      <c r="B502" s="800" t="s">
        <v>565</v>
      </c>
      <c r="C502" s="815">
        <f t="shared" si="4"/>
        <v>65.8</v>
      </c>
      <c r="D502" s="843">
        <v>9.4E-2</v>
      </c>
      <c r="E502" s="815">
        <f>D502*'Info utili'!$P$20</f>
        <v>1093.0111111111112</v>
      </c>
      <c r="F502" s="829">
        <v>0.1</v>
      </c>
      <c r="G502" s="878">
        <v>0.3</v>
      </c>
      <c r="M502" s="34"/>
      <c r="N502" s="34"/>
      <c r="O502" s="34"/>
      <c r="P502" s="34"/>
      <c r="Q502" s="34"/>
      <c r="R502" s="36"/>
      <c r="S502" s="21"/>
      <c r="T502" s="34"/>
      <c r="U502" s="34"/>
      <c r="V502" s="34"/>
      <c r="W502" s="37"/>
      <c r="X502" s="35"/>
      <c r="Y502" s="37"/>
      <c r="Z502" s="37"/>
      <c r="AA502" s="37"/>
      <c r="AB502" s="37"/>
      <c r="AC502" s="35"/>
      <c r="AD502" s="38"/>
      <c r="AE502" s="38"/>
      <c r="AF502" s="38"/>
      <c r="AG502" s="38"/>
    </row>
    <row r="503" spans="2:33" hidden="1" outlineLevel="2" x14ac:dyDescent="0.15">
      <c r="B503" s="800" t="s">
        <v>566</v>
      </c>
      <c r="C503" s="815">
        <f t="shared" ref="C503:C566" si="5">D503*700</f>
        <v>160.30000000000001</v>
      </c>
      <c r="D503" s="843">
        <v>0.22900000000000001</v>
      </c>
      <c r="E503" s="815">
        <f>D503*'Info utili'!$P$20</f>
        <v>2662.7611111111109</v>
      </c>
      <c r="F503" s="829">
        <v>0.1</v>
      </c>
      <c r="G503" s="878">
        <v>0.3</v>
      </c>
      <c r="M503" s="34"/>
      <c r="N503" s="34"/>
      <c r="O503" s="34"/>
      <c r="P503" s="34"/>
      <c r="Q503" s="34"/>
      <c r="R503" s="36"/>
      <c r="S503" s="21"/>
      <c r="T503" s="34"/>
      <c r="U503" s="34"/>
      <c r="V503" s="34"/>
      <c r="W503" s="37"/>
      <c r="X503" s="35"/>
      <c r="Y503" s="37"/>
      <c r="Z503" s="37"/>
      <c r="AA503" s="37"/>
      <c r="AB503" s="37"/>
      <c r="AC503" s="35"/>
      <c r="AD503" s="38"/>
      <c r="AE503" s="38"/>
      <c r="AF503" s="38"/>
      <c r="AG503" s="38"/>
    </row>
    <row r="504" spans="2:33" hidden="1" outlineLevel="2" x14ac:dyDescent="0.15">
      <c r="B504" s="800" t="s">
        <v>567</v>
      </c>
      <c r="C504" s="815">
        <f t="shared" si="5"/>
        <v>3.5</v>
      </c>
      <c r="D504" s="843">
        <v>5.0000000000000001E-3</v>
      </c>
      <c r="E504" s="815">
        <f>D504*'Info utili'!$P$20</f>
        <v>58.138888888888886</v>
      </c>
      <c r="F504" s="829">
        <v>0.1</v>
      </c>
      <c r="G504" s="878">
        <v>0.3</v>
      </c>
      <c r="M504" s="34"/>
      <c r="N504" s="34"/>
      <c r="O504" s="34"/>
      <c r="P504" s="34"/>
      <c r="Q504" s="34"/>
      <c r="R504" s="36"/>
      <c r="S504" s="21"/>
      <c r="T504" s="34"/>
      <c r="U504" s="34"/>
      <c r="V504" s="34"/>
      <c r="W504" s="37"/>
      <c r="X504" s="35"/>
      <c r="Y504" s="37"/>
      <c r="Z504" s="37"/>
      <c r="AA504" s="37"/>
      <c r="AB504" s="37"/>
      <c r="AC504" s="35"/>
      <c r="AD504" s="38"/>
      <c r="AE504" s="38"/>
      <c r="AF504" s="38"/>
      <c r="AG504" s="38"/>
    </row>
    <row r="505" spans="2:33" hidden="1" outlineLevel="2" x14ac:dyDescent="0.15">
      <c r="B505" s="800" t="s">
        <v>568</v>
      </c>
      <c r="C505" s="815">
        <f t="shared" si="5"/>
        <v>152.6</v>
      </c>
      <c r="D505" s="843">
        <v>0.218</v>
      </c>
      <c r="E505" s="815">
        <f>D505*'Info utili'!$P$20</f>
        <v>2534.8555555555554</v>
      </c>
      <c r="F505" s="829">
        <v>0.1</v>
      </c>
      <c r="G505" s="878">
        <v>0.3</v>
      </c>
      <c r="M505" s="34"/>
      <c r="N505" s="34"/>
      <c r="O505" s="34"/>
      <c r="P505" s="34"/>
      <c r="Q505" s="34"/>
      <c r="R505" s="36"/>
      <c r="S505" s="21"/>
      <c r="T505" s="34"/>
      <c r="U505" s="34"/>
      <c r="V505" s="34"/>
      <c r="W505" s="37"/>
      <c r="X505" s="35"/>
      <c r="Y505" s="37"/>
      <c r="Z505" s="37"/>
      <c r="AA505" s="37"/>
      <c r="AB505" s="37"/>
      <c r="AC505" s="35"/>
      <c r="AD505" s="38"/>
      <c r="AE505" s="38"/>
      <c r="AF505" s="38"/>
      <c r="AG505" s="38"/>
    </row>
    <row r="506" spans="2:33" hidden="1" outlineLevel="2" x14ac:dyDescent="0.15">
      <c r="B506" s="800" t="s">
        <v>569</v>
      </c>
      <c r="C506" s="815">
        <f t="shared" si="5"/>
        <v>92.4</v>
      </c>
      <c r="D506" s="843">
        <v>0.13200000000000001</v>
      </c>
      <c r="E506" s="815">
        <f>D506*'Info utili'!$P$20</f>
        <v>1534.8666666666668</v>
      </c>
      <c r="F506" s="829">
        <v>0.1</v>
      </c>
      <c r="G506" s="878">
        <v>0.3</v>
      </c>
      <c r="M506" s="34"/>
      <c r="N506" s="34"/>
      <c r="O506" s="34"/>
      <c r="P506" s="34"/>
      <c r="Q506" s="34"/>
      <c r="R506" s="36"/>
      <c r="S506" s="21"/>
      <c r="T506" s="34"/>
      <c r="U506" s="34"/>
      <c r="V506" s="34"/>
      <c r="W506" s="37"/>
      <c r="X506" s="35"/>
      <c r="Y506" s="37"/>
      <c r="Z506" s="37"/>
      <c r="AA506" s="37"/>
      <c r="AB506" s="37"/>
      <c r="AC506" s="35"/>
      <c r="AD506" s="38"/>
      <c r="AE506" s="38"/>
      <c r="AF506" s="38"/>
      <c r="AG506" s="38"/>
    </row>
    <row r="507" spans="2:33" hidden="1" outlineLevel="2" x14ac:dyDescent="0.15">
      <c r="B507" s="800" t="s">
        <v>570</v>
      </c>
      <c r="C507" s="815">
        <f t="shared" si="5"/>
        <v>4.9000000000000004</v>
      </c>
      <c r="D507" s="843">
        <v>7.0000000000000001E-3</v>
      </c>
      <c r="E507" s="815">
        <f>D507*'Info utili'!$P$20</f>
        <v>81.394444444444446</v>
      </c>
      <c r="F507" s="829">
        <v>0.1</v>
      </c>
      <c r="G507" s="878">
        <v>0.3</v>
      </c>
      <c r="M507" s="34"/>
      <c r="N507" s="34"/>
      <c r="O507" s="34"/>
      <c r="P507" s="34"/>
      <c r="Q507" s="34"/>
      <c r="R507" s="36"/>
      <c r="S507" s="21"/>
      <c r="T507" s="34"/>
      <c r="U507" s="34"/>
      <c r="V507" s="34"/>
      <c r="W507" s="37"/>
      <c r="X507" s="35"/>
      <c r="Y507" s="37"/>
      <c r="Z507" s="37"/>
      <c r="AA507" s="37"/>
      <c r="AB507" s="37"/>
      <c r="AC507" s="35"/>
      <c r="AD507" s="38"/>
      <c r="AE507" s="38"/>
      <c r="AF507" s="38"/>
      <c r="AG507" s="38"/>
    </row>
    <row r="508" spans="2:33" hidden="1" outlineLevel="2" x14ac:dyDescent="0.15">
      <c r="B508" s="800" t="s">
        <v>571</v>
      </c>
      <c r="C508" s="815">
        <f t="shared" si="5"/>
        <v>44.800000000000004</v>
      </c>
      <c r="D508" s="843">
        <v>6.4000000000000001E-2</v>
      </c>
      <c r="E508" s="815">
        <f>D508*'Info utili'!$P$20</f>
        <v>744.17777777777781</v>
      </c>
      <c r="F508" s="829">
        <v>0.1</v>
      </c>
      <c r="G508" s="878">
        <v>0.3</v>
      </c>
      <c r="M508" s="34"/>
      <c r="N508" s="34"/>
      <c r="O508" s="34"/>
      <c r="P508" s="34"/>
      <c r="Q508" s="34"/>
      <c r="R508" s="36"/>
      <c r="S508" s="21"/>
      <c r="T508" s="34"/>
      <c r="U508" s="34"/>
      <c r="V508" s="34"/>
      <c r="W508" s="37"/>
      <c r="X508" s="35"/>
      <c r="Y508" s="37"/>
      <c r="Z508" s="37"/>
      <c r="AA508" s="37"/>
      <c r="AB508" s="37"/>
      <c r="AC508" s="35"/>
      <c r="AD508" s="38"/>
      <c r="AE508" s="38"/>
      <c r="AF508" s="38"/>
      <c r="AG508" s="38"/>
    </row>
    <row r="509" spans="2:33" hidden="1" outlineLevel="2" x14ac:dyDescent="0.15">
      <c r="B509" s="800" t="s">
        <v>572</v>
      </c>
      <c r="C509" s="815">
        <f t="shared" si="5"/>
        <v>168</v>
      </c>
      <c r="D509" s="843">
        <v>0.24</v>
      </c>
      <c r="E509" s="815">
        <f>D509*'Info utili'!$P$20</f>
        <v>2790.6666666666665</v>
      </c>
      <c r="F509" s="829">
        <v>0.1</v>
      </c>
      <c r="G509" s="878">
        <v>0.3</v>
      </c>
      <c r="M509" s="34"/>
      <c r="N509" s="34"/>
      <c r="O509" s="34"/>
      <c r="P509" s="34"/>
      <c r="Q509" s="34"/>
      <c r="R509" s="36"/>
      <c r="S509" s="21"/>
      <c r="T509" s="34"/>
      <c r="U509" s="34"/>
      <c r="V509" s="34"/>
      <c r="W509" s="37"/>
      <c r="X509" s="35"/>
      <c r="Y509" s="37"/>
      <c r="Z509" s="37"/>
      <c r="AA509" s="37"/>
      <c r="AB509" s="37"/>
      <c r="AC509" s="35"/>
      <c r="AD509" s="38"/>
      <c r="AE509" s="38"/>
      <c r="AF509" s="38"/>
      <c r="AG509" s="38"/>
    </row>
    <row r="510" spans="2:33" hidden="1" outlineLevel="2" x14ac:dyDescent="0.15">
      <c r="B510" s="800" t="s">
        <v>573</v>
      </c>
      <c r="C510" s="815">
        <f t="shared" si="5"/>
        <v>179.9</v>
      </c>
      <c r="D510" s="843">
        <v>0.25700000000000001</v>
      </c>
      <c r="E510" s="815">
        <f>D510*'Info utili'!$P$20</f>
        <v>2988.338888888889</v>
      </c>
      <c r="F510" s="829">
        <v>0.1</v>
      </c>
      <c r="G510" s="878">
        <v>0.3</v>
      </c>
      <c r="M510" s="34"/>
      <c r="N510" s="34"/>
      <c r="O510" s="34"/>
      <c r="P510" s="34"/>
      <c r="Q510" s="34"/>
      <c r="R510" s="36"/>
      <c r="S510" s="21"/>
      <c r="T510" s="34"/>
      <c r="U510" s="34"/>
      <c r="V510" s="34"/>
      <c r="W510" s="37"/>
      <c r="X510" s="35"/>
      <c r="Y510" s="37"/>
      <c r="Z510" s="37"/>
      <c r="AA510" s="37"/>
      <c r="AB510" s="37"/>
      <c r="AC510" s="35"/>
      <c r="AD510" s="38"/>
      <c r="AE510" s="38"/>
      <c r="AF510" s="38"/>
      <c r="AG510" s="38"/>
    </row>
    <row r="511" spans="2:33" hidden="1" outlineLevel="2" x14ac:dyDescent="0.15">
      <c r="B511" s="800" t="s">
        <v>574</v>
      </c>
      <c r="C511" s="815">
        <f t="shared" si="5"/>
        <v>162.4</v>
      </c>
      <c r="D511" s="843">
        <v>0.23200000000000001</v>
      </c>
      <c r="E511" s="815">
        <f>D511*'Info utili'!$P$20</f>
        <v>2697.6444444444446</v>
      </c>
      <c r="F511" s="829">
        <v>0.1</v>
      </c>
      <c r="G511" s="878">
        <v>0.3</v>
      </c>
      <c r="M511" s="34"/>
      <c r="N511" s="34"/>
      <c r="O511" s="34"/>
      <c r="P511" s="34"/>
      <c r="Q511" s="34"/>
      <c r="R511" s="36"/>
      <c r="S511" s="21"/>
      <c r="T511" s="34"/>
      <c r="U511" s="34"/>
      <c r="V511" s="34"/>
      <c r="W511" s="37"/>
      <c r="X511" s="35"/>
      <c r="Y511" s="37"/>
      <c r="Z511" s="37"/>
      <c r="AA511" s="37"/>
      <c r="AB511" s="37"/>
      <c r="AC511" s="35"/>
      <c r="AD511" s="38"/>
      <c r="AE511" s="38"/>
      <c r="AF511" s="38"/>
      <c r="AG511" s="38"/>
    </row>
    <row r="512" spans="2:33" hidden="1" outlineLevel="2" x14ac:dyDescent="0.15">
      <c r="B512" s="800" t="s">
        <v>575</v>
      </c>
      <c r="C512" s="815">
        <f t="shared" si="5"/>
        <v>88.2</v>
      </c>
      <c r="D512" s="843">
        <v>0.126</v>
      </c>
      <c r="E512" s="815">
        <f>D512*'Info utili'!$P$20</f>
        <v>1465.1</v>
      </c>
      <c r="F512" s="829">
        <v>0.1</v>
      </c>
      <c r="G512" s="878">
        <v>0.3</v>
      </c>
      <c r="M512" s="34"/>
      <c r="N512" s="34"/>
      <c r="O512" s="34"/>
      <c r="P512" s="34"/>
      <c r="Q512" s="34"/>
      <c r="R512" s="36"/>
      <c r="S512" s="21"/>
      <c r="T512" s="34"/>
      <c r="U512" s="34"/>
      <c r="V512" s="34"/>
      <c r="W512" s="37"/>
      <c r="X512" s="35"/>
      <c r="Y512" s="37"/>
      <c r="Z512" s="37"/>
      <c r="AA512" s="37"/>
      <c r="AB512" s="37"/>
      <c r="AC512" s="35"/>
      <c r="AD512" s="38"/>
      <c r="AE512" s="38"/>
      <c r="AF512" s="38"/>
      <c r="AG512" s="38"/>
    </row>
    <row r="513" spans="2:33" hidden="1" outlineLevel="2" x14ac:dyDescent="0.15">
      <c r="B513" s="800" t="s">
        <v>576</v>
      </c>
      <c r="C513" s="815">
        <f t="shared" si="5"/>
        <v>163.10000000000002</v>
      </c>
      <c r="D513" s="843">
        <v>0.23300000000000001</v>
      </c>
      <c r="E513" s="815">
        <f>D513*'Info utili'!$P$20</f>
        <v>2709.2722222222224</v>
      </c>
      <c r="F513" s="829">
        <v>0.1</v>
      </c>
      <c r="G513" s="878">
        <v>0.3</v>
      </c>
      <c r="M513" s="34"/>
      <c r="N513" s="34"/>
      <c r="O513" s="34"/>
      <c r="P513" s="34"/>
      <c r="Q513" s="34"/>
      <c r="R513" s="36"/>
      <c r="S513" s="21"/>
      <c r="T513" s="34"/>
      <c r="U513" s="34"/>
      <c r="V513" s="34"/>
      <c r="W513" s="37"/>
      <c r="X513" s="35"/>
      <c r="Y513" s="37"/>
      <c r="Z513" s="37"/>
      <c r="AA513" s="37"/>
      <c r="AB513" s="37"/>
      <c r="AC513" s="35"/>
      <c r="AD513" s="38"/>
      <c r="AE513" s="38"/>
      <c r="AF513" s="38"/>
      <c r="AG513" s="38"/>
    </row>
    <row r="514" spans="2:33" hidden="1" outlineLevel="2" x14ac:dyDescent="0.15">
      <c r="B514" s="800" t="s">
        <v>577</v>
      </c>
      <c r="C514" s="815">
        <f t="shared" si="5"/>
        <v>177.1</v>
      </c>
      <c r="D514" s="843">
        <v>0.253</v>
      </c>
      <c r="E514" s="815">
        <f>D514*'Info utili'!$P$20</f>
        <v>2941.8277777777776</v>
      </c>
      <c r="F514" s="829">
        <v>0.1</v>
      </c>
      <c r="G514" s="878">
        <v>0.3</v>
      </c>
      <c r="M514" s="34"/>
      <c r="N514" s="34"/>
      <c r="O514" s="34"/>
      <c r="P514" s="34"/>
      <c r="Q514" s="34"/>
      <c r="R514" s="36"/>
      <c r="S514" s="21"/>
      <c r="T514" s="34"/>
      <c r="U514" s="34"/>
      <c r="V514" s="34"/>
      <c r="W514" s="37"/>
      <c r="X514" s="35"/>
      <c r="Y514" s="37"/>
      <c r="Z514" s="37"/>
      <c r="AA514" s="37"/>
      <c r="AB514" s="37"/>
      <c r="AC514" s="35"/>
      <c r="AD514" s="38"/>
      <c r="AE514" s="38"/>
      <c r="AF514" s="38"/>
      <c r="AG514" s="38"/>
    </row>
    <row r="515" spans="2:33" hidden="1" outlineLevel="2" x14ac:dyDescent="0.15">
      <c r="B515" s="800" t="s">
        <v>578</v>
      </c>
      <c r="C515" s="815">
        <f t="shared" si="5"/>
        <v>154</v>
      </c>
      <c r="D515" s="843">
        <v>0.22</v>
      </c>
      <c r="E515" s="815">
        <f>D515*'Info utili'!$P$20</f>
        <v>2558.1111111111109</v>
      </c>
      <c r="F515" s="829">
        <v>0.1</v>
      </c>
      <c r="G515" s="878">
        <v>0.3</v>
      </c>
      <c r="M515" s="34"/>
      <c r="N515" s="34"/>
      <c r="O515" s="34"/>
      <c r="P515" s="34"/>
      <c r="Q515" s="34"/>
      <c r="R515" s="36"/>
      <c r="S515" s="21"/>
      <c r="T515" s="34"/>
      <c r="U515" s="34"/>
      <c r="V515" s="34"/>
      <c r="W515" s="37"/>
      <c r="X515" s="35"/>
      <c r="Y515" s="37"/>
      <c r="Z515" s="37"/>
      <c r="AA515" s="37"/>
      <c r="AB515" s="37"/>
      <c r="AC515" s="35"/>
      <c r="AD515" s="38"/>
      <c r="AE515" s="38"/>
      <c r="AF515" s="38"/>
      <c r="AG515" s="38"/>
    </row>
    <row r="516" spans="2:33" hidden="1" outlineLevel="2" x14ac:dyDescent="0.15">
      <c r="B516" s="800" t="s">
        <v>579</v>
      </c>
      <c r="C516" s="815">
        <f t="shared" si="5"/>
        <v>141.4</v>
      </c>
      <c r="D516" s="843">
        <v>0.20200000000000001</v>
      </c>
      <c r="E516" s="815">
        <f>D516*'Info utili'!$P$20</f>
        <v>2348.8111111111111</v>
      </c>
      <c r="F516" s="829">
        <v>0.1</v>
      </c>
      <c r="G516" s="878">
        <v>0.3</v>
      </c>
      <c r="M516" s="34"/>
      <c r="N516" s="34"/>
      <c r="O516" s="34"/>
      <c r="P516" s="34"/>
      <c r="Q516" s="34"/>
      <c r="R516" s="36"/>
      <c r="S516" s="21"/>
      <c r="T516" s="34"/>
      <c r="U516" s="34"/>
      <c r="V516" s="34"/>
      <c r="W516" s="37"/>
      <c r="X516" s="35"/>
      <c r="Y516" s="37"/>
      <c r="Z516" s="37"/>
      <c r="AA516" s="37"/>
      <c r="AB516" s="37"/>
      <c r="AC516" s="35"/>
      <c r="AD516" s="38"/>
      <c r="AE516" s="38"/>
      <c r="AF516" s="38"/>
      <c r="AG516" s="38"/>
    </row>
    <row r="517" spans="2:33" hidden="1" outlineLevel="2" x14ac:dyDescent="0.15">
      <c r="B517" s="800" t="s">
        <v>580</v>
      </c>
      <c r="C517" s="815">
        <f t="shared" si="5"/>
        <v>127.39999999999999</v>
      </c>
      <c r="D517" s="843">
        <v>0.182</v>
      </c>
      <c r="E517" s="815">
        <f>D517*'Info utili'!$P$20</f>
        <v>2116.2555555555555</v>
      </c>
      <c r="F517" s="829">
        <v>0.1</v>
      </c>
      <c r="G517" s="878">
        <v>0.3</v>
      </c>
      <c r="M517" s="34"/>
      <c r="N517" s="34"/>
      <c r="O517" s="34"/>
      <c r="P517" s="34"/>
      <c r="Q517" s="34"/>
      <c r="R517" s="36"/>
      <c r="S517" s="21"/>
      <c r="T517" s="34"/>
      <c r="U517" s="34"/>
      <c r="V517" s="34"/>
      <c r="W517" s="37"/>
      <c r="X517" s="35"/>
      <c r="Y517" s="37"/>
      <c r="Z517" s="37"/>
      <c r="AA517" s="37"/>
      <c r="AB517" s="37"/>
      <c r="AC517" s="35"/>
      <c r="AD517" s="38"/>
      <c r="AE517" s="38"/>
      <c r="AF517" s="38"/>
      <c r="AG517" s="38"/>
    </row>
    <row r="518" spans="2:33" hidden="1" outlineLevel="2" x14ac:dyDescent="0.15">
      <c r="B518" s="800" t="s">
        <v>581</v>
      </c>
      <c r="C518" s="815">
        <f t="shared" si="5"/>
        <v>144.9</v>
      </c>
      <c r="D518" s="843">
        <v>0.20699999999999999</v>
      </c>
      <c r="E518" s="815">
        <f>D518*'Info utili'!$P$20</f>
        <v>2406.9499999999998</v>
      </c>
      <c r="F518" s="829">
        <v>0.1</v>
      </c>
      <c r="G518" s="878">
        <v>0.3</v>
      </c>
      <c r="M518" s="34"/>
      <c r="N518" s="34"/>
      <c r="O518" s="34"/>
      <c r="P518" s="34"/>
      <c r="Q518" s="34"/>
      <c r="R518" s="36"/>
      <c r="S518" s="21"/>
      <c r="T518" s="34"/>
      <c r="U518" s="34"/>
      <c r="V518" s="34"/>
      <c r="W518" s="37"/>
      <c r="X518" s="35"/>
      <c r="Y518" s="37"/>
      <c r="Z518" s="37"/>
      <c r="AA518" s="37"/>
      <c r="AB518" s="37"/>
      <c r="AC518" s="35"/>
      <c r="AD518" s="38"/>
      <c r="AE518" s="38"/>
      <c r="AF518" s="38"/>
      <c r="AG518" s="38"/>
    </row>
    <row r="519" spans="2:33" hidden="1" outlineLevel="2" x14ac:dyDescent="0.15">
      <c r="B519" s="800" t="s">
        <v>582</v>
      </c>
      <c r="C519" s="815">
        <f t="shared" si="5"/>
        <v>168</v>
      </c>
      <c r="D519" s="843">
        <v>0.24</v>
      </c>
      <c r="E519" s="815">
        <f>D519*'Info utili'!$P$20</f>
        <v>2790.6666666666665</v>
      </c>
      <c r="F519" s="829">
        <v>0.1</v>
      </c>
      <c r="G519" s="878">
        <v>0.3</v>
      </c>
      <c r="M519" s="34"/>
      <c r="N519" s="34"/>
      <c r="O519" s="34"/>
      <c r="P519" s="34"/>
      <c r="Q519" s="34"/>
      <c r="R519" s="36"/>
      <c r="S519" s="21"/>
      <c r="T519" s="34"/>
      <c r="U519" s="34"/>
      <c r="V519" s="34"/>
      <c r="W519" s="37"/>
      <c r="X519" s="35"/>
      <c r="Y519" s="37"/>
      <c r="Z519" s="37"/>
      <c r="AA519" s="37"/>
      <c r="AB519" s="37"/>
      <c r="AC519" s="35"/>
      <c r="AD519" s="38"/>
      <c r="AE519" s="38"/>
      <c r="AF519" s="38"/>
      <c r="AG519" s="38"/>
    </row>
    <row r="520" spans="2:33" hidden="1" outlineLevel="2" x14ac:dyDescent="0.15">
      <c r="B520" s="800" t="s">
        <v>583</v>
      </c>
      <c r="C520" s="815">
        <f t="shared" si="5"/>
        <v>143.5</v>
      </c>
      <c r="D520" s="843">
        <v>0.20499999999999999</v>
      </c>
      <c r="E520" s="815">
        <f>D520*'Info utili'!$P$20</f>
        <v>2383.6944444444443</v>
      </c>
      <c r="F520" s="829">
        <v>0.1</v>
      </c>
      <c r="G520" s="878">
        <v>0.3</v>
      </c>
      <c r="M520" s="34"/>
      <c r="N520" s="34"/>
      <c r="O520" s="34"/>
      <c r="P520" s="34"/>
      <c r="Q520" s="34"/>
      <c r="R520" s="36"/>
      <c r="S520" s="21"/>
      <c r="T520" s="34"/>
      <c r="U520" s="34"/>
      <c r="V520" s="34"/>
      <c r="W520" s="37"/>
      <c r="X520" s="35"/>
      <c r="Y520" s="37"/>
      <c r="Z520" s="37"/>
      <c r="AA520" s="37"/>
      <c r="AB520" s="37"/>
      <c r="AC520" s="35"/>
      <c r="AD520" s="38"/>
      <c r="AE520" s="38"/>
      <c r="AF520" s="38"/>
      <c r="AG520" s="38"/>
    </row>
    <row r="521" spans="2:33" hidden="1" outlineLevel="2" x14ac:dyDescent="0.15">
      <c r="B521" s="800" t="s">
        <v>584</v>
      </c>
      <c r="C521" s="815">
        <f t="shared" si="5"/>
        <v>72.099999999999994</v>
      </c>
      <c r="D521" s="843">
        <v>0.10299999999999999</v>
      </c>
      <c r="E521" s="815">
        <f>D521*'Info utili'!$P$20</f>
        <v>1197.661111111111</v>
      </c>
      <c r="F521" s="829">
        <v>0.1</v>
      </c>
      <c r="G521" s="878">
        <v>0.3</v>
      </c>
      <c r="M521" s="34"/>
      <c r="N521" s="34"/>
      <c r="O521" s="34"/>
      <c r="P521" s="34"/>
      <c r="Q521" s="34"/>
      <c r="R521" s="36"/>
      <c r="S521" s="21"/>
      <c r="T521" s="34"/>
      <c r="U521" s="34"/>
      <c r="V521" s="34"/>
      <c r="W521" s="37"/>
      <c r="X521" s="35"/>
      <c r="Y521" s="37"/>
      <c r="Z521" s="37"/>
      <c r="AA521" s="37"/>
      <c r="AB521" s="37"/>
      <c r="AC521" s="35"/>
      <c r="AD521" s="38"/>
      <c r="AE521" s="38"/>
      <c r="AF521" s="38"/>
      <c r="AG521" s="38"/>
    </row>
    <row r="522" spans="2:33" hidden="1" outlineLevel="2" x14ac:dyDescent="0.15">
      <c r="B522" s="800" t="s">
        <v>585</v>
      </c>
      <c r="C522" s="815">
        <f t="shared" si="5"/>
        <v>107.1</v>
      </c>
      <c r="D522" s="843">
        <v>0.153</v>
      </c>
      <c r="E522" s="815">
        <f>D522*'Info utili'!$P$20</f>
        <v>1779.05</v>
      </c>
      <c r="F522" s="829">
        <v>0.1</v>
      </c>
      <c r="G522" s="878">
        <v>0.3</v>
      </c>
      <c r="M522" s="34"/>
      <c r="N522" s="34"/>
      <c r="O522" s="34"/>
      <c r="P522" s="34"/>
      <c r="Q522" s="34"/>
      <c r="R522" s="36"/>
      <c r="S522" s="21"/>
      <c r="T522" s="34"/>
      <c r="U522" s="34"/>
      <c r="V522" s="34"/>
      <c r="W522" s="37"/>
      <c r="X522" s="35"/>
      <c r="Y522" s="37"/>
      <c r="Z522" s="37"/>
      <c r="AA522" s="37"/>
      <c r="AB522" s="37"/>
      <c r="AC522" s="35"/>
      <c r="AD522" s="38"/>
      <c r="AE522" s="38"/>
      <c r="AF522" s="38"/>
      <c r="AG522" s="38"/>
    </row>
    <row r="523" spans="2:33" hidden="1" outlineLevel="2" x14ac:dyDescent="0.15">
      <c r="B523" s="800" t="s">
        <v>586</v>
      </c>
      <c r="C523" s="815">
        <f t="shared" si="5"/>
        <v>107.1</v>
      </c>
      <c r="D523" s="843">
        <v>0.153</v>
      </c>
      <c r="E523" s="815">
        <f>D523*'Info utili'!$P$20</f>
        <v>1779.05</v>
      </c>
      <c r="F523" s="829">
        <v>0.1</v>
      </c>
      <c r="G523" s="878">
        <v>0.3</v>
      </c>
      <c r="M523" s="34"/>
      <c r="N523" s="34"/>
      <c r="O523" s="34"/>
      <c r="P523" s="34"/>
      <c r="Q523" s="34"/>
      <c r="R523" s="36"/>
      <c r="S523" s="21"/>
      <c r="T523" s="34"/>
      <c r="U523" s="34"/>
      <c r="V523" s="34"/>
      <c r="W523" s="37"/>
      <c r="X523" s="35"/>
      <c r="Y523" s="37"/>
      <c r="Z523" s="37"/>
      <c r="AA523" s="37"/>
      <c r="AB523" s="37"/>
      <c r="AC523" s="35"/>
      <c r="AD523" s="38"/>
      <c r="AE523" s="38"/>
      <c r="AF523" s="38"/>
      <c r="AG523" s="38"/>
    </row>
    <row r="524" spans="2:33" hidden="1" outlineLevel="2" x14ac:dyDescent="0.15">
      <c r="B524" s="800" t="s">
        <v>587</v>
      </c>
      <c r="C524" s="815">
        <f t="shared" si="5"/>
        <v>147</v>
      </c>
      <c r="D524" s="843">
        <v>0.21</v>
      </c>
      <c r="E524" s="815">
        <f>D524*'Info utili'!$P$20</f>
        <v>2441.833333333333</v>
      </c>
      <c r="F524" s="829">
        <v>0.1</v>
      </c>
      <c r="G524" s="878">
        <v>0.3</v>
      </c>
      <c r="M524" s="34"/>
      <c r="N524" s="34"/>
      <c r="O524" s="34"/>
      <c r="P524" s="34"/>
      <c r="Q524" s="34"/>
      <c r="R524" s="36"/>
      <c r="S524" s="21"/>
      <c r="T524" s="34"/>
      <c r="U524" s="34"/>
      <c r="V524" s="34"/>
      <c r="W524" s="37"/>
      <c r="X524" s="35"/>
      <c r="Y524" s="37"/>
      <c r="Z524" s="37"/>
      <c r="AA524" s="37"/>
      <c r="AB524" s="37"/>
      <c r="AC524" s="35"/>
      <c r="AD524" s="38"/>
      <c r="AE524" s="38"/>
      <c r="AF524" s="38"/>
      <c r="AG524" s="38"/>
    </row>
    <row r="525" spans="2:33" hidden="1" outlineLevel="2" x14ac:dyDescent="0.15">
      <c r="B525" s="800" t="s">
        <v>588</v>
      </c>
      <c r="C525" s="815">
        <f t="shared" si="5"/>
        <v>192.50000000000003</v>
      </c>
      <c r="D525" s="843">
        <v>0.27500000000000002</v>
      </c>
      <c r="E525" s="815">
        <f>D525*'Info utili'!$P$20</f>
        <v>3197.6388888888891</v>
      </c>
      <c r="F525" s="829">
        <v>0.1</v>
      </c>
      <c r="G525" s="878">
        <v>0.3</v>
      </c>
      <c r="M525" s="34"/>
      <c r="N525" s="34"/>
      <c r="O525" s="34"/>
      <c r="P525" s="34"/>
      <c r="Q525" s="34"/>
      <c r="R525" s="36"/>
      <c r="S525" s="21"/>
      <c r="T525" s="34"/>
      <c r="U525" s="34"/>
      <c r="V525" s="34"/>
      <c r="W525" s="37"/>
      <c r="X525" s="35"/>
      <c r="Y525" s="37"/>
      <c r="Z525" s="37"/>
      <c r="AA525" s="37"/>
      <c r="AB525" s="37"/>
      <c r="AC525" s="35"/>
      <c r="AD525" s="38"/>
      <c r="AE525" s="38"/>
      <c r="AF525" s="38"/>
      <c r="AG525" s="38"/>
    </row>
    <row r="526" spans="2:33" hidden="1" outlineLevel="2" x14ac:dyDescent="0.15">
      <c r="B526" s="800" t="s">
        <v>589</v>
      </c>
      <c r="C526" s="815">
        <f t="shared" si="5"/>
        <v>79.100000000000009</v>
      </c>
      <c r="D526" s="843">
        <v>0.113</v>
      </c>
      <c r="E526" s="815">
        <f>D526*'Info utili'!$P$20</f>
        <v>1313.9388888888889</v>
      </c>
      <c r="F526" s="829">
        <v>0.1</v>
      </c>
      <c r="G526" s="878">
        <v>0.3</v>
      </c>
      <c r="M526" s="34"/>
      <c r="N526" s="34"/>
      <c r="O526" s="34"/>
      <c r="P526" s="34"/>
      <c r="Q526" s="34"/>
      <c r="R526" s="36"/>
      <c r="S526" s="21"/>
      <c r="T526" s="34"/>
      <c r="U526" s="34"/>
      <c r="V526" s="34"/>
      <c r="W526" s="37"/>
      <c r="X526" s="35"/>
      <c r="Y526" s="37"/>
      <c r="Z526" s="37"/>
      <c r="AA526" s="37"/>
      <c r="AB526" s="37"/>
      <c r="AC526" s="35"/>
      <c r="AD526" s="38"/>
      <c r="AE526" s="38"/>
      <c r="AF526" s="38"/>
      <c r="AG526" s="38"/>
    </row>
    <row r="527" spans="2:33" hidden="1" outlineLevel="2" x14ac:dyDescent="0.15">
      <c r="B527" s="800" t="s">
        <v>590</v>
      </c>
      <c r="C527" s="815">
        <f t="shared" si="5"/>
        <v>144.19999999999999</v>
      </c>
      <c r="D527" s="843">
        <v>0.20599999999999999</v>
      </c>
      <c r="E527" s="815">
        <f>D527*'Info utili'!$P$20</f>
        <v>2395.3222222222221</v>
      </c>
      <c r="F527" s="829">
        <v>0.1</v>
      </c>
      <c r="G527" s="878">
        <v>0.3</v>
      </c>
      <c r="M527" s="34"/>
      <c r="N527" s="34"/>
      <c r="O527" s="34"/>
      <c r="P527" s="34"/>
      <c r="Q527" s="34"/>
      <c r="R527" s="36"/>
      <c r="S527" s="21"/>
      <c r="T527" s="34"/>
      <c r="U527" s="34"/>
      <c r="V527" s="34"/>
      <c r="W527" s="37"/>
      <c r="X527" s="35"/>
      <c r="Y527" s="37"/>
      <c r="Z527" s="37"/>
      <c r="AA527" s="37"/>
      <c r="AB527" s="37"/>
      <c r="AC527" s="35"/>
      <c r="AD527" s="38"/>
      <c r="AE527" s="38"/>
      <c r="AF527" s="38"/>
      <c r="AG527" s="38"/>
    </row>
    <row r="528" spans="2:33" hidden="1" outlineLevel="2" x14ac:dyDescent="0.15">
      <c r="B528" s="800" t="s">
        <v>591</v>
      </c>
      <c r="C528" s="815">
        <f t="shared" si="5"/>
        <v>132.30000000000001</v>
      </c>
      <c r="D528" s="843">
        <v>0.189</v>
      </c>
      <c r="E528" s="815">
        <f>D528*'Info utili'!$P$20</f>
        <v>2197.65</v>
      </c>
      <c r="F528" s="829">
        <v>0.1</v>
      </c>
      <c r="G528" s="878">
        <v>0.3</v>
      </c>
      <c r="M528" s="34"/>
      <c r="N528" s="34"/>
      <c r="O528" s="34"/>
      <c r="P528" s="34"/>
      <c r="Q528" s="34"/>
      <c r="R528" s="36"/>
      <c r="S528" s="21"/>
      <c r="T528" s="34"/>
      <c r="U528" s="34"/>
      <c r="V528" s="34"/>
      <c r="W528" s="37"/>
      <c r="X528" s="35"/>
      <c r="Y528" s="37"/>
      <c r="Z528" s="37"/>
      <c r="AA528" s="37"/>
      <c r="AB528" s="37"/>
      <c r="AC528" s="35"/>
      <c r="AD528" s="38"/>
      <c r="AE528" s="38"/>
      <c r="AF528" s="38"/>
      <c r="AG528" s="38"/>
    </row>
    <row r="529" spans="2:33" hidden="1" outlineLevel="2" x14ac:dyDescent="0.15">
      <c r="B529" s="800" t="s">
        <v>592</v>
      </c>
      <c r="C529" s="815">
        <f t="shared" si="5"/>
        <v>175</v>
      </c>
      <c r="D529" s="843">
        <v>0.25</v>
      </c>
      <c r="E529" s="815">
        <f>D529*'Info utili'!$P$20</f>
        <v>2906.9444444444443</v>
      </c>
      <c r="F529" s="829">
        <v>0.1</v>
      </c>
      <c r="G529" s="878">
        <v>0.3</v>
      </c>
      <c r="M529" s="34"/>
      <c r="N529" s="34"/>
      <c r="O529" s="34"/>
      <c r="P529" s="34"/>
      <c r="Q529" s="34"/>
      <c r="R529" s="36"/>
      <c r="S529" s="21"/>
      <c r="T529" s="34"/>
      <c r="U529" s="34"/>
      <c r="V529" s="34"/>
      <c r="W529" s="37"/>
      <c r="X529" s="35"/>
      <c r="Y529" s="37"/>
      <c r="Z529" s="37"/>
      <c r="AA529" s="37"/>
      <c r="AB529" s="37"/>
      <c r="AC529" s="35"/>
      <c r="AD529" s="38"/>
      <c r="AE529" s="38"/>
      <c r="AF529" s="38"/>
      <c r="AG529" s="38"/>
    </row>
    <row r="530" spans="2:33" hidden="1" outlineLevel="2" x14ac:dyDescent="0.15">
      <c r="B530" s="800" t="s">
        <v>593</v>
      </c>
      <c r="C530" s="815">
        <f t="shared" si="5"/>
        <v>151.9</v>
      </c>
      <c r="D530" s="843">
        <v>0.217</v>
      </c>
      <c r="E530" s="815">
        <f>D530*'Info utili'!$P$20</f>
        <v>2523.2277777777776</v>
      </c>
      <c r="F530" s="829">
        <v>0.1</v>
      </c>
      <c r="G530" s="878">
        <v>0.3</v>
      </c>
      <c r="M530" s="34"/>
      <c r="N530" s="34"/>
      <c r="O530" s="34"/>
      <c r="P530" s="34"/>
      <c r="Q530" s="34"/>
      <c r="R530" s="36"/>
      <c r="S530" s="21"/>
      <c r="T530" s="34"/>
      <c r="U530" s="34"/>
      <c r="V530" s="34"/>
      <c r="W530" s="37"/>
      <c r="X530" s="35"/>
      <c r="Y530" s="37"/>
      <c r="Z530" s="37"/>
      <c r="AA530" s="37"/>
      <c r="AB530" s="37"/>
      <c r="AC530" s="35"/>
      <c r="AD530" s="38"/>
      <c r="AE530" s="38"/>
      <c r="AF530" s="38"/>
      <c r="AG530" s="38"/>
    </row>
    <row r="531" spans="2:33" hidden="1" outlineLevel="2" x14ac:dyDescent="0.15">
      <c r="B531" s="800" t="s">
        <v>594</v>
      </c>
      <c r="C531" s="815">
        <f t="shared" si="5"/>
        <v>168.7</v>
      </c>
      <c r="D531" s="843">
        <v>0.24099999999999999</v>
      </c>
      <c r="E531" s="815">
        <f>D531*'Info utili'!$P$20</f>
        <v>2802.2944444444443</v>
      </c>
      <c r="F531" s="829">
        <v>0.1</v>
      </c>
      <c r="G531" s="878">
        <v>0.3</v>
      </c>
      <c r="M531" s="34"/>
      <c r="N531" s="34"/>
      <c r="O531" s="34"/>
      <c r="P531" s="34"/>
      <c r="Q531" s="34"/>
      <c r="R531" s="36"/>
      <c r="S531" s="21"/>
      <c r="T531" s="34"/>
      <c r="U531" s="34"/>
      <c r="V531" s="34"/>
      <c r="W531" s="37"/>
      <c r="X531" s="35"/>
      <c r="Y531" s="37"/>
      <c r="Z531" s="37"/>
      <c r="AA531" s="37"/>
      <c r="AB531" s="37"/>
      <c r="AC531" s="35"/>
      <c r="AD531" s="38"/>
      <c r="AE531" s="38"/>
      <c r="AF531" s="38"/>
      <c r="AG531" s="38"/>
    </row>
    <row r="532" spans="2:33" hidden="1" outlineLevel="2" x14ac:dyDescent="0.15">
      <c r="B532" s="800" t="s">
        <v>595</v>
      </c>
      <c r="C532" s="815">
        <f t="shared" si="5"/>
        <v>226.1</v>
      </c>
      <c r="D532" s="843">
        <v>0.32300000000000001</v>
      </c>
      <c r="E532" s="815">
        <f>D532*'Info utili'!$P$20</f>
        <v>3755.7722222222224</v>
      </c>
      <c r="F532" s="829">
        <v>0.1</v>
      </c>
      <c r="G532" s="878">
        <v>0.3</v>
      </c>
      <c r="M532" s="34"/>
      <c r="N532" s="34"/>
      <c r="O532" s="34"/>
      <c r="P532" s="34"/>
      <c r="Q532" s="34"/>
      <c r="R532" s="36"/>
      <c r="S532" s="21"/>
      <c r="T532" s="34"/>
      <c r="U532" s="34"/>
      <c r="V532" s="34"/>
      <c r="W532" s="37"/>
      <c r="X532" s="35"/>
      <c r="Y532" s="37"/>
      <c r="Z532" s="37"/>
      <c r="AA532" s="37"/>
      <c r="AB532" s="37"/>
      <c r="AC532" s="35"/>
      <c r="AD532" s="38"/>
      <c r="AE532" s="38"/>
      <c r="AF532" s="38"/>
      <c r="AG532" s="38"/>
    </row>
    <row r="533" spans="2:33" hidden="1" outlineLevel="2" x14ac:dyDescent="0.15">
      <c r="B533" s="800" t="s">
        <v>596</v>
      </c>
      <c r="C533" s="815">
        <f t="shared" si="5"/>
        <v>186.20000000000002</v>
      </c>
      <c r="D533" s="843">
        <v>0.26600000000000001</v>
      </c>
      <c r="E533" s="815">
        <f>D533*'Info utili'!$P$20</f>
        <v>3092.9888888888891</v>
      </c>
      <c r="F533" s="829">
        <v>0.1</v>
      </c>
      <c r="G533" s="878">
        <v>0.3</v>
      </c>
      <c r="M533" s="34"/>
      <c r="N533" s="34"/>
      <c r="O533" s="34"/>
      <c r="P533" s="34"/>
      <c r="Q533" s="34"/>
      <c r="R533" s="36"/>
      <c r="S533" s="21"/>
      <c r="T533" s="34"/>
      <c r="U533" s="34"/>
      <c r="V533" s="34"/>
      <c r="W533" s="37"/>
      <c r="X533" s="35"/>
      <c r="Y533" s="37"/>
      <c r="Z533" s="37"/>
      <c r="AA533" s="37"/>
      <c r="AB533" s="37"/>
      <c r="AC533" s="35"/>
      <c r="AD533" s="38"/>
      <c r="AE533" s="38"/>
      <c r="AF533" s="38"/>
      <c r="AG533" s="38"/>
    </row>
    <row r="534" spans="2:33" hidden="1" outlineLevel="2" x14ac:dyDescent="0.15">
      <c r="B534" s="800" t="s">
        <v>597</v>
      </c>
      <c r="C534" s="815">
        <f t="shared" si="5"/>
        <v>170.1</v>
      </c>
      <c r="D534" s="843">
        <v>0.24299999999999999</v>
      </c>
      <c r="E534" s="815">
        <f>D534*'Info utili'!$P$20</f>
        <v>2825.5499999999997</v>
      </c>
      <c r="F534" s="829">
        <v>0.1</v>
      </c>
      <c r="G534" s="878">
        <v>0.3</v>
      </c>
      <c r="M534" s="34"/>
      <c r="N534" s="34"/>
      <c r="O534" s="34"/>
      <c r="P534" s="34"/>
      <c r="Q534" s="34"/>
      <c r="R534" s="36"/>
      <c r="S534" s="21"/>
      <c r="T534" s="34"/>
      <c r="U534" s="34"/>
      <c r="V534" s="34"/>
      <c r="W534" s="37"/>
      <c r="X534" s="35"/>
      <c r="Y534" s="37"/>
      <c r="Z534" s="37"/>
      <c r="AA534" s="37"/>
      <c r="AB534" s="37"/>
      <c r="AC534" s="35"/>
      <c r="AD534" s="38"/>
      <c r="AE534" s="38"/>
      <c r="AF534" s="38"/>
      <c r="AG534" s="38"/>
    </row>
    <row r="535" spans="2:33" hidden="1" outlineLevel="2" x14ac:dyDescent="0.15">
      <c r="B535" s="800" t="s">
        <v>598</v>
      </c>
      <c r="C535" s="815">
        <f t="shared" si="5"/>
        <v>165.2</v>
      </c>
      <c r="D535" s="843">
        <v>0.23599999999999999</v>
      </c>
      <c r="E535" s="815">
        <f>D535*'Info utili'!$P$20</f>
        <v>2744.1555555555551</v>
      </c>
      <c r="F535" s="829">
        <v>0.1</v>
      </c>
      <c r="G535" s="878">
        <v>0.3</v>
      </c>
      <c r="M535" s="34"/>
      <c r="N535" s="34"/>
      <c r="O535" s="34"/>
      <c r="P535" s="34"/>
      <c r="Q535" s="34"/>
      <c r="R535" s="36"/>
      <c r="S535" s="21"/>
      <c r="T535" s="34"/>
      <c r="U535" s="34"/>
      <c r="V535" s="34"/>
      <c r="W535" s="37"/>
      <c r="X535" s="35"/>
      <c r="Y535" s="37"/>
      <c r="Z535" s="37"/>
      <c r="AA535" s="37"/>
      <c r="AB535" s="37"/>
      <c r="AC535" s="35"/>
      <c r="AD535" s="38"/>
      <c r="AE535" s="38"/>
      <c r="AF535" s="38"/>
      <c r="AG535" s="38"/>
    </row>
    <row r="536" spans="2:33" hidden="1" outlineLevel="2" x14ac:dyDescent="0.15">
      <c r="B536" s="800" t="s">
        <v>599</v>
      </c>
      <c r="C536" s="815">
        <f t="shared" si="5"/>
        <v>156.1</v>
      </c>
      <c r="D536" s="843">
        <v>0.223</v>
      </c>
      <c r="E536" s="815">
        <f>D536*'Info utili'!$P$20</f>
        <v>2592.9944444444445</v>
      </c>
      <c r="F536" s="829">
        <v>0.1</v>
      </c>
      <c r="G536" s="878">
        <v>0.3</v>
      </c>
      <c r="M536" s="34"/>
      <c r="N536" s="34"/>
      <c r="O536" s="34"/>
      <c r="P536" s="34"/>
      <c r="Q536" s="34"/>
      <c r="R536" s="36"/>
      <c r="S536" s="21"/>
      <c r="T536" s="34"/>
      <c r="U536" s="34"/>
      <c r="V536" s="34"/>
      <c r="W536" s="37"/>
      <c r="X536" s="35"/>
      <c r="Y536" s="37"/>
      <c r="Z536" s="37"/>
      <c r="AA536" s="37"/>
      <c r="AB536" s="37"/>
      <c r="AC536" s="35"/>
      <c r="AD536" s="38"/>
      <c r="AE536" s="38"/>
      <c r="AF536" s="38"/>
      <c r="AG536" s="38"/>
    </row>
    <row r="537" spans="2:33" hidden="1" outlineLevel="2" x14ac:dyDescent="0.15">
      <c r="B537" s="800" t="s">
        <v>600</v>
      </c>
      <c r="C537" s="815">
        <f t="shared" si="5"/>
        <v>194.60000000000002</v>
      </c>
      <c r="D537" s="843">
        <v>0.27800000000000002</v>
      </c>
      <c r="E537" s="815">
        <f>D537*'Info utili'!$P$20</f>
        <v>3232.5222222222224</v>
      </c>
      <c r="F537" s="829">
        <v>0.1</v>
      </c>
      <c r="G537" s="878">
        <v>0.3</v>
      </c>
      <c r="M537" s="34"/>
      <c r="N537" s="34"/>
      <c r="O537" s="34"/>
      <c r="P537" s="34"/>
      <c r="Q537" s="34"/>
      <c r="R537" s="36"/>
      <c r="S537" s="21"/>
      <c r="T537" s="34"/>
      <c r="U537" s="34"/>
      <c r="V537" s="34"/>
      <c r="W537" s="37"/>
      <c r="X537" s="35"/>
      <c r="Y537" s="37"/>
      <c r="Z537" s="37"/>
      <c r="AA537" s="37"/>
      <c r="AB537" s="37"/>
      <c r="AC537" s="35"/>
      <c r="AD537" s="38"/>
      <c r="AE537" s="38"/>
      <c r="AF537" s="38"/>
      <c r="AG537" s="38"/>
    </row>
    <row r="538" spans="2:33" hidden="1" outlineLevel="2" x14ac:dyDescent="0.15">
      <c r="B538" s="800" t="s">
        <v>601</v>
      </c>
      <c r="C538" s="815">
        <f t="shared" si="5"/>
        <v>174.3</v>
      </c>
      <c r="D538" s="843">
        <v>0.249</v>
      </c>
      <c r="E538" s="815">
        <f>D538*'Info utili'!$P$20</f>
        <v>2895.3166666666666</v>
      </c>
      <c r="F538" s="829">
        <v>0.1</v>
      </c>
      <c r="G538" s="878">
        <v>0.3</v>
      </c>
      <c r="M538" s="34"/>
      <c r="N538" s="34"/>
      <c r="O538" s="34"/>
      <c r="P538" s="34"/>
      <c r="Q538" s="34"/>
      <c r="R538" s="36"/>
      <c r="S538" s="21"/>
      <c r="T538" s="34"/>
      <c r="U538" s="34"/>
      <c r="V538" s="34"/>
      <c r="W538" s="37"/>
      <c r="X538" s="35"/>
      <c r="Y538" s="37"/>
      <c r="Z538" s="37"/>
      <c r="AA538" s="37"/>
      <c r="AB538" s="37"/>
      <c r="AC538" s="35"/>
      <c r="AD538" s="38"/>
      <c r="AE538" s="38"/>
      <c r="AF538" s="38"/>
      <c r="AG538" s="38"/>
    </row>
    <row r="539" spans="2:33" hidden="1" outlineLevel="2" x14ac:dyDescent="0.15">
      <c r="B539" s="800" t="s">
        <v>602</v>
      </c>
      <c r="C539" s="815">
        <f t="shared" si="5"/>
        <v>193.20000000000002</v>
      </c>
      <c r="D539" s="843">
        <v>0.27600000000000002</v>
      </c>
      <c r="E539" s="815">
        <f>D539*'Info utili'!$P$20</f>
        <v>3209.2666666666669</v>
      </c>
      <c r="F539" s="829">
        <v>0.1</v>
      </c>
      <c r="G539" s="878">
        <v>0.3</v>
      </c>
      <c r="M539" s="34"/>
      <c r="N539" s="34"/>
      <c r="O539" s="34"/>
      <c r="P539" s="34"/>
      <c r="Q539" s="34"/>
      <c r="R539" s="36"/>
      <c r="S539" s="21"/>
      <c r="T539" s="34"/>
      <c r="U539" s="34"/>
      <c r="V539" s="34"/>
      <c r="W539" s="37"/>
      <c r="X539" s="35"/>
      <c r="Y539" s="37"/>
      <c r="Z539" s="37"/>
      <c r="AA539" s="37"/>
      <c r="AB539" s="37"/>
      <c r="AC539" s="35"/>
      <c r="AD539" s="38"/>
      <c r="AE539" s="38"/>
      <c r="AF539" s="38"/>
      <c r="AG539" s="38"/>
    </row>
    <row r="540" spans="2:33" hidden="1" outlineLevel="2" x14ac:dyDescent="0.15">
      <c r="B540" s="800" t="s">
        <v>603</v>
      </c>
      <c r="C540" s="815">
        <f t="shared" si="5"/>
        <v>160.30000000000001</v>
      </c>
      <c r="D540" s="843">
        <v>0.22900000000000001</v>
      </c>
      <c r="E540" s="815">
        <f>D540*'Info utili'!$P$20</f>
        <v>2662.7611111111109</v>
      </c>
      <c r="F540" s="829">
        <v>0.1</v>
      </c>
      <c r="G540" s="878">
        <v>0.3</v>
      </c>
      <c r="M540" s="34"/>
      <c r="N540" s="34"/>
      <c r="O540" s="34"/>
      <c r="P540" s="34"/>
      <c r="Q540" s="34"/>
      <c r="R540" s="36"/>
      <c r="S540" s="21"/>
      <c r="T540" s="34"/>
      <c r="U540" s="34"/>
      <c r="V540" s="34"/>
      <c r="W540" s="37"/>
      <c r="X540" s="35"/>
      <c r="Y540" s="37"/>
      <c r="Z540" s="37"/>
      <c r="AA540" s="37"/>
      <c r="AB540" s="37"/>
      <c r="AC540" s="35"/>
      <c r="AD540" s="38"/>
      <c r="AE540" s="38"/>
      <c r="AF540" s="38"/>
      <c r="AG540" s="38"/>
    </row>
    <row r="541" spans="2:33" hidden="1" outlineLevel="2" x14ac:dyDescent="0.15">
      <c r="B541" s="800" t="s">
        <v>604</v>
      </c>
      <c r="C541" s="815">
        <f t="shared" si="5"/>
        <v>151.19999999999999</v>
      </c>
      <c r="D541" s="843">
        <v>0.216</v>
      </c>
      <c r="E541" s="815">
        <f>D541*'Info utili'!$P$20</f>
        <v>2511.6</v>
      </c>
      <c r="F541" s="829">
        <v>0.1</v>
      </c>
      <c r="G541" s="878">
        <v>0.3</v>
      </c>
      <c r="M541" s="34"/>
      <c r="N541" s="34"/>
      <c r="O541" s="34"/>
      <c r="P541" s="34"/>
      <c r="Q541" s="34"/>
      <c r="R541" s="36"/>
      <c r="S541" s="21"/>
      <c r="T541" s="34"/>
      <c r="U541" s="34"/>
      <c r="V541" s="34"/>
      <c r="W541" s="37"/>
      <c r="X541" s="35"/>
      <c r="Y541" s="37"/>
      <c r="Z541" s="37"/>
      <c r="AA541" s="37"/>
      <c r="AB541" s="37"/>
      <c r="AC541" s="35"/>
      <c r="AD541" s="38"/>
      <c r="AE541" s="38"/>
      <c r="AF541" s="38"/>
      <c r="AG541" s="38"/>
    </row>
    <row r="542" spans="2:33" hidden="1" outlineLevel="2" x14ac:dyDescent="0.15">
      <c r="B542" s="800" t="s">
        <v>605</v>
      </c>
      <c r="C542" s="815">
        <f t="shared" si="5"/>
        <v>142.10000000000002</v>
      </c>
      <c r="D542" s="843">
        <v>0.20300000000000001</v>
      </c>
      <c r="E542" s="815">
        <f>D542*'Info utili'!$P$20</f>
        <v>2360.4388888888889</v>
      </c>
      <c r="F542" s="829">
        <v>0.1</v>
      </c>
      <c r="G542" s="878">
        <v>0.3</v>
      </c>
      <c r="M542" s="34"/>
      <c r="N542" s="34"/>
      <c r="O542" s="34"/>
      <c r="P542" s="34"/>
      <c r="Q542" s="34"/>
      <c r="R542" s="36"/>
      <c r="S542" s="21"/>
      <c r="T542" s="34"/>
      <c r="U542" s="34"/>
      <c r="V542" s="34"/>
      <c r="W542" s="37"/>
      <c r="X542" s="35"/>
      <c r="Y542" s="37"/>
      <c r="Z542" s="37"/>
      <c r="AA542" s="37"/>
      <c r="AB542" s="37"/>
      <c r="AC542" s="35"/>
      <c r="AD542" s="38"/>
      <c r="AE542" s="38"/>
      <c r="AF542" s="38"/>
      <c r="AG542" s="38"/>
    </row>
    <row r="543" spans="2:33" hidden="1" outlineLevel="2" x14ac:dyDescent="0.15">
      <c r="B543" s="800" t="s">
        <v>606</v>
      </c>
      <c r="C543" s="815">
        <f t="shared" si="5"/>
        <v>122.49999999999999</v>
      </c>
      <c r="D543" s="843">
        <v>0.17499999999999999</v>
      </c>
      <c r="E543" s="815">
        <f>D543*'Info utili'!$P$20</f>
        <v>2034.8611111111109</v>
      </c>
      <c r="F543" s="829">
        <v>0.1</v>
      </c>
      <c r="G543" s="878">
        <v>0.3</v>
      </c>
      <c r="M543" s="34"/>
      <c r="N543" s="34"/>
      <c r="O543" s="34"/>
      <c r="P543" s="34"/>
      <c r="Q543" s="34"/>
      <c r="R543" s="36"/>
      <c r="S543" s="21"/>
      <c r="T543" s="34"/>
      <c r="U543" s="34"/>
      <c r="V543" s="34"/>
      <c r="W543" s="37"/>
      <c r="X543" s="35"/>
      <c r="Y543" s="37"/>
      <c r="Z543" s="37"/>
      <c r="AA543" s="37"/>
      <c r="AB543" s="37"/>
      <c r="AC543" s="35"/>
      <c r="AD543" s="38"/>
      <c r="AE543" s="38"/>
      <c r="AF543" s="38"/>
      <c r="AG543" s="38"/>
    </row>
    <row r="544" spans="2:33" hidden="1" outlineLevel="2" x14ac:dyDescent="0.15">
      <c r="B544" s="800" t="s">
        <v>607</v>
      </c>
      <c r="C544" s="815">
        <f t="shared" si="5"/>
        <v>147.69999999999999</v>
      </c>
      <c r="D544" s="843">
        <v>0.21099999999999999</v>
      </c>
      <c r="E544" s="815">
        <f>D544*'Info utili'!$P$20</f>
        <v>2453.4611111111108</v>
      </c>
      <c r="F544" s="829">
        <v>0.1</v>
      </c>
      <c r="G544" s="878">
        <v>0.3</v>
      </c>
      <c r="M544" s="34"/>
      <c r="N544" s="34"/>
      <c r="O544" s="34"/>
      <c r="P544" s="34"/>
      <c r="Q544" s="34"/>
      <c r="R544" s="36"/>
      <c r="S544" s="21"/>
      <c r="T544" s="34"/>
      <c r="U544" s="34"/>
      <c r="V544" s="34"/>
      <c r="W544" s="37"/>
      <c r="X544" s="35"/>
      <c r="Y544" s="37"/>
      <c r="Z544" s="37"/>
      <c r="AA544" s="37"/>
      <c r="AB544" s="37"/>
      <c r="AC544" s="35"/>
      <c r="AD544" s="38"/>
      <c r="AE544" s="38"/>
      <c r="AF544" s="38"/>
      <c r="AG544" s="38"/>
    </row>
    <row r="545" spans="2:33" hidden="1" outlineLevel="2" x14ac:dyDescent="0.15">
      <c r="B545" s="800" t="s">
        <v>608</v>
      </c>
      <c r="C545" s="815">
        <f t="shared" si="5"/>
        <v>112.7</v>
      </c>
      <c r="D545" s="843">
        <v>0.161</v>
      </c>
      <c r="E545" s="815">
        <f>D545*'Info utili'!$P$20</f>
        <v>1872.0722222222223</v>
      </c>
      <c r="F545" s="829">
        <v>0.1</v>
      </c>
      <c r="G545" s="878">
        <v>0.3</v>
      </c>
      <c r="M545" s="34"/>
      <c r="N545" s="34"/>
      <c r="O545" s="34"/>
      <c r="P545" s="34"/>
      <c r="Q545" s="34"/>
      <c r="R545" s="36"/>
      <c r="S545" s="21"/>
      <c r="T545" s="34"/>
      <c r="U545" s="34"/>
      <c r="V545" s="34"/>
      <c r="W545" s="37"/>
      <c r="X545" s="35"/>
      <c r="Y545" s="37"/>
      <c r="Z545" s="37"/>
      <c r="AA545" s="37"/>
      <c r="AB545" s="37"/>
      <c r="AC545" s="35"/>
      <c r="AD545" s="38"/>
      <c r="AE545" s="38"/>
      <c r="AF545" s="38"/>
      <c r="AG545" s="38"/>
    </row>
    <row r="546" spans="2:33" hidden="1" outlineLevel="2" x14ac:dyDescent="0.15">
      <c r="B546" s="800" t="s">
        <v>609</v>
      </c>
      <c r="C546" s="815">
        <f t="shared" si="5"/>
        <v>210</v>
      </c>
      <c r="D546" s="843">
        <v>0.3</v>
      </c>
      <c r="E546" s="815">
        <f>D546*'Info utili'!$P$20</f>
        <v>3488.333333333333</v>
      </c>
      <c r="F546" s="829">
        <v>0.1</v>
      </c>
      <c r="G546" s="878">
        <v>0.3</v>
      </c>
      <c r="M546" s="34"/>
      <c r="N546" s="34"/>
      <c r="O546" s="34"/>
      <c r="P546" s="34"/>
      <c r="Q546" s="34"/>
      <c r="R546" s="36"/>
      <c r="S546" s="21"/>
      <c r="T546" s="34"/>
      <c r="U546" s="34"/>
      <c r="V546" s="34"/>
      <c r="W546" s="37"/>
      <c r="X546" s="35"/>
      <c r="Y546" s="37"/>
      <c r="Z546" s="37"/>
      <c r="AA546" s="37"/>
      <c r="AB546" s="37"/>
      <c r="AC546" s="35"/>
      <c r="AD546" s="38"/>
      <c r="AE546" s="38"/>
      <c r="AF546" s="38"/>
      <c r="AG546" s="38"/>
    </row>
    <row r="547" spans="2:33" hidden="1" outlineLevel="2" x14ac:dyDescent="0.15">
      <c r="B547" s="800" t="s">
        <v>610</v>
      </c>
      <c r="C547" s="815">
        <f t="shared" si="5"/>
        <v>138.6</v>
      </c>
      <c r="D547" s="843">
        <v>0.19800000000000001</v>
      </c>
      <c r="E547" s="815">
        <f>D547*'Info utili'!$P$20</f>
        <v>2302.3000000000002</v>
      </c>
      <c r="F547" s="829">
        <v>0.1</v>
      </c>
      <c r="G547" s="878">
        <v>0.3</v>
      </c>
      <c r="M547" s="34"/>
      <c r="N547" s="34"/>
      <c r="O547" s="34"/>
      <c r="P547" s="34"/>
      <c r="Q547" s="34"/>
      <c r="R547" s="36"/>
      <c r="S547" s="21"/>
      <c r="T547" s="34"/>
      <c r="U547" s="34"/>
      <c r="V547" s="34"/>
      <c r="W547" s="37"/>
      <c r="X547" s="35"/>
      <c r="Y547" s="37"/>
      <c r="Z547" s="37"/>
      <c r="AA547" s="37"/>
      <c r="AB547" s="37"/>
      <c r="AC547" s="35"/>
      <c r="AD547" s="38"/>
      <c r="AE547" s="38"/>
      <c r="AF547" s="38"/>
      <c r="AG547" s="38"/>
    </row>
    <row r="548" spans="2:33" hidden="1" outlineLevel="2" x14ac:dyDescent="0.15">
      <c r="B548" s="800" t="s">
        <v>611</v>
      </c>
      <c r="C548" s="815">
        <f t="shared" si="5"/>
        <v>158.20000000000002</v>
      </c>
      <c r="D548" s="843">
        <v>0.22600000000000001</v>
      </c>
      <c r="E548" s="815">
        <f>D548*'Info utili'!$P$20</f>
        <v>2627.8777777777777</v>
      </c>
      <c r="F548" s="829">
        <v>0.1</v>
      </c>
      <c r="G548" s="878">
        <v>0.3</v>
      </c>
      <c r="M548" s="34"/>
      <c r="N548" s="34"/>
      <c r="O548" s="34"/>
      <c r="P548" s="34"/>
      <c r="Q548" s="34"/>
      <c r="R548" s="36"/>
      <c r="S548" s="21"/>
      <c r="T548" s="34"/>
      <c r="U548" s="34"/>
      <c r="V548" s="34"/>
      <c r="W548" s="37"/>
      <c r="X548" s="35"/>
      <c r="Y548" s="37"/>
      <c r="Z548" s="37"/>
      <c r="AA548" s="37"/>
      <c r="AB548" s="37"/>
      <c r="AC548" s="35"/>
      <c r="AD548" s="38"/>
      <c r="AE548" s="38"/>
      <c r="AF548" s="38"/>
      <c r="AG548" s="38"/>
    </row>
    <row r="549" spans="2:33" hidden="1" outlineLevel="2" x14ac:dyDescent="0.15">
      <c r="B549" s="800" t="s">
        <v>612</v>
      </c>
      <c r="C549" s="815">
        <f t="shared" si="5"/>
        <v>169.4</v>
      </c>
      <c r="D549" s="843">
        <v>0.24199999999999999</v>
      </c>
      <c r="E549" s="815">
        <f>D549*'Info utili'!$P$20</f>
        <v>2813.922222222222</v>
      </c>
      <c r="F549" s="829">
        <v>0.1</v>
      </c>
      <c r="G549" s="878">
        <v>0.3</v>
      </c>
      <c r="M549" s="34"/>
      <c r="N549" s="34"/>
      <c r="O549" s="34"/>
      <c r="P549" s="34"/>
      <c r="Q549" s="34"/>
      <c r="R549" s="36"/>
      <c r="S549" s="21"/>
      <c r="T549" s="34"/>
      <c r="U549" s="34"/>
      <c r="V549" s="34"/>
      <c r="W549" s="37"/>
      <c r="X549" s="35"/>
      <c r="Y549" s="37"/>
      <c r="Z549" s="37"/>
      <c r="AA549" s="37"/>
      <c r="AB549" s="37"/>
      <c r="AC549" s="35"/>
      <c r="AD549" s="38"/>
      <c r="AE549" s="38"/>
      <c r="AF549" s="38"/>
      <c r="AG549" s="38"/>
    </row>
    <row r="550" spans="2:33" hidden="1" outlineLevel="2" x14ac:dyDescent="0.15">
      <c r="B550" s="800" t="s">
        <v>613</v>
      </c>
      <c r="C550" s="815">
        <f t="shared" si="5"/>
        <v>131.6</v>
      </c>
      <c r="D550" s="843">
        <v>0.188</v>
      </c>
      <c r="E550" s="815">
        <f>D550*'Info utili'!$P$20</f>
        <v>2186.0222222222224</v>
      </c>
      <c r="F550" s="829">
        <v>0.1</v>
      </c>
      <c r="G550" s="878">
        <v>0.3</v>
      </c>
      <c r="M550" s="34"/>
      <c r="N550" s="34"/>
      <c r="O550" s="34"/>
      <c r="P550" s="34"/>
      <c r="Q550" s="34"/>
      <c r="R550" s="36"/>
      <c r="S550" s="21"/>
      <c r="T550" s="34"/>
      <c r="U550" s="34"/>
      <c r="V550" s="34"/>
      <c r="W550" s="37"/>
      <c r="X550" s="35"/>
      <c r="Y550" s="37"/>
      <c r="Z550" s="37"/>
      <c r="AA550" s="37"/>
      <c r="AB550" s="37"/>
      <c r="AC550" s="35"/>
      <c r="AD550" s="38"/>
      <c r="AE550" s="38"/>
      <c r="AF550" s="38"/>
      <c r="AG550" s="38"/>
    </row>
    <row r="551" spans="2:33" hidden="1" outlineLevel="2" x14ac:dyDescent="0.15">
      <c r="B551" s="800" t="s">
        <v>614</v>
      </c>
      <c r="C551" s="815">
        <f t="shared" si="5"/>
        <v>75.599999999999994</v>
      </c>
      <c r="D551" s="843">
        <v>0.108</v>
      </c>
      <c r="E551" s="815">
        <f>D551*'Info utili'!$P$20</f>
        <v>1255.8</v>
      </c>
      <c r="F551" s="829">
        <v>0.1</v>
      </c>
      <c r="G551" s="878">
        <v>0.3</v>
      </c>
      <c r="M551" s="34"/>
      <c r="N551" s="34"/>
      <c r="O551" s="34"/>
      <c r="P551" s="34"/>
      <c r="Q551" s="34"/>
      <c r="R551" s="36"/>
      <c r="S551" s="21"/>
      <c r="T551" s="34"/>
      <c r="U551" s="34"/>
      <c r="V551" s="34"/>
      <c r="W551" s="37"/>
      <c r="X551" s="35"/>
      <c r="Y551" s="37"/>
      <c r="Z551" s="37"/>
      <c r="AA551" s="37"/>
      <c r="AB551" s="37"/>
      <c r="AC551" s="35"/>
      <c r="AD551" s="38"/>
      <c r="AE551" s="38"/>
      <c r="AF551" s="38"/>
      <c r="AG551" s="38"/>
    </row>
    <row r="552" spans="2:33" hidden="1" outlineLevel="2" x14ac:dyDescent="0.15">
      <c r="B552" s="800" t="s">
        <v>615</v>
      </c>
      <c r="C552" s="815">
        <f t="shared" si="5"/>
        <v>114.10000000000001</v>
      </c>
      <c r="D552" s="843">
        <v>0.16300000000000001</v>
      </c>
      <c r="E552" s="815">
        <f>D552*'Info utili'!$P$20</f>
        <v>1895.3277777777778</v>
      </c>
      <c r="F552" s="829">
        <v>0.1</v>
      </c>
      <c r="G552" s="878">
        <v>0.3</v>
      </c>
      <c r="M552" s="34"/>
      <c r="N552" s="34"/>
      <c r="O552" s="34"/>
      <c r="P552" s="34"/>
      <c r="Q552" s="34"/>
      <c r="R552" s="36"/>
      <c r="S552" s="21"/>
      <c r="T552" s="34"/>
      <c r="U552" s="34"/>
      <c r="V552" s="34"/>
      <c r="W552" s="37"/>
      <c r="X552" s="35"/>
      <c r="Y552" s="37"/>
      <c r="Z552" s="37"/>
      <c r="AA552" s="37"/>
      <c r="AB552" s="37"/>
      <c r="AC552" s="35"/>
      <c r="AD552" s="38"/>
      <c r="AE552" s="38"/>
      <c r="AF552" s="38"/>
      <c r="AG552" s="38"/>
    </row>
    <row r="553" spans="2:33" hidden="1" outlineLevel="2" x14ac:dyDescent="0.15">
      <c r="B553" s="800" t="s">
        <v>616</v>
      </c>
      <c r="C553" s="815">
        <f t="shared" si="5"/>
        <v>147.69999999999999</v>
      </c>
      <c r="D553" s="843">
        <v>0.21099999999999999</v>
      </c>
      <c r="E553" s="815">
        <f>D553*'Info utili'!$P$20</f>
        <v>2453.4611111111108</v>
      </c>
      <c r="F553" s="829">
        <v>0.1</v>
      </c>
      <c r="G553" s="878">
        <v>0.3</v>
      </c>
      <c r="M553" s="34"/>
      <c r="N553" s="34"/>
      <c r="O553" s="34"/>
      <c r="P553" s="34"/>
      <c r="Q553" s="34"/>
      <c r="R553" s="36"/>
      <c r="S553" s="21"/>
      <c r="T553" s="34"/>
      <c r="U553" s="34"/>
      <c r="V553" s="34"/>
      <c r="W553" s="37"/>
      <c r="X553" s="35"/>
      <c r="Y553" s="37"/>
      <c r="Z553" s="37"/>
      <c r="AA553" s="37"/>
      <c r="AB553" s="37"/>
      <c r="AC553" s="35"/>
      <c r="AD553" s="38"/>
      <c r="AE553" s="38"/>
      <c r="AF553" s="38"/>
      <c r="AG553" s="38"/>
    </row>
    <row r="554" spans="2:33" hidden="1" outlineLevel="2" x14ac:dyDescent="0.15">
      <c r="B554" s="800" t="s">
        <v>617</v>
      </c>
      <c r="C554" s="815">
        <f t="shared" si="5"/>
        <v>176.4</v>
      </c>
      <c r="D554" s="843">
        <v>0.252</v>
      </c>
      <c r="E554" s="815">
        <f>D554*'Info utili'!$P$20</f>
        <v>2930.2</v>
      </c>
      <c r="F554" s="829">
        <v>0.1</v>
      </c>
      <c r="G554" s="878">
        <v>0.3</v>
      </c>
      <c r="M554" s="34"/>
      <c r="N554" s="34"/>
      <c r="O554" s="34"/>
      <c r="P554" s="34"/>
      <c r="Q554" s="34"/>
      <c r="R554" s="36"/>
      <c r="S554" s="21"/>
      <c r="T554" s="34"/>
      <c r="U554" s="34"/>
      <c r="V554" s="34"/>
      <c r="W554" s="37"/>
      <c r="X554" s="35"/>
      <c r="Y554" s="37"/>
      <c r="Z554" s="37"/>
      <c r="AA554" s="37"/>
      <c r="AB554" s="37"/>
      <c r="AC554" s="35"/>
      <c r="AD554" s="38"/>
      <c r="AE554" s="38"/>
      <c r="AF554" s="38"/>
      <c r="AG554" s="38"/>
    </row>
    <row r="555" spans="2:33" hidden="1" outlineLevel="2" x14ac:dyDescent="0.15">
      <c r="B555" s="800" t="s">
        <v>618</v>
      </c>
      <c r="C555" s="815">
        <f t="shared" si="5"/>
        <v>148.4</v>
      </c>
      <c r="D555" s="843">
        <v>0.21199999999999999</v>
      </c>
      <c r="E555" s="815">
        <f>D555*'Info utili'!$P$20</f>
        <v>2465.088888888889</v>
      </c>
      <c r="F555" s="829">
        <v>0.1</v>
      </c>
      <c r="G555" s="878">
        <v>0.3</v>
      </c>
      <c r="M555" s="34"/>
      <c r="N555" s="34"/>
      <c r="O555" s="34"/>
      <c r="P555" s="34"/>
      <c r="Q555" s="34"/>
      <c r="R555" s="36"/>
      <c r="S555" s="21"/>
      <c r="T555" s="34"/>
      <c r="U555" s="34"/>
      <c r="V555" s="34"/>
      <c r="W555" s="37"/>
      <c r="X555" s="35"/>
      <c r="Y555" s="37"/>
      <c r="Z555" s="37"/>
      <c r="AA555" s="37"/>
      <c r="AB555" s="37"/>
      <c r="AC555" s="35"/>
      <c r="AD555" s="38"/>
      <c r="AE555" s="38"/>
      <c r="AF555" s="38"/>
      <c r="AG555" s="38"/>
    </row>
    <row r="556" spans="2:33" hidden="1" outlineLevel="2" x14ac:dyDescent="0.15">
      <c r="B556" s="800" t="s">
        <v>619</v>
      </c>
      <c r="C556" s="815">
        <f t="shared" si="5"/>
        <v>182.70000000000002</v>
      </c>
      <c r="D556" s="843">
        <v>0.26100000000000001</v>
      </c>
      <c r="E556" s="815">
        <f>D556*'Info utili'!$P$20</f>
        <v>3034.85</v>
      </c>
      <c r="F556" s="829">
        <v>0.1</v>
      </c>
      <c r="G556" s="878">
        <v>0.3</v>
      </c>
      <c r="M556" s="34"/>
      <c r="N556" s="34"/>
      <c r="O556" s="34"/>
      <c r="P556" s="34"/>
      <c r="Q556" s="34"/>
      <c r="R556" s="36"/>
      <c r="S556" s="21"/>
      <c r="T556" s="34"/>
      <c r="U556" s="34"/>
      <c r="V556" s="34"/>
      <c r="W556" s="37"/>
      <c r="X556" s="35"/>
      <c r="Y556" s="37"/>
      <c r="Z556" s="37"/>
      <c r="AA556" s="37"/>
      <c r="AB556" s="37"/>
      <c r="AC556" s="35"/>
      <c r="AD556" s="38"/>
      <c r="AE556" s="38"/>
      <c r="AF556" s="38"/>
      <c r="AG556" s="38"/>
    </row>
    <row r="557" spans="2:33" hidden="1" outlineLevel="2" x14ac:dyDescent="0.15">
      <c r="B557" s="800" t="s">
        <v>620</v>
      </c>
      <c r="C557" s="815">
        <f t="shared" si="5"/>
        <v>153.30000000000001</v>
      </c>
      <c r="D557" s="843">
        <v>0.219</v>
      </c>
      <c r="E557" s="815">
        <f>D557*'Info utili'!$P$20</f>
        <v>2546.4833333333331</v>
      </c>
      <c r="F557" s="829">
        <v>0.1</v>
      </c>
      <c r="G557" s="878">
        <v>0.3</v>
      </c>
      <c r="M557" s="34"/>
      <c r="N557" s="34"/>
      <c r="O557" s="34"/>
      <c r="P557" s="34"/>
      <c r="Q557" s="34"/>
      <c r="R557" s="36"/>
      <c r="S557" s="21"/>
      <c r="T557" s="34"/>
      <c r="U557" s="34"/>
      <c r="V557" s="34"/>
      <c r="W557" s="37"/>
      <c r="X557" s="35"/>
      <c r="Y557" s="37"/>
      <c r="Z557" s="37"/>
      <c r="AA557" s="37"/>
      <c r="AB557" s="37"/>
      <c r="AC557" s="35"/>
      <c r="AD557" s="38"/>
      <c r="AE557" s="38"/>
      <c r="AF557" s="38"/>
      <c r="AG557" s="38"/>
    </row>
    <row r="558" spans="2:33" hidden="1" outlineLevel="2" x14ac:dyDescent="0.15">
      <c r="B558" s="800" t="s">
        <v>621</v>
      </c>
      <c r="C558" s="815">
        <f t="shared" si="5"/>
        <v>175.7</v>
      </c>
      <c r="D558" s="843">
        <v>0.251</v>
      </c>
      <c r="E558" s="815">
        <f>D558*'Info utili'!$P$20</f>
        <v>2918.5722222222221</v>
      </c>
      <c r="F558" s="829">
        <v>0.1</v>
      </c>
      <c r="G558" s="878">
        <v>0.3</v>
      </c>
      <c r="M558" s="34"/>
      <c r="N558" s="34"/>
      <c r="O558" s="34"/>
      <c r="P558" s="34"/>
      <c r="Q558" s="34"/>
      <c r="R558" s="36"/>
      <c r="S558" s="21"/>
      <c r="T558" s="34"/>
      <c r="U558" s="34"/>
      <c r="V558" s="34"/>
      <c r="W558" s="37"/>
      <c r="X558" s="35"/>
      <c r="Y558" s="37"/>
      <c r="Z558" s="37"/>
      <c r="AA558" s="37"/>
      <c r="AB558" s="37"/>
      <c r="AC558" s="35"/>
      <c r="AD558" s="38"/>
      <c r="AE558" s="38"/>
      <c r="AF558" s="38"/>
      <c r="AG558" s="38"/>
    </row>
    <row r="559" spans="2:33" hidden="1" outlineLevel="2" x14ac:dyDescent="0.15">
      <c r="B559" s="800" t="s">
        <v>622</v>
      </c>
      <c r="C559" s="815">
        <f t="shared" si="5"/>
        <v>117.60000000000001</v>
      </c>
      <c r="D559" s="843">
        <v>0.16800000000000001</v>
      </c>
      <c r="E559" s="815">
        <f>D559*'Info utili'!$P$20</f>
        <v>1953.4666666666667</v>
      </c>
      <c r="F559" s="829">
        <v>0.1</v>
      </c>
      <c r="G559" s="878">
        <v>0.3</v>
      </c>
      <c r="M559" s="34"/>
      <c r="N559" s="34"/>
      <c r="O559" s="34"/>
      <c r="P559" s="34"/>
      <c r="Q559" s="34"/>
      <c r="R559" s="36"/>
      <c r="S559" s="21"/>
      <c r="T559" s="34"/>
      <c r="U559" s="34"/>
      <c r="V559" s="34"/>
      <c r="W559" s="37"/>
      <c r="X559" s="35"/>
      <c r="Y559" s="37"/>
      <c r="Z559" s="37"/>
      <c r="AA559" s="37"/>
      <c r="AB559" s="37"/>
      <c r="AC559" s="35"/>
      <c r="AD559" s="38"/>
      <c r="AE559" s="38"/>
      <c r="AF559" s="38"/>
      <c r="AG559" s="38"/>
    </row>
    <row r="560" spans="2:33" hidden="1" outlineLevel="2" x14ac:dyDescent="0.15">
      <c r="B560" s="800" t="s">
        <v>623</v>
      </c>
      <c r="C560" s="815">
        <f t="shared" si="5"/>
        <v>160.30000000000001</v>
      </c>
      <c r="D560" s="843">
        <v>0.22900000000000001</v>
      </c>
      <c r="E560" s="815">
        <f>D560*'Info utili'!$P$20</f>
        <v>2662.7611111111109</v>
      </c>
      <c r="F560" s="829">
        <v>0.1</v>
      </c>
      <c r="G560" s="878">
        <v>0.3</v>
      </c>
      <c r="M560" s="34"/>
      <c r="N560" s="34"/>
      <c r="O560" s="34"/>
      <c r="P560" s="34"/>
      <c r="Q560" s="34"/>
      <c r="R560" s="36"/>
      <c r="S560" s="21"/>
      <c r="T560" s="34"/>
      <c r="U560" s="34"/>
      <c r="V560" s="34"/>
      <c r="W560" s="37"/>
      <c r="X560" s="35"/>
      <c r="Y560" s="37"/>
      <c r="Z560" s="37"/>
      <c r="AA560" s="37"/>
      <c r="AB560" s="37"/>
      <c r="AC560" s="35"/>
      <c r="AD560" s="38"/>
      <c r="AE560" s="38"/>
      <c r="AF560" s="38"/>
      <c r="AG560" s="38"/>
    </row>
    <row r="561" spans="2:33" hidden="1" outlineLevel="2" x14ac:dyDescent="0.15">
      <c r="B561" s="800" t="s">
        <v>624</v>
      </c>
      <c r="C561" s="815">
        <f t="shared" si="5"/>
        <v>44.1</v>
      </c>
      <c r="D561" s="843">
        <v>6.3E-2</v>
      </c>
      <c r="E561" s="815">
        <f>D561*'Info utili'!$P$20</f>
        <v>732.55</v>
      </c>
      <c r="F561" s="829">
        <v>0.1</v>
      </c>
      <c r="G561" s="878">
        <v>0.3</v>
      </c>
      <c r="M561" s="34"/>
      <c r="N561" s="34"/>
      <c r="O561" s="34"/>
      <c r="P561" s="34"/>
      <c r="Q561" s="34"/>
      <c r="R561" s="36"/>
      <c r="S561" s="21"/>
      <c r="T561" s="34"/>
      <c r="U561" s="34"/>
      <c r="V561" s="34"/>
      <c r="W561" s="37"/>
      <c r="X561" s="35"/>
      <c r="Y561" s="37"/>
      <c r="Z561" s="37"/>
      <c r="AA561" s="37"/>
      <c r="AB561" s="37"/>
      <c r="AC561" s="35"/>
      <c r="AD561" s="38"/>
      <c r="AE561" s="38"/>
      <c r="AF561" s="38"/>
      <c r="AG561" s="38"/>
    </row>
    <row r="562" spans="2:33" hidden="1" outlineLevel="2" x14ac:dyDescent="0.15">
      <c r="B562" s="800" t="s">
        <v>625</v>
      </c>
      <c r="C562" s="815">
        <f t="shared" si="5"/>
        <v>148.4</v>
      </c>
      <c r="D562" s="843">
        <v>0.21199999999999999</v>
      </c>
      <c r="E562" s="815">
        <f>D562*'Info utili'!$P$20</f>
        <v>2465.088888888889</v>
      </c>
      <c r="F562" s="829">
        <v>0.1</v>
      </c>
      <c r="G562" s="878">
        <v>0.3</v>
      </c>
      <c r="M562" s="34"/>
      <c r="N562" s="34"/>
      <c r="O562" s="34"/>
      <c r="P562" s="34"/>
      <c r="Q562" s="34"/>
      <c r="R562" s="36"/>
      <c r="S562" s="21"/>
      <c r="T562" s="34"/>
      <c r="U562" s="34"/>
      <c r="V562" s="34"/>
      <c r="W562" s="37"/>
      <c r="X562" s="35"/>
      <c r="Y562" s="37"/>
      <c r="Z562" s="37"/>
      <c r="AA562" s="37"/>
      <c r="AB562" s="37"/>
      <c r="AC562" s="35"/>
      <c r="AD562" s="38"/>
      <c r="AE562" s="38"/>
      <c r="AF562" s="38"/>
      <c r="AG562" s="38"/>
    </row>
    <row r="563" spans="2:33" hidden="1" outlineLevel="2" x14ac:dyDescent="0.15">
      <c r="B563" s="800" t="s">
        <v>626</v>
      </c>
      <c r="C563" s="815">
        <f t="shared" si="5"/>
        <v>25.2</v>
      </c>
      <c r="D563" s="843">
        <v>3.5999999999999997E-2</v>
      </c>
      <c r="E563" s="815">
        <f>D563*'Info utili'!$P$20</f>
        <v>418.59999999999997</v>
      </c>
      <c r="F563" s="829">
        <v>0.1</v>
      </c>
      <c r="G563" s="878">
        <v>0.3</v>
      </c>
      <c r="M563" s="34"/>
      <c r="N563" s="34"/>
      <c r="O563" s="34"/>
      <c r="P563" s="34"/>
      <c r="Q563" s="34"/>
      <c r="R563" s="36"/>
      <c r="S563" s="21"/>
      <c r="T563" s="34"/>
      <c r="U563" s="34"/>
      <c r="V563" s="34"/>
      <c r="W563" s="37"/>
      <c r="X563" s="35"/>
      <c r="Y563" s="37"/>
      <c r="Z563" s="37"/>
      <c r="AA563" s="37"/>
      <c r="AB563" s="37"/>
      <c r="AC563" s="35"/>
      <c r="AD563" s="38"/>
      <c r="AE563" s="38"/>
      <c r="AF563" s="38"/>
      <c r="AG563" s="38"/>
    </row>
    <row r="564" spans="2:33" hidden="1" outlineLevel="2" x14ac:dyDescent="0.15">
      <c r="B564" s="800" t="s">
        <v>627</v>
      </c>
      <c r="C564" s="815">
        <f t="shared" si="5"/>
        <v>39.200000000000003</v>
      </c>
      <c r="D564" s="843">
        <v>5.6000000000000001E-2</v>
      </c>
      <c r="E564" s="815">
        <f>D564*'Info utili'!$P$20</f>
        <v>651.15555555555557</v>
      </c>
      <c r="F564" s="829">
        <v>0.1</v>
      </c>
      <c r="G564" s="878">
        <v>0.3</v>
      </c>
      <c r="M564" s="34"/>
      <c r="N564" s="34"/>
      <c r="O564" s="34"/>
      <c r="P564" s="34"/>
      <c r="Q564" s="34"/>
      <c r="R564" s="36"/>
      <c r="S564" s="21"/>
      <c r="T564" s="34"/>
      <c r="U564" s="34"/>
      <c r="V564" s="34"/>
      <c r="W564" s="37"/>
      <c r="X564" s="35"/>
      <c r="Y564" s="37"/>
      <c r="Z564" s="37"/>
      <c r="AA564" s="37"/>
      <c r="AB564" s="37"/>
      <c r="AC564" s="35"/>
      <c r="AD564" s="38"/>
      <c r="AE564" s="38"/>
      <c r="AF564" s="38"/>
      <c r="AG564" s="38"/>
    </row>
    <row r="565" spans="2:33" hidden="1" outlineLevel="2" x14ac:dyDescent="0.15">
      <c r="B565" s="800" t="s">
        <v>628</v>
      </c>
      <c r="C565" s="815">
        <f t="shared" si="5"/>
        <v>24.500000000000004</v>
      </c>
      <c r="D565" s="843">
        <v>3.5000000000000003E-2</v>
      </c>
      <c r="E565" s="815">
        <f>D565*'Info utili'!$P$20</f>
        <v>406.97222222222223</v>
      </c>
      <c r="F565" s="829">
        <v>0.1</v>
      </c>
      <c r="G565" s="878">
        <v>0.3</v>
      </c>
      <c r="M565" s="34"/>
      <c r="N565" s="34"/>
      <c r="O565" s="34"/>
      <c r="P565" s="34"/>
      <c r="Q565" s="34"/>
      <c r="R565" s="36"/>
      <c r="S565" s="21"/>
      <c r="T565" s="34"/>
      <c r="U565" s="34"/>
      <c r="V565" s="34"/>
      <c r="W565" s="37"/>
      <c r="X565" s="35"/>
      <c r="Y565" s="37"/>
      <c r="Z565" s="37"/>
      <c r="AA565" s="37"/>
      <c r="AB565" s="37"/>
      <c r="AC565" s="35"/>
      <c r="AD565" s="38"/>
      <c r="AE565" s="38"/>
      <c r="AF565" s="38"/>
      <c r="AG565" s="38"/>
    </row>
    <row r="566" spans="2:33" hidden="1" outlineLevel="2" x14ac:dyDescent="0.15">
      <c r="B566" s="800" t="s">
        <v>629</v>
      </c>
      <c r="C566" s="815">
        <f t="shared" si="5"/>
        <v>65.8</v>
      </c>
      <c r="D566" s="843">
        <v>9.4E-2</v>
      </c>
      <c r="E566" s="815">
        <f>D566*'Info utili'!$P$20</f>
        <v>1093.0111111111112</v>
      </c>
      <c r="F566" s="829">
        <v>0.1</v>
      </c>
      <c r="G566" s="878">
        <v>0.3</v>
      </c>
      <c r="M566" s="34"/>
      <c r="N566" s="34"/>
      <c r="O566" s="34"/>
      <c r="P566" s="34"/>
      <c r="Q566" s="34"/>
      <c r="R566" s="36"/>
      <c r="S566" s="21"/>
      <c r="T566" s="34"/>
      <c r="U566" s="34"/>
      <c r="V566" s="34"/>
      <c r="W566" s="37"/>
      <c r="X566" s="35"/>
      <c r="Y566" s="37"/>
      <c r="Z566" s="37"/>
      <c r="AA566" s="37"/>
      <c r="AB566" s="37"/>
      <c r="AC566" s="35"/>
      <c r="AD566" s="38"/>
      <c r="AE566" s="38"/>
      <c r="AF566" s="38"/>
      <c r="AG566" s="38"/>
    </row>
    <row r="567" spans="2:33" hidden="1" outlineLevel="2" x14ac:dyDescent="0.15">
      <c r="B567" s="800" t="s">
        <v>630</v>
      </c>
      <c r="C567" s="815">
        <f t="shared" ref="C567:C590" si="6">D567*700</f>
        <v>77.7</v>
      </c>
      <c r="D567" s="843">
        <v>0.111</v>
      </c>
      <c r="E567" s="815">
        <f>D567*'Info utili'!$P$20</f>
        <v>1290.6833333333334</v>
      </c>
      <c r="F567" s="829">
        <v>0.1</v>
      </c>
      <c r="G567" s="878">
        <v>0.3</v>
      </c>
      <c r="M567" s="34"/>
      <c r="N567" s="34"/>
      <c r="O567" s="34"/>
      <c r="P567" s="34"/>
      <c r="Q567" s="34"/>
      <c r="R567" s="36"/>
      <c r="S567" s="21"/>
      <c r="T567" s="34"/>
      <c r="U567" s="34"/>
      <c r="V567" s="34"/>
      <c r="W567" s="37"/>
      <c r="X567" s="35"/>
      <c r="Y567" s="37"/>
      <c r="Z567" s="37"/>
      <c r="AA567" s="37"/>
      <c r="AB567" s="37"/>
      <c r="AC567" s="35"/>
      <c r="AD567" s="38"/>
      <c r="AE567" s="38"/>
      <c r="AF567" s="38"/>
      <c r="AG567" s="38"/>
    </row>
    <row r="568" spans="2:33" hidden="1" outlineLevel="2" x14ac:dyDescent="0.15">
      <c r="B568" s="800" t="s">
        <v>631</v>
      </c>
      <c r="C568" s="815">
        <f t="shared" si="6"/>
        <v>139.30000000000001</v>
      </c>
      <c r="D568" s="843">
        <v>0.19900000000000001</v>
      </c>
      <c r="E568" s="815">
        <f>D568*'Info utili'!$P$20</f>
        <v>2313.9277777777779</v>
      </c>
      <c r="F568" s="829">
        <v>0.1</v>
      </c>
      <c r="G568" s="878">
        <v>0.3</v>
      </c>
      <c r="M568" s="34"/>
      <c r="N568" s="34"/>
      <c r="O568" s="34"/>
      <c r="P568" s="34"/>
      <c r="Q568" s="34"/>
      <c r="R568" s="36"/>
      <c r="S568" s="21"/>
      <c r="T568" s="34"/>
      <c r="U568" s="34"/>
      <c r="V568" s="34"/>
      <c r="W568" s="37"/>
      <c r="X568" s="35"/>
      <c r="Y568" s="37"/>
      <c r="Z568" s="37"/>
      <c r="AA568" s="37"/>
      <c r="AB568" s="37"/>
      <c r="AC568" s="35"/>
      <c r="AD568" s="38"/>
      <c r="AE568" s="38"/>
      <c r="AF568" s="38"/>
      <c r="AG568" s="38"/>
    </row>
    <row r="569" spans="2:33" hidden="1" outlineLevel="2" x14ac:dyDescent="0.15">
      <c r="B569" s="800" t="s">
        <v>632</v>
      </c>
      <c r="C569" s="815">
        <f t="shared" si="6"/>
        <v>207.2</v>
      </c>
      <c r="D569" s="843">
        <v>0.29599999999999999</v>
      </c>
      <c r="E569" s="815">
        <f>D569*'Info utili'!$P$20</f>
        <v>3441.8222222222221</v>
      </c>
      <c r="F569" s="829">
        <v>0.1</v>
      </c>
      <c r="G569" s="878">
        <v>0.3</v>
      </c>
      <c r="M569" s="34"/>
      <c r="N569" s="34"/>
      <c r="O569" s="34"/>
      <c r="P569" s="34"/>
      <c r="Q569" s="34"/>
      <c r="R569" s="36"/>
      <c r="S569" s="21"/>
      <c r="T569" s="34"/>
      <c r="U569" s="34"/>
      <c r="V569" s="34"/>
      <c r="W569" s="37"/>
      <c r="X569" s="35"/>
      <c r="Y569" s="37"/>
      <c r="Z569" s="37"/>
      <c r="AA569" s="37"/>
      <c r="AB569" s="37"/>
      <c r="AC569" s="35"/>
      <c r="AD569" s="38"/>
      <c r="AE569" s="38"/>
      <c r="AF569" s="38"/>
      <c r="AG569" s="38"/>
    </row>
    <row r="570" spans="2:33" hidden="1" outlineLevel="2" x14ac:dyDescent="0.15">
      <c r="B570" s="800" t="s">
        <v>633</v>
      </c>
      <c r="C570" s="815">
        <f t="shared" si="6"/>
        <v>49.699999999999996</v>
      </c>
      <c r="D570" s="843">
        <v>7.0999999999999994E-2</v>
      </c>
      <c r="E570" s="815">
        <f>D570*'Info utili'!$P$20</f>
        <v>825.57222222222208</v>
      </c>
      <c r="F570" s="829">
        <v>0.1</v>
      </c>
      <c r="G570" s="878">
        <v>0.3</v>
      </c>
      <c r="M570" s="34"/>
      <c r="N570" s="34"/>
      <c r="O570" s="34"/>
      <c r="P570" s="34"/>
      <c r="Q570" s="34"/>
      <c r="R570" s="36"/>
      <c r="S570" s="21"/>
      <c r="T570" s="34"/>
      <c r="U570" s="34"/>
      <c r="V570" s="34"/>
      <c r="W570" s="37"/>
      <c r="X570" s="35"/>
      <c r="Y570" s="37"/>
      <c r="Z570" s="37"/>
      <c r="AA570" s="37"/>
      <c r="AB570" s="37"/>
      <c r="AC570" s="35"/>
      <c r="AD570" s="38"/>
      <c r="AE570" s="38"/>
      <c r="AF570" s="38"/>
      <c r="AG570" s="38"/>
    </row>
    <row r="571" spans="2:33" hidden="1" outlineLevel="2" x14ac:dyDescent="0.15">
      <c r="B571" s="800" t="s">
        <v>634</v>
      </c>
      <c r="C571" s="815">
        <f t="shared" si="6"/>
        <v>123.19999999999999</v>
      </c>
      <c r="D571" s="843">
        <v>0.17599999999999999</v>
      </c>
      <c r="E571" s="815">
        <f>D571*'Info utili'!$P$20</f>
        <v>2046.4888888888886</v>
      </c>
      <c r="F571" s="829">
        <v>0.1</v>
      </c>
      <c r="G571" s="878">
        <v>0.3</v>
      </c>
      <c r="M571" s="34"/>
      <c r="N571" s="34"/>
      <c r="O571" s="34"/>
      <c r="P571" s="34"/>
      <c r="Q571" s="34"/>
      <c r="R571" s="36"/>
      <c r="S571" s="21"/>
      <c r="T571" s="34"/>
      <c r="U571" s="34"/>
      <c r="V571" s="34"/>
      <c r="W571" s="37"/>
      <c r="X571" s="35"/>
      <c r="Y571" s="37"/>
      <c r="Z571" s="37"/>
      <c r="AA571" s="37"/>
      <c r="AB571" s="37"/>
      <c r="AC571" s="35"/>
      <c r="AD571" s="38"/>
      <c r="AE571" s="38"/>
      <c r="AF571" s="38"/>
      <c r="AG571" s="38"/>
    </row>
    <row r="572" spans="2:33" hidden="1" outlineLevel="2" x14ac:dyDescent="0.15">
      <c r="B572" s="800" t="s">
        <v>635</v>
      </c>
      <c r="C572" s="815">
        <f t="shared" si="6"/>
        <v>64.400000000000006</v>
      </c>
      <c r="D572" s="843">
        <v>9.1999999999999998E-2</v>
      </c>
      <c r="E572" s="815">
        <f>D572*'Info utili'!$P$20</f>
        <v>1069.7555555555555</v>
      </c>
      <c r="F572" s="829">
        <v>0.1</v>
      </c>
      <c r="G572" s="878">
        <v>0.3</v>
      </c>
      <c r="M572" s="34"/>
      <c r="N572" s="34"/>
      <c r="O572" s="34"/>
      <c r="P572" s="34"/>
      <c r="Q572" s="34"/>
      <c r="R572" s="36"/>
      <c r="S572" s="21"/>
      <c r="T572" s="34"/>
      <c r="U572" s="34"/>
      <c r="V572" s="34"/>
      <c r="W572" s="37"/>
      <c r="X572" s="35"/>
      <c r="Y572" s="37"/>
      <c r="Z572" s="37"/>
      <c r="AA572" s="37"/>
      <c r="AB572" s="37"/>
      <c r="AC572" s="35"/>
      <c r="AD572" s="38"/>
      <c r="AE572" s="38"/>
      <c r="AF572" s="38"/>
      <c r="AG572" s="38"/>
    </row>
    <row r="573" spans="2:33" hidden="1" outlineLevel="2" x14ac:dyDescent="0.15">
      <c r="B573" s="800" t="s">
        <v>636</v>
      </c>
      <c r="C573" s="815">
        <f t="shared" si="6"/>
        <v>142.10000000000002</v>
      </c>
      <c r="D573" s="843">
        <v>0.20300000000000001</v>
      </c>
      <c r="E573" s="815">
        <f>D573*'Info utili'!$P$20</f>
        <v>2360.4388888888889</v>
      </c>
      <c r="F573" s="829">
        <v>0.1</v>
      </c>
      <c r="G573" s="878">
        <v>0.3</v>
      </c>
      <c r="M573" s="34"/>
      <c r="N573" s="34"/>
      <c r="O573" s="34"/>
      <c r="P573" s="34"/>
      <c r="Q573" s="34"/>
      <c r="R573" s="36"/>
      <c r="S573" s="21"/>
      <c r="T573" s="34"/>
      <c r="U573" s="34"/>
      <c r="V573" s="34"/>
      <c r="W573" s="37"/>
      <c r="X573" s="35"/>
      <c r="Y573" s="37"/>
      <c r="Z573" s="37"/>
      <c r="AA573" s="37"/>
      <c r="AB573" s="37"/>
      <c r="AC573" s="35"/>
      <c r="AD573" s="38"/>
      <c r="AE573" s="38"/>
      <c r="AF573" s="38"/>
      <c r="AG573" s="38"/>
    </row>
    <row r="574" spans="2:33" hidden="1" outlineLevel="2" x14ac:dyDescent="0.15">
      <c r="B574" s="800" t="s">
        <v>637</v>
      </c>
      <c r="C574" s="815">
        <f t="shared" si="6"/>
        <v>100.1</v>
      </c>
      <c r="D574" s="843">
        <v>0.14299999999999999</v>
      </c>
      <c r="E574" s="815">
        <f>D574*'Info utili'!$P$20</f>
        <v>1662.7722222222221</v>
      </c>
      <c r="F574" s="829">
        <v>0.1</v>
      </c>
      <c r="G574" s="878">
        <v>0.3</v>
      </c>
      <c r="M574" s="34"/>
      <c r="N574" s="34"/>
      <c r="O574" s="34"/>
      <c r="P574" s="34"/>
      <c r="Q574" s="34"/>
      <c r="R574" s="36"/>
      <c r="S574" s="21"/>
      <c r="T574" s="34"/>
      <c r="U574" s="34"/>
      <c r="V574" s="34"/>
      <c r="W574" s="37"/>
      <c r="X574" s="35"/>
      <c r="Y574" s="37"/>
      <c r="Z574" s="37"/>
      <c r="AA574" s="37"/>
      <c r="AB574" s="37"/>
      <c r="AC574" s="35"/>
      <c r="AD574" s="38"/>
      <c r="AE574" s="38"/>
      <c r="AF574" s="38"/>
      <c r="AG574" s="38"/>
    </row>
    <row r="575" spans="2:33" hidden="1" outlineLevel="2" x14ac:dyDescent="0.15">
      <c r="B575" s="800" t="s">
        <v>638</v>
      </c>
      <c r="C575" s="815">
        <f t="shared" si="6"/>
        <v>21.7</v>
      </c>
      <c r="D575" s="843">
        <v>3.1E-2</v>
      </c>
      <c r="E575" s="815">
        <f>D575*'Info utili'!$P$20</f>
        <v>360.46111111111111</v>
      </c>
      <c r="F575" s="829">
        <v>0.1</v>
      </c>
      <c r="G575" s="878">
        <v>0.3</v>
      </c>
      <c r="M575" s="34"/>
      <c r="N575" s="34"/>
      <c r="O575" s="34"/>
      <c r="P575" s="34"/>
      <c r="Q575" s="34"/>
      <c r="R575" s="36"/>
      <c r="S575" s="21"/>
      <c r="T575" s="34"/>
      <c r="U575" s="34"/>
      <c r="V575" s="34"/>
      <c r="W575" s="37"/>
      <c r="X575" s="35"/>
      <c r="Y575" s="37"/>
      <c r="Z575" s="37"/>
      <c r="AA575" s="37"/>
      <c r="AB575" s="37"/>
      <c r="AC575" s="35"/>
      <c r="AD575" s="38"/>
      <c r="AE575" s="38"/>
      <c r="AF575" s="38"/>
      <c r="AG575" s="38"/>
    </row>
    <row r="576" spans="2:33" hidden="1" outlineLevel="2" x14ac:dyDescent="0.15">
      <c r="B576" s="800" t="s">
        <v>639</v>
      </c>
      <c r="C576" s="815">
        <f t="shared" si="6"/>
        <v>26.599999999999998</v>
      </c>
      <c r="D576" s="843">
        <v>3.7999999999999999E-2</v>
      </c>
      <c r="E576" s="815">
        <f>D576*'Info utili'!$P$20</f>
        <v>441.85555555555555</v>
      </c>
      <c r="F576" s="829">
        <v>0.1</v>
      </c>
      <c r="G576" s="878">
        <v>0.3</v>
      </c>
      <c r="M576" s="34"/>
      <c r="N576" s="34"/>
      <c r="O576" s="34"/>
      <c r="P576" s="34"/>
      <c r="Q576" s="34"/>
      <c r="R576" s="36"/>
      <c r="S576" s="21"/>
      <c r="T576" s="34"/>
      <c r="U576" s="34"/>
      <c r="V576" s="34"/>
      <c r="W576" s="37"/>
      <c r="X576" s="35"/>
      <c r="Y576" s="37"/>
      <c r="Z576" s="37"/>
      <c r="AA576" s="37"/>
      <c r="AB576" s="37"/>
      <c r="AC576" s="35"/>
      <c r="AD576" s="38"/>
      <c r="AE576" s="38"/>
      <c r="AF576" s="38"/>
      <c r="AG576" s="38"/>
    </row>
    <row r="577" spans="2:33" hidden="1" outlineLevel="2" x14ac:dyDescent="0.15">
      <c r="B577" s="800" t="s">
        <v>640</v>
      </c>
      <c r="C577" s="815">
        <f t="shared" si="6"/>
        <v>26.599999999999998</v>
      </c>
      <c r="D577" s="843">
        <v>3.7999999999999999E-2</v>
      </c>
      <c r="E577" s="815">
        <f>D577*'Info utili'!$P$20</f>
        <v>441.85555555555555</v>
      </c>
      <c r="F577" s="829">
        <v>0.1</v>
      </c>
      <c r="G577" s="878">
        <v>0.3</v>
      </c>
      <c r="M577" s="34"/>
      <c r="N577" s="34"/>
      <c r="O577" s="34"/>
      <c r="P577" s="34"/>
      <c r="Q577" s="34"/>
      <c r="R577" s="36"/>
      <c r="S577" s="21"/>
      <c r="T577" s="34"/>
      <c r="U577" s="34"/>
      <c r="V577" s="34"/>
      <c r="W577" s="37"/>
      <c r="X577" s="35"/>
      <c r="Y577" s="37"/>
      <c r="Z577" s="37"/>
      <c r="AA577" s="37"/>
      <c r="AB577" s="37"/>
      <c r="AC577" s="35"/>
      <c r="AD577" s="38"/>
      <c r="AE577" s="38"/>
      <c r="AF577" s="38"/>
      <c r="AG577" s="38"/>
    </row>
    <row r="578" spans="2:33" hidden="1" outlineLevel="2" x14ac:dyDescent="0.15">
      <c r="B578" s="800" t="s">
        <v>641</v>
      </c>
      <c r="C578" s="815">
        <f t="shared" si="6"/>
        <v>53.9</v>
      </c>
      <c r="D578" s="843">
        <v>7.6999999999999999E-2</v>
      </c>
      <c r="E578" s="815">
        <f>D578*'Info utili'!$P$20</f>
        <v>895.33888888888885</v>
      </c>
      <c r="F578" s="829">
        <v>0.1</v>
      </c>
      <c r="G578" s="878">
        <v>0.3</v>
      </c>
      <c r="M578" s="34"/>
      <c r="N578" s="34"/>
      <c r="O578" s="34"/>
      <c r="P578" s="34"/>
      <c r="Q578" s="34"/>
      <c r="R578" s="36"/>
      <c r="S578" s="21"/>
      <c r="T578" s="34"/>
      <c r="U578" s="34"/>
      <c r="V578" s="34"/>
      <c r="W578" s="37"/>
      <c r="X578" s="35"/>
      <c r="Y578" s="37"/>
      <c r="Z578" s="37"/>
      <c r="AA578" s="37"/>
      <c r="AB578" s="37"/>
      <c r="AC578" s="35"/>
      <c r="AD578" s="38"/>
      <c r="AE578" s="38"/>
      <c r="AF578" s="38"/>
      <c r="AG578" s="38"/>
    </row>
    <row r="579" spans="2:33" hidden="1" outlineLevel="2" x14ac:dyDescent="0.15">
      <c r="B579" s="800" t="s">
        <v>642</v>
      </c>
      <c r="C579" s="815">
        <f t="shared" si="6"/>
        <v>154</v>
      </c>
      <c r="D579" s="843">
        <v>0.22</v>
      </c>
      <c r="E579" s="815">
        <f>D579*'Info utili'!$P$20</f>
        <v>2558.1111111111109</v>
      </c>
      <c r="F579" s="829">
        <v>0.1</v>
      </c>
      <c r="G579" s="878">
        <v>0.3</v>
      </c>
      <c r="M579" s="34"/>
      <c r="N579" s="34"/>
      <c r="O579" s="34"/>
      <c r="P579" s="34"/>
      <c r="Q579" s="34"/>
      <c r="R579" s="36"/>
      <c r="S579" s="21"/>
      <c r="T579" s="34"/>
      <c r="U579" s="34"/>
      <c r="V579" s="34"/>
      <c r="W579" s="37"/>
      <c r="X579" s="35"/>
      <c r="Y579" s="37"/>
      <c r="Z579" s="37"/>
      <c r="AA579" s="37"/>
      <c r="AB579" s="37"/>
      <c r="AC579" s="35"/>
      <c r="AD579" s="38"/>
      <c r="AE579" s="38"/>
      <c r="AF579" s="38"/>
      <c r="AG579" s="38"/>
    </row>
    <row r="580" spans="2:33" hidden="1" outlineLevel="2" x14ac:dyDescent="0.15">
      <c r="B580" s="800" t="s">
        <v>643</v>
      </c>
      <c r="C580" s="815">
        <f t="shared" si="6"/>
        <v>109.2</v>
      </c>
      <c r="D580" s="843">
        <v>0.156</v>
      </c>
      <c r="E580" s="815">
        <f>D580*'Info utili'!$P$20</f>
        <v>1813.9333333333332</v>
      </c>
      <c r="F580" s="829">
        <v>0.1</v>
      </c>
      <c r="G580" s="878">
        <v>0.3</v>
      </c>
      <c r="M580" s="34"/>
      <c r="N580" s="34"/>
      <c r="O580" s="34"/>
      <c r="P580" s="34"/>
      <c r="Q580" s="34"/>
      <c r="R580" s="36"/>
      <c r="S580" s="21"/>
      <c r="T580" s="34"/>
      <c r="U580" s="34"/>
      <c r="V580" s="34"/>
      <c r="W580" s="37"/>
      <c r="X580" s="35"/>
      <c r="Y580" s="37"/>
      <c r="Z580" s="37"/>
      <c r="AA580" s="37"/>
      <c r="AB580" s="37"/>
      <c r="AC580" s="35"/>
      <c r="AD580" s="38"/>
      <c r="AE580" s="38"/>
      <c r="AF580" s="38"/>
      <c r="AG580" s="38"/>
    </row>
    <row r="581" spans="2:33" hidden="1" outlineLevel="2" x14ac:dyDescent="0.15">
      <c r="B581" s="800" t="s">
        <v>644</v>
      </c>
      <c r="C581" s="815">
        <f t="shared" si="6"/>
        <v>117.60000000000001</v>
      </c>
      <c r="D581" s="843">
        <v>0.16800000000000001</v>
      </c>
      <c r="E581" s="815">
        <f>D581*'Info utili'!$P$20</f>
        <v>1953.4666666666667</v>
      </c>
      <c r="F581" s="829">
        <v>0.1</v>
      </c>
      <c r="G581" s="878">
        <v>0.3</v>
      </c>
      <c r="M581" s="34"/>
      <c r="N581" s="34"/>
      <c r="O581" s="34"/>
      <c r="P581" s="34"/>
      <c r="Q581" s="34"/>
      <c r="R581" s="36"/>
      <c r="S581" s="21"/>
      <c r="T581" s="34"/>
      <c r="U581" s="34"/>
      <c r="V581" s="34"/>
      <c r="W581" s="37"/>
      <c r="X581" s="35"/>
      <c r="Y581" s="37"/>
      <c r="Z581" s="37"/>
      <c r="AA581" s="37"/>
      <c r="AB581" s="37"/>
      <c r="AC581" s="35"/>
      <c r="AD581" s="38"/>
      <c r="AE581" s="38"/>
      <c r="AF581" s="38"/>
      <c r="AG581" s="38"/>
    </row>
    <row r="582" spans="2:33" hidden="1" outlineLevel="2" x14ac:dyDescent="0.15">
      <c r="B582" s="800" t="s">
        <v>645</v>
      </c>
      <c r="C582" s="815">
        <f t="shared" si="6"/>
        <v>161.70000000000002</v>
      </c>
      <c r="D582" s="843">
        <v>0.23100000000000001</v>
      </c>
      <c r="E582" s="815">
        <f>D582*'Info utili'!$P$20</f>
        <v>2686.0166666666669</v>
      </c>
      <c r="F582" s="829">
        <v>0.1</v>
      </c>
      <c r="G582" s="878">
        <v>0.3</v>
      </c>
      <c r="M582" s="34"/>
      <c r="N582" s="34"/>
      <c r="O582" s="34"/>
      <c r="P582" s="34"/>
      <c r="Q582" s="34"/>
      <c r="R582" s="36"/>
      <c r="S582" s="21"/>
      <c r="T582" s="34"/>
      <c r="U582" s="34"/>
      <c r="V582" s="34"/>
      <c r="W582" s="37"/>
      <c r="X582" s="35"/>
      <c r="Y582" s="37"/>
      <c r="Z582" s="37"/>
      <c r="AA582" s="37"/>
      <c r="AB582" s="37"/>
      <c r="AC582" s="35"/>
      <c r="AD582" s="38"/>
      <c r="AE582" s="38"/>
      <c r="AF582" s="38"/>
      <c r="AG582" s="38"/>
    </row>
    <row r="583" spans="2:33" hidden="1" outlineLevel="2" x14ac:dyDescent="0.15">
      <c r="B583" s="800" t="s">
        <v>646</v>
      </c>
      <c r="C583" s="815">
        <f t="shared" si="6"/>
        <v>182</v>
      </c>
      <c r="D583" s="843">
        <v>0.26</v>
      </c>
      <c r="E583" s="815">
        <f>D583*'Info utili'!$P$20</f>
        <v>3023.2222222222222</v>
      </c>
      <c r="F583" s="829">
        <v>0.1</v>
      </c>
      <c r="G583" s="878">
        <v>0.3</v>
      </c>
      <c r="M583" s="34"/>
      <c r="N583" s="34"/>
      <c r="O583" s="34"/>
      <c r="P583" s="34"/>
      <c r="Q583" s="34"/>
      <c r="R583" s="36"/>
      <c r="S583" s="21"/>
      <c r="T583" s="34"/>
      <c r="U583" s="34"/>
      <c r="V583" s="34"/>
      <c r="W583" s="37"/>
      <c r="X583" s="35"/>
      <c r="Y583" s="37"/>
      <c r="Z583" s="37"/>
      <c r="AA583" s="37"/>
      <c r="AB583" s="37"/>
      <c r="AC583" s="35"/>
      <c r="AD583" s="38"/>
      <c r="AE583" s="38"/>
      <c r="AF583" s="38"/>
      <c r="AG583" s="38"/>
    </row>
    <row r="584" spans="2:33" hidden="1" outlineLevel="2" x14ac:dyDescent="0.15">
      <c r="B584" s="800" t="s">
        <v>647</v>
      </c>
      <c r="C584" s="815">
        <f t="shared" si="6"/>
        <v>164.5</v>
      </c>
      <c r="D584" s="843">
        <v>0.23499999999999999</v>
      </c>
      <c r="E584" s="815">
        <f>D584*'Info utili'!$P$20</f>
        <v>2732.5277777777774</v>
      </c>
      <c r="F584" s="829">
        <v>0.1</v>
      </c>
      <c r="G584" s="878">
        <v>0.3</v>
      </c>
      <c r="M584" s="34"/>
      <c r="N584" s="34"/>
      <c r="O584" s="34"/>
      <c r="P584" s="34"/>
      <c r="Q584" s="34"/>
      <c r="R584" s="36"/>
      <c r="S584" s="21"/>
      <c r="T584" s="34"/>
      <c r="U584" s="34"/>
      <c r="V584" s="34"/>
      <c r="W584" s="37"/>
      <c r="X584" s="35"/>
      <c r="Y584" s="37"/>
      <c r="Z584" s="37"/>
      <c r="AA584" s="37"/>
      <c r="AB584" s="37"/>
      <c r="AC584" s="35"/>
      <c r="AD584" s="38"/>
      <c r="AE584" s="38"/>
      <c r="AF584" s="38"/>
      <c r="AG584" s="38"/>
    </row>
    <row r="585" spans="2:33" hidden="1" outlineLevel="2" x14ac:dyDescent="0.15">
      <c r="B585" s="800" t="s">
        <v>648</v>
      </c>
      <c r="C585" s="815">
        <f t="shared" si="6"/>
        <v>128.1</v>
      </c>
      <c r="D585" s="843">
        <v>0.183</v>
      </c>
      <c r="E585" s="815">
        <f>D585*'Info utili'!$P$20</f>
        <v>2127.8833333333332</v>
      </c>
      <c r="F585" s="829">
        <v>0.1</v>
      </c>
      <c r="G585" s="878">
        <v>0.3</v>
      </c>
      <c r="M585" s="34"/>
      <c r="N585" s="34"/>
      <c r="O585" s="34"/>
      <c r="P585" s="34"/>
      <c r="Q585" s="34"/>
      <c r="R585" s="36"/>
      <c r="S585" s="21"/>
      <c r="T585" s="34"/>
      <c r="U585" s="34"/>
      <c r="V585" s="34"/>
      <c r="W585" s="37"/>
      <c r="X585" s="35"/>
      <c r="Y585" s="37"/>
      <c r="Z585" s="37"/>
      <c r="AA585" s="37"/>
      <c r="AB585" s="37"/>
      <c r="AC585" s="35"/>
      <c r="AD585" s="38"/>
      <c r="AE585" s="38"/>
      <c r="AF585" s="38"/>
      <c r="AG585" s="38"/>
    </row>
    <row r="586" spans="2:33" hidden="1" outlineLevel="2" x14ac:dyDescent="0.15">
      <c r="B586" s="800" t="s">
        <v>649</v>
      </c>
      <c r="C586" s="815">
        <f t="shared" si="6"/>
        <v>126</v>
      </c>
      <c r="D586" s="843">
        <v>0.18</v>
      </c>
      <c r="E586" s="815">
        <f>D586*'Info utili'!$P$20</f>
        <v>2093</v>
      </c>
      <c r="F586" s="829">
        <v>0.1</v>
      </c>
      <c r="G586" s="878">
        <v>0.3</v>
      </c>
      <c r="M586" s="34"/>
      <c r="N586" s="34"/>
      <c r="O586" s="34"/>
      <c r="P586" s="34"/>
      <c r="Q586" s="34"/>
      <c r="R586" s="36"/>
      <c r="S586" s="21"/>
      <c r="T586" s="34"/>
      <c r="U586" s="34"/>
      <c r="V586" s="34"/>
      <c r="W586" s="37"/>
      <c r="X586" s="35"/>
      <c r="Y586" s="37"/>
      <c r="Z586" s="37"/>
      <c r="AA586" s="37"/>
      <c r="AB586" s="37"/>
      <c r="AC586" s="35"/>
      <c r="AD586" s="38"/>
      <c r="AE586" s="38"/>
      <c r="AF586" s="38"/>
      <c r="AG586" s="38"/>
    </row>
    <row r="587" spans="2:33" hidden="1" outlineLevel="2" x14ac:dyDescent="0.15">
      <c r="B587" s="800" t="s">
        <v>650</v>
      </c>
      <c r="C587" s="815">
        <f t="shared" si="6"/>
        <v>127.39999999999999</v>
      </c>
      <c r="D587" s="843">
        <v>0.182</v>
      </c>
      <c r="E587" s="815">
        <f>D587*'Info utili'!$P$20</f>
        <v>2116.2555555555555</v>
      </c>
      <c r="F587" s="829">
        <v>0.1</v>
      </c>
      <c r="G587" s="878">
        <v>0.3</v>
      </c>
      <c r="M587" s="34"/>
      <c r="N587" s="34"/>
      <c r="O587" s="34"/>
      <c r="P587" s="34"/>
      <c r="Q587" s="34"/>
      <c r="R587" s="36"/>
      <c r="S587" s="21"/>
      <c r="T587" s="34"/>
      <c r="U587" s="34"/>
      <c r="V587" s="34"/>
      <c r="W587" s="37"/>
      <c r="X587" s="35"/>
      <c r="Y587" s="37"/>
      <c r="Z587" s="37"/>
      <c r="AA587" s="37"/>
      <c r="AB587" s="37"/>
      <c r="AC587" s="35"/>
      <c r="AD587" s="38"/>
      <c r="AE587" s="38"/>
      <c r="AF587" s="38"/>
      <c r="AG587" s="38"/>
    </row>
    <row r="588" spans="2:33" hidden="1" outlineLevel="2" x14ac:dyDescent="0.15">
      <c r="B588" s="800" t="s">
        <v>651</v>
      </c>
      <c r="C588" s="815">
        <f t="shared" si="6"/>
        <v>7</v>
      </c>
      <c r="D588" s="843">
        <v>0.01</v>
      </c>
      <c r="E588" s="815">
        <f>D588*'Info utili'!$P$20</f>
        <v>116.27777777777777</v>
      </c>
      <c r="F588" s="829">
        <v>0.1</v>
      </c>
      <c r="G588" s="878">
        <v>0.3</v>
      </c>
      <c r="M588" s="34"/>
      <c r="N588" s="34"/>
      <c r="O588" s="34"/>
      <c r="P588" s="34"/>
      <c r="Q588" s="34"/>
      <c r="R588" s="36"/>
      <c r="S588" s="21"/>
      <c r="T588" s="34"/>
      <c r="U588" s="34"/>
      <c r="V588" s="34"/>
      <c r="W588" s="37"/>
      <c r="X588" s="35"/>
      <c r="Y588" s="37"/>
      <c r="Z588" s="37"/>
      <c r="AA588" s="37"/>
      <c r="AB588" s="37"/>
      <c r="AC588" s="35"/>
      <c r="AD588" s="38"/>
      <c r="AE588" s="38"/>
      <c r="AF588" s="38"/>
      <c r="AG588" s="38"/>
    </row>
    <row r="589" spans="2:33" hidden="1" outlineLevel="2" x14ac:dyDescent="0.15">
      <c r="B589" s="800" t="s">
        <v>652</v>
      </c>
      <c r="C589" s="815">
        <f t="shared" si="6"/>
        <v>167.29999999999998</v>
      </c>
      <c r="D589" s="843">
        <v>0.23899999999999999</v>
      </c>
      <c r="E589" s="815">
        <f>D589*'Info utili'!$P$20</f>
        <v>2779.0388888888888</v>
      </c>
      <c r="F589" s="829">
        <v>0.1</v>
      </c>
      <c r="G589" s="878">
        <v>0.3</v>
      </c>
      <c r="M589" s="34"/>
      <c r="N589" s="34"/>
      <c r="O589" s="34"/>
      <c r="P589" s="34"/>
      <c r="Q589" s="34"/>
      <c r="R589" s="36"/>
      <c r="S589" s="21"/>
      <c r="T589" s="34"/>
      <c r="U589" s="34"/>
      <c r="V589" s="34"/>
      <c r="W589" s="37"/>
      <c r="X589" s="35"/>
      <c r="Y589" s="37"/>
      <c r="Z589" s="37"/>
      <c r="AA589" s="37"/>
      <c r="AB589" s="37"/>
      <c r="AC589" s="35"/>
      <c r="AD589" s="38"/>
      <c r="AE589" s="38"/>
      <c r="AF589" s="38"/>
      <c r="AG589" s="38"/>
    </row>
    <row r="590" spans="2:33" hidden="1" outlineLevel="2" x14ac:dyDescent="0.15">
      <c r="B590" s="800" t="s">
        <v>653</v>
      </c>
      <c r="C590" s="815">
        <f t="shared" si="6"/>
        <v>109.2</v>
      </c>
      <c r="D590" s="843">
        <v>0.156</v>
      </c>
      <c r="E590" s="815">
        <f>D590*'Info utili'!$P$20</f>
        <v>1813.9333333333332</v>
      </c>
      <c r="F590" s="829">
        <v>0.1</v>
      </c>
      <c r="G590" s="878">
        <v>0.3</v>
      </c>
      <c r="M590" s="34"/>
      <c r="N590" s="34"/>
      <c r="O590" s="34"/>
      <c r="P590" s="34"/>
      <c r="Q590" s="34"/>
      <c r="R590" s="36"/>
      <c r="S590" s="21"/>
      <c r="T590" s="34"/>
      <c r="U590" s="34"/>
      <c r="V590" s="34"/>
      <c r="W590" s="37"/>
      <c r="X590" s="35"/>
      <c r="Y590" s="37"/>
      <c r="Z590" s="37"/>
      <c r="AA590" s="37"/>
      <c r="AB590" s="37"/>
      <c r="AC590" s="35"/>
      <c r="AD590" s="38"/>
      <c r="AE590" s="38"/>
      <c r="AF590" s="38"/>
      <c r="AG590" s="38"/>
    </row>
    <row r="591" spans="2:33" hidden="1" outlineLevel="2" x14ac:dyDescent="0.15">
      <c r="B591" s="801"/>
      <c r="C591" s="823"/>
      <c r="D591" s="823"/>
      <c r="E591" s="823"/>
      <c r="F591" s="802"/>
      <c r="G591" s="802"/>
    </row>
    <row r="592" spans="2:33" hidden="1" outlineLevel="2" x14ac:dyDescent="0.15"/>
    <row r="593" spans="2:22" hidden="1" outlineLevel="2" x14ac:dyDescent="0.15">
      <c r="B593" s="819" t="s">
        <v>851</v>
      </c>
      <c r="C593" s="925"/>
      <c r="D593" s="925"/>
      <c r="E593" s="926"/>
      <c r="F593" s="926"/>
    </row>
    <row r="594" spans="2:22" ht="14" hidden="1" outlineLevel="2" x14ac:dyDescent="0.15">
      <c r="B594" s="1550" t="s">
        <v>846</v>
      </c>
      <c r="C594" s="879" t="s">
        <v>847</v>
      </c>
      <c r="D594" s="879" t="s">
        <v>850</v>
      </c>
      <c r="E594" s="1551" t="s">
        <v>849</v>
      </c>
      <c r="F594" s="1551" t="s">
        <v>723</v>
      </c>
      <c r="V594" s="22"/>
    </row>
    <row r="595" spans="2:22" hidden="1" outlineLevel="2" x14ac:dyDescent="0.15">
      <c r="B595" s="1463" t="s">
        <v>335</v>
      </c>
      <c r="C595" s="882">
        <v>0.2</v>
      </c>
      <c r="D595" s="979">
        <f>C595*'Info utili'!$P$20</f>
        <v>2325.5555555555557</v>
      </c>
      <c r="E595" s="878">
        <v>0.1</v>
      </c>
      <c r="F595" s="829">
        <v>0.3</v>
      </c>
      <c r="V595" s="22"/>
    </row>
    <row r="596" spans="2:22" hidden="1" outlineLevel="2" x14ac:dyDescent="0.15">
      <c r="B596" s="800" t="s">
        <v>337</v>
      </c>
      <c r="C596" s="843">
        <v>0.23</v>
      </c>
      <c r="D596" s="812">
        <f>C596*'Info utili'!$P$20</f>
        <v>2674.3888888888887</v>
      </c>
      <c r="E596" s="878">
        <v>0.1</v>
      </c>
      <c r="F596" s="829">
        <v>0.3</v>
      </c>
      <c r="V596" s="22"/>
    </row>
    <row r="597" spans="2:22" hidden="1" outlineLevel="2" x14ac:dyDescent="0.15">
      <c r="B597" s="800" t="s">
        <v>338</v>
      </c>
      <c r="C597" s="843">
        <v>1.4E-2</v>
      </c>
      <c r="D597" s="812">
        <f>C597*'Info utili'!$P$20</f>
        <v>162.78888888888889</v>
      </c>
      <c r="E597" s="878">
        <v>0.1</v>
      </c>
      <c r="F597" s="829">
        <v>0.3</v>
      </c>
      <c r="V597" s="22"/>
    </row>
    <row r="598" spans="2:22" hidden="1" outlineLevel="2" x14ac:dyDescent="0.15">
      <c r="B598" s="800" t="s">
        <v>355</v>
      </c>
      <c r="C598" s="843">
        <v>0.01</v>
      </c>
      <c r="D598" s="812">
        <f>C598*'Info utili'!$P$20</f>
        <v>116.27777777777777</v>
      </c>
      <c r="E598" s="878">
        <v>0.1</v>
      </c>
      <c r="F598" s="829">
        <v>0.3</v>
      </c>
      <c r="V598" s="22"/>
    </row>
    <row r="599" spans="2:22" hidden="1" outlineLevel="2" x14ac:dyDescent="0.15">
      <c r="B599" s="800" t="s">
        <v>654</v>
      </c>
      <c r="C599" s="843">
        <v>1.2999999999999999E-2</v>
      </c>
      <c r="D599" s="812">
        <f>C599*'Info utili'!$P$20</f>
        <v>151.1611111111111</v>
      </c>
      <c r="E599" s="878">
        <v>0.1</v>
      </c>
      <c r="F599" s="829">
        <v>0.3</v>
      </c>
      <c r="V599" s="22"/>
    </row>
    <row r="600" spans="2:22" hidden="1" outlineLevel="2" x14ac:dyDescent="0.15">
      <c r="B600" s="800" t="s">
        <v>482</v>
      </c>
      <c r="C600" s="843">
        <v>1.2E-2</v>
      </c>
      <c r="D600" s="812">
        <f>C600*'Info utili'!$P$20</f>
        <v>139.53333333333333</v>
      </c>
      <c r="E600" s="878">
        <v>0.1</v>
      </c>
      <c r="F600" s="829">
        <v>0.3</v>
      </c>
      <c r="V600" s="22"/>
    </row>
    <row r="601" spans="2:22" hidden="1" outlineLevel="2" x14ac:dyDescent="0.15">
      <c r="B601" s="800" t="s">
        <v>515</v>
      </c>
      <c r="C601" s="843">
        <v>7.0000000000000001E-3</v>
      </c>
      <c r="D601" s="812">
        <f>C601*'Info utili'!$P$20</f>
        <v>81.394444444444446</v>
      </c>
      <c r="E601" s="878">
        <v>0.1</v>
      </c>
      <c r="F601" s="829">
        <v>0.3</v>
      </c>
      <c r="V601" s="22"/>
    </row>
    <row r="602" spans="2:22" hidden="1" outlineLevel="2" x14ac:dyDescent="0.15">
      <c r="B602" s="800" t="s">
        <v>591</v>
      </c>
      <c r="C602" s="843">
        <v>0.02</v>
      </c>
      <c r="D602" s="812">
        <f>C602*'Info utili'!$P$20</f>
        <v>232.55555555555554</v>
      </c>
      <c r="E602" s="878">
        <v>0.1</v>
      </c>
      <c r="F602" s="829">
        <v>0.3</v>
      </c>
      <c r="V602" s="22"/>
    </row>
    <row r="603" spans="2:22" hidden="1" outlineLevel="2" x14ac:dyDescent="0.15">
      <c r="B603" s="800" t="s">
        <v>596</v>
      </c>
      <c r="C603" s="843">
        <v>1.0999999999999999E-2</v>
      </c>
      <c r="D603" s="812">
        <f>C603*'Info utili'!$P$20</f>
        <v>127.90555555555554</v>
      </c>
      <c r="E603" s="878">
        <v>0.1</v>
      </c>
      <c r="F603" s="829">
        <v>0.3</v>
      </c>
      <c r="V603" s="22"/>
    </row>
    <row r="604" spans="2:22" hidden="1" outlineLevel="2" x14ac:dyDescent="0.15">
      <c r="B604" s="800" t="s">
        <v>655</v>
      </c>
      <c r="C604" s="843">
        <v>1.7999999999999999E-2</v>
      </c>
      <c r="D604" s="812">
        <f>C604*'Info utili'!$P$20</f>
        <v>209.29999999999998</v>
      </c>
      <c r="E604" s="878">
        <v>0.1</v>
      </c>
      <c r="F604" s="829">
        <v>0.3</v>
      </c>
      <c r="V604" s="22"/>
    </row>
    <row r="605" spans="2:22" hidden="1" outlineLevel="2" x14ac:dyDescent="0.15">
      <c r="B605" s="800" t="s">
        <v>656</v>
      </c>
      <c r="C605" s="843">
        <v>1.2E-2</v>
      </c>
      <c r="D605" s="812">
        <f>C605*'Info utili'!$P$20</f>
        <v>139.53333333333333</v>
      </c>
      <c r="E605" s="878">
        <v>0.1</v>
      </c>
      <c r="F605" s="829">
        <v>0.3</v>
      </c>
      <c r="V605" s="22"/>
    </row>
    <row r="606" spans="2:22" hidden="1" outlineLevel="2" x14ac:dyDescent="0.15">
      <c r="B606" s="800" t="s">
        <v>637</v>
      </c>
      <c r="C606" s="843">
        <v>0.01</v>
      </c>
      <c r="D606" s="812">
        <f>C606*'Info utili'!$P$20</f>
        <v>116.27777777777777</v>
      </c>
      <c r="E606" s="878">
        <v>0.1</v>
      </c>
      <c r="F606" s="829">
        <v>0.3</v>
      </c>
      <c r="V606" s="22"/>
    </row>
    <row r="607" spans="2:22" hidden="1" outlineLevel="2" x14ac:dyDescent="0.15">
      <c r="B607" s="800" t="s">
        <v>657</v>
      </c>
      <c r="C607" s="843">
        <v>1.2E-2</v>
      </c>
      <c r="D607" s="812">
        <f>C607*'Info utili'!$P$20</f>
        <v>139.53333333333333</v>
      </c>
      <c r="E607" s="878">
        <v>0.1</v>
      </c>
      <c r="F607" s="829">
        <v>0.3</v>
      </c>
      <c r="V607" s="22"/>
    </row>
    <row r="608" spans="2:22" hidden="1" outlineLevel="2" x14ac:dyDescent="0.15">
      <c r="B608" s="801"/>
      <c r="C608" s="823"/>
      <c r="D608" s="823"/>
      <c r="E608" s="802"/>
      <c r="F608" s="802"/>
    </row>
    <row r="609" spans="1:256" hidden="1" outlineLevel="2" x14ac:dyDescent="0.15"/>
    <row r="610" spans="1:256" outlineLevel="1" x14ac:dyDescent="0.15"/>
    <row r="611" spans="1:256" s="26" customFormat="1" ht="15.75" customHeight="1" outlineLevel="1" x14ac:dyDescent="0.15">
      <c r="A611" s="13"/>
      <c r="B611" s="1868" t="s">
        <v>853</v>
      </c>
      <c r="C611" s="1869"/>
      <c r="D611" s="1869"/>
      <c r="E611" s="1869"/>
      <c r="F611" s="1869"/>
      <c r="G611" s="1869"/>
      <c r="H611" s="1869"/>
      <c r="I611" s="1869"/>
      <c r="J611" s="1870"/>
      <c r="K611" s="28"/>
      <c r="L611" s="28"/>
      <c r="M611" s="28"/>
      <c r="N611" s="28"/>
      <c r="O611" s="28"/>
      <c r="P611" s="28"/>
      <c r="Q611" s="28"/>
      <c r="R611" s="28"/>
      <c r="S611" s="28"/>
      <c r="T611" s="28"/>
      <c r="U611" s="28"/>
      <c r="V611" s="28"/>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c r="BG611" s="29"/>
      <c r="BH611" s="29"/>
      <c r="BI611" s="29"/>
      <c r="BJ611" s="29"/>
      <c r="BK611" s="29"/>
      <c r="BL611" s="29"/>
      <c r="BM611" s="29"/>
      <c r="BN611" s="29"/>
      <c r="BO611" s="29"/>
      <c r="BP611" s="29"/>
      <c r="BQ611" s="29"/>
      <c r="BR611" s="29"/>
      <c r="BS611" s="29"/>
      <c r="BT611" s="29"/>
      <c r="BU611" s="29"/>
      <c r="BV611" s="29"/>
      <c r="BW611" s="29"/>
      <c r="BX611" s="29"/>
      <c r="BY611" s="29"/>
      <c r="BZ611" s="29"/>
      <c r="CA611" s="29"/>
      <c r="CB611" s="29"/>
      <c r="CC611" s="29"/>
      <c r="CD611" s="29"/>
      <c r="CE611" s="29"/>
      <c r="CF611" s="29"/>
      <c r="CG611" s="29"/>
      <c r="CH611" s="29"/>
      <c r="CI611" s="29"/>
      <c r="CJ611" s="29"/>
      <c r="CK611" s="29"/>
      <c r="CL611" s="29"/>
      <c r="CM611" s="29"/>
      <c r="CN611" s="29"/>
      <c r="CO611" s="29"/>
      <c r="CP611" s="29"/>
      <c r="CQ611" s="29"/>
      <c r="CR611" s="29"/>
      <c r="CS611" s="29"/>
      <c r="CT611" s="29"/>
      <c r="CU611" s="29"/>
      <c r="CV611" s="29"/>
      <c r="CW611" s="29"/>
      <c r="CX611" s="29"/>
      <c r="CY611" s="29"/>
      <c r="CZ611" s="29"/>
      <c r="DA611" s="29"/>
      <c r="DB611" s="29"/>
      <c r="DC611" s="29"/>
      <c r="DD611" s="29"/>
      <c r="DE611" s="29"/>
      <c r="DF611" s="29"/>
      <c r="DG611" s="29"/>
      <c r="DH611" s="29"/>
      <c r="DI611" s="29"/>
      <c r="DJ611" s="29"/>
      <c r="DK611" s="29"/>
      <c r="DL611" s="29"/>
      <c r="DM611" s="29"/>
      <c r="DN611" s="29"/>
      <c r="DO611" s="29"/>
      <c r="DP611" s="29"/>
      <c r="DQ611" s="29"/>
      <c r="DR611" s="29"/>
      <c r="DS611" s="29"/>
      <c r="DT611" s="29"/>
      <c r="DU611" s="29"/>
      <c r="DV611" s="29"/>
      <c r="DW611" s="29"/>
      <c r="DX611" s="29"/>
      <c r="DY611" s="29"/>
      <c r="DZ611" s="29"/>
      <c r="EA611" s="29"/>
      <c r="EB611" s="29"/>
      <c r="EC611" s="29"/>
      <c r="ED611" s="29"/>
      <c r="EE611" s="29"/>
      <c r="EF611" s="29"/>
      <c r="EG611" s="29"/>
      <c r="EH611" s="29"/>
      <c r="EI611" s="29"/>
      <c r="EJ611" s="29"/>
      <c r="EK611" s="29"/>
      <c r="EL611" s="29"/>
      <c r="EM611" s="29"/>
      <c r="EN611" s="29"/>
      <c r="EO611" s="29"/>
      <c r="EP611" s="29"/>
      <c r="EQ611" s="29"/>
      <c r="ER611" s="29"/>
      <c r="ES611" s="29"/>
      <c r="ET611" s="29"/>
      <c r="EU611" s="29"/>
      <c r="EV611" s="29"/>
      <c r="EW611" s="29"/>
      <c r="EX611" s="29"/>
      <c r="EY611" s="29"/>
      <c r="EZ611" s="29"/>
      <c r="FA611" s="29"/>
      <c r="FB611" s="29"/>
      <c r="FC611" s="29"/>
      <c r="FD611" s="29"/>
      <c r="FE611" s="29"/>
      <c r="FF611" s="29"/>
      <c r="FG611" s="29"/>
      <c r="FH611" s="29"/>
      <c r="FI611" s="29"/>
      <c r="FJ611" s="29"/>
      <c r="FK611" s="29"/>
      <c r="FL611" s="29"/>
      <c r="FM611" s="29"/>
      <c r="FN611" s="29"/>
      <c r="FO611" s="29"/>
      <c r="FP611" s="29"/>
      <c r="FQ611" s="29"/>
      <c r="FR611" s="29"/>
      <c r="FS611" s="29"/>
      <c r="FT611" s="29"/>
      <c r="FU611" s="29"/>
      <c r="FV611" s="29"/>
      <c r="FW611" s="29"/>
      <c r="FX611" s="29"/>
      <c r="FY611" s="29"/>
      <c r="FZ611" s="29"/>
      <c r="GA611" s="29"/>
      <c r="GB611" s="29"/>
      <c r="GC611" s="13"/>
      <c r="GD611" s="13"/>
      <c r="GE611" s="13"/>
      <c r="GF611" s="13"/>
      <c r="GG611" s="13"/>
      <c r="GH611" s="13"/>
      <c r="GI611" s="13"/>
      <c r="GJ611" s="13"/>
      <c r="GK611" s="13"/>
      <c r="GL611" s="13"/>
      <c r="GM611" s="13"/>
      <c r="GN611" s="13"/>
      <c r="GO611" s="13"/>
      <c r="GP611" s="13"/>
      <c r="GQ611" s="13"/>
      <c r="GR611" s="13"/>
      <c r="GS611" s="13"/>
      <c r="GT611" s="13"/>
      <c r="GU611" s="13"/>
      <c r="GV611" s="13"/>
      <c r="GW611" s="13"/>
      <c r="GX611" s="13"/>
      <c r="GY611" s="13"/>
      <c r="GZ611" s="13"/>
      <c r="HA611" s="13"/>
      <c r="HB611" s="13"/>
      <c r="HC611" s="13"/>
      <c r="HD611" s="13"/>
      <c r="HE611" s="13"/>
      <c r="HF611" s="13"/>
      <c r="HG611" s="13"/>
      <c r="HH611" s="13"/>
      <c r="HI611" s="13"/>
      <c r="HJ611" s="13"/>
      <c r="HK611" s="13"/>
      <c r="HL611" s="13"/>
      <c r="HM611" s="13"/>
      <c r="HN611" s="13"/>
      <c r="HO611" s="13"/>
      <c r="HP611" s="13"/>
      <c r="HQ611" s="13"/>
      <c r="HR611" s="13"/>
      <c r="HS611" s="13"/>
      <c r="HT611" s="13"/>
      <c r="HU611" s="13"/>
      <c r="HV611" s="13"/>
      <c r="HW611" s="13"/>
      <c r="HX611" s="13"/>
      <c r="HY611" s="13"/>
      <c r="HZ611" s="13"/>
      <c r="IA611" s="13"/>
      <c r="IB611" s="13"/>
      <c r="IC611" s="13"/>
      <c r="ID611" s="13"/>
      <c r="IE611" s="13"/>
      <c r="IF611" s="13"/>
      <c r="IG611" s="13"/>
      <c r="IH611" s="13"/>
      <c r="II611" s="13"/>
      <c r="IJ611" s="13"/>
      <c r="IK611" s="13"/>
      <c r="IL611" s="13"/>
      <c r="IM611" s="13"/>
      <c r="IN611" s="13"/>
      <c r="IO611" s="13"/>
      <c r="IP611" s="13"/>
      <c r="IQ611" s="13"/>
      <c r="IR611" s="13"/>
      <c r="IS611" s="13"/>
      <c r="IT611" s="13"/>
      <c r="IU611" s="13"/>
      <c r="IV611" s="13"/>
    </row>
    <row r="612" spans="1:256" outlineLevel="2" x14ac:dyDescent="0.15"/>
    <row r="613" spans="1:256" outlineLevel="2" x14ac:dyDescent="0.15">
      <c r="B613" s="840" t="s">
        <v>855</v>
      </c>
      <c r="C613" s="1859" t="s">
        <v>847</v>
      </c>
      <c r="D613" s="1860"/>
      <c r="E613" s="1861"/>
      <c r="F613" s="936"/>
      <c r="R613" s="13"/>
      <c r="S613" s="13"/>
      <c r="T613" s="13"/>
      <c r="U613" s="13"/>
      <c r="V613" s="13"/>
    </row>
    <row r="614" spans="1:256" outlineLevel="2" x14ac:dyDescent="0.15">
      <c r="B614" s="1486"/>
      <c r="C614" s="1553" t="s">
        <v>768</v>
      </c>
      <c r="D614" s="1535" t="s">
        <v>124</v>
      </c>
      <c r="E614" s="1535" t="s">
        <v>848</v>
      </c>
      <c r="F614" s="1552" t="s">
        <v>723</v>
      </c>
      <c r="R614" s="13"/>
      <c r="S614" s="13"/>
      <c r="T614" s="13"/>
      <c r="U614" s="13"/>
      <c r="V614" s="13"/>
    </row>
    <row r="615" spans="1:256" outlineLevel="2" x14ac:dyDescent="0.15">
      <c r="B615" s="800" t="s">
        <v>856</v>
      </c>
      <c r="C615" s="869">
        <v>1.2E-2</v>
      </c>
      <c r="D615" s="843">
        <v>4.2000000000000003E-2</v>
      </c>
      <c r="E615" s="843">
        <v>6.0000000000000001E-3</v>
      </c>
      <c r="F615" s="807">
        <v>0.3</v>
      </c>
      <c r="G615" s="6"/>
      <c r="H615" s="6"/>
      <c r="I615" s="6"/>
      <c r="J615" s="6"/>
      <c r="K615" s="6"/>
      <c r="L615" s="6"/>
      <c r="M615" s="6"/>
      <c r="N615" s="6"/>
      <c r="R615" s="13"/>
      <c r="S615" s="13"/>
      <c r="T615" s="13"/>
      <c r="U615" s="13"/>
      <c r="V615" s="13"/>
    </row>
    <row r="616" spans="1:256" outlineLevel="2" x14ac:dyDescent="0.15">
      <c r="B616" s="800" t="s">
        <v>861</v>
      </c>
      <c r="C616" s="869">
        <v>0.01</v>
      </c>
      <c r="D616" s="843">
        <v>3.4000000000000002E-2</v>
      </c>
      <c r="E616" s="843">
        <v>6.0000000000000001E-3</v>
      </c>
      <c r="F616" s="807">
        <v>0.3</v>
      </c>
      <c r="G616" s="6"/>
      <c r="H616" s="6"/>
      <c r="I616" s="6"/>
      <c r="J616" s="6"/>
      <c r="K616" s="6"/>
      <c r="L616" s="6"/>
      <c r="M616" s="6"/>
      <c r="N616" s="6"/>
      <c r="R616" s="13"/>
      <c r="S616" s="13"/>
      <c r="T616" s="13"/>
      <c r="U616" s="13"/>
      <c r="V616" s="13"/>
    </row>
    <row r="617" spans="1:256" outlineLevel="2" x14ac:dyDescent="0.15">
      <c r="B617" s="800" t="s">
        <v>857</v>
      </c>
      <c r="C617" s="869">
        <v>1.2999999999999999E-2</v>
      </c>
      <c r="D617" s="843">
        <v>5.7000000000000002E-2</v>
      </c>
      <c r="E617" s="843">
        <v>6.0000000000000001E-3</v>
      </c>
      <c r="F617" s="807">
        <v>0.3</v>
      </c>
      <c r="G617" s="6"/>
      <c r="H617" s="6"/>
      <c r="I617" s="6"/>
      <c r="J617" s="6"/>
      <c r="K617" s="6"/>
      <c r="L617" s="6"/>
      <c r="M617" s="6"/>
      <c r="N617" s="6"/>
      <c r="R617" s="13"/>
      <c r="S617" s="13"/>
      <c r="T617" s="13"/>
      <c r="U617" s="13"/>
      <c r="V617" s="13"/>
    </row>
    <row r="618" spans="1:256" outlineLevel="2" x14ac:dyDescent="0.15">
      <c r="B618" s="800" t="s">
        <v>858</v>
      </c>
      <c r="C618" s="869">
        <v>1.0999999999999999E-2</v>
      </c>
      <c r="D618" s="843">
        <v>4.2000000000000003E-2</v>
      </c>
      <c r="E618" s="843">
        <v>6.0000000000000001E-3</v>
      </c>
      <c r="F618" s="807">
        <v>0.3</v>
      </c>
      <c r="G618" s="6"/>
      <c r="H618" s="6"/>
      <c r="I618" s="6"/>
      <c r="J618" s="6"/>
      <c r="K618" s="6"/>
      <c r="L618" s="6"/>
      <c r="M618" s="6"/>
      <c r="N618" s="6"/>
      <c r="R618" s="13"/>
      <c r="S618" s="13"/>
      <c r="T618" s="13"/>
      <c r="U618" s="13"/>
      <c r="V618" s="13"/>
    </row>
    <row r="619" spans="1:256" outlineLevel="2" x14ac:dyDescent="0.15">
      <c r="B619" s="800" t="s">
        <v>854</v>
      </c>
      <c r="C619" s="869">
        <v>2.9000000000000001E-2</v>
      </c>
      <c r="D619" s="843">
        <v>0.183</v>
      </c>
      <c r="E619" s="843">
        <v>6.0000000000000001E-3</v>
      </c>
      <c r="F619" s="807">
        <v>0.3</v>
      </c>
      <c r="G619" s="6"/>
      <c r="H619" s="6"/>
      <c r="I619" s="6"/>
      <c r="J619" s="6"/>
      <c r="K619" s="6"/>
      <c r="L619" s="6"/>
      <c r="M619" s="6"/>
      <c r="N619" s="6"/>
      <c r="R619" s="13"/>
      <c r="S619" s="13"/>
      <c r="T619" s="13"/>
      <c r="U619" s="13"/>
      <c r="V619" s="13"/>
    </row>
    <row r="620" spans="1:256" outlineLevel="2" x14ac:dyDescent="0.15">
      <c r="B620" s="800" t="s">
        <v>860</v>
      </c>
      <c r="C620" s="869">
        <v>0.01</v>
      </c>
      <c r="D620" s="843">
        <v>3.5000000000000003E-2</v>
      </c>
      <c r="E620" s="843">
        <v>6.0000000000000001E-3</v>
      </c>
      <c r="F620" s="807">
        <v>0.3</v>
      </c>
      <c r="G620" s="6"/>
      <c r="H620" s="6"/>
      <c r="I620" s="6"/>
      <c r="J620" s="6"/>
      <c r="K620" s="6"/>
      <c r="L620" s="6"/>
      <c r="M620" s="6"/>
      <c r="N620" s="6"/>
      <c r="R620" s="13"/>
      <c r="S620" s="13"/>
      <c r="T620" s="13"/>
      <c r="U620" s="13"/>
      <c r="V620" s="13"/>
    </row>
    <row r="621" spans="1:256" outlineLevel="2" x14ac:dyDescent="0.15">
      <c r="B621" s="800" t="s">
        <v>859</v>
      </c>
      <c r="C621" s="869">
        <v>1.4999999999999999E-2</v>
      </c>
      <c r="D621" s="843">
        <v>7.2999999999999995E-2</v>
      </c>
      <c r="E621" s="843">
        <v>6.0000000000000001E-3</v>
      </c>
      <c r="F621" s="807">
        <v>0.3</v>
      </c>
      <c r="G621" s="6"/>
      <c r="H621" s="6"/>
      <c r="I621" s="6"/>
      <c r="J621" s="6"/>
      <c r="K621" s="6"/>
      <c r="L621" s="6"/>
      <c r="M621" s="6"/>
      <c r="N621" s="6"/>
      <c r="R621" s="13"/>
      <c r="S621" s="13"/>
      <c r="T621" s="13"/>
      <c r="U621" s="13"/>
      <c r="V621" s="13"/>
    </row>
    <row r="622" spans="1:256" outlineLevel="2" x14ac:dyDescent="0.15">
      <c r="B622" s="800" t="s">
        <v>868</v>
      </c>
      <c r="C622" s="869">
        <v>1.7000000000000001E-2</v>
      </c>
      <c r="D622" s="843">
        <v>9.4E-2</v>
      </c>
      <c r="E622" s="843">
        <v>6.0000000000000001E-3</v>
      </c>
      <c r="F622" s="807">
        <v>0.3</v>
      </c>
      <c r="G622" s="6"/>
      <c r="H622" s="6"/>
      <c r="I622" s="6"/>
      <c r="J622" s="6"/>
      <c r="K622" s="6"/>
      <c r="L622" s="6"/>
      <c r="M622" s="6"/>
      <c r="N622" s="6"/>
      <c r="R622" s="13"/>
      <c r="S622" s="13"/>
      <c r="T622" s="13"/>
      <c r="U622" s="13"/>
      <c r="V622" s="13"/>
    </row>
    <row r="623" spans="1:256" outlineLevel="2" x14ac:dyDescent="0.15">
      <c r="B623" s="800" t="s">
        <v>870</v>
      </c>
      <c r="C623" s="869">
        <v>0.01</v>
      </c>
      <c r="D623" s="843">
        <v>3.4000000000000002E-2</v>
      </c>
      <c r="E623" s="843">
        <v>6.0000000000000001E-3</v>
      </c>
      <c r="F623" s="807">
        <v>0.3</v>
      </c>
      <c r="G623" s="6"/>
      <c r="H623" s="6"/>
      <c r="I623" s="6"/>
      <c r="J623" s="6"/>
      <c r="K623" s="6"/>
      <c r="L623" s="6"/>
      <c r="M623" s="6"/>
      <c r="N623" s="6"/>
      <c r="R623" s="13"/>
      <c r="S623" s="13"/>
      <c r="T623" s="13"/>
      <c r="U623" s="13"/>
      <c r="V623" s="13"/>
    </row>
    <row r="624" spans="1:256" outlineLevel="2" x14ac:dyDescent="0.15">
      <c r="B624" s="800"/>
      <c r="C624" s="869"/>
      <c r="D624" s="843"/>
      <c r="E624" s="843"/>
      <c r="F624" s="807"/>
      <c r="G624" s="6"/>
      <c r="H624" s="6"/>
      <c r="I624" s="6"/>
      <c r="J624" s="6"/>
      <c r="K624" s="6"/>
      <c r="L624" s="6"/>
      <c r="M624" s="6"/>
      <c r="N624" s="6"/>
      <c r="R624" s="13"/>
      <c r="S624" s="13"/>
      <c r="T624" s="13"/>
      <c r="U624" s="13"/>
      <c r="V624" s="13"/>
    </row>
    <row r="625" spans="2:22" outlineLevel="2" x14ac:dyDescent="0.15">
      <c r="B625" s="800" t="s">
        <v>863</v>
      </c>
      <c r="C625" s="869">
        <v>1.2E-2</v>
      </c>
      <c r="D625" s="843">
        <v>4.2000000000000003E-2</v>
      </c>
      <c r="E625" s="843">
        <v>6.0000000000000001E-3</v>
      </c>
      <c r="F625" s="807">
        <v>0.3</v>
      </c>
      <c r="G625" s="6"/>
      <c r="H625" s="6"/>
      <c r="I625" s="6"/>
      <c r="J625" s="6"/>
      <c r="K625" s="6"/>
      <c r="L625" s="6"/>
      <c r="M625" s="6"/>
      <c r="N625" s="6"/>
      <c r="R625" s="13"/>
      <c r="S625" s="13"/>
      <c r="T625" s="13"/>
      <c r="U625" s="13"/>
      <c r="V625" s="13"/>
    </row>
    <row r="626" spans="2:22" outlineLevel="2" x14ac:dyDescent="0.15">
      <c r="B626" s="800" t="s">
        <v>869</v>
      </c>
      <c r="C626" s="869">
        <v>0.01</v>
      </c>
      <c r="D626" s="843">
        <v>3.4000000000000002E-2</v>
      </c>
      <c r="E626" s="843">
        <v>6.0000000000000001E-3</v>
      </c>
      <c r="F626" s="807">
        <v>0.3</v>
      </c>
      <c r="G626" s="6"/>
      <c r="H626" s="6"/>
      <c r="I626" s="6"/>
      <c r="J626" s="6"/>
      <c r="K626" s="6"/>
      <c r="L626" s="6"/>
      <c r="M626" s="6"/>
      <c r="N626" s="6"/>
      <c r="R626" s="13"/>
      <c r="S626" s="13"/>
      <c r="T626" s="13"/>
      <c r="U626" s="13"/>
      <c r="V626" s="13"/>
    </row>
    <row r="627" spans="2:22" outlineLevel="2" x14ac:dyDescent="0.15">
      <c r="B627" s="800" t="s">
        <v>864</v>
      </c>
      <c r="C627" s="869">
        <v>1.2999999999999999E-2</v>
      </c>
      <c r="D627" s="843">
        <v>5.7000000000000002E-2</v>
      </c>
      <c r="E627" s="843">
        <v>6.0000000000000001E-3</v>
      </c>
      <c r="F627" s="807">
        <v>0.3</v>
      </c>
      <c r="G627" s="6"/>
      <c r="H627" s="6"/>
      <c r="I627" s="6"/>
      <c r="J627" s="6"/>
      <c r="K627" s="6"/>
      <c r="L627" s="6"/>
      <c r="M627" s="6"/>
      <c r="N627" s="6"/>
      <c r="R627" s="13"/>
      <c r="S627" s="13"/>
      <c r="T627" s="13"/>
      <c r="U627" s="13"/>
      <c r="V627" s="13"/>
    </row>
    <row r="628" spans="2:22" outlineLevel="2" x14ac:dyDescent="0.15">
      <c r="B628" s="800" t="s">
        <v>865</v>
      </c>
      <c r="C628" s="869">
        <v>1.0999999999999999E-2</v>
      </c>
      <c r="D628" s="843">
        <v>4.2000000000000003E-2</v>
      </c>
      <c r="E628" s="843">
        <v>6.0000000000000001E-3</v>
      </c>
      <c r="F628" s="807">
        <v>0.3</v>
      </c>
      <c r="G628" s="6"/>
      <c r="H628" s="6"/>
      <c r="I628" s="6"/>
      <c r="J628" s="6"/>
      <c r="K628" s="6"/>
      <c r="L628" s="6"/>
      <c r="M628" s="6"/>
      <c r="N628" s="6"/>
      <c r="R628" s="13"/>
      <c r="S628" s="13"/>
      <c r="T628" s="13"/>
      <c r="U628" s="13"/>
      <c r="V628" s="13"/>
    </row>
    <row r="629" spans="2:22" outlineLevel="2" x14ac:dyDescent="0.15">
      <c r="B629" s="800" t="s">
        <v>862</v>
      </c>
      <c r="C629" s="869">
        <v>2.9000000000000001E-2</v>
      </c>
      <c r="D629" s="843">
        <v>0.183</v>
      </c>
      <c r="E629" s="843">
        <v>6.0000000000000001E-3</v>
      </c>
      <c r="F629" s="807">
        <v>0.3</v>
      </c>
      <c r="G629" s="6"/>
      <c r="H629" s="6"/>
      <c r="I629" s="6"/>
      <c r="J629" s="6"/>
      <c r="K629" s="6"/>
      <c r="L629" s="6"/>
      <c r="M629" s="6"/>
      <c r="N629" s="6"/>
      <c r="R629" s="13"/>
      <c r="S629" s="13"/>
      <c r="T629" s="13"/>
      <c r="U629" s="13"/>
      <c r="V629" s="13"/>
    </row>
    <row r="630" spans="2:22" outlineLevel="2" x14ac:dyDescent="0.15">
      <c r="B630" s="800" t="s">
        <v>872</v>
      </c>
      <c r="C630" s="869">
        <v>0.01</v>
      </c>
      <c r="D630" s="843">
        <v>3.5000000000000003E-2</v>
      </c>
      <c r="E630" s="843">
        <v>6.0000000000000001E-3</v>
      </c>
      <c r="F630" s="807">
        <v>0.3</v>
      </c>
      <c r="G630" s="6"/>
      <c r="H630" s="6"/>
      <c r="I630" s="6"/>
      <c r="J630" s="6"/>
      <c r="K630" s="6"/>
      <c r="L630" s="6"/>
      <c r="M630" s="6"/>
      <c r="N630" s="6"/>
      <c r="R630" s="13"/>
      <c r="S630" s="13"/>
      <c r="T630" s="13"/>
      <c r="U630" s="13"/>
      <c r="V630" s="13"/>
    </row>
    <row r="631" spans="2:22" outlineLevel="2" x14ac:dyDescent="0.15">
      <c r="B631" s="800" t="s">
        <v>866</v>
      </c>
      <c r="C631" s="869">
        <v>1.4999999999999999E-2</v>
      </c>
      <c r="D631" s="843">
        <v>7.2999999999999995E-2</v>
      </c>
      <c r="E631" s="843">
        <v>6.0000000000000001E-3</v>
      </c>
      <c r="F631" s="807">
        <v>0.3</v>
      </c>
      <c r="G631" s="6"/>
      <c r="H631" s="6"/>
      <c r="I631" s="6"/>
      <c r="J631" s="6"/>
      <c r="K631" s="6"/>
      <c r="L631" s="6"/>
      <c r="M631" s="6"/>
      <c r="N631" s="6"/>
      <c r="R631" s="13"/>
      <c r="S631" s="13"/>
      <c r="T631" s="13"/>
      <c r="U631" s="13"/>
      <c r="V631" s="13"/>
    </row>
    <row r="632" spans="2:22" outlineLevel="2" x14ac:dyDescent="0.15">
      <c r="B632" s="800" t="s">
        <v>867</v>
      </c>
      <c r="C632" s="869">
        <v>1.7000000000000001E-2</v>
      </c>
      <c r="D632" s="843">
        <v>9.4E-2</v>
      </c>
      <c r="E632" s="843">
        <v>6.0000000000000001E-3</v>
      </c>
      <c r="F632" s="807">
        <v>0.3</v>
      </c>
      <c r="G632" s="6"/>
      <c r="H632" s="6"/>
      <c r="I632" s="6"/>
      <c r="J632" s="6"/>
      <c r="K632" s="6"/>
      <c r="L632" s="6"/>
      <c r="M632" s="6"/>
      <c r="N632" s="6"/>
      <c r="R632" s="13"/>
      <c r="S632" s="13"/>
      <c r="T632" s="13"/>
      <c r="U632" s="13"/>
      <c r="V632" s="13"/>
    </row>
    <row r="633" spans="2:22" outlineLevel="2" x14ac:dyDescent="0.15">
      <c r="B633" s="800" t="s">
        <v>871</v>
      </c>
      <c r="C633" s="869">
        <v>0.01</v>
      </c>
      <c r="D633" s="843">
        <v>3.4000000000000002E-2</v>
      </c>
      <c r="E633" s="843">
        <v>6.0000000000000001E-3</v>
      </c>
      <c r="F633" s="807">
        <v>0.3</v>
      </c>
      <c r="G633" s="6"/>
      <c r="H633" s="6"/>
      <c r="I633" s="6"/>
      <c r="J633" s="6"/>
      <c r="K633" s="6"/>
      <c r="L633" s="6"/>
      <c r="M633" s="6"/>
      <c r="N633" s="6"/>
      <c r="R633" s="13"/>
      <c r="S633" s="13"/>
      <c r="T633" s="13"/>
      <c r="U633" s="13"/>
      <c r="V633" s="13"/>
    </row>
    <row r="634" spans="2:22" outlineLevel="2" x14ac:dyDescent="0.15">
      <c r="B634" s="800"/>
      <c r="C634" s="869"/>
      <c r="D634" s="843"/>
      <c r="E634" s="843"/>
      <c r="F634" s="807"/>
      <c r="G634" s="6"/>
      <c r="H634" s="6"/>
      <c r="I634" s="6"/>
      <c r="J634" s="6"/>
      <c r="K634" s="6"/>
      <c r="L634" s="6"/>
      <c r="M634" s="6"/>
      <c r="N634" s="6"/>
      <c r="R634" s="13"/>
      <c r="S634" s="13"/>
      <c r="T634" s="13"/>
      <c r="U634" s="13"/>
      <c r="V634" s="13"/>
    </row>
    <row r="635" spans="2:22" outlineLevel="2" x14ac:dyDescent="0.15">
      <c r="B635" s="800" t="s">
        <v>874</v>
      </c>
      <c r="C635" s="869">
        <v>1.2E-2</v>
      </c>
      <c r="D635" s="843">
        <v>4.2000000000000003E-2</v>
      </c>
      <c r="E635" s="843">
        <v>6.0000000000000001E-3</v>
      </c>
      <c r="F635" s="807">
        <v>0.3</v>
      </c>
      <c r="G635" s="6"/>
      <c r="H635" s="6"/>
      <c r="I635" s="6"/>
      <c r="J635" s="6"/>
      <c r="K635" s="6"/>
      <c r="L635" s="6"/>
      <c r="M635" s="6"/>
      <c r="N635" s="6"/>
      <c r="R635" s="13"/>
      <c r="S635" s="13"/>
      <c r="T635" s="13"/>
      <c r="U635" s="13"/>
      <c r="V635" s="13"/>
    </row>
    <row r="636" spans="2:22" outlineLevel="2" x14ac:dyDescent="0.15">
      <c r="B636" s="800" t="s">
        <v>879</v>
      </c>
      <c r="C636" s="869">
        <v>0.01</v>
      </c>
      <c r="D636" s="843">
        <v>3.4000000000000002E-2</v>
      </c>
      <c r="E636" s="843">
        <v>6.0000000000000001E-3</v>
      </c>
      <c r="F636" s="807">
        <v>0.3</v>
      </c>
      <c r="G636" s="6"/>
      <c r="H636" s="6"/>
      <c r="I636" s="6"/>
      <c r="J636" s="6"/>
      <c r="K636" s="6"/>
      <c r="L636" s="6"/>
      <c r="M636" s="6"/>
      <c r="N636" s="6"/>
      <c r="R636" s="13"/>
      <c r="S636" s="13"/>
      <c r="T636" s="13"/>
      <c r="U636" s="13"/>
      <c r="V636" s="13"/>
    </row>
    <row r="637" spans="2:22" outlineLevel="2" x14ac:dyDescent="0.15">
      <c r="B637" s="800" t="s">
        <v>875</v>
      </c>
      <c r="C637" s="869">
        <v>1.2999999999999999E-2</v>
      </c>
      <c r="D637" s="843">
        <v>5.7000000000000002E-2</v>
      </c>
      <c r="E637" s="843">
        <v>6.0000000000000001E-3</v>
      </c>
      <c r="F637" s="807">
        <v>0.3</v>
      </c>
      <c r="G637" s="6"/>
      <c r="H637" s="6"/>
      <c r="I637" s="6"/>
      <c r="J637" s="6"/>
      <c r="K637" s="6"/>
      <c r="L637" s="6"/>
      <c r="M637" s="6"/>
      <c r="N637" s="6"/>
      <c r="R637" s="13"/>
      <c r="S637" s="13"/>
      <c r="T637" s="13"/>
      <c r="U637" s="13"/>
      <c r="V637" s="13"/>
    </row>
    <row r="638" spans="2:22" outlineLevel="2" x14ac:dyDescent="0.15">
      <c r="B638" s="800" t="s">
        <v>876</v>
      </c>
      <c r="C638" s="869">
        <v>1.0999999999999999E-2</v>
      </c>
      <c r="D638" s="843">
        <v>4.2000000000000003E-2</v>
      </c>
      <c r="E638" s="843">
        <v>6.0000000000000001E-3</v>
      </c>
      <c r="F638" s="807">
        <v>0.3</v>
      </c>
      <c r="G638" s="6"/>
      <c r="H638" s="6"/>
      <c r="I638" s="6"/>
      <c r="J638" s="6"/>
      <c r="K638" s="6"/>
      <c r="L638" s="6"/>
      <c r="M638" s="6"/>
      <c r="N638" s="6"/>
      <c r="R638" s="13"/>
      <c r="S638" s="13"/>
      <c r="T638" s="13"/>
      <c r="U638" s="13"/>
      <c r="V638" s="13"/>
    </row>
    <row r="639" spans="2:22" outlineLevel="2" x14ac:dyDescent="0.15">
      <c r="B639" s="800" t="s">
        <v>873</v>
      </c>
      <c r="C639" s="869">
        <v>2.9000000000000001E-2</v>
      </c>
      <c r="D639" s="843">
        <v>0.183</v>
      </c>
      <c r="E639" s="843">
        <v>6.0000000000000001E-3</v>
      </c>
      <c r="F639" s="807">
        <v>0.3</v>
      </c>
      <c r="G639" s="6"/>
      <c r="H639" s="6"/>
      <c r="I639" s="6"/>
      <c r="J639" s="6"/>
      <c r="K639" s="6"/>
      <c r="L639" s="6"/>
      <c r="M639" s="6"/>
      <c r="N639" s="6"/>
      <c r="R639" s="13"/>
      <c r="S639" s="13"/>
      <c r="T639" s="13"/>
      <c r="U639" s="13"/>
      <c r="V639" s="13"/>
    </row>
    <row r="640" spans="2:22" outlineLevel="2" x14ac:dyDescent="0.15">
      <c r="B640" s="800" t="s">
        <v>881</v>
      </c>
      <c r="C640" s="869">
        <v>0.01</v>
      </c>
      <c r="D640" s="843">
        <v>3.5000000000000003E-2</v>
      </c>
      <c r="E640" s="843">
        <v>6.0000000000000001E-3</v>
      </c>
      <c r="F640" s="807">
        <v>0.3</v>
      </c>
      <c r="G640" s="6"/>
      <c r="H640" s="6"/>
      <c r="I640" s="6"/>
      <c r="J640" s="6"/>
      <c r="K640" s="6"/>
      <c r="L640" s="6"/>
      <c r="M640" s="6"/>
      <c r="N640" s="6"/>
      <c r="R640" s="13"/>
      <c r="S640" s="13"/>
      <c r="T640" s="13"/>
      <c r="U640" s="13"/>
      <c r="V640" s="13"/>
    </row>
    <row r="641" spans="2:22" outlineLevel="2" x14ac:dyDescent="0.15">
      <c r="B641" s="800" t="s">
        <v>877</v>
      </c>
      <c r="C641" s="869">
        <v>1.4999999999999999E-2</v>
      </c>
      <c r="D641" s="843">
        <v>7.2999999999999995E-2</v>
      </c>
      <c r="E641" s="843">
        <v>6.0000000000000001E-3</v>
      </c>
      <c r="F641" s="807">
        <v>0.3</v>
      </c>
      <c r="G641" s="6"/>
      <c r="H641" s="6"/>
      <c r="I641" s="6"/>
      <c r="J641" s="6"/>
      <c r="K641" s="6"/>
      <c r="L641" s="6"/>
      <c r="M641" s="6"/>
      <c r="N641" s="6"/>
      <c r="R641" s="13"/>
      <c r="S641" s="13"/>
      <c r="T641" s="13"/>
      <c r="U641" s="13"/>
      <c r="V641" s="13"/>
    </row>
    <row r="642" spans="2:22" outlineLevel="2" x14ac:dyDescent="0.15">
      <c r="B642" s="800" t="s">
        <v>878</v>
      </c>
      <c r="C642" s="869">
        <v>1.7000000000000001E-2</v>
      </c>
      <c r="D642" s="843">
        <v>9.4E-2</v>
      </c>
      <c r="E642" s="843">
        <v>6.0000000000000001E-3</v>
      </c>
      <c r="F642" s="807">
        <v>0.3</v>
      </c>
      <c r="G642" s="6"/>
      <c r="H642" s="6"/>
      <c r="I642" s="6"/>
      <c r="J642" s="6"/>
      <c r="K642" s="6"/>
      <c r="L642" s="6"/>
      <c r="M642" s="6"/>
      <c r="N642" s="6"/>
      <c r="R642" s="13"/>
      <c r="S642" s="13"/>
      <c r="T642" s="13"/>
      <c r="U642" s="13"/>
      <c r="V642" s="13"/>
    </row>
    <row r="643" spans="2:22" outlineLevel="2" x14ac:dyDescent="0.15">
      <c r="B643" s="800" t="s">
        <v>880</v>
      </c>
      <c r="C643" s="869">
        <v>0.01</v>
      </c>
      <c r="D643" s="843">
        <v>3.4000000000000002E-2</v>
      </c>
      <c r="E643" s="843">
        <v>6.0000000000000001E-3</v>
      </c>
      <c r="F643" s="807">
        <v>0.3</v>
      </c>
      <c r="G643" s="6"/>
      <c r="H643" s="6"/>
      <c r="I643" s="6"/>
      <c r="J643" s="6"/>
      <c r="K643" s="6"/>
      <c r="L643" s="6"/>
      <c r="M643" s="6"/>
      <c r="N643" s="6"/>
      <c r="R643" s="13"/>
      <c r="S643" s="13"/>
      <c r="T643" s="13"/>
      <c r="U643" s="13"/>
      <c r="V643" s="13"/>
    </row>
    <row r="644" spans="2:22" outlineLevel="2" x14ac:dyDescent="0.15">
      <c r="B644" s="800"/>
      <c r="C644" s="869"/>
      <c r="D644" s="843"/>
      <c r="E644" s="843"/>
      <c r="F644" s="807"/>
      <c r="G644" s="6"/>
      <c r="H644" s="6"/>
      <c r="I644" s="6"/>
      <c r="J644" s="6"/>
      <c r="K644" s="6"/>
      <c r="L644" s="6"/>
      <c r="M644" s="6"/>
      <c r="N644" s="6"/>
      <c r="R644" s="13"/>
      <c r="S644" s="13"/>
      <c r="T644" s="13"/>
      <c r="U644" s="13"/>
      <c r="V644" s="13"/>
    </row>
    <row r="645" spans="2:22" outlineLevel="2" x14ac:dyDescent="0.15">
      <c r="B645" s="800" t="s">
        <v>882</v>
      </c>
      <c r="C645" s="869">
        <v>1.2E-2</v>
      </c>
      <c r="D645" s="843">
        <v>4.2000000000000003E-2</v>
      </c>
      <c r="E645" s="843">
        <v>6.0000000000000001E-3</v>
      </c>
      <c r="F645" s="807">
        <v>0.3</v>
      </c>
      <c r="G645" s="6"/>
      <c r="H645" s="6"/>
      <c r="I645" s="6"/>
      <c r="J645" s="6"/>
      <c r="K645" s="6"/>
      <c r="L645" s="6"/>
      <c r="M645" s="6"/>
      <c r="N645" s="6"/>
      <c r="R645" s="13"/>
      <c r="S645" s="13"/>
      <c r="T645" s="13"/>
      <c r="U645" s="13"/>
      <c r="V645" s="13"/>
    </row>
    <row r="646" spans="2:22" outlineLevel="2" x14ac:dyDescent="0.15">
      <c r="B646" s="800" t="s">
        <v>888</v>
      </c>
      <c r="C646" s="869">
        <v>0.01</v>
      </c>
      <c r="D646" s="843">
        <v>3.4000000000000002E-2</v>
      </c>
      <c r="E646" s="843">
        <v>6.0000000000000001E-3</v>
      </c>
      <c r="F646" s="807">
        <v>0.3</v>
      </c>
      <c r="G646" s="6"/>
      <c r="H646" s="6"/>
      <c r="I646" s="6"/>
      <c r="J646" s="6"/>
      <c r="K646" s="6"/>
      <c r="L646" s="6"/>
      <c r="M646" s="6"/>
      <c r="N646" s="6"/>
      <c r="R646" s="13"/>
      <c r="S646" s="13"/>
      <c r="T646" s="13"/>
      <c r="U646" s="13"/>
      <c r="V646" s="13"/>
    </row>
    <row r="647" spans="2:22" outlineLevel="2" x14ac:dyDescent="0.15">
      <c r="B647" s="800" t="s">
        <v>883</v>
      </c>
      <c r="C647" s="869">
        <v>1.2999999999999999E-2</v>
      </c>
      <c r="D647" s="843">
        <v>5.7000000000000002E-2</v>
      </c>
      <c r="E647" s="843">
        <v>6.0000000000000001E-3</v>
      </c>
      <c r="F647" s="807">
        <v>0.3</v>
      </c>
      <c r="G647" s="6"/>
      <c r="H647" s="6"/>
      <c r="I647" s="6"/>
      <c r="J647" s="6"/>
      <c r="K647" s="6"/>
      <c r="L647" s="6"/>
      <c r="M647" s="6"/>
      <c r="N647" s="6"/>
      <c r="R647" s="13"/>
      <c r="S647" s="13"/>
      <c r="T647" s="13"/>
      <c r="U647" s="13"/>
      <c r="V647" s="13"/>
    </row>
    <row r="648" spans="2:22" outlineLevel="2" x14ac:dyDescent="0.15">
      <c r="B648" s="800" t="s">
        <v>885</v>
      </c>
      <c r="C648" s="869">
        <v>1.0999999999999999E-2</v>
      </c>
      <c r="D648" s="843">
        <v>4.2000000000000003E-2</v>
      </c>
      <c r="E648" s="843">
        <v>6.0000000000000001E-3</v>
      </c>
      <c r="F648" s="807">
        <v>0.3</v>
      </c>
      <c r="G648" s="6"/>
      <c r="H648" s="6"/>
      <c r="I648" s="6"/>
      <c r="J648" s="6"/>
      <c r="K648" s="6"/>
      <c r="L648" s="6"/>
      <c r="M648" s="6"/>
      <c r="N648" s="6"/>
      <c r="R648" s="13"/>
      <c r="S648" s="13"/>
      <c r="T648" s="13"/>
      <c r="U648" s="13"/>
      <c r="V648" s="13"/>
    </row>
    <row r="649" spans="2:22" outlineLevel="2" x14ac:dyDescent="0.15">
      <c r="B649" s="800" t="s">
        <v>884</v>
      </c>
      <c r="C649" s="869">
        <v>2.9000000000000001E-2</v>
      </c>
      <c r="D649" s="843">
        <v>0.183</v>
      </c>
      <c r="E649" s="843">
        <v>6.0000000000000001E-3</v>
      </c>
      <c r="F649" s="807">
        <v>0.3</v>
      </c>
      <c r="G649" s="6"/>
      <c r="H649" s="6"/>
      <c r="I649" s="6"/>
      <c r="J649" s="6"/>
      <c r="K649" s="6"/>
      <c r="L649" s="6"/>
      <c r="M649" s="6"/>
      <c r="N649" s="6"/>
      <c r="R649" s="13"/>
      <c r="S649" s="13"/>
      <c r="T649" s="13"/>
      <c r="U649" s="13"/>
      <c r="V649" s="13"/>
    </row>
    <row r="650" spans="2:22" outlineLevel="2" x14ac:dyDescent="0.15">
      <c r="B650" s="800" t="s">
        <v>890</v>
      </c>
      <c r="C650" s="869">
        <v>0.01</v>
      </c>
      <c r="D650" s="843">
        <v>3.5000000000000003E-2</v>
      </c>
      <c r="E650" s="843">
        <v>6.0000000000000001E-3</v>
      </c>
      <c r="F650" s="807">
        <v>0.3</v>
      </c>
      <c r="G650" s="6"/>
      <c r="H650" s="6"/>
      <c r="I650" s="6"/>
      <c r="J650" s="6"/>
      <c r="K650" s="6"/>
      <c r="L650" s="6"/>
      <c r="M650" s="6"/>
      <c r="N650" s="6"/>
      <c r="R650" s="13"/>
      <c r="S650" s="13"/>
      <c r="T650" s="13"/>
      <c r="U650" s="13"/>
      <c r="V650" s="13"/>
    </row>
    <row r="651" spans="2:22" outlineLevel="2" x14ac:dyDescent="0.15">
      <c r="B651" s="800" t="s">
        <v>886</v>
      </c>
      <c r="C651" s="869">
        <v>1.4999999999999999E-2</v>
      </c>
      <c r="D651" s="843">
        <v>7.2999999999999995E-2</v>
      </c>
      <c r="E651" s="843">
        <v>6.0000000000000001E-3</v>
      </c>
      <c r="F651" s="807">
        <v>0.3</v>
      </c>
      <c r="G651" s="6"/>
      <c r="H651" s="6"/>
      <c r="I651" s="6"/>
      <c r="J651" s="6"/>
      <c r="K651" s="6"/>
      <c r="L651" s="6"/>
      <c r="M651" s="6"/>
      <c r="N651" s="6"/>
      <c r="R651" s="13"/>
      <c r="S651" s="13"/>
      <c r="T651" s="13"/>
      <c r="U651" s="13"/>
      <c r="V651" s="13"/>
    </row>
    <row r="652" spans="2:22" outlineLevel="2" x14ac:dyDescent="0.15">
      <c r="B652" s="800" t="s">
        <v>887</v>
      </c>
      <c r="C652" s="869">
        <v>1.7000000000000001E-2</v>
      </c>
      <c r="D652" s="843">
        <v>9.4E-2</v>
      </c>
      <c r="E652" s="843">
        <v>6.0000000000000001E-3</v>
      </c>
      <c r="F652" s="807">
        <v>0.3</v>
      </c>
      <c r="G652" s="6"/>
      <c r="H652" s="6"/>
      <c r="I652" s="6"/>
      <c r="J652" s="6"/>
      <c r="K652" s="6"/>
      <c r="L652" s="6"/>
      <c r="M652" s="6"/>
      <c r="N652" s="6"/>
      <c r="R652" s="13"/>
      <c r="S652" s="13"/>
      <c r="T652" s="13"/>
      <c r="U652" s="13"/>
      <c r="V652" s="13"/>
    </row>
    <row r="653" spans="2:22" outlineLevel="2" x14ac:dyDescent="0.15">
      <c r="B653" s="800" t="s">
        <v>889</v>
      </c>
      <c r="C653" s="869">
        <v>0.01</v>
      </c>
      <c r="D653" s="843">
        <v>3.4000000000000002E-2</v>
      </c>
      <c r="E653" s="843">
        <v>6.0000000000000001E-3</v>
      </c>
      <c r="F653" s="807">
        <v>0.3</v>
      </c>
      <c r="G653" s="6"/>
      <c r="H653" s="6"/>
      <c r="I653" s="6"/>
      <c r="J653" s="6"/>
      <c r="K653" s="6"/>
      <c r="L653" s="6"/>
      <c r="M653" s="6"/>
      <c r="N653" s="6"/>
      <c r="R653" s="13"/>
      <c r="S653" s="13"/>
      <c r="T653" s="13"/>
      <c r="U653" s="13"/>
      <c r="V653" s="13"/>
    </row>
    <row r="654" spans="2:22" outlineLevel="2" x14ac:dyDescent="0.15">
      <c r="B654" s="800"/>
      <c r="C654" s="869"/>
      <c r="D654" s="843"/>
      <c r="E654" s="843"/>
      <c r="F654" s="807"/>
      <c r="G654" s="6"/>
      <c r="H654" s="6"/>
      <c r="I654" s="6"/>
      <c r="J654" s="6"/>
      <c r="K654" s="6"/>
      <c r="L654" s="6"/>
      <c r="M654" s="6"/>
      <c r="N654" s="6"/>
      <c r="R654" s="13"/>
      <c r="S654" s="13"/>
      <c r="T654" s="13"/>
      <c r="U654" s="13"/>
      <c r="V654" s="13"/>
    </row>
    <row r="655" spans="2:22" outlineLevel="2" x14ac:dyDescent="0.15">
      <c r="B655" s="800" t="s">
        <v>892</v>
      </c>
      <c r="C655" s="869">
        <v>1.2E-2</v>
      </c>
      <c r="D655" s="843">
        <v>4.2000000000000003E-2</v>
      </c>
      <c r="E655" s="843">
        <v>6.0000000000000001E-3</v>
      </c>
      <c r="F655" s="807">
        <v>0.3</v>
      </c>
      <c r="G655" s="6"/>
      <c r="H655" s="6"/>
      <c r="I655" s="6"/>
      <c r="J655" s="6"/>
      <c r="K655" s="6"/>
      <c r="L655" s="6"/>
      <c r="M655" s="6"/>
      <c r="N655" s="6"/>
      <c r="R655" s="13"/>
      <c r="S655" s="13"/>
      <c r="T655" s="13"/>
      <c r="U655" s="13"/>
      <c r="V655" s="13"/>
    </row>
    <row r="656" spans="2:22" outlineLevel="2" x14ac:dyDescent="0.15">
      <c r="B656" s="800" t="s">
        <v>897</v>
      </c>
      <c r="C656" s="869">
        <v>0.01</v>
      </c>
      <c r="D656" s="843">
        <v>3.4000000000000002E-2</v>
      </c>
      <c r="E656" s="843">
        <v>6.0000000000000001E-3</v>
      </c>
      <c r="F656" s="807">
        <v>0.3</v>
      </c>
      <c r="G656" s="6"/>
      <c r="H656" s="6"/>
      <c r="I656" s="6"/>
      <c r="J656" s="6"/>
      <c r="K656" s="6"/>
      <c r="L656" s="6"/>
      <c r="M656" s="6"/>
      <c r="N656" s="6"/>
      <c r="R656" s="13"/>
      <c r="S656" s="13"/>
      <c r="T656" s="13"/>
      <c r="U656" s="13"/>
      <c r="V656" s="13"/>
    </row>
    <row r="657" spans="2:22" outlineLevel="2" x14ac:dyDescent="0.15">
      <c r="B657" s="800" t="s">
        <v>893</v>
      </c>
      <c r="C657" s="869">
        <v>1.2999999999999999E-2</v>
      </c>
      <c r="D657" s="843">
        <v>5.7000000000000002E-2</v>
      </c>
      <c r="E657" s="843">
        <v>6.0000000000000001E-3</v>
      </c>
      <c r="F657" s="807">
        <v>0.3</v>
      </c>
      <c r="G657" s="6"/>
      <c r="H657" s="6"/>
      <c r="I657" s="6"/>
      <c r="J657" s="6"/>
      <c r="K657" s="6"/>
      <c r="L657" s="6"/>
      <c r="M657" s="6"/>
      <c r="N657" s="6"/>
      <c r="R657" s="13"/>
      <c r="S657" s="13"/>
      <c r="T657" s="13"/>
      <c r="U657" s="13"/>
      <c r="V657" s="13"/>
    </row>
    <row r="658" spans="2:22" outlineLevel="2" x14ac:dyDescent="0.15">
      <c r="B658" s="800" t="s">
        <v>894</v>
      </c>
      <c r="C658" s="869">
        <v>1.0999999999999999E-2</v>
      </c>
      <c r="D658" s="843">
        <v>4.2000000000000003E-2</v>
      </c>
      <c r="E658" s="843">
        <v>6.0000000000000001E-3</v>
      </c>
      <c r="F658" s="807">
        <v>0.3</v>
      </c>
      <c r="G658" s="6"/>
      <c r="H658" s="6"/>
      <c r="I658" s="6"/>
      <c r="J658" s="6"/>
      <c r="K658" s="6"/>
      <c r="L658" s="6"/>
      <c r="M658" s="6"/>
      <c r="N658" s="6"/>
      <c r="R658" s="13"/>
      <c r="S658" s="13"/>
      <c r="T658" s="13"/>
      <c r="U658" s="13"/>
      <c r="V658" s="13"/>
    </row>
    <row r="659" spans="2:22" outlineLevel="2" x14ac:dyDescent="0.15">
      <c r="B659" s="800" t="s">
        <v>891</v>
      </c>
      <c r="C659" s="869">
        <v>2.9000000000000001E-2</v>
      </c>
      <c r="D659" s="843">
        <v>0.183</v>
      </c>
      <c r="E659" s="843">
        <v>6.0000000000000001E-3</v>
      </c>
      <c r="F659" s="807">
        <v>0.3</v>
      </c>
      <c r="G659" s="6"/>
      <c r="H659" s="6"/>
      <c r="I659" s="6"/>
      <c r="J659" s="6"/>
      <c r="K659" s="6"/>
      <c r="L659" s="6"/>
      <c r="M659" s="6"/>
      <c r="N659" s="6"/>
      <c r="R659" s="13"/>
      <c r="S659" s="13"/>
      <c r="T659" s="13"/>
      <c r="U659" s="13"/>
      <c r="V659" s="13"/>
    </row>
    <row r="660" spans="2:22" outlineLevel="2" x14ac:dyDescent="0.15">
      <c r="B660" s="800" t="s">
        <v>899</v>
      </c>
      <c r="C660" s="869">
        <v>0.01</v>
      </c>
      <c r="D660" s="843">
        <v>3.5000000000000003E-2</v>
      </c>
      <c r="E660" s="843">
        <v>6.0000000000000001E-3</v>
      </c>
      <c r="F660" s="807">
        <v>0.3</v>
      </c>
      <c r="G660" s="6"/>
      <c r="H660" s="6"/>
      <c r="I660" s="6"/>
      <c r="J660" s="6"/>
      <c r="K660" s="6"/>
      <c r="L660" s="6"/>
      <c r="M660" s="6"/>
      <c r="N660" s="6"/>
      <c r="R660" s="13"/>
      <c r="S660" s="13"/>
      <c r="T660" s="13"/>
      <c r="U660" s="13"/>
      <c r="V660" s="13"/>
    </row>
    <row r="661" spans="2:22" outlineLevel="2" x14ac:dyDescent="0.15">
      <c r="B661" s="800" t="s">
        <v>895</v>
      </c>
      <c r="C661" s="869">
        <v>1.4999999999999999E-2</v>
      </c>
      <c r="D661" s="843">
        <v>7.2999999999999995E-2</v>
      </c>
      <c r="E661" s="843">
        <v>6.0000000000000001E-3</v>
      </c>
      <c r="F661" s="807">
        <v>0.3</v>
      </c>
      <c r="G661" s="6"/>
      <c r="H661" s="6"/>
      <c r="I661" s="6"/>
      <c r="J661" s="6"/>
      <c r="K661" s="6"/>
      <c r="L661" s="6"/>
      <c r="M661" s="6"/>
      <c r="N661" s="6"/>
      <c r="R661" s="13"/>
      <c r="S661" s="13"/>
      <c r="T661" s="13"/>
      <c r="U661" s="13"/>
      <c r="V661" s="13"/>
    </row>
    <row r="662" spans="2:22" outlineLevel="2" x14ac:dyDescent="0.15">
      <c r="B662" s="800" t="s">
        <v>896</v>
      </c>
      <c r="C662" s="869">
        <v>1.7000000000000001E-2</v>
      </c>
      <c r="D662" s="843">
        <v>9.4E-2</v>
      </c>
      <c r="E662" s="843">
        <v>6.0000000000000001E-3</v>
      </c>
      <c r="F662" s="807">
        <v>0.3</v>
      </c>
      <c r="G662" s="6"/>
      <c r="H662" s="6"/>
      <c r="I662" s="6"/>
      <c r="J662" s="6"/>
      <c r="K662" s="6"/>
      <c r="L662" s="6"/>
      <c r="M662" s="6"/>
      <c r="N662" s="6"/>
      <c r="R662" s="13"/>
      <c r="S662" s="13"/>
      <c r="T662" s="13"/>
      <c r="U662" s="13"/>
      <c r="V662" s="13"/>
    </row>
    <row r="663" spans="2:22" outlineLevel="2" x14ac:dyDescent="0.15">
      <c r="B663" s="800" t="s">
        <v>898</v>
      </c>
      <c r="C663" s="869">
        <v>0.01</v>
      </c>
      <c r="D663" s="843">
        <v>3.4000000000000002E-2</v>
      </c>
      <c r="E663" s="843">
        <v>6.0000000000000001E-3</v>
      </c>
      <c r="F663" s="807">
        <v>0.3</v>
      </c>
      <c r="G663" s="6"/>
      <c r="H663" s="6"/>
      <c r="I663" s="6"/>
      <c r="J663" s="6"/>
      <c r="K663" s="6"/>
      <c r="L663" s="6"/>
      <c r="M663" s="6"/>
      <c r="N663" s="6"/>
      <c r="R663" s="13"/>
      <c r="S663" s="13"/>
      <c r="T663" s="13"/>
      <c r="U663" s="13"/>
      <c r="V663" s="13"/>
    </row>
    <row r="664" spans="2:22" outlineLevel="2" x14ac:dyDescent="0.15">
      <c r="B664" s="800"/>
      <c r="C664" s="869"/>
      <c r="D664" s="843"/>
      <c r="E664" s="843"/>
      <c r="F664" s="807"/>
      <c r="G664" s="6"/>
      <c r="H664" s="6"/>
      <c r="I664" s="6"/>
      <c r="J664" s="6"/>
      <c r="K664" s="6"/>
      <c r="L664" s="6"/>
      <c r="M664" s="6"/>
      <c r="N664" s="6"/>
      <c r="R664" s="13"/>
      <c r="S664" s="13"/>
      <c r="T664" s="13"/>
      <c r="U664" s="13"/>
      <c r="V664" s="13"/>
    </row>
    <row r="665" spans="2:22" outlineLevel="2" x14ac:dyDescent="0.15">
      <c r="B665" s="800" t="s">
        <v>901</v>
      </c>
      <c r="C665" s="869">
        <v>1.2E-2</v>
      </c>
      <c r="D665" s="843">
        <v>4.2999999999999997E-2</v>
      </c>
      <c r="E665" s="843">
        <v>7.0000000000000001E-3</v>
      </c>
      <c r="F665" s="807">
        <v>0.3</v>
      </c>
      <c r="G665" s="6"/>
      <c r="H665" s="6"/>
      <c r="I665" s="6"/>
      <c r="J665" s="6"/>
      <c r="K665" s="6"/>
      <c r="L665" s="6"/>
      <c r="M665" s="6"/>
      <c r="N665" s="6"/>
      <c r="R665" s="13"/>
      <c r="S665" s="13"/>
      <c r="T665" s="13"/>
      <c r="U665" s="13"/>
      <c r="V665" s="13"/>
    </row>
    <row r="666" spans="2:22" outlineLevel="2" x14ac:dyDescent="0.15">
      <c r="B666" s="800" t="s">
        <v>906</v>
      </c>
      <c r="C666" s="869">
        <v>0.01</v>
      </c>
      <c r="D666" s="843">
        <v>3.5000000000000003E-2</v>
      </c>
      <c r="E666" s="843">
        <v>7.0000000000000001E-3</v>
      </c>
      <c r="F666" s="807">
        <v>0.3</v>
      </c>
      <c r="G666" s="6"/>
      <c r="H666" s="6"/>
      <c r="I666" s="6"/>
      <c r="J666" s="6"/>
      <c r="K666" s="6"/>
      <c r="L666" s="6"/>
      <c r="M666" s="6"/>
      <c r="N666" s="6"/>
      <c r="R666" s="13"/>
      <c r="S666" s="13"/>
      <c r="T666" s="13"/>
      <c r="U666" s="13"/>
      <c r="V666" s="13"/>
    </row>
    <row r="667" spans="2:22" outlineLevel="2" x14ac:dyDescent="0.15">
      <c r="B667" s="800" t="s">
        <v>902</v>
      </c>
      <c r="C667" s="869">
        <v>1.2999999999999999E-2</v>
      </c>
      <c r="D667" s="843">
        <v>5.7000000000000002E-2</v>
      </c>
      <c r="E667" s="843">
        <v>7.0000000000000001E-3</v>
      </c>
      <c r="F667" s="807">
        <v>0.3</v>
      </c>
      <c r="G667" s="6"/>
      <c r="H667" s="6"/>
      <c r="I667" s="6"/>
      <c r="J667" s="6"/>
      <c r="K667" s="6"/>
      <c r="L667" s="6"/>
      <c r="M667" s="6"/>
      <c r="N667" s="6"/>
      <c r="R667" s="13"/>
      <c r="S667" s="13"/>
      <c r="T667" s="13"/>
      <c r="U667" s="13"/>
      <c r="V667" s="13"/>
    </row>
    <row r="668" spans="2:22" outlineLevel="2" x14ac:dyDescent="0.15">
      <c r="B668" s="800" t="s">
        <v>903</v>
      </c>
      <c r="C668" s="869">
        <v>1.2E-2</v>
      </c>
      <c r="D668" s="843">
        <v>4.4999999999999998E-2</v>
      </c>
      <c r="E668" s="843">
        <v>7.0000000000000001E-3</v>
      </c>
      <c r="F668" s="807">
        <v>0.3</v>
      </c>
      <c r="G668" s="6"/>
      <c r="H668" s="6"/>
      <c r="I668" s="6"/>
      <c r="J668" s="6"/>
      <c r="K668" s="6"/>
      <c r="L668" s="6"/>
      <c r="M668" s="6"/>
      <c r="N668" s="6"/>
      <c r="R668" s="13"/>
      <c r="S668" s="13"/>
      <c r="T668" s="13"/>
      <c r="U668" s="13"/>
      <c r="V668" s="13"/>
    </row>
    <row r="669" spans="2:22" outlineLevel="2" x14ac:dyDescent="0.15">
      <c r="B669" s="800" t="s">
        <v>900</v>
      </c>
      <c r="C669" s="869">
        <v>2.8000000000000001E-2</v>
      </c>
      <c r="D669" s="843">
        <v>0.17299999999999999</v>
      </c>
      <c r="E669" s="843">
        <v>7.0000000000000001E-3</v>
      </c>
      <c r="F669" s="807">
        <v>0.3</v>
      </c>
      <c r="G669" s="6"/>
      <c r="H669" s="6"/>
      <c r="I669" s="6"/>
      <c r="J669" s="6"/>
      <c r="K669" s="6"/>
      <c r="L669" s="6"/>
      <c r="M669" s="6"/>
      <c r="N669" s="6"/>
      <c r="R669" s="13"/>
      <c r="S669" s="13"/>
      <c r="T669" s="13"/>
      <c r="U669" s="13"/>
      <c r="V669" s="13"/>
    </row>
    <row r="670" spans="2:22" outlineLevel="2" x14ac:dyDescent="0.15">
      <c r="B670" s="800" t="s">
        <v>908</v>
      </c>
      <c r="C670" s="869">
        <v>0.01</v>
      </c>
      <c r="D670" s="843">
        <v>3.5999999999999997E-2</v>
      </c>
      <c r="E670" s="843">
        <v>7.0000000000000001E-3</v>
      </c>
      <c r="F670" s="807">
        <v>0.3</v>
      </c>
      <c r="G670" s="6"/>
      <c r="H670" s="6"/>
      <c r="I670" s="6"/>
      <c r="J670" s="6"/>
      <c r="K670" s="6"/>
      <c r="L670" s="6"/>
      <c r="M670" s="6"/>
      <c r="N670" s="6"/>
      <c r="R670" s="13"/>
      <c r="S670" s="13"/>
      <c r="T670" s="13"/>
      <c r="U670" s="13"/>
      <c r="V670" s="13"/>
    </row>
    <row r="671" spans="2:22" outlineLevel="2" x14ac:dyDescent="0.15">
      <c r="B671" s="800" t="s">
        <v>904</v>
      </c>
      <c r="C671" s="869">
        <v>1.4999999999999999E-2</v>
      </c>
      <c r="D671" s="843">
        <v>7.0999999999999994E-2</v>
      </c>
      <c r="E671" s="843">
        <v>7.0000000000000001E-3</v>
      </c>
      <c r="F671" s="807">
        <v>0.3</v>
      </c>
      <c r="G671" s="6"/>
      <c r="H671" s="6"/>
      <c r="I671" s="6"/>
      <c r="J671" s="6"/>
      <c r="K671" s="6"/>
      <c r="L671" s="6"/>
      <c r="M671" s="6"/>
      <c r="N671" s="6"/>
      <c r="R671" s="13"/>
      <c r="S671" s="13"/>
      <c r="T671" s="13"/>
      <c r="U671" s="13"/>
      <c r="V671" s="13"/>
    </row>
    <row r="672" spans="2:22" outlineLevel="2" x14ac:dyDescent="0.15">
      <c r="B672" s="800" t="s">
        <v>905</v>
      </c>
      <c r="C672" s="869">
        <v>1.7999999999999999E-2</v>
      </c>
      <c r="D672" s="843">
        <v>9.0999999999999998E-2</v>
      </c>
      <c r="E672" s="843">
        <v>7.0000000000000001E-3</v>
      </c>
      <c r="F672" s="807">
        <v>0.3</v>
      </c>
      <c r="G672" s="6"/>
      <c r="H672" s="6"/>
      <c r="I672" s="6"/>
      <c r="J672" s="6"/>
      <c r="K672" s="6"/>
      <c r="L672" s="6"/>
      <c r="M672" s="6"/>
      <c r="N672" s="6"/>
      <c r="R672" s="13"/>
      <c r="S672" s="13"/>
      <c r="T672" s="13"/>
      <c r="U672" s="13"/>
      <c r="V672" s="13"/>
    </row>
    <row r="673" spans="2:24" outlineLevel="2" x14ac:dyDescent="0.15">
      <c r="B673" s="800" t="s">
        <v>907</v>
      </c>
      <c r="C673" s="869">
        <v>0.01</v>
      </c>
      <c r="D673" s="843">
        <v>3.5000000000000003E-2</v>
      </c>
      <c r="E673" s="843">
        <v>7.0000000000000001E-3</v>
      </c>
      <c r="F673" s="807">
        <v>0.3</v>
      </c>
      <c r="G673" s="6"/>
      <c r="H673" s="6"/>
      <c r="I673" s="6"/>
      <c r="J673" s="6"/>
      <c r="K673" s="6"/>
      <c r="L673" s="6"/>
      <c r="M673" s="6"/>
      <c r="N673" s="6"/>
      <c r="R673" s="13"/>
      <c r="S673" s="13"/>
      <c r="T673" s="13"/>
      <c r="U673" s="13"/>
      <c r="V673" s="13"/>
    </row>
    <row r="674" spans="2:24" outlineLevel="2" x14ac:dyDescent="0.15">
      <c r="B674" s="800"/>
      <c r="C674" s="869"/>
      <c r="D674" s="843"/>
      <c r="E674" s="843"/>
      <c r="F674" s="807"/>
      <c r="G674" s="6"/>
      <c r="H674" s="6"/>
      <c r="I674" s="6"/>
      <c r="J674" s="6"/>
      <c r="K674" s="6"/>
      <c r="L674" s="6"/>
      <c r="M674" s="6"/>
      <c r="N674" s="6"/>
      <c r="R674" s="13"/>
      <c r="S674" s="13"/>
      <c r="T674" s="13"/>
      <c r="U674" s="13"/>
      <c r="V674" s="13"/>
    </row>
    <row r="675" spans="2:24" outlineLevel="2" x14ac:dyDescent="0.15">
      <c r="B675" s="800" t="s">
        <v>910</v>
      </c>
      <c r="C675" s="869">
        <v>1.0999999999999999E-2</v>
      </c>
      <c r="D675" s="843">
        <v>3.9E-2</v>
      </c>
      <c r="E675" s="843">
        <v>7.0000000000000001E-3</v>
      </c>
      <c r="F675" s="807">
        <v>0.3</v>
      </c>
      <c r="G675" s="6"/>
      <c r="H675" s="6"/>
      <c r="I675" s="6"/>
      <c r="J675" s="6"/>
      <c r="K675" s="6"/>
      <c r="L675" s="6"/>
      <c r="M675" s="6"/>
      <c r="N675" s="6"/>
      <c r="R675" s="13"/>
      <c r="S675" s="13"/>
      <c r="T675" s="13"/>
      <c r="U675" s="13"/>
      <c r="V675" s="13"/>
    </row>
    <row r="676" spans="2:24" outlineLevel="2" x14ac:dyDescent="0.15">
      <c r="B676" s="800" t="s">
        <v>915</v>
      </c>
      <c r="C676" s="869">
        <v>0.01</v>
      </c>
      <c r="D676" s="843">
        <v>3.3000000000000002E-2</v>
      </c>
      <c r="E676" s="843">
        <v>7.0000000000000001E-3</v>
      </c>
      <c r="F676" s="807">
        <v>0.3</v>
      </c>
      <c r="G676" s="6"/>
      <c r="H676" s="6"/>
      <c r="I676" s="6"/>
      <c r="J676" s="6"/>
      <c r="K676" s="6"/>
      <c r="L676" s="6"/>
      <c r="M676" s="6"/>
      <c r="N676" s="6"/>
      <c r="R676" s="13"/>
      <c r="S676" s="13"/>
      <c r="T676" s="13"/>
      <c r="U676" s="13"/>
      <c r="V676" s="13"/>
    </row>
    <row r="677" spans="2:24" outlineLevel="2" x14ac:dyDescent="0.15">
      <c r="B677" s="800" t="s">
        <v>911</v>
      </c>
      <c r="C677" s="869">
        <v>1.2999999999999999E-2</v>
      </c>
      <c r="D677" s="843">
        <v>5.5E-2</v>
      </c>
      <c r="E677" s="843">
        <v>7.0000000000000001E-3</v>
      </c>
      <c r="F677" s="807">
        <v>0.3</v>
      </c>
      <c r="G677" s="6"/>
      <c r="H677" s="6"/>
      <c r="I677" s="6"/>
      <c r="J677" s="6"/>
      <c r="K677" s="6"/>
      <c r="L677" s="6"/>
      <c r="M677" s="6"/>
      <c r="N677" s="6"/>
      <c r="R677" s="13"/>
      <c r="S677" s="13"/>
      <c r="T677" s="13"/>
      <c r="U677" s="13"/>
      <c r="V677" s="13"/>
    </row>
    <row r="678" spans="2:24" outlineLevel="2" x14ac:dyDescent="0.15">
      <c r="B678" s="800" t="s">
        <v>912</v>
      </c>
      <c r="C678" s="869">
        <v>1.2E-2</v>
      </c>
      <c r="D678" s="843">
        <v>4.7E-2</v>
      </c>
      <c r="E678" s="843">
        <v>7.0000000000000001E-3</v>
      </c>
      <c r="F678" s="807">
        <v>0.3</v>
      </c>
      <c r="G678" s="6"/>
      <c r="H678" s="6"/>
      <c r="I678" s="6"/>
      <c r="J678" s="6"/>
      <c r="K678" s="6"/>
      <c r="L678" s="6"/>
      <c r="M678" s="6"/>
      <c r="N678" s="6"/>
      <c r="R678" s="13"/>
      <c r="S678" s="13"/>
      <c r="T678" s="13"/>
      <c r="U678" s="13"/>
      <c r="V678" s="13"/>
    </row>
    <row r="679" spans="2:24" outlineLevel="2" x14ac:dyDescent="0.15">
      <c r="B679" s="800" t="s">
        <v>909</v>
      </c>
      <c r="C679" s="869">
        <v>2.9000000000000001E-2</v>
      </c>
      <c r="D679" s="843">
        <v>0.17299999999999999</v>
      </c>
      <c r="E679" s="843">
        <v>7.0000000000000001E-3</v>
      </c>
      <c r="F679" s="807">
        <v>0.3</v>
      </c>
      <c r="G679" s="6"/>
      <c r="H679" s="6"/>
      <c r="I679" s="6"/>
      <c r="J679" s="6"/>
      <c r="K679" s="6"/>
      <c r="L679" s="6"/>
      <c r="M679" s="6"/>
      <c r="N679" s="6"/>
      <c r="R679" s="13"/>
      <c r="S679" s="13"/>
      <c r="T679" s="13"/>
      <c r="U679" s="13"/>
      <c r="V679" s="13"/>
    </row>
    <row r="680" spans="2:24" outlineLevel="2" x14ac:dyDescent="0.15">
      <c r="B680" s="800" t="s">
        <v>917</v>
      </c>
      <c r="C680" s="869">
        <v>1.0999999999999999E-2</v>
      </c>
      <c r="D680" s="843">
        <v>3.4000000000000002E-2</v>
      </c>
      <c r="E680" s="843">
        <v>7.0000000000000001E-3</v>
      </c>
      <c r="F680" s="807">
        <v>0.3</v>
      </c>
      <c r="G680" s="6"/>
      <c r="H680" s="6"/>
      <c r="I680" s="6"/>
      <c r="J680" s="6"/>
      <c r="K680" s="6"/>
      <c r="L680" s="6"/>
      <c r="M680" s="6"/>
      <c r="N680" s="6"/>
      <c r="R680" s="13"/>
      <c r="S680" s="13"/>
      <c r="T680" s="13"/>
      <c r="U680" s="13"/>
      <c r="V680" s="13"/>
    </row>
    <row r="681" spans="2:24" outlineLevel="2" x14ac:dyDescent="0.15">
      <c r="B681" s="800" t="s">
        <v>913</v>
      </c>
      <c r="C681" s="869">
        <v>1.4999999999999999E-2</v>
      </c>
      <c r="D681" s="843">
        <v>6.9000000000000006E-2</v>
      </c>
      <c r="E681" s="843">
        <v>7.0000000000000001E-3</v>
      </c>
      <c r="F681" s="807">
        <v>0.3</v>
      </c>
      <c r="G681" s="6"/>
      <c r="H681" s="6"/>
      <c r="I681" s="6"/>
      <c r="J681" s="6"/>
      <c r="K681" s="6"/>
      <c r="L681" s="6"/>
      <c r="M681" s="6"/>
      <c r="N681" s="6"/>
      <c r="R681" s="13"/>
      <c r="S681" s="13"/>
      <c r="T681" s="13"/>
      <c r="U681" s="13"/>
      <c r="V681" s="13"/>
    </row>
    <row r="682" spans="2:24" outlineLevel="2" x14ac:dyDescent="0.15">
      <c r="B682" s="800" t="s">
        <v>914</v>
      </c>
      <c r="C682" s="869">
        <v>1.7999999999999999E-2</v>
      </c>
      <c r="D682" s="843">
        <v>8.8999999999999996E-2</v>
      </c>
      <c r="E682" s="843">
        <v>7.0000000000000001E-3</v>
      </c>
      <c r="F682" s="807">
        <v>0.3</v>
      </c>
      <c r="G682" s="6"/>
      <c r="H682" s="6"/>
      <c r="I682" s="6"/>
      <c r="J682" s="6"/>
      <c r="K682" s="6"/>
      <c r="L682" s="6"/>
      <c r="M682" s="6"/>
      <c r="N682" s="6"/>
      <c r="R682" s="13"/>
      <c r="S682" s="13"/>
      <c r="T682" s="13"/>
      <c r="U682" s="13"/>
      <c r="V682" s="13"/>
    </row>
    <row r="683" spans="2:24" outlineLevel="2" x14ac:dyDescent="0.15">
      <c r="B683" s="800" t="s">
        <v>916</v>
      </c>
      <c r="C683" s="869">
        <v>0.01</v>
      </c>
      <c r="D683" s="843">
        <v>3.1E-2</v>
      </c>
      <c r="E683" s="843">
        <v>7.0000000000000001E-3</v>
      </c>
      <c r="F683" s="807">
        <v>0.3</v>
      </c>
      <c r="G683" s="6"/>
      <c r="H683" s="6"/>
      <c r="I683" s="6"/>
      <c r="J683" s="6"/>
      <c r="K683" s="6"/>
      <c r="L683" s="6"/>
      <c r="M683" s="6"/>
      <c r="N683" s="6"/>
      <c r="R683" s="13"/>
      <c r="S683" s="13"/>
      <c r="T683" s="13"/>
      <c r="U683" s="13"/>
      <c r="V683" s="13"/>
    </row>
    <row r="684" spans="2:24" outlineLevel="2" x14ac:dyDescent="0.15">
      <c r="B684" s="801"/>
      <c r="C684" s="801"/>
      <c r="D684" s="823"/>
      <c r="E684" s="823"/>
      <c r="F684" s="802"/>
      <c r="G684" s="1389"/>
      <c r="H684" s="6"/>
      <c r="I684" s="13"/>
      <c r="J684" s="13"/>
      <c r="K684" s="13"/>
      <c r="L684" s="13"/>
      <c r="M684" s="6"/>
      <c r="N684" s="6"/>
      <c r="R684" s="13"/>
      <c r="S684" s="13"/>
      <c r="T684" s="13"/>
      <c r="U684" s="13"/>
      <c r="V684" s="13"/>
    </row>
    <row r="685" spans="2:24" outlineLevel="2" x14ac:dyDescent="0.15">
      <c r="F685" s="6"/>
      <c r="G685" s="6"/>
      <c r="H685" s="6"/>
      <c r="I685" s="6"/>
      <c r="J685" s="6"/>
      <c r="K685" s="6"/>
      <c r="L685" s="6"/>
      <c r="M685" s="6"/>
    </row>
    <row r="686" spans="2:24" outlineLevel="2" x14ac:dyDescent="0.15">
      <c r="B686" s="1475" t="s">
        <v>3298</v>
      </c>
      <c r="C686" s="1859" t="s">
        <v>847</v>
      </c>
      <c r="D686" s="1860"/>
      <c r="E686" s="1860"/>
      <c r="F686" s="1537"/>
      <c r="G686" s="936"/>
      <c r="H686" s="6"/>
      <c r="I686" s="6"/>
      <c r="J686" s="6"/>
      <c r="K686" s="13"/>
      <c r="L686" s="13"/>
      <c r="M686" s="13"/>
      <c r="N686" s="13"/>
      <c r="O686" s="6"/>
      <c r="P686" s="1333"/>
      <c r="Q686" s="13"/>
      <c r="R686" s="13"/>
      <c r="S686" s="13"/>
      <c r="T686" s="13"/>
      <c r="U686" s="13"/>
      <c r="V686" s="13"/>
    </row>
    <row r="687" spans="2:24" outlineLevel="2" x14ac:dyDescent="0.15">
      <c r="B687" s="1486"/>
      <c r="C687" s="1553" t="s">
        <v>768</v>
      </c>
      <c r="D687" s="1535" t="s">
        <v>124</v>
      </c>
      <c r="E687" s="1313" t="s">
        <v>848</v>
      </c>
      <c r="F687" s="1554" t="s">
        <v>848</v>
      </c>
      <c r="G687" s="1552" t="s">
        <v>918</v>
      </c>
      <c r="H687" s="6"/>
      <c r="I687" s="6"/>
      <c r="J687" s="6"/>
      <c r="K687" s="13"/>
      <c r="L687" s="13"/>
      <c r="M687" s="6"/>
      <c r="N687" s="6"/>
      <c r="O687" s="6"/>
      <c r="P687" s="1333"/>
      <c r="Q687" s="13"/>
      <c r="R687" s="13"/>
      <c r="S687" s="13"/>
      <c r="T687" s="13"/>
      <c r="U687" s="13"/>
      <c r="V687" s="13"/>
    </row>
    <row r="688" spans="2:24" outlineLevel="2" x14ac:dyDescent="0.15">
      <c r="B688" s="800" t="s">
        <v>701</v>
      </c>
      <c r="C688" s="869">
        <v>1.4E-2</v>
      </c>
      <c r="D688" s="843">
        <v>6.2E-2</v>
      </c>
      <c r="E688" s="843">
        <v>6.0000000000000001E-3</v>
      </c>
      <c r="F688" s="829">
        <f>E688/(C688+D688)</f>
        <v>7.8947368421052641E-2</v>
      </c>
      <c r="G688" s="807">
        <v>0.1</v>
      </c>
      <c r="I688" s="11"/>
      <c r="J688" s="1536"/>
      <c r="L688" s="13"/>
      <c r="M688" s="13"/>
      <c r="N688" s="13"/>
      <c r="O688" s="13"/>
      <c r="P688" s="1333"/>
      <c r="Q688" s="13"/>
      <c r="R688" s="13"/>
      <c r="S688" s="13"/>
      <c r="T688" s="13"/>
      <c r="W688" s="4"/>
      <c r="X688" s="4"/>
    </row>
    <row r="689" spans="2:24" outlineLevel="2" x14ac:dyDescent="0.15">
      <c r="B689" s="800" t="s">
        <v>702</v>
      </c>
      <c r="C689" s="869">
        <v>1.4E-2</v>
      </c>
      <c r="D689" s="843">
        <v>6.2E-2</v>
      </c>
      <c r="E689" s="843">
        <v>6.0000000000000001E-3</v>
      </c>
      <c r="F689" s="829">
        <f t="shared" ref="F689:F705" si="7">E689/(C689+D689)</f>
        <v>7.8947368421052641E-2</v>
      </c>
      <c r="G689" s="807">
        <v>0.1</v>
      </c>
      <c r="I689" s="11"/>
      <c r="J689" s="1536"/>
      <c r="L689" s="13"/>
      <c r="M689" s="13"/>
      <c r="N689" s="13"/>
      <c r="O689" s="13"/>
      <c r="P689" s="1333"/>
      <c r="Q689" s="13"/>
      <c r="R689" s="13"/>
      <c r="S689" s="13"/>
      <c r="T689" s="13"/>
      <c r="W689" s="4"/>
      <c r="X689" s="4"/>
    </row>
    <row r="690" spans="2:24" outlineLevel="2" x14ac:dyDescent="0.15">
      <c r="B690" s="800" t="s">
        <v>703</v>
      </c>
      <c r="C690" s="869">
        <v>1.4E-2</v>
      </c>
      <c r="D690" s="843">
        <v>6.2E-2</v>
      </c>
      <c r="E690" s="843">
        <v>6.0000000000000001E-3</v>
      </c>
      <c r="F690" s="829">
        <f t="shared" si="7"/>
        <v>7.8947368421052641E-2</v>
      </c>
      <c r="G690" s="807">
        <v>0.1</v>
      </c>
      <c r="I690" s="11"/>
      <c r="J690" s="1536"/>
      <c r="L690" s="13"/>
      <c r="M690" s="13"/>
      <c r="N690" s="13"/>
      <c r="O690" s="13"/>
      <c r="P690" s="1333"/>
      <c r="Q690" s="13"/>
      <c r="R690" s="13"/>
      <c r="S690" s="13"/>
      <c r="T690" s="13"/>
      <c r="W690" s="4"/>
      <c r="X690" s="4"/>
    </row>
    <row r="691" spans="2:24" outlineLevel="2" x14ac:dyDescent="0.15">
      <c r="B691" s="800" t="s">
        <v>704</v>
      </c>
      <c r="C691" s="869">
        <v>1.4E-2</v>
      </c>
      <c r="D691" s="843">
        <v>6.2E-2</v>
      </c>
      <c r="E691" s="843">
        <v>6.0000000000000001E-3</v>
      </c>
      <c r="F691" s="829">
        <f t="shared" si="7"/>
        <v>7.8947368421052641E-2</v>
      </c>
      <c r="G691" s="807">
        <v>0.1</v>
      </c>
      <c r="I691" s="11"/>
      <c r="J691" s="1536"/>
      <c r="L691" s="13"/>
      <c r="M691" s="13"/>
      <c r="N691" s="13"/>
      <c r="O691" s="13"/>
      <c r="P691" s="1333"/>
      <c r="Q691" s="13"/>
      <c r="R691" s="13"/>
      <c r="S691" s="13"/>
      <c r="T691" s="13"/>
      <c r="W691" s="4"/>
      <c r="X691" s="4"/>
    </row>
    <row r="692" spans="2:24" outlineLevel="2" x14ac:dyDescent="0.15">
      <c r="B692" s="800" t="s">
        <v>705</v>
      </c>
      <c r="C692" s="869">
        <v>1.4E-2</v>
      </c>
      <c r="D692" s="843">
        <v>6.2E-2</v>
      </c>
      <c r="E692" s="843">
        <v>6.0000000000000001E-3</v>
      </c>
      <c r="F692" s="829">
        <f t="shared" si="7"/>
        <v>7.8947368421052641E-2</v>
      </c>
      <c r="G692" s="807">
        <v>0.1</v>
      </c>
      <c r="I692" s="11"/>
      <c r="J692" s="1536"/>
      <c r="L692" s="13"/>
      <c r="M692" s="13"/>
      <c r="N692" s="13"/>
      <c r="O692" s="13"/>
      <c r="P692" s="1333"/>
      <c r="Q692" s="13"/>
      <c r="R692" s="13"/>
      <c r="S692" s="13"/>
      <c r="T692" s="13"/>
      <c r="W692" s="4"/>
      <c r="X692" s="4"/>
    </row>
    <row r="693" spans="2:24" outlineLevel="2" x14ac:dyDescent="0.15">
      <c r="B693" s="800" t="s">
        <v>706</v>
      </c>
      <c r="C693" s="869">
        <v>1.4999999999999999E-2</v>
      </c>
      <c r="D693" s="843">
        <v>6.2E-2</v>
      </c>
      <c r="E693" s="843">
        <v>7.0000000000000001E-3</v>
      </c>
      <c r="F693" s="829">
        <f t="shared" si="7"/>
        <v>9.0909090909090912E-2</v>
      </c>
      <c r="G693" s="807">
        <v>0.1</v>
      </c>
      <c r="I693" s="11"/>
      <c r="J693" s="1536"/>
      <c r="L693" s="13"/>
      <c r="M693" s="13"/>
      <c r="N693" s="13"/>
      <c r="O693" s="13"/>
      <c r="P693" s="1333"/>
      <c r="Q693" s="13"/>
      <c r="R693" s="13"/>
      <c r="S693" s="13"/>
      <c r="T693" s="13"/>
      <c r="W693" s="4"/>
      <c r="X693" s="4"/>
    </row>
    <row r="694" spans="2:24" outlineLevel="2" x14ac:dyDescent="0.15">
      <c r="B694" s="1658" t="s">
        <v>3263</v>
      </c>
      <c r="C694" s="1661">
        <v>4.4999999999999998E-2</v>
      </c>
      <c r="D694" s="843"/>
      <c r="E694" s="843"/>
      <c r="F694" s="829"/>
      <c r="G694" s="807"/>
      <c r="I694" s="11"/>
      <c r="J694" s="1536"/>
      <c r="L694" s="13"/>
      <c r="M694" s="13"/>
      <c r="N694" s="13"/>
      <c r="O694" s="13"/>
      <c r="P694" s="1333"/>
      <c r="Q694" s="13"/>
      <c r="R694" s="13"/>
      <c r="S694" s="13"/>
      <c r="T694" s="13"/>
      <c r="W694" s="4"/>
      <c r="X694" s="4"/>
    </row>
    <row r="695" spans="2:24" outlineLevel="2" x14ac:dyDescent="0.15">
      <c r="B695" s="800" t="s">
        <v>1116</v>
      </c>
      <c r="C695" s="843">
        <v>4.0000000000000001E-3</v>
      </c>
      <c r="D695" s="843"/>
      <c r="E695" s="843"/>
      <c r="F695" s="829"/>
      <c r="G695" s="807"/>
      <c r="I695" s="11"/>
      <c r="J695" s="1536"/>
      <c r="L695" s="13"/>
      <c r="M695" s="13"/>
      <c r="N695" s="13"/>
      <c r="O695" s="13"/>
      <c r="P695" s="1333"/>
      <c r="Q695" s="13"/>
      <c r="R695" s="13"/>
      <c r="S695" s="13"/>
      <c r="T695" s="13"/>
      <c r="W695" s="4"/>
      <c r="X695" s="4"/>
    </row>
    <row r="696" spans="2:24" outlineLevel="2" x14ac:dyDescent="0.15">
      <c r="B696" s="1658" t="s">
        <v>3262</v>
      </c>
      <c r="C696" s="1661">
        <v>5.4999999999999993E-2</v>
      </c>
      <c r="D696" s="843"/>
      <c r="E696" s="843"/>
      <c r="F696" s="829"/>
      <c r="G696" s="807"/>
      <c r="I696" s="11"/>
      <c r="J696" s="1536"/>
      <c r="L696" s="13"/>
      <c r="M696" s="13"/>
      <c r="N696" s="13"/>
      <c r="O696" s="13"/>
      <c r="P696" s="1333"/>
      <c r="Q696" s="13"/>
      <c r="R696" s="13"/>
      <c r="S696" s="13"/>
      <c r="T696" s="13"/>
      <c r="W696" s="4"/>
      <c r="X696" s="4"/>
    </row>
    <row r="697" spans="2:24" outlineLevel="2" x14ac:dyDescent="0.15">
      <c r="B697" s="800" t="s">
        <v>1114</v>
      </c>
      <c r="C697" s="843">
        <v>3.6999999999999998E-2</v>
      </c>
      <c r="D697" s="843"/>
      <c r="E697" s="843"/>
      <c r="F697" s="829"/>
      <c r="G697" s="807"/>
      <c r="I697" s="11"/>
      <c r="J697" s="1536"/>
      <c r="L697" s="13"/>
      <c r="M697" s="13"/>
      <c r="N697" s="13"/>
      <c r="O697" s="13"/>
      <c r="P697" s="1333"/>
      <c r="Q697" s="13"/>
      <c r="R697" s="13"/>
      <c r="S697" s="13"/>
      <c r="T697" s="13"/>
      <c r="W697" s="4"/>
      <c r="X697" s="4"/>
    </row>
    <row r="698" spans="2:24" outlineLevel="2" x14ac:dyDescent="0.15">
      <c r="B698" s="800" t="s">
        <v>1113</v>
      </c>
      <c r="C698" s="843"/>
      <c r="D698" s="843"/>
      <c r="E698" s="843"/>
      <c r="F698" s="829"/>
      <c r="G698" s="807"/>
      <c r="I698" s="11"/>
      <c r="J698" s="1536"/>
      <c r="L698" s="13"/>
      <c r="M698" s="13"/>
      <c r="N698" s="13"/>
      <c r="O698" s="13"/>
      <c r="P698" s="1333"/>
      <c r="Q698" s="13"/>
      <c r="R698" s="13"/>
      <c r="S698" s="13"/>
      <c r="T698" s="13"/>
      <c r="W698" s="4"/>
      <c r="X698" s="4"/>
    </row>
    <row r="699" spans="2:24" outlineLevel="2" x14ac:dyDescent="0.15">
      <c r="B699" s="1658" t="s">
        <v>3258</v>
      </c>
      <c r="C699" s="1661">
        <v>1.09E-2</v>
      </c>
      <c r="D699" s="843"/>
      <c r="E699" s="843"/>
      <c r="F699" s="829"/>
      <c r="G699" s="807"/>
      <c r="I699" s="11"/>
      <c r="J699" s="1536"/>
      <c r="L699" s="13"/>
      <c r="M699" s="13"/>
      <c r="N699" s="13"/>
      <c r="O699" s="13"/>
      <c r="P699" s="1333"/>
      <c r="Q699" s="13"/>
      <c r="R699" s="13"/>
      <c r="S699" s="13"/>
      <c r="T699" s="13"/>
      <c r="W699" s="4"/>
      <c r="X699" s="4"/>
    </row>
    <row r="700" spans="2:24" outlineLevel="2" x14ac:dyDescent="0.15">
      <c r="B700" s="1658" t="s">
        <v>3260</v>
      </c>
      <c r="C700" s="1661">
        <v>5.96E-3</v>
      </c>
      <c r="D700" s="843"/>
      <c r="E700" s="843"/>
      <c r="F700" s="829"/>
      <c r="G700" s="807"/>
      <c r="I700" s="11"/>
      <c r="J700" s="1536"/>
      <c r="L700" s="13"/>
      <c r="M700" s="13"/>
      <c r="N700" s="13"/>
      <c r="O700" s="13"/>
      <c r="P700" s="1333"/>
      <c r="Q700" s="13"/>
      <c r="R700" s="13"/>
      <c r="S700" s="13"/>
      <c r="T700" s="13"/>
      <c r="W700" s="4"/>
      <c r="X700" s="4"/>
    </row>
    <row r="701" spans="2:24" outlineLevel="2" x14ac:dyDescent="0.15">
      <c r="B701" s="1658" t="s">
        <v>3261</v>
      </c>
      <c r="C701" s="1661">
        <v>2.4400000000000002E-2</v>
      </c>
      <c r="D701" s="843"/>
      <c r="E701" s="843"/>
      <c r="F701" s="829"/>
      <c r="G701" s="807"/>
      <c r="I701" s="11"/>
      <c r="J701" s="1536"/>
      <c r="L701" s="13"/>
      <c r="M701" s="13"/>
      <c r="N701" s="13"/>
      <c r="O701" s="13"/>
      <c r="P701" s="1333"/>
      <c r="Q701" s="13"/>
      <c r="R701" s="13"/>
      <c r="S701" s="13"/>
      <c r="T701" s="13"/>
      <c r="W701" s="4"/>
      <c r="X701" s="4"/>
    </row>
    <row r="702" spans="2:24" outlineLevel="2" x14ac:dyDescent="0.15">
      <c r="B702" s="800" t="s">
        <v>1115</v>
      </c>
      <c r="C702" s="843">
        <v>7.3000000000000001E-3</v>
      </c>
      <c r="D702" s="843"/>
      <c r="E702" s="843"/>
      <c r="F702" s="829"/>
      <c r="G702" s="807"/>
      <c r="I702" s="11"/>
      <c r="J702" s="1536"/>
      <c r="L702" s="13"/>
      <c r="M702" s="13"/>
      <c r="N702" s="13"/>
      <c r="O702" s="13"/>
      <c r="P702" s="1333"/>
      <c r="Q702" s="13"/>
      <c r="R702" s="13"/>
      <c r="S702" s="13"/>
      <c r="T702" s="13"/>
      <c r="W702" s="4"/>
      <c r="X702" s="4"/>
    </row>
    <row r="703" spans="2:24" outlineLevel="2" x14ac:dyDescent="0.15">
      <c r="B703" s="1658" t="s">
        <v>3328</v>
      </c>
      <c r="C703" s="869">
        <v>1.4999999999999999E-2</v>
      </c>
      <c r="D703" s="1661">
        <v>0.315</v>
      </c>
      <c r="E703" s="1661">
        <v>2.2599999999999999E-2</v>
      </c>
      <c r="F703" s="829">
        <f t="shared" si="7"/>
        <v>6.8484848484848482E-2</v>
      </c>
      <c r="G703" s="807"/>
      <c r="I703" s="11"/>
      <c r="J703" s="1536"/>
      <c r="L703" s="13"/>
      <c r="M703" s="13"/>
      <c r="N703" s="13"/>
      <c r="O703" s="13"/>
      <c r="P703" s="1333"/>
      <c r="Q703" s="13"/>
      <c r="R703" s="13"/>
      <c r="S703" s="13"/>
      <c r="T703" s="13"/>
      <c r="W703" s="4"/>
      <c r="X703" s="4"/>
    </row>
    <row r="704" spans="2:24" outlineLevel="2" x14ac:dyDescent="0.15">
      <c r="B704" s="1658" t="s">
        <v>3327</v>
      </c>
      <c r="C704" s="869">
        <v>1.4999999999999999E-2</v>
      </c>
      <c r="D704" s="1661">
        <v>0.30399999999999999</v>
      </c>
      <c r="E704" s="1661">
        <v>1.9400000000000001E-2</v>
      </c>
      <c r="F704" s="829"/>
      <c r="G704" s="807"/>
      <c r="I704" s="11"/>
      <c r="J704" s="1536"/>
      <c r="L704" s="13"/>
      <c r="M704" s="13"/>
      <c r="N704" s="13"/>
      <c r="O704" s="13"/>
      <c r="P704" s="1333"/>
      <c r="Q704" s="13"/>
      <c r="R704" s="13"/>
      <c r="S704" s="13"/>
      <c r="T704" s="13"/>
      <c r="W704" s="4"/>
      <c r="X704" s="4"/>
    </row>
    <row r="705" spans="2:24" outlineLevel="2" x14ac:dyDescent="0.15">
      <c r="B705" s="800" t="s">
        <v>707</v>
      </c>
      <c r="C705" s="869">
        <v>1.4999999999999999E-2</v>
      </c>
      <c r="D705" s="843">
        <v>0.06</v>
      </c>
      <c r="E705" s="843">
        <v>7.0000000000000001E-3</v>
      </c>
      <c r="F705" s="829">
        <f t="shared" si="7"/>
        <v>9.3333333333333338E-2</v>
      </c>
      <c r="G705" s="807">
        <v>0.1</v>
      </c>
      <c r="I705" s="11"/>
      <c r="J705" s="1536"/>
      <c r="L705" s="13"/>
      <c r="M705" s="13"/>
      <c r="N705" s="13"/>
      <c r="O705" s="13"/>
      <c r="P705" s="1333"/>
      <c r="Q705" s="13"/>
      <c r="R705" s="13"/>
      <c r="S705" s="13"/>
      <c r="T705" s="13"/>
      <c r="W705" s="4"/>
      <c r="X705" s="4"/>
    </row>
    <row r="706" spans="2:24" outlineLevel="2" x14ac:dyDescent="0.15">
      <c r="B706" s="800"/>
      <c r="C706" s="869"/>
      <c r="D706" s="843"/>
      <c r="E706" s="843"/>
      <c r="F706" s="1538"/>
      <c r="G706" s="807"/>
      <c r="L706" s="13"/>
      <c r="M706" s="13"/>
      <c r="N706" s="13"/>
      <c r="O706" s="13"/>
      <c r="P706" s="1333"/>
      <c r="Q706" s="13"/>
      <c r="R706" s="13"/>
      <c r="S706" s="13"/>
      <c r="T706" s="13"/>
      <c r="W706" s="4"/>
      <c r="X706" s="4"/>
    </row>
    <row r="707" spans="2:24" outlineLevel="2" x14ac:dyDescent="0.15">
      <c r="B707" s="800" t="s">
        <v>961</v>
      </c>
      <c r="C707" s="869">
        <v>5.8000000000000003E-2</v>
      </c>
      <c r="D707" s="843">
        <v>0.53564000000000001</v>
      </c>
      <c r="E707" s="843"/>
      <c r="F707" s="1538"/>
      <c r="G707" s="807">
        <v>0.15</v>
      </c>
      <c r="H707" s="27"/>
      <c r="I707" s="27"/>
      <c r="J707" s="676"/>
      <c r="L707" s="13"/>
      <c r="M707" s="13"/>
      <c r="N707" s="13"/>
      <c r="O707" s="13"/>
      <c r="P707" s="1333"/>
      <c r="Q707" s="13"/>
      <c r="R707" s="13"/>
      <c r="S707" s="13"/>
      <c r="T707" s="13"/>
      <c r="W707" s="4"/>
      <c r="X707" s="4"/>
    </row>
    <row r="708" spans="2:24" outlineLevel="2" x14ac:dyDescent="0.15">
      <c r="B708" s="800" t="s">
        <v>142</v>
      </c>
      <c r="C708" s="869">
        <v>8.3000000000000004E-2</v>
      </c>
      <c r="D708" s="843">
        <v>0.61904999999999999</v>
      </c>
      <c r="E708" s="843"/>
      <c r="F708" s="1538"/>
      <c r="G708" s="807">
        <v>0.15</v>
      </c>
      <c r="H708" s="27"/>
      <c r="I708" s="27"/>
      <c r="J708" s="676"/>
      <c r="L708" s="13"/>
      <c r="M708" s="13"/>
      <c r="N708" s="13"/>
      <c r="O708" s="13"/>
      <c r="P708" s="1333"/>
      <c r="Q708" s="13"/>
      <c r="R708" s="13"/>
      <c r="S708" s="13"/>
      <c r="T708" s="13"/>
      <c r="W708" s="4"/>
      <c r="X708" s="4"/>
    </row>
    <row r="709" spans="2:24" outlineLevel="2" x14ac:dyDescent="0.15">
      <c r="B709" s="800" t="s">
        <v>710</v>
      </c>
      <c r="C709" s="869">
        <v>0.107</v>
      </c>
      <c r="D709" s="843">
        <v>0.79920000000000002</v>
      </c>
      <c r="E709" s="843"/>
      <c r="F709" s="1538"/>
      <c r="G709" s="807">
        <v>0.15</v>
      </c>
      <c r="H709" s="27"/>
      <c r="I709" s="27"/>
      <c r="J709" s="676"/>
      <c r="L709" s="13"/>
      <c r="M709" s="13"/>
      <c r="N709" s="13"/>
      <c r="O709" s="13"/>
      <c r="P709" s="1333"/>
      <c r="Q709" s="13"/>
      <c r="R709" s="13"/>
      <c r="S709" s="13"/>
      <c r="T709" s="13"/>
      <c r="W709" s="4"/>
      <c r="X709" s="4"/>
    </row>
    <row r="710" spans="2:24" outlineLevel="2" x14ac:dyDescent="0.15">
      <c r="B710" s="800" t="s">
        <v>962</v>
      </c>
      <c r="C710" s="869">
        <v>3.9E-2</v>
      </c>
      <c r="D710" s="843">
        <v>2.5176900000000004</v>
      </c>
      <c r="E710" s="843"/>
      <c r="F710" s="1538"/>
      <c r="G710" s="807">
        <v>0.15</v>
      </c>
      <c r="H710" s="27"/>
      <c r="I710" s="27"/>
      <c r="J710" s="676"/>
      <c r="L710" s="13"/>
      <c r="M710" s="13"/>
      <c r="N710" s="13"/>
      <c r="O710" s="13"/>
      <c r="P710" s="1333"/>
      <c r="Q710" s="13"/>
      <c r="R710" s="13"/>
      <c r="S710" s="13"/>
      <c r="T710" s="13"/>
      <c r="W710" s="4"/>
      <c r="X710" s="4"/>
    </row>
    <row r="711" spans="2:24" outlineLevel="2" x14ac:dyDescent="0.15">
      <c r="B711" s="800" t="s">
        <v>143</v>
      </c>
      <c r="C711" s="869">
        <v>0.11600000000000001</v>
      </c>
      <c r="D711" s="843">
        <v>0.72351999999999994</v>
      </c>
      <c r="E711" s="843"/>
      <c r="F711" s="1538"/>
      <c r="G711" s="807">
        <v>0.15</v>
      </c>
      <c r="H711" s="27"/>
      <c r="I711" s="27"/>
      <c r="J711" s="676"/>
      <c r="L711" s="13"/>
      <c r="M711" s="13"/>
      <c r="N711" s="13"/>
      <c r="O711" s="13"/>
      <c r="P711" s="1333"/>
      <c r="Q711" s="13"/>
      <c r="R711" s="13"/>
      <c r="S711" s="13"/>
      <c r="T711" s="13"/>
      <c r="W711" s="4"/>
      <c r="X711" s="4"/>
    </row>
    <row r="712" spans="2:24" outlineLevel="2" x14ac:dyDescent="0.15">
      <c r="B712" s="800" t="s">
        <v>144</v>
      </c>
      <c r="C712" s="869">
        <v>8.5999999999999993E-2</v>
      </c>
      <c r="D712" s="843">
        <v>0.69352000000000003</v>
      </c>
      <c r="E712" s="843"/>
      <c r="F712" s="1538"/>
      <c r="G712" s="807">
        <v>0.15</v>
      </c>
      <c r="H712" s="27"/>
      <c r="I712" s="27"/>
      <c r="J712" s="676"/>
      <c r="L712" s="13"/>
      <c r="M712" s="13"/>
      <c r="N712" s="13"/>
      <c r="O712" s="13"/>
      <c r="P712" s="1333"/>
      <c r="Q712" s="13"/>
      <c r="R712" s="13"/>
      <c r="S712" s="13"/>
      <c r="T712" s="13"/>
      <c r="W712" s="4"/>
      <c r="X712" s="4"/>
    </row>
    <row r="713" spans="2:24" outlineLevel="2" x14ac:dyDescent="0.15">
      <c r="B713" s="800" t="s">
        <v>966</v>
      </c>
      <c r="C713" s="869">
        <v>7.0999999999999994E-2</v>
      </c>
      <c r="D713" s="843">
        <v>0.70899000000000001</v>
      </c>
      <c r="E713" s="843"/>
      <c r="F713" s="1538"/>
      <c r="G713" s="807">
        <v>0.15</v>
      </c>
      <c r="H713" s="27"/>
      <c r="I713" s="27"/>
      <c r="J713" s="676"/>
      <c r="L713" s="13"/>
      <c r="M713" s="13"/>
      <c r="N713" s="13"/>
      <c r="O713" s="13"/>
      <c r="P713" s="1333"/>
      <c r="Q713" s="13"/>
      <c r="R713" s="13"/>
      <c r="S713" s="13"/>
      <c r="T713" s="13"/>
      <c r="W713" s="4"/>
      <c r="X713" s="4"/>
    </row>
    <row r="714" spans="2:24" outlineLevel="2" x14ac:dyDescent="0.15">
      <c r="B714" s="800" t="s">
        <v>709</v>
      </c>
      <c r="C714" s="869">
        <v>0.10199999999999999</v>
      </c>
      <c r="D714" s="843">
        <v>0.75709000000000004</v>
      </c>
      <c r="E714" s="843"/>
      <c r="F714" s="1538"/>
      <c r="G714" s="807">
        <v>0.15</v>
      </c>
      <c r="H714" s="27"/>
      <c r="I714" s="27"/>
      <c r="J714" s="676"/>
      <c r="L714" s="13"/>
      <c r="M714" s="13"/>
      <c r="N714" s="13"/>
      <c r="O714" s="13"/>
      <c r="P714" s="1333"/>
      <c r="Q714" s="13"/>
      <c r="R714" s="13"/>
      <c r="S714" s="13"/>
      <c r="T714" s="13"/>
      <c r="W714" s="4"/>
      <c r="X714" s="4"/>
    </row>
    <row r="715" spans="2:24" outlineLevel="2" x14ac:dyDescent="0.15">
      <c r="B715" s="800" t="s">
        <v>708</v>
      </c>
      <c r="C715" s="869">
        <v>9.7199999999999995E-2</v>
      </c>
      <c r="D715" s="843">
        <v>0.72223999999999999</v>
      </c>
      <c r="E715" s="843"/>
      <c r="F715" s="1538"/>
      <c r="G715" s="807">
        <v>0.15</v>
      </c>
      <c r="H715" s="27"/>
      <c r="I715" s="27"/>
      <c r="J715" s="676"/>
      <c r="L715" s="13"/>
      <c r="M715" s="13"/>
      <c r="N715" s="13"/>
      <c r="O715" s="13"/>
      <c r="P715" s="1333"/>
      <c r="Q715" s="13"/>
      <c r="R715" s="13"/>
      <c r="S715" s="13"/>
      <c r="T715" s="13"/>
      <c r="W715" s="4"/>
      <c r="X715" s="4"/>
    </row>
    <row r="716" spans="2:24" outlineLevel="2" x14ac:dyDescent="0.15">
      <c r="B716" s="800" t="s">
        <v>968</v>
      </c>
      <c r="C716" s="869">
        <v>0.128</v>
      </c>
      <c r="D716" s="843">
        <v>0.81574000000000002</v>
      </c>
      <c r="E716" s="843"/>
      <c r="F716" s="1538"/>
      <c r="G716" s="807">
        <v>0.15</v>
      </c>
      <c r="H716" s="27"/>
      <c r="I716" s="27"/>
      <c r="J716" s="676"/>
      <c r="L716" s="13"/>
      <c r="M716" s="13"/>
      <c r="N716" s="13"/>
      <c r="O716" s="13"/>
      <c r="P716" s="1333"/>
      <c r="Q716" s="13"/>
      <c r="R716" s="13"/>
      <c r="S716" s="13"/>
      <c r="T716" s="13"/>
      <c r="W716" s="4"/>
      <c r="X716" s="4"/>
    </row>
    <row r="717" spans="2:24" outlineLevel="2" x14ac:dyDescent="0.15">
      <c r="B717" s="801"/>
      <c r="C717" s="801"/>
      <c r="D717" s="823"/>
      <c r="E717" s="823"/>
      <c r="F717" s="802"/>
      <c r="G717" s="802"/>
      <c r="L717" s="13"/>
      <c r="M717" s="13"/>
      <c r="N717" s="13"/>
      <c r="O717" s="13"/>
      <c r="P717" s="1333"/>
      <c r="Q717" s="13"/>
      <c r="R717" s="13"/>
      <c r="S717" s="13"/>
      <c r="T717" s="13"/>
      <c r="W717" s="4"/>
      <c r="X717" s="4"/>
    </row>
    <row r="718" spans="2:24" outlineLevel="2" x14ac:dyDescent="0.15">
      <c r="J718" s="13"/>
      <c r="K718" s="13"/>
      <c r="L718" s="13"/>
      <c r="M718" s="13"/>
      <c r="N718" s="1333"/>
      <c r="O718" s="13"/>
      <c r="P718" s="13"/>
      <c r="Q718" s="13"/>
      <c r="R718" s="13"/>
    </row>
    <row r="719" spans="2:24" ht="26.25" customHeight="1" outlineLevel="2" x14ac:dyDescent="0.15">
      <c r="B719" s="1489" t="s">
        <v>919</v>
      </c>
      <c r="C719" s="796"/>
      <c r="D719" s="898"/>
      <c r="E719" s="1862" t="s">
        <v>923</v>
      </c>
      <c r="F719" s="1862"/>
      <c r="G719" s="1862"/>
      <c r="H719" s="1862"/>
      <c r="I719" s="1881" t="s">
        <v>922</v>
      </c>
      <c r="J719" s="8"/>
      <c r="K719" s="13"/>
      <c r="L719" s="676"/>
      <c r="M719" s="8"/>
      <c r="N719" s="8"/>
      <c r="O719" s="13"/>
      <c r="P719" s="8"/>
      <c r="Q719" s="8"/>
      <c r="R719" s="8"/>
      <c r="S719" s="8"/>
      <c r="T719" s="8"/>
      <c r="U719" s="8"/>
      <c r="V719" s="8"/>
      <c r="W719" s="8"/>
    </row>
    <row r="720" spans="2:24" ht="14" outlineLevel="2" x14ac:dyDescent="0.15">
      <c r="B720" s="1553" t="s">
        <v>920</v>
      </c>
      <c r="C720" s="880" t="s">
        <v>847</v>
      </c>
      <c r="D720" s="923" t="s">
        <v>723</v>
      </c>
      <c r="E720" s="890" t="s">
        <v>14</v>
      </c>
      <c r="F720" s="889" t="s">
        <v>695</v>
      </c>
      <c r="G720" s="889" t="s">
        <v>27</v>
      </c>
      <c r="H720" s="1541" t="s">
        <v>921</v>
      </c>
      <c r="I720" s="1882"/>
      <c r="J720" s="8"/>
      <c r="K720" s="1314"/>
      <c r="L720" s="1315"/>
      <c r="M720" s="8"/>
      <c r="N720" s="8"/>
      <c r="O720" s="8"/>
      <c r="P720" s="8"/>
      <c r="Q720" s="8"/>
      <c r="R720" s="8"/>
      <c r="S720" s="8"/>
      <c r="T720" s="8"/>
      <c r="U720" s="8"/>
      <c r="V720" s="8"/>
      <c r="W720" s="8"/>
    </row>
    <row r="721" spans="2:23" outlineLevel="2" x14ac:dyDescent="0.15">
      <c r="B721" s="800" t="s">
        <v>925</v>
      </c>
      <c r="C721" s="843">
        <v>2.15E-3</v>
      </c>
      <c r="D721" s="1514">
        <v>0.1</v>
      </c>
      <c r="E721" s="821"/>
      <c r="F721" s="821"/>
      <c r="G721" s="821"/>
      <c r="H721" s="821"/>
      <c r="I721" s="806"/>
      <c r="W721" s="4"/>
    </row>
    <row r="722" spans="2:23" outlineLevel="2" x14ac:dyDescent="0.15">
      <c r="B722" s="800" t="s">
        <v>926</v>
      </c>
      <c r="C722" s="843">
        <v>0.54800000000000004</v>
      </c>
      <c r="D722" s="807">
        <v>0.1</v>
      </c>
      <c r="E722" s="821"/>
      <c r="F722" s="821"/>
      <c r="G722" s="821"/>
      <c r="H722" s="821"/>
      <c r="I722" s="806"/>
      <c r="W722" s="4"/>
    </row>
    <row r="723" spans="2:23" outlineLevel="2" x14ac:dyDescent="0.15">
      <c r="B723" s="800" t="s">
        <v>203</v>
      </c>
      <c r="C723" s="843">
        <v>0.44</v>
      </c>
      <c r="D723" s="807">
        <v>0.1</v>
      </c>
      <c r="E723" s="821"/>
      <c r="F723" s="821"/>
      <c r="G723" s="821"/>
      <c r="H723" s="821"/>
      <c r="I723" s="806"/>
      <c r="K723" s="27"/>
      <c r="L723" s="13"/>
      <c r="W723" s="4"/>
    </row>
    <row r="724" spans="2:23" outlineLevel="2" x14ac:dyDescent="0.15">
      <c r="B724" s="800" t="s">
        <v>930</v>
      </c>
      <c r="C724" s="843">
        <v>0.36699999999999999</v>
      </c>
      <c r="D724" s="807">
        <v>0.1</v>
      </c>
      <c r="E724" s="821"/>
      <c r="F724" s="821"/>
      <c r="G724" s="821"/>
      <c r="H724" s="821"/>
      <c r="I724" s="806"/>
      <c r="W724" s="4"/>
    </row>
    <row r="725" spans="2:23" outlineLevel="2" x14ac:dyDescent="0.15">
      <c r="B725" s="800" t="s">
        <v>931</v>
      </c>
      <c r="C725" s="843">
        <v>0.18099999999999999</v>
      </c>
      <c r="D725" s="807">
        <v>0.1</v>
      </c>
      <c r="E725" s="821"/>
      <c r="F725" s="821"/>
      <c r="G725" s="821"/>
      <c r="H725" s="821"/>
      <c r="I725" s="806"/>
      <c r="W725" s="4"/>
    </row>
    <row r="726" spans="2:23" outlineLevel="2" x14ac:dyDescent="0.15">
      <c r="B726" s="800" t="s">
        <v>932</v>
      </c>
      <c r="C726" s="843">
        <v>0.84099999999999997</v>
      </c>
      <c r="D726" s="807">
        <v>0.1</v>
      </c>
      <c r="E726" s="821"/>
      <c r="F726" s="821"/>
      <c r="G726" s="821"/>
      <c r="H726" s="821"/>
      <c r="I726" s="806"/>
      <c r="W726" s="4"/>
    </row>
    <row r="727" spans="2:23" outlineLevel="2" x14ac:dyDescent="0.15">
      <c r="B727" s="800" t="s">
        <v>933</v>
      </c>
      <c r="C727" s="843">
        <v>0.188</v>
      </c>
      <c r="D727" s="807">
        <v>0.1</v>
      </c>
      <c r="E727" s="821"/>
      <c r="F727" s="821"/>
      <c r="G727" s="821"/>
      <c r="H727" s="821"/>
      <c r="I727" s="806"/>
      <c r="W727" s="4"/>
    </row>
    <row r="728" spans="2:23" ht="12.75" customHeight="1" outlineLevel="2" x14ac:dyDescent="0.15">
      <c r="B728" s="800" t="s">
        <v>1028</v>
      </c>
      <c r="C728" s="843">
        <v>0.58399999999999996</v>
      </c>
      <c r="D728" s="807">
        <v>0.1</v>
      </c>
      <c r="E728" s="821"/>
      <c r="F728" s="821"/>
      <c r="G728" s="821"/>
      <c r="H728" s="821"/>
      <c r="I728" s="806"/>
      <c r="W728" s="4"/>
    </row>
    <row r="729" spans="2:23" outlineLevel="2" x14ac:dyDescent="0.15">
      <c r="B729" s="800" t="s">
        <v>1029</v>
      </c>
      <c r="C729" s="843">
        <v>0.64</v>
      </c>
      <c r="D729" s="807">
        <v>0.1</v>
      </c>
      <c r="E729" s="821"/>
      <c r="F729" s="821"/>
      <c r="G729" s="821"/>
      <c r="H729" s="821"/>
      <c r="I729" s="806"/>
      <c r="W729" s="4"/>
    </row>
    <row r="730" spans="2:23" outlineLevel="2" x14ac:dyDescent="0.15">
      <c r="B730" s="800" t="s">
        <v>204</v>
      </c>
      <c r="C730" s="843">
        <v>0.59299999999999997</v>
      </c>
      <c r="D730" s="807">
        <v>0.1</v>
      </c>
      <c r="E730" s="821"/>
      <c r="F730" s="821"/>
      <c r="G730" s="821"/>
      <c r="H730" s="821"/>
      <c r="I730" s="806"/>
      <c r="W730" s="4"/>
    </row>
    <row r="731" spans="2:23" outlineLevel="2" x14ac:dyDescent="0.15">
      <c r="B731" s="800" t="s">
        <v>934</v>
      </c>
      <c r="C731" s="843">
        <v>0.58499999999999996</v>
      </c>
      <c r="D731" s="807">
        <v>0.1</v>
      </c>
      <c r="E731" s="821"/>
      <c r="F731" s="821"/>
      <c r="G731" s="821"/>
      <c r="H731" s="821"/>
      <c r="I731" s="806"/>
      <c r="W731" s="4"/>
    </row>
    <row r="732" spans="2:23" outlineLevel="2" x14ac:dyDescent="0.15">
      <c r="B732" s="800" t="s">
        <v>935</v>
      </c>
      <c r="C732" s="843">
        <v>0.22</v>
      </c>
      <c r="D732" s="807">
        <v>0.1</v>
      </c>
      <c r="E732" s="821"/>
      <c r="F732" s="821"/>
      <c r="G732" s="821"/>
      <c r="H732" s="821"/>
      <c r="I732" s="806"/>
      <c r="W732" s="4"/>
    </row>
    <row r="733" spans="2:23" outlineLevel="2" x14ac:dyDescent="0.15">
      <c r="B733" s="800" t="s">
        <v>936</v>
      </c>
      <c r="C733" s="843">
        <v>0.72</v>
      </c>
      <c r="D733" s="807">
        <v>0.1</v>
      </c>
      <c r="E733" s="821"/>
      <c r="F733" s="821"/>
      <c r="G733" s="821"/>
      <c r="H733" s="821"/>
      <c r="I733" s="806"/>
      <c r="W733" s="4"/>
    </row>
    <row r="734" spans="2:23" outlineLevel="2" x14ac:dyDescent="0.15">
      <c r="B734" s="800" t="s">
        <v>938</v>
      </c>
      <c r="C734" s="843">
        <v>0.42299999999999999</v>
      </c>
      <c r="D734" s="807">
        <v>0.1</v>
      </c>
      <c r="E734" s="821"/>
      <c r="F734" s="821"/>
      <c r="G734" s="821"/>
      <c r="H734" s="821"/>
      <c r="I734" s="806"/>
      <c r="W734" s="4"/>
    </row>
    <row r="735" spans="2:23" outlineLevel="2" x14ac:dyDescent="0.15">
      <c r="B735" s="800" t="s">
        <v>939</v>
      </c>
      <c r="C735" s="843">
        <v>0.72899999999999998</v>
      </c>
      <c r="D735" s="807">
        <v>0.1</v>
      </c>
      <c r="E735" s="821"/>
      <c r="F735" s="821"/>
      <c r="G735" s="821"/>
      <c r="H735" s="821"/>
      <c r="I735" s="806"/>
      <c r="W735" s="4"/>
    </row>
    <row r="736" spans="2:23" outlineLevel="2" x14ac:dyDescent="0.15">
      <c r="B736" s="800" t="s">
        <v>205</v>
      </c>
      <c r="C736" s="843">
        <v>2.52</v>
      </c>
      <c r="D736" s="807">
        <v>0.1</v>
      </c>
      <c r="E736" s="821"/>
      <c r="F736" s="821"/>
      <c r="G736" s="821"/>
      <c r="H736" s="821"/>
      <c r="I736" s="806"/>
      <c r="W736" s="4"/>
    </row>
    <row r="737" spans="2:23" outlineLevel="2" x14ac:dyDescent="0.15">
      <c r="B737" s="800" t="s">
        <v>940</v>
      </c>
      <c r="C737" s="843">
        <v>8.6800000000000002E-2</v>
      </c>
      <c r="D737" s="807">
        <v>0.1</v>
      </c>
      <c r="E737" s="821"/>
      <c r="F737" s="821"/>
      <c r="G737" s="821"/>
      <c r="H737" s="821"/>
      <c r="I737" s="806"/>
      <c r="W737" s="4"/>
    </row>
    <row r="738" spans="2:23" outlineLevel="2" x14ac:dyDescent="0.15">
      <c r="B738" s="800" t="s">
        <v>941</v>
      </c>
      <c r="C738" s="843">
        <v>0.79800000000000004</v>
      </c>
      <c r="D738" s="807">
        <v>0.1</v>
      </c>
      <c r="E738" s="821"/>
      <c r="F738" s="821"/>
      <c r="G738" s="821"/>
      <c r="H738" s="821"/>
      <c r="I738" s="806"/>
      <c r="W738" s="4"/>
    </row>
    <row r="739" spans="2:23" outlineLevel="2" x14ac:dyDescent="0.15">
      <c r="B739" s="800" t="s">
        <v>942</v>
      </c>
      <c r="C739" s="843">
        <v>0.57899999999999996</v>
      </c>
      <c r="D739" s="807">
        <v>0.1</v>
      </c>
      <c r="E739" s="821"/>
      <c r="F739" s="821"/>
      <c r="G739" s="821"/>
      <c r="H739" s="821"/>
      <c r="I739" s="806"/>
      <c r="W739" s="4"/>
    </row>
    <row r="740" spans="2:23" outlineLevel="2" x14ac:dyDescent="0.15">
      <c r="B740" s="800" t="s">
        <v>937</v>
      </c>
      <c r="C740" s="843">
        <v>0.26200000000000001</v>
      </c>
      <c r="D740" s="807">
        <v>0.1</v>
      </c>
      <c r="E740" s="821"/>
      <c r="F740" s="821"/>
      <c r="G740" s="821"/>
      <c r="H740" s="821"/>
      <c r="I740" s="806"/>
      <c r="W740" s="4"/>
    </row>
    <row r="741" spans="2:23" outlineLevel="2" x14ac:dyDescent="0.15">
      <c r="B741" s="800" t="s">
        <v>943</v>
      </c>
      <c r="C741" s="843">
        <v>0.80400000000000005</v>
      </c>
      <c r="D741" s="807">
        <v>0.1</v>
      </c>
      <c r="E741" s="821"/>
      <c r="F741" s="821"/>
      <c r="G741" s="821"/>
      <c r="H741" s="821"/>
      <c r="I741" s="806"/>
      <c r="W741" s="4"/>
    </row>
    <row r="742" spans="2:23" outlineLevel="2" x14ac:dyDescent="0.15">
      <c r="B742" s="800" t="s">
        <v>944</v>
      </c>
      <c r="C742" s="843">
        <v>0.20699999999999999</v>
      </c>
      <c r="D742" s="807">
        <v>0.1</v>
      </c>
      <c r="E742" s="821"/>
      <c r="F742" s="821"/>
      <c r="G742" s="821"/>
      <c r="H742" s="821"/>
      <c r="I742" s="806"/>
      <c r="K742" s="13"/>
      <c r="W742" s="4"/>
    </row>
    <row r="743" spans="2:23" outlineLevel="2" x14ac:dyDescent="0.15">
      <c r="B743" s="800" t="s">
        <v>206</v>
      </c>
      <c r="C743" s="843">
        <v>0.186</v>
      </c>
      <c r="D743" s="807">
        <v>0.1</v>
      </c>
      <c r="E743" s="821"/>
      <c r="F743" s="821"/>
      <c r="G743" s="821"/>
      <c r="H743" s="821"/>
      <c r="I743" s="806"/>
      <c r="W743" s="4"/>
    </row>
    <row r="744" spans="2:23" outlineLevel="2" x14ac:dyDescent="0.15">
      <c r="B744" s="800" t="s">
        <v>945</v>
      </c>
      <c r="C744" s="843">
        <v>0.41</v>
      </c>
      <c r="D744" s="807">
        <v>0.1</v>
      </c>
      <c r="E744" s="821"/>
      <c r="F744" s="821"/>
      <c r="G744" s="821"/>
      <c r="H744" s="821"/>
      <c r="I744" s="806"/>
      <c r="W744" s="4"/>
    </row>
    <row r="745" spans="2:23" outlineLevel="2" x14ac:dyDescent="0.15">
      <c r="B745" s="800" t="s">
        <v>946</v>
      </c>
      <c r="C745" s="843">
        <v>0.76600000000000001</v>
      </c>
      <c r="D745" s="807">
        <v>0.1</v>
      </c>
      <c r="E745" s="821"/>
      <c r="F745" s="821"/>
      <c r="G745" s="821"/>
      <c r="H745" s="821"/>
      <c r="I745" s="806"/>
      <c r="W745" s="4"/>
    </row>
    <row r="746" spans="2:23" outlineLevel="2" x14ac:dyDescent="0.15">
      <c r="B746" s="800" t="s">
        <v>948</v>
      </c>
      <c r="C746" s="843">
        <v>0.17599999999999999</v>
      </c>
      <c r="D746" s="807">
        <v>0.1</v>
      </c>
      <c r="E746" s="821"/>
      <c r="F746" s="821"/>
      <c r="G746" s="821"/>
      <c r="H746" s="821"/>
      <c r="I746" s="806"/>
      <c r="W746" s="4"/>
    </row>
    <row r="747" spans="2:23" outlineLevel="2" x14ac:dyDescent="0.15">
      <c r="B747" s="800" t="s">
        <v>207</v>
      </c>
      <c r="C747" s="843">
        <v>0.14199999999999999</v>
      </c>
      <c r="D747" s="807">
        <v>0.1</v>
      </c>
      <c r="E747" s="821"/>
      <c r="F747" s="821"/>
      <c r="G747" s="821"/>
      <c r="H747" s="821"/>
      <c r="I747" s="806"/>
      <c r="W747" s="4"/>
    </row>
    <row r="748" spans="2:23" outlineLevel="2" x14ac:dyDescent="0.15">
      <c r="B748" s="800" t="s">
        <v>659</v>
      </c>
      <c r="C748" s="843">
        <v>5.57E-2</v>
      </c>
      <c r="D748" s="807">
        <v>0.1</v>
      </c>
      <c r="E748" s="821"/>
      <c r="F748" s="821"/>
      <c r="G748" s="821"/>
      <c r="H748" s="821"/>
      <c r="I748" s="806"/>
      <c r="W748" s="4"/>
    </row>
    <row r="749" spans="2:23" outlineLevel="2" x14ac:dyDescent="0.15">
      <c r="B749" s="800" t="s">
        <v>949</v>
      </c>
      <c r="C749" s="843">
        <v>0.30499999999999999</v>
      </c>
      <c r="D749" s="807">
        <v>0.1</v>
      </c>
      <c r="E749" s="821"/>
      <c r="F749" s="821"/>
      <c r="G749" s="821"/>
      <c r="H749" s="821"/>
      <c r="I749" s="806"/>
      <c r="W749" s="4"/>
    </row>
    <row r="750" spans="2:23" outlineLevel="2" x14ac:dyDescent="0.15">
      <c r="B750" s="800" t="s">
        <v>208</v>
      </c>
      <c r="C750" s="843">
        <v>1.01</v>
      </c>
      <c r="D750" s="807">
        <v>0.1</v>
      </c>
      <c r="E750" s="821"/>
      <c r="F750" s="821"/>
      <c r="G750" s="821"/>
      <c r="H750" s="821"/>
      <c r="I750" s="806"/>
      <c r="W750" s="4"/>
    </row>
    <row r="751" spans="2:23" outlineLevel="2" x14ac:dyDescent="0.15">
      <c r="B751" s="800" t="s">
        <v>947</v>
      </c>
      <c r="C751" s="843">
        <v>0.70199999999999996</v>
      </c>
      <c r="D751" s="807">
        <v>0.1</v>
      </c>
      <c r="E751" s="821"/>
      <c r="F751" s="821"/>
      <c r="G751" s="821"/>
      <c r="H751" s="821"/>
      <c r="I751" s="806"/>
      <c r="W751" s="4"/>
    </row>
    <row r="752" spans="2:23" outlineLevel="2" x14ac:dyDescent="0.15">
      <c r="B752" s="800" t="s">
        <v>1007</v>
      </c>
      <c r="C752" s="843">
        <v>0.58899999999999997</v>
      </c>
      <c r="D752" s="807">
        <v>0.1</v>
      </c>
      <c r="E752" s="821"/>
      <c r="F752" s="821"/>
      <c r="G752" s="821"/>
      <c r="H752" s="821"/>
      <c r="I752" s="806"/>
      <c r="W752" s="4"/>
    </row>
    <row r="753" spans="2:23" outlineLevel="2" x14ac:dyDescent="0.15">
      <c r="B753" s="800" t="s">
        <v>1005</v>
      </c>
      <c r="C753" s="843">
        <v>2.9099999999999998E-3</v>
      </c>
      <c r="D753" s="807">
        <v>0.1</v>
      </c>
      <c r="E753" s="821"/>
      <c r="F753" s="821"/>
      <c r="G753" s="821"/>
      <c r="H753" s="821"/>
      <c r="I753" s="806"/>
      <c r="W753" s="4"/>
    </row>
    <row r="754" spans="2:23" outlineLevel="2" x14ac:dyDescent="0.15">
      <c r="B754" s="800" t="s">
        <v>951</v>
      </c>
      <c r="C754" s="843">
        <v>0.36</v>
      </c>
      <c r="D754" s="807">
        <v>0.1</v>
      </c>
      <c r="E754" s="821"/>
      <c r="F754" s="821"/>
      <c r="G754" s="821"/>
      <c r="H754" s="821"/>
      <c r="I754" s="806"/>
      <c r="W754" s="4"/>
    </row>
    <row r="755" spans="2:23" outlineLevel="2" x14ac:dyDescent="0.15">
      <c r="B755" s="800" t="s">
        <v>1006</v>
      </c>
      <c r="C755" s="843">
        <v>0.58899999999999997</v>
      </c>
      <c r="D755" s="807">
        <v>0.1</v>
      </c>
      <c r="E755" s="821"/>
      <c r="F755" s="821"/>
      <c r="G755" s="821"/>
      <c r="H755" s="821"/>
      <c r="I755" s="806"/>
      <c r="W755" s="4"/>
    </row>
    <row r="756" spans="2:23" outlineLevel="2" x14ac:dyDescent="0.15">
      <c r="B756" s="800" t="s">
        <v>929</v>
      </c>
      <c r="C756" s="843">
        <v>0.70699999999999996</v>
      </c>
      <c r="D756" s="807">
        <v>0.1</v>
      </c>
      <c r="E756" s="821"/>
      <c r="F756" s="821"/>
      <c r="G756" s="821"/>
      <c r="H756" s="821"/>
      <c r="I756" s="806"/>
      <c r="W756" s="4"/>
    </row>
    <row r="757" spans="2:23" ht="12.75" customHeight="1" outlineLevel="2" x14ac:dyDescent="0.15">
      <c r="B757" s="800" t="s">
        <v>954</v>
      </c>
      <c r="C757" s="843">
        <v>0.38900000000000001</v>
      </c>
      <c r="D757" s="807">
        <v>0.1</v>
      </c>
      <c r="E757" s="821"/>
      <c r="F757" s="821"/>
      <c r="G757" s="821"/>
      <c r="H757" s="821"/>
      <c r="I757" s="806"/>
      <c r="W757" s="4"/>
    </row>
    <row r="758" spans="2:23" outlineLevel="2" x14ac:dyDescent="0.15">
      <c r="B758" s="800" t="s">
        <v>952</v>
      </c>
      <c r="C758" s="843">
        <v>0.45</v>
      </c>
      <c r="D758" s="807">
        <v>0.1</v>
      </c>
      <c r="E758" s="821"/>
      <c r="F758" s="821"/>
      <c r="G758" s="821"/>
      <c r="H758" s="821"/>
      <c r="I758" s="806"/>
      <c r="W758" s="4"/>
    </row>
    <row r="759" spans="2:23" outlineLevel="2" x14ac:dyDescent="0.15">
      <c r="B759" s="800" t="s">
        <v>660</v>
      </c>
      <c r="C759" s="843">
        <v>0.223</v>
      </c>
      <c r="D759" s="807">
        <v>0.1</v>
      </c>
      <c r="E759" s="821"/>
      <c r="F759" s="821"/>
      <c r="G759" s="821"/>
      <c r="H759" s="821"/>
      <c r="I759" s="806"/>
      <c r="W759" s="4"/>
    </row>
    <row r="760" spans="2:23" outlineLevel="2" x14ac:dyDescent="0.15">
      <c r="B760" s="800" t="s">
        <v>955</v>
      </c>
      <c r="C760" s="843">
        <v>0.64600000000000002</v>
      </c>
      <c r="D760" s="807">
        <v>0.1</v>
      </c>
      <c r="E760" s="821"/>
      <c r="F760" s="821"/>
      <c r="G760" s="821"/>
      <c r="H760" s="821"/>
      <c r="I760" s="806"/>
      <c r="W760" s="4"/>
    </row>
    <row r="761" spans="2:23" outlineLevel="2" x14ac:dyDescent="0.15">
      <c r="B761" s="800" t="s">
        <v>957</v>
      </c>
      <c r="C761" s="843">
        <v>1.01</v>
      </c>
      <c r="D761" s="807">
        <v>0.1</v>
      </c>
      <c r="E761" s="821"/>
      <c r="F761" s="821"/>
      <c r="G761" s="821"/>
      <c r="H761" s="821"/>
      <c r="I761" s="806"/>
      <c r="W761" s="4"/>
    </row>
    <row r="762" spans="2:23" outlineLevel="2" x14ac:dyDescent="0.15">
      <c r="B762" s="800" t="s">
        <v>959</v>
      </c>
      <c r="C762" s="843">
        <v>7.0099999999999997E-3</v>
      </c>
      <c r="D762" s="807">
        <v>0.1</v>
      </c>
      <c r="E762" s="821"/>
      <c r="F762" s="821"/>
      <c r="G762" s="821"/>
      <c r="H762" s="821"/>
      <c r="I762" s="806"/>
      <c r="W762" s="4"/>
    </row>
    <row r="763" spans="2:23" outlineLevel="2" x14ac:dyDescent="0.15">
      <c r="B763" s="800" t="s">
        <v>960</v>
      </c>
      <c r="C763" s="843">
        <v>0.22900000000000001</v>
      </c>
      <c r="D763" s="807">
        <v>0.1</v>
      </c>
      <c r="E763" s="821"/>
      <c r="F763" s="821"/>
      <c r="G763" s="821"/>
      <c r="H763" s="821"/>
      <c r="I763" s="806"/>
      <c r="W763" s="4"/>
    </row>
    <row r="764" spans="2:23" outlineLevel="2" x14ac:dyDescent="0.15">
      <c r="B764" s="800" t="s">
        <v>141</v>
      </c>
      <c r="C764" s="843">
        <f>IF(Description!$D$4="",$C$705+$D$705,IF(ISNA(VLOOKUP("France - "&amp;Description!D4&amp;" [1]",$B$688:$D$705,1,FALSE)),$C$705+$D$705,VLOOKUP("France - "&amp;Description!D4&amp;" [1]",$B$688:$D$705,2,FALSE)+VLOOKUP("France - "&amp;Description!D4&amp;" [1]",$B$688:$D$705,3,FALSE)))</f>
        <v>7.4999999999999997E-2</v>
      </c>
      <c r="D764" s="807">
        <v>0.1</v>
      </c>
      <c r="E764" s="821"/>
      <c r="F764" s="821"/>
      <c r="G764" s="821"/>
      <c r="H764" s="821"/>
      <c r="I764" s="806"/>
      <c r="W764" s="4"/>
    </row>
    <row r="765" spans="2:23" outlineLevel="2" x14ac:dyDescent="0.15">
      <c r="B765" s="800" t="s">
        <v>961</v>
      </c>
      <c r="C765" s="843">
        <v>0.59394699999999989</v>
      </c>
      <c r="D765" s="807">
        <v>0.15</v>
      </c>
      <c r="E765" s="821">
        <v>0.58299999999999996</v>
      </c>
      <c r="F765" s="821">
        <v>2.5700000000000001E-4</v>
      </c>
      <c r="G765" s="821">
        <v>5.0499999999999998E-3</v>
      </c>
      <c r="H765" s="821">
        <v>5.64E-3</v>
      </c>
      <c r="I765" s="806">
        <v>0</v>
      </c>
      <c r="W765" s="4"/>
    </row>
    <row r="766" spans="2:23" outlineLevel="2" x14ac:dyDescent="0.15">
      <c r="B766" s="800" t="s">
        <v>965</v>
      </c>
      <c r="C766" s="843">
        <v>0.59799999999999998</v>
      </c>
      <c r="D766" s="807">
        <v>0.15</v>
      </c>
      <c r="E766" s="843">
        <v>0.59799999999999998</v>
      </c>
      <c r="F766" s="821">
        <v>0</v>
      </c>
      <c r="G766" s="821">
        <v>0</v>
      </c>
      <c r="H766" s="821">
        <v>0</v>
      </c>
      <c r="I766" s="806">
        <v>0</v>
      </c>
      <c r="W766" s="4"/>
    </row>
    <row r="767" spans="2:23" outlineLevel="2" x14ac:dyDescent="0.15">
      <c r="B767" s="800" t="s">
        <v>142</v>
      </c>
      <c r="C767" s="843">
        <v>0.70169099999999995</v>
      </c>
      <c r="D767" s="807">
        <v>0.15</v>
      </c>
      <c r="E767" s="821">
        <v>0.68799999999999994</v>
      </c>
      <c r="F767" s="821">
        <v>3.21E-4</v>
      </c>
      <c r="G767" s="821">
        <v>6.3200000000000001E-3</v>
      </c>
      <c r="H767" s="821">
        <v>7.0499999999999998E-3</v>
      </c>
      <c r="I767" s="806">
        <v>0</v>
      </c>
      <c r="W767" s="4"/>
    </row>
    <row r="768" spans="2:23" outlineLevel="2" x14ac:dyDescent="0.15">
      <c r="B768" s="800" t="s">
        <v>963</v>
      </c>
      <c r="C768" s="843">
        <v>0.90602799999999994</v>
      </c>
      <c r="D768" s="807">
        <v>0.15</v>
      </c>
      <c r="E768" s="821">
        <v>0.89269999999999994</v>
      </c>
      <c r="F768" s="821">
        <v>1.5639999999999999E-3</v>
      </c>
      <c r="G768" s="821">
        <v>5.5639999999999995E-3</v>
      </c>
      <c r="H768" s="821">
        <v>6.1999999999999998E-3</v>
      </c>
      <c r="I768" s="806">
        <v>0</v>
      </c>
      <c r="W768" s="4"/>
    </row>
    <row r="769" spans="2:23" outlineLevel="2" x14ac:dyDescent="0.15">
      <c r="B769" s="800" t="s">
        <v>962</v>
      </c>
      <c r="C769" s="843">
        <v>2.5568800000000005</v>
      </c>
      <c r="D769" s="807">
        <v>0.15</v>
      </c>
      <c r="E769" s="821">
        <v>0.35</v>
      </c>
      <c r="F769" s="821">
        <v>2.2000000000000002</v>
      </c>
      <c r="G769" s="821">
        <v>3.1900000000000001E-3</v>
      </c>
      <c r="H769" s="821">
        <v>3.6900000000000001E-3</v>
      </c>
      <c r="I769" s="806">
        <v>0</v>
      </c>
      <c r="W769" s="4"/>
    </row>
    <row r="770" spans="2:23" outlineLevel="2" x14ac:dyDescent="0.15">
      <c r="B770" s="800" t="s">
        <v>143</v>
      </c>
      <c r="C770" s="843">
        <v>0.83960299999999988</v>
      </c>
      <c r="D770" s="807">
        <v>0.15</v>
      </c>
      <c r="E770" s="821">
        <v>0.82499999999999996</v>
      </c>
      <c r="F770" s="821">
        <v>3.4299999999999999E-4</v>
      </c>
      <c r="G770" s="821">
        <v>6.7400000000000003E-3</v>
      </c>
      <c r="H770" s="821">
        <v>7.5199999999999998E-3</v>
      </c>
      <c r="I770" s="806">
        <v>0</v>
      </c>
      <c r="W770" s="4"/>
    </row>
    <row r="771" spans="2:23" outlineLevel="2" x14ac:dyDescent="0.15">
      <c r="B771" s="800" t="s">
        <v>144</v>
      </c>
      <c r="C771" s="843">
        <v>0.77960299999999993</v>
      </c>
      <c r="D771" s="807">
        <v>0.15</v>
      </c>
      <c r="E771" s="821">
        <v>0.76500000000000001</v>
      </c>
      <c r="F771" s="821">
        <v>3.4299999999999999E-4</v>
      </c>
      <c r="G771" s="821">
        <v>6.7400000000000003E-3</v>
      </c>
      <c r="H771" s="821">
        <v>7.5199999999999998E-3</v>
      </c>
      <c r="I771" s="806">
        <v>0</v>
      </c>
      <c r="W771" s="4"/>
    </row>
    <row r="772" spans="2:23" outlineLevel="2" x14ac:dyDescent="0.15">
      <c r="B772" s="800" t="s">
        <v>964</v>
      </c>
      <c r="C772" s="843">
        <v>0.82199999999999995</v>
      </c>
      <c r="D772" s="807">
        <v>0.15</v>
      </c>
      <c r="E772" s="843">
        <v>0.82199999999999995</v>
      </c>
      <c r="F772" s="821">
        <v>0</v>
      </c>
      <c r="G772" s="821">
        <v>0</v>
      </c>
      <c r="H772" s="821">
        <v>0</v>
      </c>
      <c r="I772" s="806">
        <v>0</v>
      </c>
      <c r="W772" s="4"/>
    </row>
    <row r="773" spans="2:23" outlineLevel="2" x14ac:dyDescent="0.15">
      <c r="B773" s="800" t="s">
        <v>966</v>
      </c>
      <c r="C773" s="843">
        <v>0.77951400000000015</v>
      </c>
      <c r="D773" s="807">
        <v>0.15</v>
      </c>
      <c r="E773" s="821">
        <v>0.76400000000000001</v>
      </c>
      <c r="F773" s="821">
        <v>3.6400000000000001E-4</v>
      </c>
      <c r="G773" s="821">
        <v>7.1599999999999997E-3</v>
      </c>
      <c r="H773" s="821">
        <v>7.9900000000000006E-3</v>
      </c>
      <c r="I773" s="806">
        <v>0</v>
      </c>
      <c r="W773" s="4"/>
    </row>
    <row r="774" spans="2:23" outlineLevel="2" x14ac:dyDescent="0.15">
      <c r="B774" s="800" t="s">
        <v>967</v>
      </c>
      <c r="C774" s="843">
        <v>0.85937200000000014</v>
      </c>
      <c r="D774" s="807">
        <v>0.15</v>
      </c>
      <c r="E774" s="821">
        <v>0.84910000000000008</v>
      </c>
      <c r="F774" s="821">
        <v>1.1999999999999999E-3</v>
      </c>
      <c r="G774" s="821">
        <v>3.9820000000000003E-3</v>
      </c>
      <c r="H774" s="821">
        <v>5.0899999999999999E-3</v>
      </c>
      <c r="I774" s="806">
        <v>0</v>
      </c>
      <c r="W774" s="4"/>
    </row>
    <row r="775" spans="2:23" outlineLevel="2" x14ac:dyDescent="0.15">
      <c r="B775" s="800" t="s">
        <v>708</v>
      </c>
      <c r="C775" s="843">
        <v>0.81919100000000011</v>
      </c>
      <c r="D775" s="807">
        <v>0.15</v>
      </c>
      <c r="E775" s="821">
        <v>0.81</v>
      </c>
      <c r="F775" s="821">
        <v>1.155E-3</v>
      </c>
      <c r="G775" s="821">
        <v>3.7999999999999996E-3</v>
      </c>
      <c r="H775" s="821">
        <v>4.2360000000000002E-3</v>
      </c>
      <c r="I775" s="806">
        <v>0</v>
      </c>
      <c r="W775" s="4"/>
    </row>
    <row r="776" spans="2:23" outlineLevel="2" x14ac:dyDescent="0.15">
      <c r="B776" s="800" t="s">
        <v>968</v>
      </c>
      <c r="C776" s="843">
        <v>0.94697300000000006</v>
      </c>
      <c r="D776" s="807">
        <v>0.15</v>
      </c>
      <c r="E776" s="821">
        <v>0.93670000000000009</v>
      </c>
      <c r="F776" s="821">
        <v>1.2819999999999999E-3</v>
      </c>
      <c r="G776" s="821">
        <v>4.2550000000000001E-3</v>
      </c>
      <c r="H776" s="821">
        <v>4.7360000000000006E-3</v>
      </c>
      <c r="I776" s="806">
        <v>0</v>
      </c>
      <c r="W776" s="4"/>
    </row>
    <row r="777" spans="2:23" outlineLevel="2" x14ac:dyDescent="0.15">
      <c r="B777" s="800" t="s">
        <v>209</v>
      </c>
      <c r="C777" s="843">
        <v>0.38300000000000001</v>
      </c>
      <c r="D777" s="807">
        <v>0.1</v>
      </c>
      <c r="E777" s="821"/>
      <c r="F777" s="821"/>
      <c r="G777" s="821"/>
      <c r="H777" s="821"/>
      <c r="I777" s="806"/>
      <c r="W777" s="4"/>
    </row>
    <row r="778" spans="2:23" outlineLevel="2" x14ac:dyDescent="0.15">
      <c r="B778" s="800" t="s">
        <v>969</v>
      </c>
      <c r="C778" s="843">
        <v>7.0499999999999993E-2</v>
      </c>
      <c r="D778" s="807">
        <v>0.1</v>
      </c>
      <c r="E778" s="821"/>
      <c r="F778" s="821"/>
      <c r="G778" s="821"/>
      <c r="H778" s="821"/>
      <c r="I778" s="806"/>
      <c r="W778" s="4"/>
    </row>
    <row r="779" spans="2:23" outlineLevel="2" x14ac:dyDescent="0.15">
      <c r="B779" s="800" t="s">
        <v>927</v>
      </c>
      <c r="C779" s="843">
        <v>0.46100000000000002</v>
      </c>
      <c r="D779" s="807">
        <v>0.1</v>
      </c>
      <c r="E779" s="821"/>
      <c r="F779" s="821"/>
      <c r="G779" s="821"/>
      <c r="H779" s="821"/>
      <c r="I779" s="806"/>
      <c r="W779" s="4"/>
    </row>
    <row r="780" spans="2:23" outlineLevel="2" x14ac:dyDescent="0.15">
      <c r="B780" s="800" t="s">
        <v>210</v>
      </c>
      <c r="C780" s="843">
        <v>0.25900000000000001</v>
      </c>
      <c r="D780" s="807">
        <v>0.1</v>
      </c>
      <c r="E780" s="821"/>
      <c r="F780" s="821"/>
      <c r="G780" s="821"/>
      <c r="H780" s="821"/>
      <c r="I780" s="806"/>
      <c r="W780" s="4"/>
    </row>
    <row r="781" spans="2:23" outlineLevel="2" x14ac:dyDescent="0.15">
      <c r="B781" s="800" t="s">
        <v>211</v>
      </c>
      <c r="C781" s="843">
        <v>0.76200000000000001</v>
      </c>
      <c r="D781" s="807">
        <v>0.1</v>
      </c>
      <c r="E781" s="821"/>
      <c r="F781" s="821"/>
      <c r="G781" s="821"/>
      <c r="H781" s="821"/>
      <c r="I781" s="806"/>
      <c r="W781" s="4"/>
    </row>
    <row r="782" spans="2:23" outlineLevel="2" x14ac:dyDescent="0.15">
      <c r="B782" s="800" t="s">
        <v>970</v>
      </c>
      <c r="C782" s="843">
        <v>0.71799999999999997</v>
      </c>
      <c r="D782" s="807">
        <v>0.1</v>
      </c>
      <c r="E782" s="821"/>
      <c r="F782" s="821"/>
      <c r="G782" s="821"/>
      <c r="H782" s="821"/>
      <c r="I782" s="806"/>
      <c r="W782" s="4"/>
    </row>
    <row r="783" spans="2:23" outlineLevel="2" x14ac:dyDescent="0.15">
      <c r="B783" s="800" t="s">
        <v>212</v>
      </c>
      <c r="C783" s="843">
        <v>0.28599999999999998</v>
      </c>
      <c r="D783" s="807">
        <v>0.1</v>
      </c>
      <c r="E783" s="843"/>
      <c r="F783" s="861"/>
      <c r="G783" s="861"/>
      <c r="H783" s="861"/>
      <c r="I783" s="924"/>
      <c r="W783" s="4"/>
    </row>
    <row r="784" spans="2:23" outlineLevel="2" x14ac:dyDescent="0.15">
      <c r="B784" s="800" t="s">
        <v>971</v>
      </c>
      <c r="C784" s="843">
        <v>0.53800000000000003</v>
      </c>
      <c r="D784" s="807">
        <v>0.1</v>
      </c>
      <c r="E784" s="843"/>
      <c r="F784" s="861"/>
      <c r="G784" s="861"/>
      <c r="H784" s="861"/>
      <c r="I784" s="924"/>
      <c r="W784" s="4"/>
    </row>
    <row r="785" spans="2:23" outlineLevel="2" x14ac:dyDescent="0.15">
      <c r="B785" s="800" t="s">
        <v>213</v>
      </c>
      <c r="C785" s="843">
        <v>0.33200000000000002</v>
      </c>
      <c r="D785" s="807">
        <v>0.1</v>
      </c>
      <c r="E785" s="821"/>
      <c r="F785" s="821"/>
      <c r="G785" s="821"/>
      <c r="H785" s="821"/>
      <c r="I785" s="806"/>
      <c r="W785" s="4"/>
    </row>
    <row r="786" spans="2:23" outlineLevel="2" x14ac:dyDescent="0.15">
      <c r="B786" s="800" t="s">
        <v>972</v>
      </c>
      <c r="C786" s="843">
        <v>0.317</v>
      </c>
      <c r="D786" s="807">
        <v>0.1</v>
      </c>
      <c r="E786" s="821"/>
      <c r="F786" s="821"/>
      <c r="G786" s="821"/>
      <c r="H786" s="821"/>
      <c r="I786" s="806"/>
      <c r="W786" s="4"/>
    </row>
    <row r="787" spans="2:23" outlineLevel="2" x14ac:dyDescent="0.15">
      <c r="B787" s="800" t="s">
        <v>977</v>
      </c>
      <c r="C787" s="843">
        <v>1.83E-4</v>
      </c>
      <c r="D787" s="807">
        <v>0.1</v>
      </c>
      <c r="E787" s="821"/>
      <c r="F787" s="821"/>
      <c r="G787" s="821"/>
      <c r="H787" s="821"/>
      <c r="I787" s="806"/>
      <c r="W787" s="4"/>
    </row>
    <row r="788" spans="2:23" outlineLevel="2" x14ac:dyDescent="0.15">
      <c r="B788" s="800" t="s">
        <v>973</v>
      </c>
      <c r="C788" s="843">
        <v>0.91200000000000003</v>
      </c>
      <c r="D788" s="807">
        <v>0.1</v>
      </c>
      <c r="E788" s="821"/>
      <c r="F788" s="821"/>
      <c r="G788" s="821"/>
      <c r="H788" s="821"/>
      <c r="I788" s="806"/>
      <c r="W788" s="4"/>
    </row>
    <row r="789" spans="2:23" ht="12.75" customHeight="1" outlineLevel="2" x14ac:dyDescent="0.15">
      <c r="B789" s="800" t="s">
        <v>974</v>
      </c>
      <c r="C789" s="843">
        <v>0.70899999999999996</v>
      </c>
      <c r="D789" s="807">
        <v>0.1</v>
      </c>
      <c r="E789" s="821"/>
      <c r="F789" s="821"/>
      <c r="G789" s="821"/>
      <c r="H789" s="821"/>
      <c r="I789" s="806"/>
      <c r="W789" s="4"/>
    </row>
    <row r="790" spans="2:23" outlineLevel="2" x14ac:dyDescent="0.15">
      <c r="B790" s="800" t="s">
        <v>975</v>
      </c>
      <c r="C790" s="843">
        <v>1</v>
      </c>
      <c r="D790" s="807">
        <v>0.1</v>
      </c>
      <c r="E790" s="821"/>
      <c r="F790" s="821"/>
      <c r="G790" s="821"/>
      <c r="H790" s="821"/>
      <c r="I790" s="806"/>
      <c r="W790" s="4"/>
    </row>
    <row r="791" spans="2:23" outlineLevel="2" x14ac:dyDescent="0.15">
      <c r="B791" s="800" t="s">
        <v>976</v>
      </c>
      <c r="C791" s="843">
        <v>0.56499999999999995</v>
      </c>
      <c r="D791" s="807">
        <v>0.1</v>
      </c>
      <c r="E791" s="821"/>
      <c r="F791" s="821"/>
      <c r="G791" s="821"/>
      <c r="H791" s="821"/>
      <c r="I791" s="806"/>
      <c r="W791" s="4"/>
    </row>
    <row r="792" spans="2:23" ht="12.75" customHeight="1" outlineLevel="2" x14ac:dyDescent="0.15">
      <c r="B792" s="800" t="s">
        <v>976</v>
      </c>
      <c r="C792" s="843">
        <v>0.45800000000000002</v>
      </c>
      <c r="D792" s="807">
        <v>0.1</v>
      </c>
      <c r="E792" s="821"/>
      <c r="F792" s="821"/>
      <c r="G792" s="821"/>
      <c r="H792" s="821"/>
      <c r="I792" s="806"/>
      <c r="W792" s="4"/>
    </row>
    <row r="793" spans="2:23" outlineLevel="2" x14ac:dyDescent="0.15">
      <c r="B793" s="800" t="s">
        <v>978</v>
      </c>
      <c r="C793" s="843">
        <v>0.68899999999999995</v>
      </c>
      <c r="D793" s="807">
        <v>0.1</v>
      </c>
      <c r="E793" s="821"/>
      <c r="F793" s="821"/>
      <c r="G793" s="821"/>
      <c r="H793" s="821"/>
      <c r="I793" s="806"/>
      <c r="W793" s="4"/>
    </row>
    <row r="794" spans="2:23" outlineLevel="2" x14ac:dyDescent="0.15">
      <c r="B794" s="1658" t="s">
        <v>979</v>
      </c>
      <c r="C794" s="1661">
        <v>0.34200000000000003</v>
      </c>
      <c r="D794" s="807">
        <v>0.1</v>
      </c>
      <c r="E794" s="821"/>
      <c r="F794" s="821"/>
      <c r="G794" s="821"/>
      <c r="H794" s="821"/>
      <c r="I794" s="806"/>
      <c r="W794" s="4"/>
    </row>
    <row r="795" spans="2:23" outlineLevel="2" x14ac:dyDescent="0.15">
      <c r="B795" s="800" t="s">
        <v>950</v>
      </c>
      <c r="C795" s="843">
        <v>0.44500000000000001</v>
      </c>
      <c r="D795" s="807">
        <v>0.1</v>
      </c>
      <c r="E795" s="821"/>
      <c r="F795" s="821"/>
      <c r="G795" s="821"/>
      <c r="H795" s="821"/>
      <c r="I795" s="806"/>
      <c r="W795" s="4"/>
    </row>
    <row r="796" spans="2:23" outlineLevel="2" x14ac:dyDescent="0.15">
      <c r="B796" s="800" t="s">
        <v>980</v>
      </c>
      <c r="C796" s="843">
        <v>0.71099999999999997</v>
      </c>
      <c r="D796" s="807">
        <v>0.1</v>
      </c>
      <c r="E796" s="821"/>
      <c r="F796" s="821"/>
      <c r="G796" s="821"/>
      <c r="H796" s="821"/>
      <c r="I796" s="806"/>
      <c r="W796" s="4"/>
    </row>
    <row r="797" spans="2:23" outlineLevel="2" x14ac:dyDescent="0.15">
      <c r="B797" s="800" t="s">
        <v>981</v>
      </c>
      <c r="C797" s="843">
        <v>0.41599999999999998</v>
      </c>
      <c r="D797" s="807">
        <v>0.1</v>
      </c>
      <c r="E797" s="821"/>
      <c r="F797" s="821"/>
      <c r="G797" s="821"/>
      <c r="H797" s="821"/>
      <c r="I797" s="806"/>
      <c r="W797" s="4"/>
    </row>
    <row r="798" spans="2:23" outlineLevel="2" x14ac:dyDescent="0.15">
      <c r="B798" s="800" t="s">
        <v>982</v>
      </c>
      <c r="C798" s="843">
        <v>0.56599999999999995</v>
      </c>
      <c r="D798" s="807">
        <v>0.1</v>
      </c>
      <c r="E798" s="821"/>
      <c r="F798" s="821"/>
      <c r="G798" s="821"/>
      <c r="H798" s="821"/>
      <c r="I798" s="806"/>
      <c r="W798" s="4"/>
    </row>
    <row r="799" spans="2:23" outlineLevel="2" x14ac:dyDescent="0.15">
      <c r="B799" s="800" t="s">
        <v>983</v>
      </c>
      <c r="C799" s="843">
        <v>0.76600000000000001</v>
      </c>
      <c r="D799" s="807">
        <v>0.1</v>
      </c>
      <c r="E799" s="821"/>
      <c r="F799" s="821"/>
      <c r="G799" s="821"/>
      <c r="H799" s="821"/>
      <c r="I799" s="806"/>
      <c r="W799" s="4"/>
    </row>
    <row r="800" spans="2:23" outlineLevel="2" x14ac:dyDescent="0.15">
      <c r="B800" s="800" t="s">
        <v>214</v>
      </c>
      <c r="C800" s="843">
        <v>0.27400000000000002</v>
      </c>
      <c r="D800" s="807">
        <v>0.1</v>
      </c>
      <c r="E800" s="821"/>
      <c r="F800" s="821"/>
      <c r="G800" s="821"/>
      <c r="H800" s="821"/>
      <c r="I800" s="806"/>
      <c r="W800" s="4"/>
    </row>
    <row r="801" spans="2:23" outlineLevel="2" x14ac:dyDescent="0.15">
      <c r="B801" s="800" t="s">
        <v>999</v>
      </c>
      <c r="C801" s="843">
        <v>0.46500000000000002</v>
      </c>
      <c r="D801" s="807">
        <v>0.1</v>
      </c>
      <c r="E801" s="821"/>
      <c r="F801" s="821"/>
      <c r="G801" s="821"/>
      <c r="H801" s="821"/>
      <c r="I801" s="806"/>
      <c r="W801" s="4"/>
    </row>
    <row r="802" spans="2:23" outlineLevel="2" x14ac:dyDescent="0.15">
      <c r="B802" s="800" t="s">
        <v>999</v>
      </c>
      <c r="C802" s="843">
        <v>0.53300000000000003</v>
      </c>
      <c r="D802" s="807">
        <v>0.1</v>
      </c>
      <c r="E802" s="821"/>
      <c r="F802" s="821"/>
      <c r="G802" s="821"/>
      <c r="H802" s="821"/>
      <c r="I802" s="806"/>
      <c r="W802" s="4"/>
    </row>
    <row r="803" spans="2:23" outlineLevel="2" x14ac:dyDescent="0.15">
      <c r="B803" s="800" t="s">
        <v>661</v>
      </c>
      <c r="C803" s="843">
        <v>1.29</v>
      </c>
      <c r="D803" s="807">
        <v>0.1</v>
      </c>
      <c r="E803" s="821"/>
      <c r="F803" s="821"/>
      <c r="G803" s="821"/>
      <c r="H803" s="821"/>
      <c r="I803" s="806"/>
      <c r="W803" s="4"/>
    </row>
    <row r="804" spans="2:23" outlineLevel="2" x14ac:dyDescent="0.15">
      <c r="B804" s="800" t="s">
        <v>985</v>
      </c>
      <c r="C804" s="843">
        <v>0.84199999999999997</v>
      </c>
      <c r="D804" s="807">
        <v>0.1</v>
      </c>
      <c r="E804" s="821"/>
      <c r="F804" s="821"/>
      <c r="G804" s="821"/>
      <c r="H804" s="821"/>
      <c r="I804" s="806"/>
      <c r="W804" s="4"/>
    </row>
    <row r="805" spans="2:23" outlineLevel="2" x14ac:dyDescent="0.15">
      <c r="B805" s="800" t="s">
        <v>984</v>
      </c>
      <c r="C805" s="843">
        <v>9.3700000000000006E-2</v>
      </c>
      <c r="D805" s="807">
        <v>0.1</v>
      </c>
      <c r="E805" s="821"/>
      <c r="F805" s="821"/>
      <c r="G805" s="821"/>
      <c r="H805" s="821"/>
      <c r="I805" s="806"/>
      <c r="W805" s="4"/>
    </row>
    <row r="806" spans="2:23" outlineLevel="2" x14ac:dyDescent="0.15">
      <c r="B806" s="800" t="s">
        <v>986</v>
      </c>
      <c r="C806" s="843">
        <v>0.22700000000000001</v>
      </c>
      <c r="D806" s="807">
        <v>0.1</v>
      </c>
      <c r="E806" s="821"/>
      <c r="F806" s="821"/>
      <c r="G806" s="821"/>
      <c r="H806" s="821"/>
      <c r="I806" s="806"/>
      <c r="W806" s="4"/>
    </row>
    <row r="807" spans="2:23" outlineLevel="2" x14ac:dyDescent="0.15">
      <c r="B807" s="800" t="s">
        <v>987</v>
      </c>
      <c r="C807" s="843">
        <v>0.70899999999999996</v>
      </c>
      <c r="D807" s="807">
        <v>0.1</v>
      </c>
      <c r="E807" s="821"/>
      <c r="F807" s="821"/>
      <c r="G807" s="821"/>
      <c r="H807" s="821"/>
      <c r="I807" s="806"/>
      <c r="W807" s="4"/>
    </row>
    <row r="808" spans="2:23" outlineLevel="2" x14ac:dyDescent="0.15">
      <c r="B808" s="800" t="s">
        <v>988</v>
      </c>
      <c r="C808" s="843">
        <v>0.88500000000000001</v>
      </c>
      <c r="D808" s="807">
        <v>0.1</v>
      </c>
      <c r="E808" s="821"/>
      <c r="F808" s="821"/>
      <c r="G808" s="821"/>
      <c r="H808" s="821"/>
      <c r="I808" s="806"/>
      <c r="W808" s="4"/>
    </row>
    <row r="809" spans="2:23" outlineLevel="2" x14ac:dyDescent="0.15">
      <c r="B809" s="800" t="s">
        <v>989</v>
      </c>
      <c r="C809" s="843">
        <v>0.54800000000000004</v>
      </c>
      <c r="D809" s="807">
        <v>0.1</v>
      </c>
      <c r="E809" s="821"/>
      <c r="F809" s="821"/>
      <c r="G809" s="821"/>
      <c r="H809" s="821"/>
      <c r="I809" s="806"/>
      <c r="W809" s="4"/>
    </row>
    <row r="810" spans="2:23" outlineLevel="2" x14ac:dyDescent="0.15">
      <c r="B810" s="800" t="s">
        <v>152</v>
      </c>
      <c r="C810" s="843">
        <v>0.41</v>
      </c>
      <c r="D810" s="807">
        <v>0.1</v>
      </c>
      <c r="E810" s="821"/>
      <c r="F810" s="821"/>
      <c r="G810" s="821"/>
      <c r="H810" s="821"/>
      <c r="I810" s="806"/>
      <c r="W810" s="4"/>
    </row>
    <row r="811" spans="2:23" outlineLevel="2" x14ac:dyDescent="0.15">
      <c r="B811" s="800" t="s">
        <v>990</v>
      </c>
      <c r="C811" s="843">
        <v>0.68700000000000006</v>
      </c>
      <c r="D811" s="807">
        <v>0.1</v>
      </c>
      <c r="E811" s="821"/>
      <c r="F811" s="821"/>
      <c r="G811" s="821"/>
      <c r="H811" s="821"/>
      <c r="I811" s="806"/>
      <c r="W811" s="4"/>
    </row>
    <row r="812" spans="2:23" outlineLevel="2" x14ac:dyDescent="0.15">
      <c r="B812" s="800" t="s">
        <v>991</v>
      </c>
      <c r="C812" s="843">
        <v>0.72699999999999998</v>
      </c>
      <c r="D812" s="807">
        <v>0.1</v>
      </c>
      <c r="E812" s="821"/>
      <c r="F812" s="821"/>
      <c r="G812" s="821"/>
      <c r="H812" s="821"/>
      <c r="I812" s="806"/>
      <c r="W812" s="4"/>
    </row>
    <row r="813" spans="2:23" outlineLevel="2" x14ac:dyDescent="0.15">
      <c r="B813" s="800" t="s">
        <v>992</v>
      </c>
      <c r="C813" s="843">
        <v>0.872</v>
      </c>
      <c r="D813" s="807">
        <v>0.1</v>
      </c>
      <c r="E813" s="821"/>
      <c r="F813" s="821"/>
      <c r="G813" s="821"/>
      <c r="H813" s="821"/>
      <c r="I813" s="806"/>
      <c r="W813" s="4"/>
    </row>
    <row r="814" spans="2:23" outlineLevel="2" x14ac:dyDescent="0.15">
      <c r="B814" s="800" t="s">
        <v>994</v>
      </c>
      <c r="C814" s="843">
        <v>0.45500000000000002</v>
      </c>
      <c r="D814" s="807">
        <v>0.1</v>
      </c>
      <c r="E814" s="821"/>
      <c r="F814" s="821"/>
      <c r="G814" s="821"/>
      <c r="H814" s="821"/>
      <c r="I814" s="806"/>
      <c r="W814" s="4"/>
    </row>
    <row r="815" spans="2:23" outlineLevel="2" x14ac:dyDescent="0.15">
      <c r="B815" s="800" t="s">
        <v>995</v>
      </c>
      <c r="C815" s="843">
        <v>0.58299999999999996</v>
      </c>
      <c r="D815" s="807">
        <v>0.1</v>
      </c>
      <c r="E815" s="821"/>
      <c r="F815" s="821"/>
      <c r="G815" s="821"/>
      <c r="H815" s="821"/>
      <c r="I815" s="806"/>
      <c r="W815" s="4"/>
    </row>
    <row r="816" spans="2:23" outlineLevel="2" x14ac:dyDescent="0.15">
      <c r="B816" s="800" t="s">
        <v>215</v>
      </c>
      <c r="C816" s="843">
        <v>1.49</v>
      </c>
      <c r="D816" s="807">
        <v>0.1</v>
      </c>
      <c r="E816" s="821"/>
      <c r="F816" s="821"/>
      <c r="G816" s="821"/>
      <c r="H816" s="821"/>
      <c r="I816" s="806"/>
      <c r="W816" s="4"/>
    </row>
    <row r="817" spans="2:23" outlineLevel="2" x14ac:dyDescent="0.15">
      <c r="B817" s="800" t="s">
        <v>662</v>
      </c>
      <c r="C817" s="843">
        <v>0.40500000000000003</v>
      </c>
      <c r="D817" s="807">
        <v>0.1</v>
      </c>
      <c r="E817" s="821"/>
      <c r="F817" s="821"/>
      <c r="G817" s="821"/>
      <c r="H817" s="821"/>
      <c r="I817" s="806"/>
      <c r="W817" s="4"/>
    </row>
    <row r="818" spans="2:23" outlineLevel="2" x14ac:dyDescent="0.15">
      <c r="B818" s="800" t="s">
        <v>993</v>
      </c>
      <c r="C818" s="843">
        <v>0.71799999999999997</v>
      </c>
      <c r="D818" s="807">
        <v>0.1</v>
      </c>
      <c r="E818" s="821"/>
      <c r="F818" s="821"/>
      <c r="G818" s="821"/>
      <c r="H818" s="821"/>
      <c r="I818" s="806"/>
      <c r="W818" s="4"/>
    </row>
    <row r="819" spans="2:23" outlineLevel="2" x14ac:dyDescent="0.15">
      <c r="B819" s="800" t="s">
        <v>216</v>
      </c>
      <c r="C819" s="843">
        <v>6.4800000000000003E-4</v>
      </c>
      <c r="D819" s="807">
        <v>0.1</v>
      </c>
      <c r="E819" s="821"/>
      <c r="F819" s="821"/>
      <c r="G819" s="821"/>
      <c r="H819" s="821"/>
      <c r="I819" s="806"/>
      <c r="W819" s="4"/>
    </row>
    <row r="820" spans="2:23" outlineLevel="2" x14ac:dyDescent="0.15">
      <c r="B820" s="800" t="s">
        <v>996</v>
      </c>
      <c r="C820" s="843">
        <v>0.19700000000000001</v>
      </c>
      <c r="D820" s="807">
        <v>0.1</v>
      </c>
      <c r="E820" s="821"/>
      <c r="F820" s="821"/>
      <c r="G820" s="821"/>
      <c r="H820" s="821"/>
      <c r="I820" s="806"/>
      <c r="W820" s="4"/>
    </row>
    <row r="821" spans="2:23" outlineLevel="2" x14ac:dyDescent="0.15">
      <c r="B821" s="800" t="s">
        <v>997</v>
      </c>
      <c r="C821" s="843">
        <v>1.06E-3</v>
      </c>
      <c r="D821" s="807">
        <v>0.1</v>
      </c>
      <c r="E821" s="821"/>
      <c r="F821" s="821"/>
      <c r="G821" s="821"/>
      <c r="H821" s="821"/>
      <c r="I821" s="806"/>
      <c r="W821" s="4"/>
    </row>
    <row r="822" spans="2:23" outlineLevel="2" x14ac:dyDescent="0.15">
      <c r="B822" s="800" t="s">
        <v>1030</v>
      </c>
      <c r="C822" s="843">
        <v>0.41499999999999998</v>
      </c>
      <c r="D822" s="807">
        <v>0.1</v>
      </c>
      <c r="E822" s="821"/>
      <c r="F822" s="821"/>
      <c r="G822" s="821"/>
      <c r="H822" s="821"/>
      <c r="I822" s="806"/>
      <c r="W822" s="4"/>
    </row>
    <row r="823" spans="2:23" outlineLevel="2" x14ac:dyDescent="0.15">
      <c r="B823" s="800" t="s">
        <v>1001</v>
      </c>
      <c r="C823" s="843">
        <v>0.15</v>
      </c>
      <c r="D823" s="807">
        <v>0.1</v>
      </c>
      <c r="E823" s="821"/>
      <c r="F823" s="821"/>
      <c r="G823" s="821"/>
      <c r="H823" s="821"/>
      <c r="I823" s="806"/>
      <c r="W823" s="4"/>
    </row>
    <row r="824" spans="2:23" outlineLevel="2" x14ac:dyDescent="0.15">
      <c r="B824" s="800" t="s">
        <v>217</v>
      </c>
      <c r="C824" s="843">
        <v>0.46</v>
      </c>
      <c r="D824" s="807">
        <v>0.1</v>
      </c>
      <c r="E824" s="821"/>
      <c r="F824" s="821"/>
      <c r="G824" s="821"/>
      <c r="H824" s="821"/>
      <c r="I824" s="806"/>
      <c r="W824" s="4"/>
    </row>
    <row r="825" spans="2:23" outlineLevel="2" x14ac:dyDescent="0.15">
      <c r="B825" s="800" t="s">
        <v>998</v>
      </c>
      <c r="C825" s="843">
        <v>0.40500000000000003</v>
      </c>
      <c r="D825" s="807">
        <v>0.1</v>
      </c>
      <c r="E825" s="821"/>
      <c r="F825" s="821"/>
      <c r="G825" s="821"/>
      <c r="H825" s="821"/>
      <c r="I825" s="806"/>
      <c r="W825" s="4"/>
    </row>
    <row r="826" spans="2:23" outlineLevel="2" x14ac:dyDescent="0.15">
      <c r="B826" s="800" t="s">
        <v>1000</v>
      </c>
      <c r="C826" s="843">
        <v>1.67E-2</v>
      </c>
      <c r="D826" s="807">
        <v>0.1</v>
      </c>
      <c r="E826" s="821"/>
      <c r="F826" s="821"/>
      <c r="G826" s="821"/>
      <c r="H826" s="821"/>
      <c r="I826" s="806"/>
      <c r="W826" s="4"/>
    </row>
    <row r="827" spans="2:23" outlineLevel="2" x14ac:dyDescent="0.15">
      <c r="B827" s="800" t="s">
        <v>218</v>
      </c>
      <c r="C827" s="843">
        <v>0.79400000000000004</v>
      </c>
      <c r="D827" s="807">
        <v>0.1</v>
      </c>
      <c r="E827" s="821"/>
      <c r="F827" s="821"/>
      <c r="G827" s="821"/>
      <c r="H827" s="821"/>
      <c r="I827" s="806"/>
      <c r="W827" s="4"/>
    </row>
    <row r="828" spans="2:23" outlineLevel="2" x14ac:dyDescent="0.15">
      <c r="B828" s="800" t="s">
        <v>219</v>
      </c>
      <c r="C828" s="843">
        <v>0.42499999999999999</v>
      </c>
      <c r="D828" s="807">
        <v>0.1</v>
      </c>
      <c r="E828" s="821"/>
      <c r="F828" s="821"/>
      <c r="G828" s="821"/>
      <c r="H828" s="821"/>
      <c r="I828" s="806"/>
      <c r="W828" s="4"/>
    </row>
    <row r="829" spans="2:23" outlineLevel="2" x14ac:dyDescent="0.15">
      <c r="B829" s="800" t="s">
        <v>220</v>
      </c>
      <c r="C829" s="843">
        <v>0.29799999999999999</v>
      </c>
      <c r="D829" s="807">
        <v>0.1</v>
      </c>
      <c r="E829" s="821"/>
      <c r="F829" s="821"/>
      <c r="G829" s="821"/>
      <c r="H829" s="821"/>
      <c r="I829" s="806"/>
      <c r="W829" s="4"/>
    </row>
    <row r="830" spans="2:23" outlineLevel="2" x14ac:dyDescent="0.15">
      <c r="B830" s="800" t="s">
        <v>221</v>
      </c>
      <c r="C830" s="843">
        <v>0</v>
      </c>
      <c r="D830" s="807">
        <v>0.1</v>
      </c>
      <c r="E830" s="821"/>
      <c r="F830" s="821"/>
      <c r="G830" s="821"/>
      <c r="H830" s="821"/>
      <c r="I830" s="806"/>
      <c r="W830" s="4"/>
    </row>
    <row r="831" spans="2:23" outlineLevel="2" x14ac:dyDescent="0.15">
      <c r="B831" s="800" t="s">
        <v>1003</v>
      </c>
      <c r="C831" s="843">
        <v>0.28899999999999998</v>
      </c>
      <c r="D831" s="807">
        <v>0.1</v>
      </c>
      <c r="E831" s="821"/>
      <c r="F831" s="821"/>
      <c r="G831" s="821"/>
      <c r="H831" s="821"/>
      <c r="I831" s="806"/>
      <c r="W831" s="4"/>
    </row>
    <row r="832" spans="2:23" outlineLevel="2" x14ac:dyDescent="0.15">
      <c r="B832" s="800" t="s">
        <v>222</v>
      </c>
      <c r="C832" s="843">
        <v>0.48099999999999998</v>
      </c>
      <c r="D832" s="807">
        <v>0.1</v>
      </c>
      <c r="E832" s="821"/>
      <c r="F832" s="821"/>
      <c r="G832" s="821"/>
      <c r="H832" s="821"/>
      <c r="I832" s="806"/>
      <c r="W832" s="4"/>
    </row>
    <row r="833" spans="2:23" ht="12.75" customHeight="1" outlineLevel="2" x14ac:dyDescent="0.15">
      <c r="B833" s="800" t="s">
        <v>1004</v>
      </c>
      <c r="C833" s="843">
        <v>0.78100000000000003</v>
      </c>
      <c r="D833" s="807">
        <v>0.1</v>
      </c>
      <c r="E833" s="821"/>
      <c r="F833" s="821"/>
      <c r="G833" s="821"/>
      <c r="H833" s="821"/>
      <c r="I833" s="806"/>
      <c r="W833" s="4"/>
    </row>
    <row r="834" spans="2:23" outlineLevel="2" x14ac:dyDescent="0.15">
      <c r="B834" s="800" t="s">
        <v>153</v>
      </c>
      <c r="C834" s="843">
        <v>0.255</v>
      </c>
      <c r="D834" s="807">
        <v>0.1</v>
      </c>
      <c r="E834" s="821"/>
      <c r="F834" s="821"/>
      <c r="G834" s="821"/>
      <c r="H834" s="821"/>
      <c r="I834" s="806"/>
      <c r="W834" s="4"/>
    </row>
    <row r="835" spans="2:23" outlineLevel="2" x14ac:dyDescent="0.15">
      <c r="B835" s="800" t="s">
        <v>663</v>
      </c>
      <c r="C835" s="843">
        <v>0.49399999999999999</v>
      </c>
      <c r="D835" s="807">
        <v>0.1</v>
      </c>
      <c r="E835" s="821"/>
      <c r="F835" s="821"/>
      <c r="G835" s="821"/>
      <c r="H835" s="821"/>
      <c r="I835" s="806"/>
      <c r="W835" s="4"/>
    </row>
    <row r="836" spans="2:23" outlineLevel="2" x14ac:dyDescent="0.15">
      <c r="B836" s="800" t="s">
        <v>1008</v>
      </c>
      <c r="C836" s="843">
        <v>0.499</v>
      </c>
      <c r="D836" s="807">
        <v>0.1</v>
      </c>
      <c r="E836" s="821"/>
      <c r="F836" s="821"/>
      <c r="G836" s="821"/>
      <c r="H836" s="821"/>
      <c r="I836" s="806"/>
      <c r="W836" s="4"/>
    </row>
    <row r="837" spans="2:23" outlineLevel="2" x14ac:dyDescent="0.15">
      <c r="B837" s="800" t="s">
        <v>1009</v>
      </c>
      <c r="C837" s="843">
        <v>0.63900000000000001</v>
      </c>
      <c r="D837" s="807">
        <v>0.1</v>
      </c>
      <c r="E837" s="821"/>
      <c r="F837" s="821"/>
      <c r="G837" s="821"/>
      <c r="H837" s="821"/>
      <c r="I837" s="806"/>
      <c r="W837" s="4"/>
    </row>
    <row r="838" spans="2:23" outlineLevel="2" x14ac:dyDescent="0.15">
      <c r="B838" s="800" t="s">
        <v>928</v>
      </c>
      <c r="C838" s="843">
        <v>0.73699999999999999</v>
      </c>
      <c r="D838" s="807">
        <v>0.1</v>
      </c>
      <c r="E838" s="821"/>
      <c r="F838" s="821"/>
      <c r="G838" s="821"/>
      <c r="H838" s="821"/>
      <c r="I838" s="806"/>
      <c r="W838" s="4"/>
    </row>
    <row r="839" spans="2:23" outlineLevel="2" x14ac:dyDescent="0.15">
      <c r="B839" s="800" t="s">
        <v>1010</v>
      </c>
      <c r="C839" s="843">
        <v>0.63700000000000001</v>
      </c>
      <c r="D839" s="807">
        <v>0.1</v>
      </c>
      <c r="E839" s="821"/>
      <c r="F839" s="821"/>
      <c r="G839" s="821"/>
      <c r="H839" s="821"/>
      <c r="I839" s="806"/>
      <c r="W839" s="4"/>
    </row>
    <row r="840" spans="2:23" outlineLevel="2" x14ac:dyDescent="0.15">
      <c r="B840" s="800" t="s">
        <v>1011</v>
      </c>
      <c r="C840" s="843">
        <v>0.72399999999999998</v>
      </c>
      <c r="D840" s="807">
        <v>0.1</v>
      </c>
      <c r="E840" s="821"/>
      <c r="F840" s="821"/>
      <c r="G840" s="821"/>
      <c r="H840" s="821"/>
      <c r="I840" s="806"/>
      <c r="W840" s="4"/>
    </row>
    <row r="841" spans="2:23" outlineLevel="2" x14ac:dyDescent="0.15">
      <c r="B841" s="800" t="s">
        <v>1012</v>
      </c>
      <c r="C841" s="843">
        <v>0.499</v>
      </c>
      <c r="D841" s="807">
        <v>0.1</v>
      </c>
      <c r="E841" s="821"/>
      <c r="F841" s="821"/>
      <c r="G841" s="821"/>
      <c r="H841" s="821"/>
      <c r="I841" s="806"/>
      <c r="W841" s="4"/>
    </row>
    <row r="842" spans="2:23" outlineLevel="2" x14ac:dyDescent="0.15">
      <c r="B842" s="800" t="s">
        <v>1013</v>
      </c>
      <c r="C842" s="843">
        <v>0.19700000000000001</v>
      </c>
      <c r="D842" s="807">
        <v>0.1</v>
      </c>
      <c r="E842" s="821"/>
      <c r="F842" s="821"/>
      <c r="G842" s="821"/>
      <c r="H842" s="821"/>
      <c r="I842" s="806"/>
      <c r="W842" s="4"/>
    </row>
    <row r="843" spans="2:23" ht="12.75" customHeight="1" outlineLevel="2" x14ac:dyDescent="0.15">
      <c r="B843" s="800" t="s">
        <v>1014</v>
      </c>
      <c r="C843" s="843">
        <v>0.32500000000000001</v>
      </c>
      <c r="D843" s="807">
        <v>0.1</v>
      </c>
      <c r="E843" s="821"/>
      <c r="F843" s="821"/>
      <c r="G843" s="821"/>
      <c r="H843" s="821"/>
      <c r="I843" s="806"/>
      <c r="W843" s="4"/>
    </row>
    <row r="844" spans="2:23" ht="12.75" customHeight="1" outlineLevel="2" x14ac:dyDescent="0.15">
      <c r="B844" s="800" t="s">
        <v>223</v>
      </c>
      <c r="C844" s="843">
        <v>0.34399999999999997</v>
      </c>
      <c r="D844" s="807">
        <v>0.1</v>
      </c>
      <c r="E844" s="821"/>
      <c r="F844" s="821"/>
      <c r="G844" s="821"/>
      <c r="H844" s="821"/>
      <c r="I844" s="806"/>
      <c r="W844" s="4"/>
    </row>
    <row r="845" spans="2:23" outlineLevel="2" x14ac:dyDescent="0.15">
      <c r="B845" s="800" t="s">
        <v>924</v>
      </c>
      <c r="C845" s="843">
        <v>0.92700000000000005</v>
      </c>
      <c r="D845" s="807">
        <v>0.1</v>
      </c>
      <c r="E845" s="821"/>
      <c r="F845" s="821"/>
      <c r="G845" s="821"/>
      <c r="H845" s="821"/>
      <c r="I845" s="806"/>
      <c r="J845" s="15"/>
      <c r="K845" s="1314"/>
      <c r="L845" s="1316"/>
      <c r="W845" s="4"/>
    </row>
    <row r="846" spans="2:23" outlineLevel="2" x14ac:dyDescent="0.15">
      <c r="B846" s="800" t="s">
        <v>956</v>
      </c>
      <c r="C846" s="843">
        <v>0.23799999999999999</v>
      </c>
      <c r="D846" s="807">
        <v>0.1</v>
      </c>
      <c r="E846" s="821"/>
      <c r="F846" s="821"/>
      <c r="G846" s="821"/>
      <c r="H846" s="821"/>
      <c r="I846" s="806"/>
      <c r="W846" s="4"/>
    </row>
    <row r="847" spans="2:23" outlineLevel="2" x14ac:dyDescent="0.15">
      <c r="B847" s="800" t="s">
        <v>224</v>
      </c>
      <c r="C847" s="843">
        <v>0.379</v>
      </c>
      <c r="D847" s="807">
        <v>0.1</v>
      </c>
      <c r="E847" s="821"/>
      <c r="F847" s="821"/>
      <c r="G847" s="821"/>
      <c r="H847" s="821"/>
      <c r="I847" s="806"/>
      <c r="W847" s="4"/>
    </row>
    <row r="848" spans="2:23" outlineLevel="2" x14ac:dyDescent="0.15">
      <c r="B848" s="800" t="s">
        <v>1015</v>
      </c>
      <c r="C848" s="843">
        <v>2.9600000000000001E-2</v>
      </c>
      <c r="D848" s="807">
        <v>0.1</v>
      </c>
      <c r="E848" s="821"/>
      <c r="F848" s="821"/>
      <c r="G848" s="821"/>
      <c r="H848" s="821"/>
      <c r="I848" s="806"/>
      <c r="W848" s="4"/>
    </row>
    <row r="849" spans="2:23" ht="12.75" customHeight="1" outlineLevel="2" x14ac:dyDescent="0.15">
      <c r="B849" s="800" t="s">
        <v>1016</v>
      </c>
      <c r="C849" s="843">
        <v>2.7300000000000001E-2</v>
      </c>
      <c r="D849" s="807">
        <v>0.1</v>
      </c>
      <c r="E849" s="821"/>
      <c r="F849" s="821"/>
      <c r="G849" s="821"/>
      <c r="H849" s="821"/>
      <c r="I849" s="806"/>
      <c r="W849" s="4"/>
    </row>
    <row r="850" spans="2:23" outlineLevel="2" x14ac:dyDescent="0.15">
      <c r="B850" s="800" t="s">
        <v>1017</v>
      </c>
      <c r="C850" s="843">
        <v>0.59399999999999997</v>
      </c>
      <c r="D850" s="807">
        <v>0.1</v>
      </c>
      <c r="E850" s="821"/>
      <c r="F850" s="821"/>
      <c r="G850" s="821"/>
      <c r="H850" s="821"/>
      <c r="I850" s="806"/>
      <c r="W850" s="4"/>
    </row>
    <row r="851" spans="2:23" outlineLevel="2" x14ac:dyDescent="0.15">
      <c r="B851" s="800" t="s">
        <v>225</v>
      </c>
      <c r="C851" s="843">
        <v>2.4299999999999999E-2</v>
      </c>
      <c r="D851" s="807">
        <v>0.1</v>
      </c>
      <c r="E851" s="821"/>
      <c r="F851" s="821"/>
      <c r="G851" s="821"/>
      <c r="H851" s="821"/>
      <c r="I851" s="806"/>
      <c r="W851" s="4"/>
    </row>
    <row r="852" spans="2:23" outlineLevel="2" x14ac:dyDescent="0.15">
      <c r="B852" s="800" t="s">
        <v>226</v>
      </c>
      <c r="C852" s="843">
        <v>0.76800000000000002</v>
      </c>
      <c r="D852" s="807">
        <v>0.1</v>
      </c>
      <c r="E852" s="821"/>
      <c r="F852" s="821"/>
      <c r="G852" s="821"/>
      <c r="H852" s="821"/>
      <c r="I852" s="806"/>
      <c r="W852" s="4"/>
    </row>
    <row r="853" spans="2:23" outlineLevel="2" x14ac:dyDescent="0.15">
      <c r="B853" s="800" t="s">
        <v>1018</v>
      </c>
      <c r="C853" s="843">
        <v>0.32900000000000001</v>
      </c>
      <c r="D853" s="807">
        <v>0.1</v>
      </c>
      <c r="E853" s="821"/>
      <c r="F853" s="821"/>
      <c r="G853" s="821"/>
      <c r="H853" s="821"/>
      <c r="I853" s="806"/>
      <c r="W853" s="4"/>
    </row>
    <row r="854" spans="2:23" outlineLevel="2" x14ac:dyDescent="0.15">
      <c r="B854" s="800" t="s">
        <v>1019</v>
      </c>
      <c r="C854" s="843">
        <v>0.51300000000000001</v>
      </c>
      <c r="D854" s="807">
        <v>0.1</v>
      </c>
      <c r="E854" s="821"/>
      <c r="F854" s="821"/>
      <c r="G854" s="821"/>
      <c r="H854" s="821"/>
      <c r="I854" s="806"/>
      <c r="W854" s="4"/>
    </row>
    <row r="855" spans="2:23" outlineLevel="2" x14ac:dyDescent="0.15">
      <c r="B855" s="800" t="s">
        <v>227</v>
      </c>
      <c r="C855" s="843">
        <v>0.19500000000000001</v>
      </c>
      <c r="D855" s="807">
        <v>0.1</v>
      </c>
      <c r="E855" s="821"/>
      <c r="F855" s="821"/>
      <c r="G855" s="821"/>
      <c r="H855" s="821"/>
      <c r="I855" s="806"/>
      <c r="W855" s="4"/>
    </row>
    <row r="856" spans="2:23" outlineLevel="2" x14ac:dyDescent="0.15">
      <c r="B856" s="800" t="s">
        <v>1020</v>
      </c>
      <c r="C856" s="843">
        <v>0.7</v>
      </c>
      <c r="D856" s="807">
        <v>0.1</v>
      </c>
      <c r="E856" s="821"/>
      <c r="F856" s="821"/>
      <c r="G856" s="821"/>
      <c r="H856" s="821"/>
      <c r="I856" s="806"/>
      <c r="W856" s="4"/>
    </row>
    <row r="857" spans="2:23" outlineLevel="2" x14ac:dyDescent="0.15">
      <c r="B857" s="800" t="s">
        <v>1021</v>
      </c>
      <c r="C857" s="843">
        <v>0.46300000000000002</v>
      </c>
      <c r="D857" s="807">
        <v>0.1</v>
      </c>
      <c r="E857" s="821"/>
      <c r="F857" s="821"/>
      <c r="G857" s="821"/>
      <c r="H857" s="821"/>
      <c r="I857" s="806"/>
      <c r="W857" s="4"/>
    </row>
    <row r="858" spans="2:23" outlineLevel="2" x14ac:dyDescent="0.15">
      <c r="B858" s="800" t="s">
        <v>1023</v>
      </c>
      <c r="C858" s="843">
        <v>0.46</v>
      </c>
      <c r="D858" s="807">
        <v>0.1</v>
      </c>
      <c r="E858" s="821"/>
      <c r="F858" s="821"/>
      <c r="G858" s="821"/>
      <c r="H858" s="821"/>
      <c r="I858" s="806"/>
      <c r="W858" s="4"/>
    </row>
    <row r="859" spans="2:23" outlineLevel="2" x14ac:dyDescent="0.15">
      <c r="B859" s="800" t="s">
        <v>1022</v>
      </c>
      <c r="C859" s="843">
        <v>1.9</v>
      </c>
      <c r="D859" s="807">
        <v>0.1</v>
      </c>
      <c r="E859" s="821"/>
      <c r="F859" s="821"/>
      <c r="G859" s="821"/>
      <c r="H859" s="821"/>
      <c r="I859" s="806"/>
      <c r="W859" s="4"/>
    </row>
    <row r="860" spans="2:23" outlineLevel="2" x14ac:dyDescent="0.15">
      <c r="B860" s="800" t="s">
        <v>228</v>
      </c>
      <c r="C860" s="843">
        <v>0.41899999999999998</v>
      </c>
      <c r="D860" s="807">
        <v>0.1</v>
      </c>
      <c r="E860" s="821"/>
      <c r="F860" s="821"/>
      <c r="G860" s="821"/>
      <c r="H860" s="821"/>
      <c r="I860" s="806"/>
      <c r="W860" s="4"/>
    </row>
    <row r="861" spans="2:23" outlineLevel="2" x14ac:dyDescent="0.15">
      <c r="B861" s="800" t="s">
        <v>953</v>
      </c>
      <c r="C861" s="843">
        <v>0.59799999999999998</v>
      </c>
      <c r="D861" s="807">
        <v>0.1</v>
      </c>
      <c r="E861" s="821"/>
      <c r="F861" s="821"/>
      <c r="G861" s="821"/>
      <c r="H861" s="821"/>
      <c r="I861" s="806"/>
      <c r="W861" s="4"/>
    </row>
    <row r="862" spans="2:23" outlineLevel="2" x14ac:dyDescent="0.15">
      <c r="B862" s="800" t="s">
        <v>1323</v>
      </c>
      <c r="C862" s="843">
        <v>0.45700000000000002</v>
      </c>
      <c r="D862" s="807">
        <v>0.1</v>
      </c>
      <c r="E862" s="821"/>
      <c r="F862" s="821"/>
      <c r="G862" s="821"/>
      <c r="H862" s="821"/>
      <c r="I862" s="806"/>
      <c r="W862" s="4"/>
    </row>
    <row r="863" spans="2:23" outlineLevel="2" x14ac:dyDescent="0.15">
      <c r="B863" s="800" t="s">
        <v>958</v>
      </c>
      <c r="C863" s="843">
        <v>0.52200000000000002</v>
      </c>
      <c r="D863" s="807">
        <v>0.1</v>
      </c>
      <c r="E863" s="821"/>
      <c r="F863" s="821"/>
      <c r="G863" s="821"/>
      <c r="H863" s="821"/>
      <c r="I863" s="806"/>
      <c r="W863" s="4"/>
    </row>
    <row r="864" spans="2:23" outlineLevel="2" x14ac:dyDescent="0.15">
      <c r="B864" s="800" t="s">
        <v>229</v>
      </c>
      <c r="C864" s="843">
        <v>8.1000000000000003E-2</v>
      </c>
      <c r="D864" s="807">
        <v>0.1</v>
      </c>
      <c r="E864" s="821"/>
      <c r="F864" s="821"/>
      <c r="G864" s="821"/>
      <c r="H864" s="821"/>
      <c r="I864" s="806"/>
      <c r="W864" s="4"/>
    </row>
    <row r="865" spans="2:23" ht="12.75" customHeight="1" outlineLevel="2" x14ac:dyDescent="0.15">
      <c r="B865" s="800" t="s">
        <v>1002</v>
      </c>
      <c r="C865" s="843">
        <v>0.73399999999999999</v>
      </c>
      <c r="D865" s="807">
        <v>0.1</v>
      </c>
      <c r="E865" s="821"/>
      <c r="F865" s="821"/>
      <c r="G865" s="821"/>
      <c r="H865" s="821"/>
      <c r="I865" s="806"/>
      <c r="W865" s="4"/>
    </row>
    <row r="866" spans="2:23" outlineLevel="2" x14ac:dyDescent="0.15">
      <c r="B866" s="800" t="s">
        <v>230</v>
      </c>
      <c r="C866" s="843">
        <v>0.26400000000000001</v>
      </c>
      <c r="D866" s="807">
        <v>0.1</v>
      </c>
      <c r="E866" s="821"/>
      <c r="F866" s="821"/>
      <c r="G866" s="821"/>
      <c r="H866" s="821"/>
      <c r="I866" s="806"/>
      <c r="W866" s="4"/>
    </row>
    <row r="867" spans="2:23" outlineLevel="2" x14ac:dyDescent="0.15">
      <c r="B867" s="800" t="s">
        <v>1024</v>
      </c>
      <c r="C867" s="843">
        <v>0.432</v>
      </c>
      <c r="D867" s="807">
        <v>0.1</v>
      </c>
      <c r="E867" s="821"/>
      <c r="F867" s="821"/>
      <c r="G867" s="821"/>
      <c r="H867" s="821"/>
      <c r="I867" s="806"/>
      <c r="W867" s="4"/>
    </row>
    <row r="868" spans="2:23" outlineLevel="2" x14ac:dyDescent="0.15">
      <c r="B868" s="800" t="s">
        <v>1025</v>
      </c>
      <c r="C868" s="843">
        <v>0.65500000000000003</v>
      </c>
      <c r="D868" s="807">
        <v>0.1</v>
      </c>
      <c r="E868" s="821"/>
      <c r="F868" s="821"/>
      <c r="G868" s="821"/>
      <c r="H868" s="821"/>
      <c r="I868" s="806"/>
      <c r="W868" s="4"/>
    </row>
    <row r="869" spans="2:23" outlineLevel="2" x14ac:dyDescent="0.15">
      <c r="B869" s="800" t="s">
        <v>1026</v>
      </c>
      <c r="C869" s="843">
        <v>2.6800000000000001E-3</v>
      </c>
      <c r="D869" s="807">
        <v>0.1</v>
      </c>
      <c r="E869" s="821"/>
      <c r="F869" s="821"/>
      <c r="G869" s="821"/>
      <c r="H869" s="821"/>
      <c r="I869" s="806"/>
      <c r="W869" s="4"/>
    </row>
    <row r="870" spans="2:23" outlineLevel="2" x14ac:dyDescent="0.15">
      <c r="B870" s="800" t="s">
        <v>231</v>
      </c>
      <c r="C870" s="843">
        <v>0.66</v>
      </c>
      <c r="D870" s="807">
        <v>0.1</v>
      </c>
      <c r="E870" s="821"/>
      <c r="F870" s="821"/>
      <c r="G870" s="821"/>
      <c r="H870" s="821"/>
      <c r="I870" s="806"/>
      <c r="W870" s="4"/>
    </row>
    <row r="871" spans="2:23" outlineLevel="2" x14ac:dyDescent="0.15">
      <c r="B871" s="800"/>
      <c r="C871" s="843"/>
      <c r="D871" s="807"/>
      <c r="E871" s="821"/>
      <c r="F871" s="821"/>
      <c r="G871" s="821"/>
      <c r="H871" s="821"/>
      <c r="I871" s="806"/>
      <c r="W871" s="4"/>
    </row>
    <row r="872" spans="2:23" outlineLevel="2" x14ac:dyDescent="0.15">
      <c r="B872" s="800" t="s">
        <v>1027</v>
      </c>
      <c r="C872" s="843">
        <v>0.42</v>
      </c>
      <c r="D872" s="807">
        <v>0.1</v>
      </c>
      <c r="E872" s="821"/>
      <c r="F872" s="821"/>
      <c r="G872" s="821"/>
      <c r="H872" s="821"/>
      <c r="I872" s="806"/>
      <c r="W872" s="4"/>
    </row>
    <row r="873" spans="2:23" outlineLevel="2" x14ac:dyDescent="0.15">
      <c r="B873" s="801"/>
      <c r="C873" s="823"/>
      <c r="D873" s="802"/>
      <c r="E873" s="823"/>
      <c r="F873" s="823"/>
      <c r="G873" s="823"/>
      <c r="H873" s="823"/>
      <c r="I873" s="802"/>
      <c r="W873" s="4"/>
    </row>
    <row r="874" spans="2:23" outlineLevel="2" x14ac:dyDescent="0.15"/>
    <row r="875" spans="2:23" outlineLevel="2" x14ac:dyDescent="0.15">
      <c r="B875" s="1489" t="s">
        <v>1031</v>
      </c>
      <c r="C875" s="886"/>
      <c r="D875" s="898"/>
    </row>
    <row r="876" spans="2:23" outlineLevel="2" x14ac:dyDescent="0.15">
      <c r="B876" s="880" t="s">
        <v>1032</v>
      </c>
      <c r="C876" s="888" t="s">
        <v>847</v>
      </c>
      <c r="D876" s="1560" t="s">
        <v>918</v>
      </c>
      <c r="G876" s="27"/>
    </row>
    <row r="877" spans="2:23" outlineLevel="2" x14ac:dyDescent="0.15">
      <c r="B877" s="800" t="s">
        <v>1036</v>
      </c>
      <c r="C877" s="843">
        <v>0.17799999999999999</v>
      </c>
      <c r="D877" s="1514">
        <v>0.15</v>
      </c>
      <c r="E877" s="676"/>
      <c r="G877" s="27"/>
    </row>
    <row r="878" spans="2:23" outlineLevel="2" x14ac:dyDescent="0.15">
      <c r="B878" s="800" t="s">
        <v>1037</v>
      </c>
      <c r="C878" s="843">
        <v>0.31900000000000001</v>
      </c>
      <c r="D878" s="807">
        <v>0.15</v>
      </c>
      <c r="E878" s="676"/>
      <c r="G878" s="27"/>
    </row>
    <row r="879" spans="2:23" outlineLevel="2" x14ac:dyDescent="0.15">
      <c r="B879" s="800" t="s">
        <v>1038</v>
      </c>
      <c r="C879" s="843">
        <v>0.56599999999999995</v>
      </c>
      <c r="D879" s="807">
        <v>0.15</v>
      </c>
      <c r="E879" s="676"/>
      <c r="G879" s="27"/>
    </row>
    <row r="880" spans="2:23" outlineLevel="2" x14ac:dyDescent="0.15">
      <c r="B880" s="800" t="s">
        <v>1061</v>
      </c>
      <c r="C880" s="843">
        <v>0.56599999999999995</v>
      </c>
      <c r="D880" s="807">
        <v>0.15</v>
      </c>
      <c r="E880" s="676"/>
      <c r="G880" s="27"/>
    </row>
    <row r="881" spans="2:7" outlineLevel="2" x14ac:dyDescent="0.15">
      <c r="B881" s="800" t="s">
        <v>1039</v>
      </c>
      <c r="C881" s="843">
        <v>0.33500000000000002</v>
      </c>
      <c r="D881" s="807">
        <v>0.15</v>
      </c>
      <c r="E881" s="676"/>
      <c r="G881" s="27"/>
    </row>
    <row r="882" spans="2:7" outlineLevel="2" x14ac:dyDescent="0.15">
      <c r="B882" s="800" t="s">
        <v>691</v>
      </c>
      <c r="C882" s="843">
        <v>0.33700000000000002</v>
      </c>
      <c r="D882" s="807">
        <v>0.15</v>
      </c>
      <c r="E882" s="676"/>
      <c r="G882" s="27"/>
    </row>
    <row r="883" spans="2:7" outlineLevel="2" x14ac:dyDescent="0.15">
      <c r="B883" s="800" t="s">
        <v>1044</v>
      </c>
      <c r="C883" s="843">
        <v>8.7999999999999995E-2</v>
      </c>
      <c r="D883" s="807">
        <v>0.15</v>
      </c>
      <c r="E883" s="676"/>
      <c r="G883" s="27"/>
    </row>
    <row r="884" spans="2:7" outlineLevel="2" x14ac:dyDescent="0.15">
      <c r="B884" s="800" t="s">
        <v>1045</v>
      </c>
      <c r="C884" s="843">
        <v>0.106</v>
      </c>
      <c r="D884" s="807">
        <v>0.15</v>
      </c>
      <c r="E884" s="676"/>
      <c r="G884" s="27"/>
    </row>
    <row r="885" spans="2:7" outlineLevel="2" x14ac:dyDescent="0.15">
      <c r="B885" s="800" t="s">
        <v>150</v>
      </c>
      <c r="C885" s="843">
        <v>0</v>
      </c>
      <c r="D885" s="807">
        <v>0.15</v>
      </c>
      <c r="E885" s="676"/>
      <c r="G885" s="27"/>
    </row>
    <row r="886" spans="2:7" outlineLevel="2" x14ac:dyDescent="0.15">
      <c r="B886" s="800" t="s">
        <v>235</v>
      </c>
      <c r="C886" s="843">
        <v>0.71</v>
      </c>
      <c r="D886" s="807">
        <v>0.15</v>
      </c>
      <c r="E886" s="676"/>
      <c r="G886" s="27"/>
    </row>
    <row r="887" spans="2:7" outlineLevel="2" x14ac:dyDescent="0.15">
      <c r="B887" s="800" t="s">
        <v>692</v>
      </c>
      <c r="C887" s="843">
        <v>0.03</v>
      </c>
      <c r="D887" s="807">
        <v>0.15</v>
      </c>
      <c r="E887" s="676"/>
      <c r="G887" s="27"/>
    </row>
    <row r="888" spans="2:7" outlineLevel="2" x14ac:dyDescent="0.15">
      <c r="B888" s="800" t="s">
        <v>151</v>
      </c>
      <c r="C888" s="843">
        <v>0.91900000000000004</v>
      </c>
      <c r="D888" s="807">
        <v>0.15</v>
      </c>
      <c r="E888" s="676"/>
      <c r="G888" s="27"/>
    </row>
    <row r="889" spans="2:7" outlineLevel="2" x14ac:dyDescent="0.15">
      <c r="B889" s="800" t="s">
        <v>1034</v>
      </c>
      <c r="C889" s="843">
        <v>0.38</v>
      </c>
      <c r="D889" s="807">
        <v>0.15</v>
      </c>
      <c r="E889" s="676"/>
      <c r="G889" s="27"/>
    </row>
    <row r="890" spans="2:7" outlineLevel="2" x14ac:dyDescent="0.15">
      <c r="B890" s="800" t="s">
        <v>1033</v>
      </c>
      <c r="C890" s="843">
        <v>0.251</v>
      </c>
      <c r="D890" s="807">
        <v>0.15</v>
      </c>
      <c r="E890" s="676"/>
      <c r="G890" s="27"/>
    </row>
    <row r="891" spans="2:7" outlineLevel="2" x14ac:dyDescent="0.15">
      <c r="B891" s="800" t="s">
        <v>1035</v>
      </c>
      <c r="C891" s="843">
        <v>0.86799999999999999</v>
      </c>
      <c r="D891" s="807">
        <v>0.15</v>
      </c>
      <c r="E891" s="676"/>
      <c r="G891" s="27"/>
    </row>
    <row r="892" spans="2:7" outlineLevel="2" x14ac:dyDescent="0.15">
      <c r="B892" s="800" t="s">
        <v>1052</v>
      </c>
      <c r="C892" s="843">
        <v>1.107</v>
      </c>
      <c r="D892" s="807">
        <v>0.15</v>
      </c>
      <c r="E892" s="676"/>
      <c r="G892" s="27"/>
    </row>
    <row r="893" spans="2:7" outlineLevel="2" x14ac:dyDescent="0.15">
      <c r="B893" s="800" t="s">
        <v>1054</v>
      </c>
      <c r="C893" s="843">
        <v>0.45400000000000001</v>
      </c>
      <c r="D893" s="807">
        <v>0.15</v>
      </c>
      <c r="E893" s="676"/>
      <c r="G893" s="27"/>
    </row>
    <row r="894" spans="2:7" outlineLevel="2" x14ac:dyDescent="0.15">
      <c r="B894" s="800" t="s">
        <v>1056</v>
      </c>
      <c r="C894" s="843">
        <v>0.46600000000000003</v>
      </c>
      <c r="D894" s="807">
        <v>0.15</v>
      </c>
      <c r="E894" s="676"/>
      <c r="G894" s="27"/>
    </row>
    <row r="895" spans="2:7" outlineLevel="2" x14ac:dyDescent="0.15">
      <c r="B895" s="800" t="s">
        <v>1053</v>
      </c>
      <c r="C895" s="843">
        <v>0.45</v>
      </c>
      <c r="D895" s="807">
        <v>0.15</v>
      </c>
      <c r="E895" s="676"/>
      <c r="G895" s="27"/>
    </row>
    <row r="896" spans="2:7" outlineLevel="2" x14ac:dyDescent="0.15">
      <c r="B896" s="800" t="s">
        <v>1055</v>
      </c>
      <c r="C896" s="843">
        <v>0.52700000000000002</v>
      </c>
      <c r="D896" s="807">
        <v>0.15</v>
      </c>
      <c r="E896" s="676"/>
      <c r="G896" s="27"/>
    </row>
    <row r="897" spans="2:7" outlineLevel="2" x14ac:dyDescent="0.15">
      <c r="B897" s="800" t="s">
        <v>1058</v>
      </c>
      <c r="C897" s="843">
        <v>0.47399999999999998</v>
      </c>
      <c r="D897" s="807">
        <v>0.15</v>
      </c>
      <c r="E897" s="676"/>
      <c r="G897" s="27"/>
    </row>
    <row r="898" spans="2:7" outlineLevel="2" x14ac:dyDescent="0.15">
      <c r="B898" s="800" t="s">
        <v>1057</v>
      </c>
      <c r="C898" s="843">
        <v>2.3E-2</v>
      </c>
      <c r="D898" s="807">
        <v>0.15</v>
      </c>
      <c r="E898" s="676"/>
      <c r="G898" s="27"/>
    </row>
    <row r="899" spans="2:7" outlineLevel="2" x14ac:dyDescent="0.15">
      <c r="B899" s="800" t="s">
        <v>1059</v>
      </c>
      <c r="C899" s="843">
        <v>0.56599999999999995</v>
      </c>
      <c r="D899" s="807">
        <v>0.15</v>
      </c>
      <c r="E899" s="676"/>
      <c r="G899" s="27"/>
    </row>
    <row r="900" spans="2:7" outlineLevel="2" x14ac:dyDescent="0.15">
      <c r="B900" s="800" t="s">
        <v>693</v>
      </c>
      <c r="C900" s="843">
        <v>0.41199999999999998</v>
      </c>
      <c r="D900" s="807">
        <v>0.15</v>
      </c>
      <c r="E900" s="676"/>
      <c r="G900" s="27"/>
    </row>
    <row r="901" spans="2:7" outlineLevel="2" x14ac:dyDescent="0.15">
      <c r="B901" s="800" t="s">
        <v>236</v>
      </c>
      <c r="C901" s="843">
        <v>0.78300000000000003</v>
      </c>
      <c r="D901" s="807">
        <v>0.15</v>
      </c>
      <c r="E901" s="676"/>
      <c r="G901" s="27"/>
    </row>
    <row r="902" spans="2:7" outlineLevel="2" x14ac:dyDescent="0.15">
      <c r="B902" s="800" t="s">
        <v>1040</v>
      </c>
      <c r="C902" s="843">
        <v>0.45100000000000001</v>
      </c>
      <c r="D902" s="807">
        <v>0.15</v>
      </c>
      <c r="E902" s="676"/>
      <c r="G902" s="27"/>
    </row>
    <row r="903" spans="2:7" outlineLevel="2" x14ac:dyDescent="0.15">
      <c r="B903" s="800" t="s">
        <v>1041</v>
      </c>
      <c r="C903" s="843">
        <v>0.872</v>
      </c>
      <c r="D903" s="807">
        <v>0.15</v>
      </c>
      <c r="E903" s="676"/>
      <c r="G903" s="27"/>
    </row>
    <row r="904" spans="2:7" outlineLevel="2" x14ac:dyDescent="0.15">
      <c r="B904" s="800" t="s">
        <v>1043</v>
      </c>
      <c r="C904" s="843">
        <v>0.24099999999999999</v>
      </c>
      <c r="D904" s="807">
        <v>0.15</v>
      </c>
      <c r="E904" s="676"/>
      <c r="G904" s="27"/>
    </row>
    <row r="905" spans="2:7" outlineLevel="2" x14ac:dyDescent="0.15">
      <c r="B905" s="800" t="s">
        <v>1042</v>
      </c>
      <c r="C905" s="843">
        <v>0.27900000000000003</v>
      </c>
      <c r="D905" s="807">
        <v>0.15</v>
      </c>
      <c r="E905" s="676"/>
      <c r="G905" s="27"/>
    </row>
    <row r="906" spans="2:7" outlineLevel="2" x14ac:dyDescent="0.15">
      <c r="B906" s="800" t="s">
        <v>1060</v>
      </c>
      <c r="C906" s="843">
        <v>0.42799999999999999</v>
      </c>
      <c r="D906" s="807">
        <v>0.15</v>
      </c>
      <c r="E906" s="676"/>
      <c r="G906" s="27"/>
    </row>
    <row r="907" spans="2:7" outlineLevel="2" x14ac:dyDescent="0.15">
      <c r="B907" s="800" t="s">
        <v>1046</v>
      </c>
      <c r="C907" s="843">
        <v>0.105</v>
      </c>
      <c r="D907" s="807">
        <v>0.15</v>
      </c>
      <c r="E907" s="676"/>
      <c r="G907" s="27"/>
    </row>
    <row r="908" spans="2:7" outlineLevel="2" x14ac:dyDescent="0.15">
      <c r="B908" s="800" t="s">
        <v>1047</v>
      </c>
      <c r="C908" s="843">
        <v>0.83</v>
      </c>
      <c r="D908" s="807">
        <v>0.15</v>
      </c>
      <c r="E908" s="676"/>
      <c r="G908" s="27"/>
    </row>
    <row r="909" spans="2:7" outlineLevel="2" x14ac:dyDescent="0.15">
      <c r="B909" s="800" t="s">
        <v>1048</v>
      </c>
      <c r="C909" s="843">
        <v>0.20699999999999999</v>
      </c>
      <c r="D909" s="807">
        <v>0.15</v>
      </c>
      <c r="E909" s="676"/>
      <c r="G909" s="27"/>
    </row>
    <row r="910" spans="2:7" outlineLevel="2" x14ac:dyDescent="0.15">
      <c r="B910" s="800" t="s">
        <v>1049</v>
      </c>
      <c r="C910" s="843">
        <v>0.62</v>
      </c>
      <c r="D910" s="807">
        <v>0.15</v>
      </c>
      <c r="E910" s="676"/>
      <c r="G910" s="27"/>
    </row>
    <row r="911" spans="2:7" outlineLevel="2" x14ac:dyDescent="0.15">
      <c r="B911" s="800" t="s">
        <v>1050</v>
      </c>
      <c r="C911" s="843">
        <v>0.54200000000000004</v>
      </c>
      <c r="D911" s="807">
        <v>0.15</v>
      </c>
      <c r="E911" s="676"/>
      <c r="G911" s="27"/>
    </row>
    <row r="912" spans="2:7" outlineLevel="2" x14ac:dyDescent="0.15">
      <c r="B912" s="800" t="s">
        <v>1051</v>
      </c>
      <c r="C912" s="843">
        <v>0.504</v>
      </c>
      <c r="D912" s="807">
        <v>0.15</v>
      </c>
      <c r="E912" s="676"/>
      <c r="G912" s="27"/>
    </row>
    <row r="913" spans="2:7" outlineLevel="2" x14ac:dyDescent="0.15">
      <c r="B913" s="801"/>
      <c r="C913" s="823"/>
      <c r="D913" s="802"/>
      <c r="E913" s="676"/>
      <c r="G913" s="27"/>
    </row>
    <row r="914" spans="2:7" outlineLevel="2" x14ac:dyDescent="0.15">
      <c r="G914" s="27"/>
    </row>
    <row r="915" spans="2:7" outlineLevel="2" x14ac:dyDescent="0.15">
      <c r="B915" s="1489" t="s">
        <v>1062</v>
      </c>
      <c r="C915" s="886"/>
      <c r="D915" s="898"/>
    </row>
    <row r="916" spans="2:7" outlineLevel="2" x14ac:dyDescent="0.15">
      <c r="B916" s="1556" t="s">
        <v>1063</v>
      </c>
      <c r="C916" s="888" t="s">
        <v>847</v>
      </c>
      <c r="D916" s="1560" t="s">
        <v>723</v>
      </c>
    </row>
    <row r="917" spans="2:7" outlineLevel="2" x14ac:dyDescent="0.15">
      <c r="B917" s="800" t="s">
        <v>1064</v>
      </c>
      <c r="C917" s="843">
        <v>3.1E-2</v>
      </c>
      <c r="D917" s="807">
        <v>0.1</v>
      </c>
    </row>
    <row r="918" spans="2:7" outlineLevel="2" x14ac:dyDescent="0.15">
      <c r="B918" s="800" t="s">
        <v>1068</v>
      </c>
      <c r="C918" s="843">
        <v>4.1000000000000002E-2</v>
      </c>
      <c r="D918" s="807">
        <v>0.1</v>
      </c>
    </row>
    <row r="919" spans="2:7" outlineLevel="2" x14ac:dyDescent="0.15">
      <c r="B919" s="800" t="s">
        <v>1075</v>
      </c>
      <c r="C919" s="843">
        <v>0.04</v>
      </c>
      <c r="D919" s="807">
        <v>0.1</v>
      </c>
    </row>
    <row r="920" spans="2:7" outlineLevel="2" x14ac:dyDescent="0.15">
      <c r="B920" s="800" t="s">
        <v>1076</v>
      </c>
      <c r="C920" s="843">
        <v>2.7E-2</v>
      </c>
      <c r="D920" s="807">
        <v>0.1</v>
      </c>
    </row>
    <row r="921" spans="2:7" outlineLevel="2" x14ac:dyDescent="0.15">
      <c r="B921" s="800" t="s">
        <v>1083</v>
      </c>
      <c r="C921" s="843">
        <v>3.3000000000000002E-2</v>
      </c>
      <c r="D921" s="807">
        <v>0.1</v>
      </c>
    </row>
    <row r="922" spans="2:7" outlineLevel="2" x14ac:dyDescent="0.15">
      <c r="B922" s="800" t="s">
        <v>1084</v>
      </c>
      <c r="C922" s="843">
        <v>2.1999999999999999E-2</v>
      </c>
      <c r="D922" s="807">
        <v>0.1</v>
      </c>
    </row>
    <row r="923" spans="2:7" outlineLevel="2" x14ac:dyDescent="0.15">
      <c r="B923" s="800" t="s">
        <v>1091</v>
      </c>
      <c r="C923" s="843">
        <v>1.4999999999999999E-2</v>
      </c>
      <c r="D923" s="807">
        <v>0.1</v>
      </c>
    </row>
    <row r="924" spans="2:7" outlineLevel="2" x14ac:dyDescent="0.15">
      <c r="B924" s="800" t="s">
        <v>1092</v>
      </c>
      <c r="C924" s="843">
        <v>1.7000000000000001E-2</v>
      </c>
      <c r="D924" s="807">
        <v>0.1</v>
      </c>
    </row>
    <row r="925" spans="2:7" outlineLevel="2" x14ac:dyDescent="0.15">
      <c r="B925" s="800" t="s">
        <v>1099</v>
      </c>
      <c r="C925" s="843">
        <v>4.8000000000000001E-2</v>
      </c>
      <c r="D925" s="807">
        <v>0.1</v>
      </c>
    </row>
    <row r="926" spans="2:7" outlineLevel="2" x14ac:dyDescent="0.15">
      <c r="B926" s="800" t="s">
        <v>1100</v>
      </c>
      <c r="C926" s="843">
        <v>4.8000000000000001E-2</v>
      </c>
      <c r="D926" s="807">
        <v>0.1</v>
      </c>
    </row>
    <row r="927" spans="2:7" outlineLevel="2" x14ac:dyDescent="0.15">
      <c r="B927" s="800" t="s">
        <v>1110</v>
      </c>
      <c r="C927" s="843">
        <v>5.6000000000000001E-2</v>
      </c>
      <c r="D927" s="807">
        <v>0.1</v>
      </c>
    </row>
    <row r="928" spans="2:7" outlineLevel="2" x14ac:dyDescent="0.15">
      <c r="B928" s="800" t="s">
        <v>1111</v>
      </c>
      <c r="C928" s="843">
        <v>2.7E-2</v>
      </c>
      <c r="D928" s="807">
        <v>0.1</v>
      </c>
    </row>
    <row r="929" spans="2:4" outlineLevel="2" x14ac:dyDescent="0.15">
      <c r="B929" s="800"/>
      <c r="C929" s="843"/>
      <c r="D929" s="807"/>
    </row>
    <row r="930" spans="2:4" outlineLevel="2" x14ac:dyDescent="0.15">
      <c r="B930" s="800" t="s">
        <v>1065</v>
      </c>
      <c r="C930" s="843">
        <v>2.4E-2</v>
      </c>
      <c r="D930" s="807">
        <v>0.1</v>
      </c>
    </row>
    <row r="931" spans="2:4" outlineLevel="2" x14ac:dyDescent="0.15">
      <c r="B931" s="800" t="s">
        <v>1069</v>
      </c>
      <c r="C931" s="843">
        <v>0.06</v>
      </c>
      <c r="D931" s="807">
        <v>0.1</v>
      </c>
    </row>
    <row r="932" spans="2:4" outlineLevel="2" x14ac:dyDescent="0.15">
      <c r="B932" s="800" t="s">
        <v>1074</v>
      </c>
      <c r="C932" s="843">
        <v>3.4000000000000002E-2</v>
      </c>
      <c r="D932" s="807">
        <v>0.1</v>
      </c>
    </row>
    <row r="933" spans="2:4" outlineLevel="2" x14ac:dyDescent="0.15">
      <c r="B933" s="800" t="s">
        <v>1077</v>
      </c>
      <c r="C933" s="843">
        <v>4.3999999999999997E-2</v>
      </c>
      <c r="D933" s="807">
        <v>0.1</v>
      </c>
    </row>
    <row r="934" spans="2:4" outlineLevel="2" x14ac:dyDescent="0.15">
      <c r="B934" s="800" t="s">
        <v>1082</v>
      </c>
      <c r="C934" s="843">
        <v>2.5999999999999999E-2</v>
      </c>
      <c r="D934" s="807">
        <v>0.1</v>
      </c>
    </row>
    <row r="935" spans="2:4" outlineLevel="2" x14ac:dyDescent="0.15">
      <c r="B935" s="800" t="s">
        <v>1085</v>
      </c>
      <c r="C935" s="843">
        <v>2.8000000000000001E-2</v>
      </c>
      <c r="D935" s="807">
        <v>0.1</v>
      </c>
    </row>
    <row r="936" spans="2:4" outlineLevel="2" x14ac:dyDescent="0.15">
      <c r="B936" s="800" t="s">
        <v>1090</v>
      </c>
      <c r="C936" s="843">
        <v>3.4000000000000002E-2</v>
      </c>
      <c r="D936" s="807">
        <v>0.1</v>
      </c>
    </row>
    <row r="937" spans="2:4" outlineLevel="2" x14ac:dyDescent="0.15">
      <c r="B937" s="800" t="s">
        <v>1093</v>
      </c>
      <c r="C937" s="843">
        <v>0.04</v>
      </c>
      <c r="D937" s="807">
        <v>0.1</v>
      </c>
    </row>
    <row r="938" spans="2:4" outlineLevel="2" x14ac:dyDescent="0.15">
      <c r="B938" s="800" t="s">
        <v>1098</v>
      </c>
      <c r="C938" s="843">
        <v>4.1000000000000002E-2</v>
      </c>
      <c r="D938" s="807">
        <v>0.1</v>
      </c>
    </row>
    <row r="939" spans="2:4" outlineLevel="2" x14ac:dyDescent="0.15">
      <c r="B939" s="800" t="s">
        <v>1101</v>
      </c>
      <c r="C939" s="843">
        <v>5.5E-2</v>
      </c>
      <c r="D939" s="807">
        <v>0.1</v>
      </c>
    </row>
    <row r="940" spans="2:4" outlineLevel="2" x14ac:dyDescent="0.15">
      <c r="B940" s="800" t="s">
        <v>1108</v>
      </c>
      <c r="C940" s="843">
        <v>4.3999999999999997E-2</v>
      </c>
      <c r="D940" s="807">
        <v>0.1</v>
      </c>
    </row>
    <row r="941" spans="2:4" outlineLevel="2" x14ac:dyDescent="0.15">
      <c r="B941" s="800" t="s">
        <v>1109</v>
      </c>
      <c r="C941" s="843">
        <v>3.5000000000000003E-2</v>
      </c>
      <c r="D941" s="807">
        <v>0.1</v>
      </c>
    </row>
    <row r="942" spans="2:4" outlineLevel="2" x14ac:dyDescent="0.15">
      <c r="B942" s="1464"/>
      <c r="C942" s="843"/>
      <c r="D942" s="807"/>
    </row>
    <row r="943" spans="2:4" outlineLevel="2" x14ac:dyDescent="0.15">
      <c r="B943" s="800" t="s">
        <v>1066</v>
      </c>
      <c r="C943" s="843">
        <v>4.8000000000000001E-2</v>
      </c>
      <c r="D943" s="807">
        <v>0.1</v>
      </c>
    </row>
    <row r="944" spans="2:4" outlineLevel="2" x14ac:dyDescent="0.15">
      <c r="B944" s="800" t="s">
        <v>1070</v>
      </c>
      <c r="C944" s="843">
        <v>5.3999999999999999E-2</v>
      </c>
      <c r="D944" s="807">
        <v>0.1</v>
      </c>
    </row>
    <row r="945" spans="2:4" outlineLevel="2" x14ac:dyDescent="0.15">
      <c r="B945" s="800" t="s">
        <v>1073</v>
      </c>
      <c r="C945" s="843">
        <v>5.7000000000000002E-2</v>
      </c>
      <c r="D945" s="807">
        <v>0.1</v>
      </c>
    </row>
    <row r="946" spans="2:4" outlineLevel="2" x14ac:dyDescent="0.15">
      <c r="B946" s="800" t="s">
        <v>1078</v>
      </c>
      <c r="C946" s="843">
        <v>4.1000000000000002E-2</v>
      </c>
      <c r="D946" s="807">
        <v>0.1</v>
      </c>
    </row>
    <row r="947" spans="2:4" outlineLevel="2" x14ac:dyDescent="0.15">
      <c r="B947" s="800" t="s">
        <v>1081</v>
      </c>
      <c r="C947" s="843">
        <v>2.3E-2</v>
      </c>
      <c r="D947" s="807">
        <v>0.1</v>
      </c>
    </row>
    <row r="948" spans="2:4" outlineLevel="2" x14ac:dyDescent="0.15">
      <c r="B948" s="800" t="s">
        <v>1086</v>
      </c>
      <c r="C948" s="843">
        <v>1.9E-2</v>
      </c>
      <c r="D948" s="807">
        <v>0.1</v>
      </c>
    </row>
    <row r="949" spans="2:4" outlineLevel="2" x14ac:dyDescent="0.15">
      <c r="B949" s="800" t="s">
        <v>1089</v>
      </c>
      <c r="C949" s="843">
        <v>0.04</v>
      </c>
      <c r="D949" s="807">
        <v>0.1</v>
      </c>
    </row>
    <row r="950" spans="2:4" outlineLevel="2" x14ac:dyDescent="0.15">
      <c r="B950" s="800" t="s">
        <v>1094</v>
      </c>
      <c r="C950" s="843">
        <v>3.4000000000000002E-2</v>
      </c>
      <c r="D950" s="807">
        <v>0.1</v>
      </c>
    </row>
    <row r="951" spans="2:4" outlineLevel="2" x14ac:dyDescent="0.15">
      <c r="B951" s="800" t="s">
        <v>1097</v>
      </c>
      <c r="C951" s="843">
        <v>4.7E-2</v>
      </c>
      <c r="D951" s="807">
        <v>0.1</v>
      </c>
    </row>
    <row r="952" spans="2:4" outlineLevel="2" x14ac:dyDescent="0.15">
      <c r="B952" s="800" t="s">
        <v>1102</v>
      </c>
      <c r="C952" s="843">
        <v>0.05</v>
      </c>
      <c r="D952" s="807">
        <v>0.1</v>
      </c>
    </row>
    <row r="953" spans="2:4" outlineLevel="2" x14ac:dyDescent="0.15">
      <c r="B953" s="800" t="s">
        <v>1106</v>
      </c>
      <c r="C953" s="843">
        <v>4.5999999999999999E-2</v>
      </c>
      <c r="D953" s="807">
        <v>0.1</v>
      </c>
    </row>
    <row r="954" spans="2:4" outlineLevel="2" x14ac:dyDescent="0.15">
      <c r="B954" s="800" t="s">
        <v>1107</v>
      </c>
      <c r="C954" s="843">
        <v>3.4000000000000002E-2</v>
      </c>
      <c r="D954" s="807">
        <v>0.1</v>
      </c>
    </row>
    <row r="955" spans="2:4" outlineLevel="2" x14ac:dyDescent="0.15">
      <c r="B955" s="800"/>
      <c r="C955" s="843"/>
      <c r="D955" s="807"/>
    </row>
    <row r="956" spans="2:4" outlineLevel="2" x14ac:dyDescent="0.15">
      <c r="B956" s="800" t="s">
        <v>1067</v>
      </c>
      <c r="C956" s="843">
        <v>2.1999999999999999E-2</v>
      </c>
      <c r="D956" s="807">
        <v>0.1</v>
      </c>
    </row>
    <row r="957" spans="2:4" outlineLevel="2" x14ac:dyDescent="0.15">
      <c r="B957" s="800" t="s">
        <v>1071</v>
      </c>
      <c r="C957" s="843">
        <v>1.9E-2</v>
      </c>
      <c r="D957" s="807">
        <v>0.1</v>
      </c>
    </row>
    <row r="958" spans="2:4" outlineLevel="2" x14ac:dyDescent="0.15">
      <c r="B958" s="800" t="s">
        <v>1072</v>
      </c>
      <c r="C958" s="843">
        <v>2.9000000000000001E-2</v>
      </c>
      <c r="D958" s="807">
        <v>0.1</v>
      </c>
    </row>
    <row r="959" spans="2:4" outlineLevel="2" x14ac:dyDescent="0.15">
      <c r="B959" s="800" t="s">
        <v>1079</v>
      </c>
      <c r="C959" s="843">
        <v>2.3E-2</v>
      </c>
      <c r="D959" s="807">
        <v>0.1</v>
      </c>
    </row>
    <row r="960" spans="2:4" outlineLevel="2" x14ac:dyDescent="0.15">
      <c r="B960" s="800" t="s">
        <v>1080</v>
      </c>
      <c r="C960" s="843">
        <v>1.4999999999999999E-2</v>
      </c>
      <c r="D960" s="807">
        <v>0.1</v>
      </c>
    </row>
    <row r="961" spans="2:7" outlineLevel="2" x14ac:dyDescent="0.15">
      <c r="B961" s="800" t="s">
        <v>1087</v>
      </c>
      <c r="C961" s="843">
        <v>1.4999999999999999E-2</v>
      </c>
      <c r="D961" s="807">
        <v>0.1</v>
      </c>
    </row>
    <row r="962" spans="2:7" outlineLevel="2" x14ac:dyDescent="0.15">
      <c r="B962" s="800" t="s">
        <v>1088</v>
      </c>
      <c r="C962" s="843">
        <v>1.2E-2</v>
      </c>
      <c r="D962" s="807">
        <v>0.1</v>
      </c>
    </row>
    <row r="963" spans="2:7" outlineLevel="2" x14ac:dyDescent="0.15">
      <c r="B963" s="800" t="s">
        <v>1095</v>
      </c>
      <c r="C963" s="843">
        <v>0.01</v>
      </c>
      <c r="D963" s="807">
        <v>0.1</v>
      </c>
    </row>
    <row r="964" spans="2:7" outlineLevel="2" x14ac:dyDescent="0.15">
      <c r="B964" s="800" t="s">
        <v>1096</v>
      </c>
      <c r="C964" s="843">
        <v>2.3E-2</v>
      </c>
      <c r="D964" s="807">
        <v>0.1</v>
      </c>
    </row>
    <row r="965" spans="2:7" outlineLevel="2" x14ac:dyDescent="0.15">
      <c r="B965" s="800" t="s">
        <v>1103</v>
      </c>
      <c r="C965" s="843">
        <v>0.03</v>
      </c>
      <c r="D965" s="807">
        <v>0.1</v>
      </c>
    </row>
    <row r="966" spans="2:7" outlineLevel="2" x14ac:dyDescent="0.15">
      <c r="B966" s="800" t="s">
        <v>1104</v>
      </c>
      <c r="C966" s="843">
        <v>2.5000000000000001E-2</v>
      </c>
      <c r="D966" s="807">
        <v>0.1</v>
      </c>
    </row>
    <row r="967" spans="2:7" outlineLevel="2" x14ac:dyDescent="0.15">
      <c r="B967" s="800" t="s">
        <v>1105</v>
      </c>
      <c r="C967" s="843">
        <v>2.5999999999999999E-2</v>
      </c>
      <c r="D967" s="807">
        <v>0.1</v>
      </c>
    </row>
    <row r="968" spans="2:7" outlineLevel="2" x14ac:dyDescent="0.15">
      <c r="B968" s="801"/>
      <c r="C968" s="823"/>
      <c r="D968" s="802"/>
    </row>
    <row r="969" spans="2:7" outlineLevel="2" x14ac:dyDescent="0.15"/>
    <row r="970" spans="2:7" outlineLevel="2" x14ac:dyDescent="0.15">
      <c r="B970" s="1489" t="s">
        <v>1112</v>
      </c>
      <c r="C970" s="1879" t="s">
        <v>847</v>
      </c>
      <c r="D970" s="1880"/>
      <c r="E970" s="1879" t="s">
        <v>850</v>
      </c>
      <c r="F970" s="1880"/>
      <c r="G970" s="887"/>
    </row>
    <row r="971" spans="2:7" outlineLevel="2" x14ac:dyDescent="0.15">
      <c r="B971" s="880" t="s">
        <v>17</v>
      </c>
      <c r="C971" s="1556" t="s">
        <v>768</v>
      </c>
      <c r="D971" s="896" t="s">
        <v>124</v>
      </c>
      <c r="E971" s="1556" t="s">
        <v>768</v>
      </c>
      <c r="F971" s="1471" t="s">
        <v>124</v>
      </c>
      <c r="G971" s="1558" t="s">
        <v>723</v>
      </c>
    </row>
    <row r="972" spans="2:7" outlineLevel="2" x14ac:dyDescent="0.15">
      <c r="B972" s="799" t="s">
        <v>1117</v>
      </c>
      <c r="C972" s="882"/>
      <c r="D972" s="882"/>
      <c r="E972" s="865"/>
      <c r="F972" s="942"/>
      <c r="G972" s="959"/>
    </row>
    <row r="973" spans="2:7" outlineLevel="2" x14ac:dyDescent="0.15">
      <c r="B973" s="1658" t="s">
        <v>3263</v>
      </c>
      <c r="C973" s="1661">
        <v>4.4999999999999998E-2</v>
      </c>
      <c r="D973" s="843">
        <v>0</v>
      </c>
      <c r="E973" s="865">
        <f>C973*41600000000/3600000</f>
        <v>520</v>
      </c>
      <c r="F973" s="894">
        <v>0</v>
      </c>
      <c r="G973" s="895">
        <v>0.5</v>
      </c>
    </row>
    <row r="974" spans="2:7" outlineLevel="2" x14ac:dyDescent="0.15">
      <c r="B974" s="800" t="s">
        <v>1116</v>
      </c>
      <c r="C974" s="843">
        <v>4.0000000000000001E-3</v>
      </c>
      <c r="D974" s="843">
        <v>0</v>
      </c>
      <c r="E974" s="865">
        <f>C974*41600000000/3600000</f>
        <v>46.222222222222221</v>
      </c>
      <c r="F974" s="894">
        <v>0</v>
      </c>
      <c r="G974" s="895">
        <v>0.5</v>
      </c>
    </row>
    <row r="975" spans="2:7" outlineLevel="2" x14ac:dyDescent="0.15">
      <c r="B975" s="1658" t="s">
        <v>3262</v>
      </c>
      <c r="C975" s="1661">
        <v>5.4999999999999993E-2</v>
      </c>
      <c r="D975" s="843">
        <v>0</v>
      </c>
      <c r="E975" s="865">
        <f>C975*41600000000/3600000</f>
        <v>635.55555555555543</v>
      </c>
      <c r="F975" s="894">
        <f>D975*42000000000/3600000</f>
        <v>0</v>
      </c>
      <c r="G975" s="895">
        <v>0.3</v>
      </c>
    </row>
    <row r="976" spans="2:7" outlineLevel="2" x14ac:dyDescent="0.15">
      <c r="B976" s="800" t="s">
        <v>1114</v>
      </c>
      <c r="C976" s="843">
        <v>3.6999999999999998E-2</v>
      </c>
      <c r="D976" s="843">
        <v>0</v>
      </c>
      <c r="E976" s="865">
        <f>C976*41600000000/3600000</f>
        <v>427.55555555555554</v>
      </c>
      <c r="F976" s="894">
        <v>0</v>
      </c>
      <c r="G976" s="895">
        <v>0.3</v>
      </c>
    </row>
    <row r="977" spans="2:7" outlineLevel="2" x14ac:dyDescent="0.15">
      <c r="B977" s="800" t="s">
        <v>1113</v>
      </c>
      <c r="C977" s="843"/>
      <c r="D977" s="843"/>
      <c r="E977" s="865"/>
      <c r="F977" s="894"/>
      <c r="G977" s="895"/>
    </row>
    <row r="978" spans="2:7" outlineLevel="2" x14ac:dyDescent="0.15">
      <c r="B978" s="1658" t="s">
        <v>3258</v>
      </c>
      <c r="C978" s="1661">
        <v>1.09E-2</v>
      </c>
      <c r="D978" s="843"/>
      <c r="E978" s="865"/>
      <c r="F978" s="894"/>
      <c r="G978" s="895"/>
    </row>
    <row r="979" spans="2:7" outlineLevel="2" x14ac:dyDescent="0.15">
      <c r="B979" s="1658" t="s">
        <v>3260</v>
      </c>
      <c r="C979" s="1661">
        <v>5.96E-3</v>
      </c>
      <c r="D979" s="843"/>
      <c r="E979" s="865"/>
      <c r="F979" s="894"/>
      <c r="G979" s="895"/>
    </row>
    <row r="980" spans="2:7" outlineLevel="2" x14ac:dyDescent="0.15">
      <c r="B980" s="1658" t="s">
        <v>3261</v>
      </c>
      <c r="C980" s="1661">
        <v>2.4400000000000002E-2</v>
      </c>
      <c r="D980" s="843"/>
      <c r="E980" s="865"/>
      <c r="F980" s="894"/>
      <c r="G980" s="895"/>
    </row>
    <row r="981" spans="2:7" outlineLevel="2" x14ac:dyDescent="0.15">
      <c r="B981" s="800" t="s">
        <v>1115</v>
      </c>
      <c r="C981" s="843">
        <v>7.3000000000000001E-3</v>
      </c>
      <c r="D981" s="843">
        <v>0</v>
      </c>
      <c r="E981" s="865">
        <f>C981*41600000000/3600000</f>
        <v>84.355555555555554</v>
      </c>
      <c r="F981" s="894">
        <f>D981*42000000000/3600000</f>
        <v>0</v>
      </c>
      <c r="G981" s="895">
        <v>0.5</v>
      </c>
    </row>
    <row r="982" spans="2:7" outlineLevel="2" x14ac:dyDescent="0.15">
      <c r="B982" s="801"/>
      <c r="C982" s="859"/>
      <c r="D982" s="859"/>
      <c r="E982" s="866"/>
      <c r="F982" s="952"/>
      <c r="G982" s="1062"/>
    </row>
    <row r="983" spans="2:7" outlineLevel="2" x14ac:dyDescent="0.15"/>
    <row r="984" spans="2:7" outlineLevel="2" x14ac:dyDescent="0.15">
      <c r="B984" s="840" t="s">
        <v>1118</v>
      </c>
      <c r="C984" s="1879" t="s">
        <v>847</v>
      </c>
      <c r="D984" s="1880"/>
      <c r="E984" s="1879" t="s">
        <v>850</v>
      </c>
      <c r="F984" s="1880"/>
      <c r="G984" s="887"/>
    </row>
    <row r="985" spans="2:7" outlineLevel="2" x14ac:dyDescent="0.15">
      <c r="B985" s="1470" t="s">
        <v>17</v>
      </c>
      <c r="C985" s="1556" t="s">
        <v>768</v>
      </c>
      <c r="D985" s="1471" t="s">
        <v>124</v>
      </c>
      <c r="E985" s="1556" t="s">
        <v>768</v>
      </c>
      <c r="F985" s="1471" t="s">
        <v>124</v>
      </c>
      <c r="G985" s="1558" t="s">
        <v>723</v>
      </c>
    </row>
    <row r="986" spans="2:7" outlineLevel="2" x14ac:dyDescent="0.15">
      <c r="B986" s="800" t="s">
        <v>1119</v>
      </c>
      <c r="C986" s="1485" t="s">
        <v>658</v>
      </c>
      <c r="D986" s="874">
        <v>1.038</v>
      </c>
      <c r="E986" s="1485" t="s">
        <v>658</v>
      </c>
      <c r="F986" s="894">
        <f>D986*41600000000/3600000</f>
        <v>11994.666666666666</v>
      </c>
      <c r="G986" s="895">
        <v>0.1</v>
      </c>
    </row>
    <row r="987" spans="2:7" outlineLevel="2" x14ac:dyDescent="0.15">
      <c r="B987" s="800" t="s">
        <v>1121</v>
      </c>
      <c r="C987" s="1485" t="s">
        <v>658</v>
      </c>
      <c r="D987" s="874">
        <v>0.40600000000000003</v>
      </c>
      <c r="E987" s="1485" t="s">
        <v>658</v>
      </c>
      <c r="F987" s="894">
        <f>D987*41600000000/3600000</f>
        <v>4691.5555555555557</v>
      </c>
      <c r="G987" s="895">
        <v>0.1</v>
      </c>
    </row>
    <row r="988" spans="2:7" outlineLevel="2" x14ac:dyDescent="0.15">
      <c r="B988" s="1658" t="s">
        <v>3259</v>
      </c>
      <c r="C988" s="1485">
        <v>0</v>
      </c>
      <c r="D988" s="1704">
        <v>6.0000000000000001E-3</v>
      </c>
      <c r="E988" s="1485" t="s">
        <v>658</v>
      </c>
      <c r="F988" s="894">
        <f>D988*41600000000/3600000</f>
        <v>69.333333333333329</v>
      </c>
      <c r="G988" s="895">
        <v>0.1</v>
      </c>
    </row>
    <row r="989" spans="2:7" outlineLevel="2" x14ac:dyDescent="0.15">
      <c r="B989" s="800" t="s">
        <v>1120</v>
      </c>
      <c r="C989" s="1485" t="s">
        <v>658</v>
      </c>
      <c r="D989" s="874">
        <v>0.70399999999999996</v>
      </c>
      <c r="E989" s="1485" t="s">
        <v>658</v>
      </c>
      <c r="F989" s="894">
        <f>D989*41600000000/3600000</f>
        <v>8135.1111111111113</v>
      </c>
      <c r="G989" s="895">
        <v>0.1</v>
      </c>
    </row>
    <row r="990" spans="2:7" outlineLevel="2" x14ac:dyDescent="0.15">
      <c r="B990" s="801"/>
      <c r="C990" s="859"/>
      <c r="D990" s="967"/>
      <c r="E990" s="866"/>
      <c r="F990" s="952"/>
      <c r="G990" s="1062"/>
    </row>
    <row r="991" spans="2:7" outlineLevel="2" x14ac:dyDescent="0.15"/>
    <row r="992" spans="2:7" outlineLevel="2" x14ac:dyDescent="0.15">
      <c r="B992" s="1125" t="s">
        <v>1122</v>
      </c>
      <c r="C992" s="1092"/>
      <c r="D992" s="1558" t="s">
        <v>723</v>
      </c>
    </row>
    <row r="993" spans="1:256" outlineLevel="2" x14ac:dyDescent="0.15">
      <c r="B993" s="800" t="s">
        <v>1123</v>
      </c>
      <c r="C993" s="1093">
        <f>IF(ISNA(VLOOKUP("France - "&amp;Description!D4&amp;" [1]",$B$688:$F$705,5,FALSE)),$F$705,VLOOKUP("France - "&amp;Description!D4&amp;" [1]",$B$688:$F$705,5,FALSE))</f>
        <v>9.3333333333333338E-2</v>
      </c>
      <c r="D993" s="807">
        <v>0.3</v>
      </c>
    </row>
    <row r="994" spans="1:256" outlineLevel="2" x14ac:dyDescent="0.15">
      <c r="B994" s="800" t="s">
        <v>1127</v>
      </c>
      <c r="C994" s="1093">
        <v>0.1</v>
      </c>
      <c r="D994" s="807">
        <v>0.3</v>
      </c>
    </row>
    <row r="995" spans="1:256" outlineLevel="2" x14ac:dyDescent="0.15">
      <c r="B995" s="800" t="s">
        <v>1125</v>
      </c>
      <c r="C995" s="1093">
        <v>0.125</v>
      </c>
      <c r="D995" s="807">
        <v>0.3</v>
      </c>
    </row>
    <row r="996" spans="1:256" outlineLevel="2" x14ac:dyDescent="0.15">
      <c r="B996" s="800" t="s">
        <v>1124</v>
      </c>
      <c r="C996" s="1093">
        <v>0.03</v>
      </c>
      <c r="D996" s="807">
        <v>0.3</v>
      </c>
    </row>
    <row r="997" spans="1:256" outlineLevel="2" x14ac:dyDescent="0.15">
      <c r="B997" s="800" t="s">
        <v>1128</v>
      </c>
      <c r="C997" s="1093">
        <v>0.03</v>
      </c>
      <c r="D997" s="807">
        <v>0.3</v>
      </c>
    </row>
    <row r="998" spans="1:256" outlineLevel="2" x14ac:dyDescent="0.15">
      <c r="B998" s="800" t="s">
        <v>1126</v>
      </c>
      <c r="C998" s="1093">
        <v>0.03</v>
      </c>
      <c r="D998" s="807">
        <v>0.3</v>
      </c>
    </row>
    <row r="999" spans="1:256" outlineLevel="2" x14ac:dyDescent="0.15">
      <c r="B999" s="801"/>
      <c r="C999" s="1094"/>
      <c r="D999" s="803"/>
    </row>
    <row r="1000" spans="1:256" outlineLevel="2" x14ac:dyDescent="0.15"/>
    <row r="1001" spans="1:256" ht="15" customHeight="1" x14ac:dyDescent="0.15"/>
    <row r="1002" spans="1:256" s="26" customFormat="1" ht="20" customHeight="1" x14ac:dyDescent="0.15">
      <c r="A1002" s="13"/>
      <c r="B1002" s="1871" t="s">
        <v>10</v>
      </c>
      <c r="C1002" s="1872"/>
      <c r="D1002" s="1872"/>
      <c r="E1002" s="1872"/>
      <c r="F1002" s="1872"/>
      <c r="G1002" s="1872"/>
      <c r="H1002" s="1872"/>
      <c r="I1002" s="1872"/>
      <c r="J1002" s="1873"/>
      <c r="K1002" s="28"/>
      <c r="L1002" s="28"/>
      <c r="M1002" s="28"/>
      <c r="N1002" s="28"/>
      <c r="O1002" s="28"/>
      <c r="P1002" s="28"/>
      <c r="Q1002" s="28"/>
      <c r="R1002" s="28"/>
      <c r="S1002" s="28"/>
      <c r="T1002" s="28"/>
      <c r="U1002" s="28"/>
      <c r="V1002" s="28"/>
      <c r="W1002" s="29"/>
      <c r="X1002" s="29"/>
      <c r="Y1002" s="29"/>
      <c r="Z1002" s="29"/>
      <c r="AA1002" s="29"/>
      <c r="AB1002" s="29"/>
      <c r="AC1002" s="29"/>
      <c r="AD1002" s="29"/>
      <c r="AE1002" s="29"/>
      <c r="AF1002" s="29"/>
      <c r="AG1002" s="29"/>
      <c r="AH1002" s="29"/>
      <c r="AI1002" s="29"/>
      <c r="AJ1002" s="29"/>
      <c r="AK1002" s="29"/>
      <c r="AL1002" s="29"/>
      <c r="AM1002" s="29"/>
      <c r="AN1002" s="29"/>
      <c r="AO1002" s="29"/>
      <c r="AP1002" s="29"/>
      <c r="AQ1002" s="29"/>
      <c r="AR1002" s="29"/>
      <c r="AS1002" s="29"/>
      <c r="AT1002" s="29"/>
      <c r="AU1002" s="29"/>
      <c r="AV1002" s="29"/>
      <c r="AW1002" s="29"/>
      <c r="AX1002" s="29"/>
      <c r="AY1002" s="29"/>
      <c r="AZ1002" s="29"/>
      <c r="BA1002" s="29"/>
      <c r="BB1002" s="29"/>
      <c r="BC1002" s="29"/>
      <c r="BD1002" s="29"/>
      <c r="BE1002" s="29"/>
      <c r="BF1002" s="29"/>
      <c r="BG1002" s="29"/>
      <c r="BH1002" s="29"/>
      <c r="BI1002" s="29"/>
      <c r="BJ1002" s="29"/>
      <c r="BK1002" s="29"/>
      <c r="BL1002" s="29"/>
      <c r="BM1002" s="29"/>
      <c r="BN1002" s="29"/>
      <c r="BO1002" s="29"/>
      <c r="BP1002" s="29"/>
      <c r="BQ1002" s="29"/>
      <c r="BR1002" s="29"/>
      <c r="BS1002" s="29"/>
      <c r="BT1002" s="29"/>
      <c r="BU1002" s="29"/>
      <c r="BV1002" s="29"/>
      <c r="BW1002" s="29"/>
      <c r="BX1002" s="29"/>
      <c r="BY1002" s="29"/>
      <c r="BZ1002" s="29"/>
      <c r="CA1002" s="29"/>
      <c r="CB1002" s="29"/>
      <c r="CC1002" s="29"/>
      <c r="CD1002" s="29"/>
      <c r="CE1002" s="29"/>
      <c r="CF1002" s="29"/>
      <c r="CG1002" s="29"/>
      <c r="CH1002" s="29"/>
      <c r="CI1002" s="29"/>
      <c r="CJ1002" s="29"/>
      <c r="CK1002" s="29"/>
      <c r="CL1002" s="29"/>
      <c r="CM1002" s="29"/>
      <c r="CN1002" s="29"/>
      <c r="CO1002" s="29"/>
      <c r="CP1002" s="29"/>
      <c r="CQ1002" s="29"/>
      <c r="CR1002" s="29"/>
      <c r="CS1002" s="29"/>
      <c r="CT1002" s="29"/>
      <c r="CU1002" s="29"/>
      <c r="CV1002" s="29"/>
      <c r="CW1002" s="29"/>
      <c r="CX1002" s="29"/>
      <c r="CY1002" s="29"/>
      <c r="CZ1002" s="29"/>
      <c r="DA1002" s="29"/>
      <c r="DB1002" s="29"/>
      <c r="DC1002" s="29"/>
      <c r="DD1002" s="29"/>
      <c r="DE1002" s="29"/>
      <c r="DF1002" s="29"/>
      <c r="DG1002" s="29"/>
      <c r="DH1002" s="29"/>
      <c r="DI1002" s="29"/>
      <c r="DJ1002" s="29"/>
      <c r="DK1002" s="29"/>
      <c r="DL1002" s="29"/>
      <c r="DM1002" s="29"/>
      <c r="DN1002" s="29"/>
      <c r="DO1002" s="29"/>
      <c r="DP1002" s="29"/>
      <c r="DQ1002" s="29"/>
      <c r="DR1002" s="29"/>
      <c r="DS1002" s="29"/>
      <c r="DT1002" s="29"/>
      <c r="DU1002" s="29"/>
      <c r="DV1002" s="29"/>
      <c r="DW1002" s="29"/>
      <c r="DX1002" s="29"/>
      <c r="DY1002" s="29"/>
      <c r="DZ1002" s="29"/>
      <c r="EA1002" s="29"/>
      <c r="EB1002" s="29"/>
      <c r="EC1002" s="29"/>
      <c r="ED1002" s="29"/>
      <c r="EE1002" s="29"/>
      <c r="EF1002" s="29"/>
      <c r="EG1002" s="29"/>
      <c r="EH1002" s="29"/>
      <c r="EI1002" s="29"/>
      <c r="EJ1002" s="29"/>
      <c r="EK1002" s="29"/>
      <c r="EL1002" s="29"/>
      <c r="EM1002" s="29"/>
      <c r="EN1002" s="29"/>
      <c r="EO1002" s="29"/>
      <c r="EP1002" s="29"/>
      <c r="EQ1002" s="29"/>
      <c r="ER1002" s="29"/>
      <c r="ES1002" s="29"/>
      <c r="ET1002" s="29"/>
      <c r="EU1002" s="29"/>
      <c r="EV1002" s="29"/>
      <c r="EW1002" s="29"/>
      <c r="EX1002" s="29"/>
      <c r="EY1002" s="29"/>
      <c r="EZ1002" s="29"/>
      <c r="FA1002" s="29"/>
      <c r="FB1002" s="29"/>
      <c r="FC1002" s="29"/>
      <c r="FD1002" s="29"/>
      <c r="FE1002" s="29"/>
      <c r="FF1002" s="29"/>
      <c r="FG1002" s="29"/>
      <c r="FH1002" s="29"/>
      <c r="FI1002" s="29"/>
      <c r="FJ1002" s="29"/>
      <c r="FK1002" s="29"/>
      <c r="FL1002" s="29"/>
      <c r="FM1002" s="29"/>
      <c r="FN1002" s="29"/>
      <c r="FO1002" s="29"/>
      <c r="FP1002" s="29"/>
      <c r="FQ1002" s="29"/>
      <c r="FR1002" s="29"/>
      <c r="FS1002" s="29"/>
      <c r="FT1002" s="29"/>
      <c r="FU1002" s="29"/>
      <c r="FV1002" s="29"/>
      <c r="FW1002" s="29"/>
      <c r="FX1002" s="29"/>
      <c r="FY1002" s="29"/>
      <c r="FZ1002" s="29"/>
      <c r="GA1002" s="29"/>
      <c r="GB1002" s="29"/>
      <c r="GC1002" s="13"/>
      <c r="GD1002" s="13"/>
      <c r="GE1002" s="13"/>
      <c r="GF1002" s="13"/>
      <c r="GG1002" s="13"/>
      <c r="GH1002" s="13"/>
      <c r="GI1002" s="13"/>
      <c r="GJ1002" s="13"/>
      <c r="GK1002" s="13"/>
      <c r="GL1002" s="13"/>
      <c r="GM1002" s="13"/>
      <c r="GN1002" s="13"/>
      <c r="GO1002" s="13"/>
      <c r="GP1002" s="13"/>
      <c r="GQ1002" s="13"/>
      <c r="GR1002" s="13"/>
      <c r="GS1002" s="13"/>
      <c r="GT1002" s="13"/>
      <c r="GU1002" s="13"/>
      <c r="GV1002" s="13"/>
      <c r="GW1002" s="13"/>
      <c r="GX1002" s="13"/>
      <c r="GY1002" s="13"/>
      <c r="GZ1002" s="13"/>
      <c r="HA1002" s="13"/>
      <c r="HB1002" s="13"/>
      <c r="HC1002" s="13"/>
      <c r="HD1002" s="13"/>
      <c r="HE1002" s="13"/>
      <c r="HF1002" s="13"/>
      <c r="HG1002" s="13"/>
      <c r="HH1002" s="13"/>
      <c r="HI1002" s="13"/>
      <c r="HJ1002" s="13"/>
      <c r="HK1002" s="13"/>
      <c r="HL1002" s="13"/>
      <c r="HM1002" s="13"/>
      <c r="HN1002" s="13"/>
      <c r="HO1002" s="13"/>
      <c r="HP1002" s="13"/>
      <c r="HQ1002" s="13"/>
      <c r="HR1002" s="13"/>
      <c r="HS1002" s="13"/>
      <c r="HT1002" s="13"/>
      <c r="HU1002" s="13"/>
      <c r="HV1002" s="13"/>
      <c r="HW1002" s="13"/>
      <c r="HX1002" s="13"/>
      <c r="HY1002" s="13"/>
      <c r="HZ1002" s="13"/>
      <c r="IA1002" s="13"/>
      <c r="IB1002" s="13"/>
      <c r="IC1002" s="13"/>
      <c r="ID1002" s="13"/>
      <c r="IE1002" s="13"/>
      <c r="IF1002" s="13"/>
      <c r="IG1002" s="13"/>
      <c r="IH1002" s="13"/>
      <c r="II1002" s="13"/>
      <c r="IJ1002" s="13"/>
      <c r="IK1002" s="13"/>
      <c r="IL1002" s="13"/>
      <c r="IM1002" s="13"/>
      <c r="IN1002" s="13"/>
      <c r="IO1002" s="13"/>
      <c r="IP1002" s="13"/>
      <c r="IQ1002" s="13"/>
      <c r="IR1002" s="13"/>
      <c r="IS1002" s="13"/>
      <c r="IT1002" s="13"/>
      <c r="IU1002" s="13"/>
      <c r="IV1002" s="13"/>
    </row>
    <row r="1003" spans="1:256" outlineLevel="1" x14ac:dyDescent="0.15"/>
    <row r="1004" spans="1:256" outlineLevel="1" x14ac:dyDescent="0.15">
      <c r="B1004" s="928" t="s">
        <v>1129</v>
      </c>
      <c r="C1004" s="1095">
        <f>1.33%*44/28</f>
        <v>2.0900000000000002E-2</v>
      </c>
    </row>
    <row r="1005" spans="1:256" outlineLevel="1" x14ac:dyDescent="0.15"/>
    <row r="1006" spans="1:256" ht="14" outlineLevel="1" x14ac:dyDescent="0.2">
      <c r="B1006" s="832" t="s">
        <v>1132</v>
      </c>
      <c r="C1006" s="1489"/>
      <c r="D1006" s="1876" t="s">
        <v>1133</v>
      </c>
      <c r="E1006" s="1877"/>
      <c r="F1006" s="1877"/>
      <c r="G1006" s="1877"/>
      <c r="H1006" s="1878"/>
      <c r="I1006" s="1320"/>
      <c r="S1006" s="13"/>
      <c r="T1006" s="13"/>
      <c r="U1006" s="13"/>
      <c r="V1006" s="13"/>
    </row>
    <row r="1007" spans="1:256" outlineLevel="1" x14ac:dyDescent="0.15">
      <c r="B1007" s="834"/>
      <c r="C1007" s="834"/>
      <c r="D1007" s="1863" t="s">
        <v>1131</v>
      </c>
      <c r="E1007" s="1865" t="s">
        <v>1134</v>
      </c>
      <c r="F1007" s="1866"/>
      <c r="G1007" s="1866"/>
      <c r="H1007" s="1867"/>
      <c r="I1007" s="834"/>
      <c r="S1007" s="13"/>
      <c r="T1007" s="13"/>
      <c r="U1007" s="13"/>
      <c r="V1007" s="13"/>
    </row>
    <row r="1008" spans="1:256" ht="14" outlineLevel="1" x14ac:dyDescent="0.15">
      <c r="B1008" s="1072"/>
      <c r="C1008" s="1488" t="s">
        <v>1130</v>
      </c>
      <c r="D1008" s="1864"/>
      <c r="E1008" s="1318" t="s">
        <v>14</v>
      </c>
      <c r="F1008" s="1042" t="s">
        <v>695</v>
      </c>
      <c r="G1008" s="1042" t="s">
        <v>27</v>
      </c>
      <c r="H1008" s="1319" t="s">
        <v>694</v>
      </c>
      <c r="I1008" s="1555" t="s">
        <v>723</v>
      </c>
      <c r="S1008" s="13"/>
      <c r="T1008" s="13"/>
      <c r="U1008" s="13"/>
      <c r="V1008" s="13"/>
    </row>
    <row r="1009" spans="2:22" outlineLevel="1" x14ac:dyDescent="0.15">
      <c r="B1009" s="800" t="s">
        <v>1137</v>
      </c>
      <c r="C1009" s="800" t="s">
        <v>685</v>
      </c>
      <c r="D1009" s="1321">
        <v>5870</v>
      </c>
      <c r="E1009" s="864">
        <v>2570</v>
      </c>
      <c r="F1009" s="941">
        <v>210</v>
      </c>
      <c r="G1009" s="942">
        <v>3090</v>
      </c>
      <c r="H1009" s="1512">
        <v>0</v>
      </c>
      <c r="I1009" s="828">
        <v>0.3</v>
      </c>
      <c r="S1009" s="13"/>
      <c r="T1009" s="13"/>
      <c r="U1009" s="13"/>
      <c r="V1009" s="13"/>
    </row>
    <row r="1010" spans="2:22" outlineLevel="1" x14ac:dyDescent="0.15">
      <c r="B1010" s="800" t="s">
        <v>1135</v>
      </c>
      <c r="C1010" s="800" t="s">
        <v>685</v>
      </c>
      <c r="D1010" s="924">
        <v>2982.65</v>
      </c>
      <c r="E1010" s="865">
        <v>2770</v>
      </c>
      <c r="F1010" s="849">
        <v>210</v>
      </c>
      <c r="G1010" s="872">
        <v>2.65</v>
      </c>
      <c r="H1010" s="806">
        <v>0</v>
      </c>
      <c r="I1010" s="829">
        <v>0.3</v>
      </c>
      <c r="S1010" s="13"/>
      <c r="T1010" s="13"/>
      <c r="U1010" s="13"/>
      <c r="V1010" s="13"/>
    </row>
    <row r="1011" spans="2:22" outlineLevel="1" x14ac:dyDescent="0.15">
      <c r="B1011" s="800" t="s">
        <v>1139</v>
      </c>
      <c r="C1011" s="800" t="s">
        <v>687</v>
      </c>
      <c r="D1011" s="924">
        <v>4800</v>
      </c>
      <c r="E1011" s="865">
        <v>3000</v>
      </c>
      <c r="F1011" s="849">
        <v>210</v>
      </c>
      <c r="G1011" s="894">
        <v>1590</v>
      </c>
      <c r="H1011" s="806">
        <v>0</v>
      </c>
      <c r="I1011" s="829">
        <v>0.3</v>
      </c>
      <c r="S1011" s="13"/>
      <c r="T1011" s="13"/>
      <c r="U1011" s="13"/>
      <c r="V1011" s="13"/>
    </row>
    <row r="1012" spans="2:22" outlineLevel="1" x14ac:dyDescent="0.15">
      <c r="B1012" s="800" t="s">
        <v>1143</v>
      </c>
      <c r="C1012" s="800" t="s">
        <v>688</v>
      </c>
      <c r="D1012" s="924">
        <v>580.65</v>
      </c>
      <c r="E1012" s="865">
        <v>548</v>
      </c>
      <c r="F1012" s="849">
        <v>30</v>
      </c>
      <c r="G1012" s="872">
        <v>2.65</v>
      </c>
      <c r="H1012" s="806">
        <v>0</v>
      </c>
      <c r="I1012" s="829">
        <v>0.3</v>
      </c>
      <c r="S1012" s="13"/>
      <c r="T1012" s="13"/>
      <c r="U1012" s="13"/>
      <c r="V1012" s="13"/>
    </row>
    <row r="1013" spans="2:22" outlineLevel="1" x14ac:dyDescent="0.15">
      <c r="B1013" s="800" t="s">
        <v>1144</v>
      </c>
      <c r="C1013" s="800" t="s">
        <v>688</v>
      </c>
      <c r="D1013" s="924">
        <v>451</v>
      </c>
      <c r="E1013" s="865">
        <v>421</v>
      </c>
      <c r="F1013" s="849">
        <v>30</v>
      </c>
      <c r="G1013" s="894">
        <v>0</v>
      </c>
      <c r="H1013" s="806">
        <v>0</v>
      </c>
      <c r="I1013" s="829">
        <v>0.3</v>
      </c>
      <c r="S1013" s="13"/>
      <c r="T1013" s="13"/>
      <c r="U1013" s="13"/>
      <c r="V1013" s="13"/>
    </row>
    <row r="1014" spans="2:22" outlineLevel="1" x14ac:dyDescent="0.15">
      <c r="B1014" s="800" t="s">
        <v>1150</v>
      </c>
      <c r="C1014" s="800" t="s">
        <v>686</v>
      </c>
      <c r="D1014" s="924">
        <v>1170</v>
      </c>
      <c r="E1014" s="865"/>
      <c r="F1014" s="843"/>
      <c r="G1014" s="872"/>
      <c r="H1014" s="806"/>
      <c r="I1014" s="829">
        <v>0.3</v>
      </c>
      <c r="S1014" s="13"/>
      <c r="T1014" s="13"/>
      <c r="U1014" s="13"/>
      <c r="V1014" s="13"/>
    </row>
    <row r="1015" spans="2:22" outlineLevel="1" x14ac:dyDescent="0.15">
      <c r="B1015" s="800" t="s">
        <v>1138</v>
      </c>
      <c r="C1015" s="800" t="s">
        <v>685</v>
      </c>
      <c r="D1015" s="924">
        <v>6100</v>
      </c>
      <c r="E1015" s="865">
        <v>2800</v>
      </c>
      <c r="F1015" s="849">
        <v>210</v>
      </c>
      <c r="G1015" s="894">
        <v>3090</v>
      </c>
      <c r="H1015" s="806">
        <v>0</v>
      </c>
      <c r="I1015" s="829">
        <v>0.3</v>
      </c>
      <c r="S1015" s="13"/>
      <c r="T1015" s="13"/>
      <c r="U1015" s="13"/>
      <c r="V1015" s="13"/>
    </row>
    <row r="1016" spans="2:22" outlineLevel="1" x14ac:dyDescent="0.15">
      <c r="B1016" s="800" t="s">
        <v>1151</v>
      </c>
      <c r="C1016" s="800" t="s">
        <v>686</v>
      </c>
      <c r="D1016" s="924">
        <v>5020</v>
      </c>
      <c r="E1016" s="865">
        <v>3200</v>
      </c>
      <c r="F1016" s="849">
        <v>240</v>
      </c>
      <c r="G1016" s="894">
        <v>1580</v>
      </c>
      <c r="H1016" s="806">
        <v>0</v>
      </c>
      <c r="I1016" s="829">
        <v>0.3</v>
      </c>
      <c r="S1016" s="13"/>
      <c r="T1016" s="13"/>
      <c r="U1016" s="13"/>
      <c r="V1016" s="13"/>
    </row>
    <row r="1017" spans="2:22" outlineLevel="1" x14ac:dyDescent="0.15">
      <c r="B1017" s="800" t="s">
        <v>1140</v>
      </c>
      <c r="C1017" s="800" t="s">
        <v>685</v>
      </c>
      <c r="D1017" s="924">
        <v>451</v>
      </c>
      <c r="E1017" s="865">
        <v>421</v>
      </c>
      <c r="F1017" s="849">
        <v>30</v>
      </c>
      <c r="G1017" s="894">
        <v>0</v>
      </c>
      <c r="H1017" s="806">
        <v>0</v>
      </c>
      <c r="I1017" s="829">
        <v>0.3</v>
      </c>
      <c r="S1017" s="13"/>
      <c r="T1017" s="13"/>
      <c r="U1017" s="13"/>
      <c r="V1017" s="13"/>
    </row>
    <row r="1018" spans="2:22" outlineLevel="1" x14ac:dyDescent="0.15">
      <c r="B1018" s="800" t="s">
        <v>1140</v>
      </c>
      <c r="C1018" s="800" t="s">
        <v>687</v>
      </c>
      <c r="D1018" s="924">
        <v>2982.65</v>
      </c>
      <c r="E1018" s="865">
        <v>2770</v>
      </c>
      <c r="F1018" s="849">
        <v>210</v>
      </c>
      <c r="G1018" s="872">
        <v>2.65</v>
      </c>
      <c r="H1018" s="806">
        <v>0</v>
      </c>
      <c r="I1018" s="829">
        <v>0.3</v>
      </c>
      <c r="S1018" s="13"/>
      <c r="T1018" s="13"/>
      <c r="U1018" s="13"/>
      <c r="V1018" s="13"/>
    </row>
    <row r="1019" spans="2:22" outlineLevel="1" x14ac:dyDescent="0.15">
      <c r="B1019" s="800" t="s">
        <v>1141</v>
      </c>
      <c r="C1019" s="800" t="s">
        <v>685</v>
      </c>
      <c r="D1019" s="924">
        <v>4325.3</v>
      </c>
      <c r="E1019" s="865">
        <v>4050</v>
      </c>
      <c r="F1019" s="849">
        <v>270</v>
      </c>
      <c r="G1019" s="872">
        <v>5.3</v>
      </c>
      <c r="H1019" s="806">
        <v>0</v>
      </c>
      <c r="I1019" s="829">
        <v>0.3</v>
      </c>
      <c r="S1019" s="13"/>
      <c r="T1019" s="13"/>
      <c r="U1019" s="13"/>
      <c r="V1019" s="13"/>
    </row>
    <row r="1020" spans="2:22" outlineLevel="1" x14ac:dyDescent="0.15">
      <c r="B1020" s="800" t="s">
        <v>1148</v>
      </c>
      <c r="C1020" s="800" t="s">
        <v>58</v>
      </c>
      <c r="D1020" s="924">
        <v>1750</v>
      </c>
      <c r="E1020" s="865"/>
      <c r="F1020" s="843"/>
      <c r="G1020" s="872"/>
      <c r="H1020" s="806"/>
      <c r="I1020" s="829">
        <v>0.3</v>
      </c>
      <c r="S1020" s="13"/>
      <c r="T1020" s="13"/>
      <c r="U1020" s="13"/>
      <c r="V1020" s="13"/>
    </row>
    <row r="1021" spans="2:22" outlineLevel="1" x14ac:dyDescent="0.15">
      <c r="B1021" s="800" t="s">
        <v>1147</v>
      </c>
      <c r="C1021" s="800" t="s">
        <v>686</v>
      </c>
      <c r="D1021" s="924">
        <v>1680</v>
      </c>
      <c r="E1021" s="865"/>
      <c r="F1021" s="843"/>
      <c r="G1021" s="872"/>
      <c r="H1021" s="806"/>
      <c r="I1021" s="829">
        <v>0.3</v>
      </c>
      <c r="S1021" s="13"/>
      <c r="T1021" s="13"/>
      <c r="U1021" s="13"/>
      <c r="V1021" s="13"/>
    </row>
    <row r="1022" spans="2:22" outlineLevel="1" x14ac:dyDescent="0.15">
      <c r="B1022" s="800" t="s">
        <v>1142</v>
      </c>
      <c r="C1022" s="800" t="s">
        <v>685</v>
      </c>
      <c r="D1022" s="924">
        <v>451</v>
      </c>
      <c r="E1022" s="865">
        <v>421</v>
      </c>
      <c r="F1022" s="849">
        <v>30</v>
      </c>
      <c r="G1022" s="894">
        <v>0</v>
      </c>
      <c r="H1022" s="806">
        <v>0</v>
      </c>
      <c r="I1022" s="829">
        <v>0.3</v>
      </c>
      <c r="S1022" s="13"/>
      <c r="T1022" s="13"/>
      <c r="U1022" s="13"/>
      <c r="V1022" s="13"/>
    </row>
    <row r="1023" spans="2:22" outlineLevel="1" x14ac:dyDescent="0.15">
      <c r="B1023" s="800" t="s">
        <v>1142</v>
      </c>
      <c r="C1023" s="800" t="s">
        <v>687</v>
      </c>
      <c r="D1023" s="924">
        <v>580.65</v>
      </c>
      <c r="E1023" s="865">
        <v>548</v>
      </c>
      <c r="F1023" s="849">
        <v>30</v>
      </c>
      <c r="G1023" s="872">
        <v>2.65</v>
      </c>
      <c r="H1023" s="806">
        <v>0</v>
      </c>
      <c r="I1023" s="829">
        <v>0.3</v>
      </c>
      <c r="S1023" s="13"/>
      <c r="T1023" s="13"/>
      <c r="U1023" s="13"/>
      <c r="V1023" s="13"/>
    </row>
    <row r="1024" spans="2:22" outlineLevel="1" x14ac:dyDescent="0.15">
      <c r="B1024" s="800" t="s">
        <v>1136</v>
      </c>
      <c r="C1024" s="800" t="s">
        <v>686</v>
      </c>
      <c r="D1024" s="924">
        <v>451</v>
      </c>
      <c r="E1024" s="865">
        <v>421</v>
      </c>
      <c r="F1024" s="849">
        <v>30</v>
      </c>
      <c r="G1024" s="894">
        <v>0</v>
      </c>
      <c r="H1024" s="806">
        <v>0</v>
      </c>
      <c r="I1024" s="829">
        <v>0.3</v>
      </c>
      <c r="S1024" s="13"/>
      <c r="T1024" s="13"/>
      <c r="U1024" s="13"/>
      <c r="V1024" s="13"/>
    </row>
    <row r="1025" spans="2:22" outlineLevel="1" x14ac:dyDescent="0.15">
      <c r="B1025" s="800" t="s">
        <v>1146</v>
      </c>
      <c r="C1025" s="800" t="s">
        <v>688</v>
      </c>
      <c r="D1025" s="924">
        <v>3320</v>
      </c>
      <c r="E1025" s="865"/>
      <c r="F1025" s="843"/>
      <c r="G1025" s="872"/>
      <c r="H1025" s="806"/>
      <c r="I1025" s="829">
        <v>0.3</v>
      </c>
      <c r="S1025" s="13"/>
      <c r="T1025" s="13"/>
      <c r="U1025" s="13"/>
      <c r="V1025" s="13"/>
    </row>
    <row r="1026" spans="2:22" outlineLevel="1" x14ac:dyDescent="0.15">
      <c r="B1026" s="800" t="s">
        <v>1145</v>
      </c>
      <c r="C1026" s="800" t="s">
        <v>687</v>
      </c>
      <c r="D1026" s="924">
        <v>470</v>
      </c>
      <c r="E1026" s="865">
        <v>440</v>
      </c>
      <c r="F1026" s="849">
        <v>30</v>
      </c>
      <c r="G1026" s="894">
        <v>0</v>
      </c>
      <c r="H1026" s="806">
        <v>0</v>
      </c>
      <c r="I1026" s="829">
        <v>0.3</v>
      </c>
      <c r="S1026" s="13"/>
      <c r="T1026" s="13"/>
      <c r="U1026" s="13"/>
      <c r="V1026" s="13"/>
    </row>
    <row r="1027" spans="2:22" outlineLevel="1" x14ac:dyDescent="0.15">
      <c r="B1027" s="800" t="s">
        <v>1145</v>
      </c>
      <c r="C1027" s="800" t="s">
        <v>687</v>
      </c>
      <c r="D1027" s="924">
        <v>5030</v>
      </c>
      <c r="E1027" s="865">
        <v>2700</v>
      </c>
      <c r="F1027" s="849">
        <v>210</v>
      </c>
      <c r="G1027" s="894">
        <v>2120</v>
      </c>
      <c r="H1027" s="806">
        <v>0</v>
      </c>
      <c r="I1027" s="829">
        <v>0.3</v>
      </c>
      <c r="S1027" s="13"/>
      <c r="T1027" s="13"/>
      <c r="U1027" s="13"/>
      <c r="V1027" s="13"/>
    </row>
    <row r="1028" spans="2:22" outlineLevel="1" x14ac:dyDescent="0.15">
      <c r="B1028" s="800" t="s">
        <v>1145</v>
      </c>
      <c r="C1028" s="800" t="s">
        <v>685</v>
      </c>
      <c r="D1028" s="924">
        <v>467</v>
      </c>
      <c r="E1028" s="865">
        <v>437</v>
      </c>
      <c r="F1028" s="849">
        <v>30</v>
      </c>
      <c r="G1028" s="894">
        <v>0</v>
      </c>
      <c r="H1028" s="806">
        <v>0</v>
      </c>
      <c r="I1028" s="829">
        <v>0.3</v>
      </c>
      <c r="S1028" s="13"/>
      <c r="T1028" s="13"/>
      <c r="U1028" s="13"/>
      <c r="V1028" s="13"/>
    </row>
    <row r="1029" spans="2:22" outlineLevel="1" x14ac:dyDescent="0.15">
      <c r="B1029" s="800" t="s">
        <v>682</v>
      </c>
      <c r="C1029" s="800" t="s">
        <v>686</v>
      </c>
      <c r="D1029" s="924">
        <v>580.65</v>
      </c>
      <c r="E1029" s="865">
        <v>548</v>
      </c>
      <c r="F1029" s="849">
        <v>30</v>
      </c>
      <c r="G1029" s="872">
        <v>2.65</v>
      </c>
      <c r="H1029" s="806">
        <v>0</v>
      </c>
      <c r="I1029" s="829">
        <v>0.3</v>
      </c>
      <c r="S1029" s="13"/>
      <c r="T1029" s="13"/>
      <c r="U1029" s="13"/>
      <c r="V1029" s="13"/>
    </row>
    <row r="1030" spans="2:22" outlineLevel="1" x14ac:dyDescent="0.15">
      <c r="B1030" s="800" t="s">
        <v>1149</v>
      </c>
      <c r="C1030" s="800" t="s">
        <v>685</v>
      </c>
      <c r="D1030" s="924">
        <v>3692.65</v>
      </c>
      <c r="E1030" s="865">
        <v>3450</v>
      </c>
      <c r="F1030" s="849">
        <v>240</v>
      </c>
      <c r="G1030" s="872">
        <v>2.65</v>
      </c>
      <c r="H1030" s="806">
        <v>0</v>
      </c>
      <c r="I1030" s="829">
        <v>0.3</v>
      </c>
      <c r="S1030" s="13"/>
      <c r="T1030" s="13"/>
      <c r="U1030" s="13"/>
      <c r="V1030" s="13"/>
    </row>
    <row r="1031" spans="2:22" outlineLevel="1" x14ac:dyDescent="0.15">
      <c r="B1031" s="800"/>
      <c r="C1031" s="800"/>
      <c r="D1031" s="924"/>
      <c r="E1031" s="865"/>
      <c r="F1031" s="1474"/>
      <c r="G1031" s="872"/>
      <c r="H1031" s="806"/>
      <c r="I1031" s="829"/>
      <c r="S1031" s="13"/>
      <c r="T1031" s="13"/>
      <c r="U1031" s="13"/>
      <c r="V1031" s="13"/>
    </row>
    <row r="1032" spans="2:22" outlineLevel="1" x14ac:dyDescent="0.15">
      <c r="B1032" s="800" t="s">
        <v>1152</v>
      </c>
      <c r="C1032" s="800" t="s">
        <v>686</v>
      </c>
      <c r="D1032" s="1498">
        <v>6.1368</v>
      </c>
      <c r="E1032" s="1473">
        <v>5.54</v>
      </c>
      <c r="F1032" s="843">
        <v>0.55700000000000005</v>
      </c>
      <c r="G1032" s="874">
        <v>3.9800000000000002E-2</v>
      </c>
      <c r="H1032" s="806">
        <v>0</v>
      </c>
      <c r="I1032" s="829">
        <v>0.5</v>
      </c>
      <c r="S1032" s="13"/>
      <c r="T1032" s="13"/>
      <c r="U1032" s="13"/>
      <c r="V1032" s="13"/>
    </row>
    <row r="1033" spans="2:22" outlineLevel="1" x14ac:dyDescent="0.15">
      <c r="B1033" s="800" t="s">
        <v>1153</v>
      </c>
      <c r="C1033" s="800" t="s">
        <v>689</v>
      </c>
      <c r="D1033" s="1498">
        <v>25.497</v>
      </c>
      <c r="E1033" s="1473">
        <v>23.7</v>
      </c>
      <c r="F1033" s="843">
        <v>1.63</v>
      </c>
      <c r="G1033" s="874">
        <v>0.16700000000000001</v>
      </c>
      <c r="H1033" s="806">
        <v>0</v>
      </c>
      <c r="I1033" s="829">
        <v>0.5</v>
      </c>
      <c r="S1033" s="13"/>
      <c r="T1033" s="13"/>
      <c r="U1033" s="13"/>
      <c r="V1033" s="13"/>
    </row>
    <row r="1034" spans="2:22" outlineLevel="1" x14ac:dyDescent="0.15">
      <c r="B1034" s="800" t="s">
        <v>1155</v>
      </c>
      <c r="C1034" s="800" t="s">
        <v>688</v>
      </c>
      <c r="D1034" s="1498">
        <v>9.1999999999999993</v>
      </c>
      <c r="E1034" s="1473"/>
      <c r="F1034" s="843"/>
      <c r="G1034" s="874"/>
      <c r="H1034" s="806"/>
      <c r="I1034" s="829">
        <v>0.5</v>
      </c>
      <c r="S1034" s="13"/>
      <c r="T1034" s="13"/>
      <c r="U1034" s="13"/>
      <c r="V1034" s="13"/>
    </row>
    <row r="1035" spans="2:22" outlineLevel="1" x14ac:dyDescent="0.15">
      <c r="B1035" s="800" t="s">
        <v>683</v>
      </c>
      <c r="C1035" s="800" t="s">
        <v>689</v>
      </c>
      <c r="D1035" s="1498">
        <v>9.1999999999999993</v>
      </c>
      <c r="E1035" s="865"/>
      <c r="F1035" s="843"/>
      <c r="G1035" s="872"/>
      <c r="H1035" s="806"/>
      <c r="I1035" s="829">
        <v>0.5</v>
      </c>
      <c r="S1035" s="13"/>
      <c r="T1035" s="13"/>
      <c r="U1035" s="13"/>
      <c r="V1035" s="13"/>
    </row>
    <row r="1036" spans="2:22" outlineLevel="1" x14ac:dyDescent="0.15">
      <c r="B1036" s="800" t="s">
        <v>1156</v>
      </c>
      <c r="C1036" s="800" t="s">
        <v>685</v>
      </c>
      <c r="D1036" s="1498">
        <v>8.6387</v>
      </c>
      <c r="E1036" s="1473">
        <v>7.86</v>
      </c>
      <c r="F1036" s="843">
        <v>0.72299999999999998</v>
      </c>
      <c r="G1036" s="874">
        <v>5.57E-2</v>
      </c>
      <c r="H1036" s="806">
        <v>0</v>
      </c>
      <c r="I1036" s="829">
        <v>0.5</v>
      </c>
      <c r="S1036" s="13"/>
      <c r="T1036" s="13"/>
      <c r="U1036" s="13"/>
      <c r="V1036" s="13"/>
    </row>
    <row r="1037" spans="2:22" outlineLevel="1" x14ac:dyDescent="0.15">
      <c r="B1037" s="800" t="s">
        <v>684</v>
      </c>
      <c r="C1037" s="800" t="s">
        <v>686</v>
      </c>
      <c r="D1037" s="1498">
        <v>9.1522999999999985</v>
      </c>
      <c r="E1037" s="1473">
        <v>8.33</v>
      </c>
      <c r="F1037" s="843">
        <v>0.76400000000000001</v>
      </c>
      <c r="G1037" s="874">
        <v>5.8299999999999998E-2</v>
      </c>
      <c r="H1037" s="806">
        <v>0</v>
      </c>
      <c r="I1037" s="829">
        <v>0.5</v>
      </c>
      <c r="S1037" s="13"/>
      <c r="T1037" s="13"/>
      <c r="U1037" s="13"/>
      <c r="V1037" s="13"/>
    </row>
    <row r="1038" spans="2:22" outlineLevel="1" x14ac:dyDescent="0.15">
      <c r="B1038" s="800" t="s">
        <v>1154</v>
      </c>
      <c r="C1038" s="800" t="s">
        <v>685</v>
      </c>
      <c r="D1038" s="1498">
        <v>8.9437999999999995</v>
      </c>
      <c r="E1038" s="1473">
        <v>8.0299999999999994</v>
      </c>
      <c r="F1038" s="843">
        <v>0.85499999999999998</v>
      </c>
      <c r="G1038" s="874">
        <v>5.8799999999999998E-2</v>
      </c>
      <c r="H1038" s="806">
        <v>0</v>
      </c>
      <c r="I1038" s="829">
        <v>0.5</v>
      </c>
      <c r="S1038" s="13"/>
      <c r="T1038" s="13"/>
      <c r="U1038" s="13"/>
      <c r="V1038" s="13"/>
    </row>
    <row r="1039" spans="2:22" outlineLevel="1" x14ac:dyDescent="0.15">
      <c r="B1039" s="801"/>
      <c r="C1039" s="801"/>
      <c r="D1039" s="802"/>
      <c r="E1039" s="1480"/>
      <c r="F1039" s="823"/>
      <c r="G1039" s="873"/>
      <c r="H1039" s="802"/>
      <c r="I1039" s="830"/>
      <c r="S1039" s="13"/>
      <c r="T1039" s="13"/>
      <c r="U1039" s="13"/>
      <c r="V1039" s="13"/>
    </row>
    <row r="1040" spans="2:22" outlineLevel="1" x14ac:dyDescent="0.15"/>
    <row r="1041" spans="2:28" outlineLevel="1" x14ac:dyDescent="0.15"/>
    <row r="1042" spans="2:28" outlineLevel="1" x14ac:dyDescent="0.15">
      <c r="B1042" s="1475" t="s">
        <v>1157</v>
      </c>
      <c r="C1042" s="964"/>
      <c r="D1042" s="797"/>
    </row>
    <row r="1043" spans="2:28" outlineLevel="1" x14ac:dyDescent="0.15">
      <c r="B1043" s="1072"/>
      <c r="C1043" s="880" t="s">
        <v>767</v>
      </c>
      <c r="D1043" s="1560" t="s">
        <v>723</v>
      </c>
    </row>
    <row r="1044" spans="2:28" outlineLevel="1" x14ac:dyDescent="0.15">
      <c r="B1044" s="800" t="s">
        <v>1158</v>
      </c>
      <c r="C1044" s="1096">
        <v>1910</v>
      </c>
      <c r="D1044" s="805">
        <v>0.5</v>
      </c>
      <c r="E1044" s="23"/>
    </row>
    <row r="1045" spans="2:28" outlineLevel="1" x14ac:dyDescent="0.15">
      <c r="B1045" s="800" t="s">
        <v>1159</v>
      </c>
      <c r="C1045" s="1096">
        <v>3830</v>
      </c>
      <c r="D1045" s="807">
        <v>0.5</v>
      </c>
      <c r="E1045" s="23"/>
    </row>
    <row r="1046" spans="2:28" outlineLevel="1" x14ac:dyDescent="0.15">
      <c r="B1046" s="800" t="s">
        <v>1160</v>
      </c>
      <c r="C1046" s="1096">
        <v>9270</v>
      </c>
      <c r="D1046" s="807">
        <v>0.5</v>
      </c>
      <c r="E1046" s="23"/>
    </row>
    <row r="1047" spans="2:28" outlineLevel="1" x14ac:dyDescent="0.15">
      <c r="B1047" s="800"/>
      <c r="C1047" s="1096"/>
      <c r="D1047" s="807"/>
      <c r="E1047" s="23"/>
    </row>
    <row r="1048" spans="2:28" outlineLevel="1" x14ac:dyDescent="0.15">
      <c r="B1048" s="800" t="s">
        <v>145</v>
      </c>
      <c r="C1048" s="1096">
        <v>80</v>
      </c>
      <c r="D1048" s="807">
        <v>0.5</v>
      </c>
      <c r="E1048" s="23"/>
    </row>
    <row r="1049" spans="2:28" outlineLevel="1" x14ac:dyDescent="0.15">
      <c r="B1049" s="800" t="s">
        <v>1161</v>
      </c>
      <c r="C1049" s="1096">
        <v>2851</v>
      </c>
      <c r="D1049" s="807">
        <v>0.5</v>
      </c>
      <c r="E1049" s="23"/>
    </row>
    <row r="1050" spans="2:28" outlineLevel="1" x14ac:dyDescent="0.15">
      <c r="B1050" s="800"/>
      <c r="C1050" s="1096"/>
      <c r="D1050" s="807"/>
      <c r="E1050" s="23"/>
    </row>
    <row r="1051" spans="2:28" outlineLevel="1" x14ac:dyDescent="0.15">
      <c r="B1051" s="800" t="s">
        <v>1162</v>
      </c>
      <c r="C1051" s="1096">
        <v>3247</v>
      </c>
      <c r="D1051" s="807">
        <v>0.5</v>
      </c>
      <c r="E1051" s="23"/>
    </row>
    <row r="1052" spans="2:28" outlineLevel="1" x14ac:dyDescent="0.15">
      <c r="B1052" s="800" t="s">
        <v>1163</v>
      </c>
      <c r="C1052" s="1096">
        <v>1009</v>
      </c>
      <c r="D1052" s="807">
        <v>0.5</v>
      </c>
      <c r="E1052" s="23"/>
    </row>
    <row r="1053" spans="2:28" outlineLevel="1" x14ac:dyDescent="0.15">
      <c r="B1053" s="800" t="s">
        <v>1164</v>
      </c>
      <c r="C1053" s="1096">
        <v>252</v>
      </c>
      <c r="D1053" s="807">
        <v>0.5</v>
      </c>
      <c r="E1053" s="23"/>
    </row>
    <row r="1054" spans="2:28" outlineLevel="1" x14ac:dyDescent="0.15">
      <c r="B1054" s="801"/>
      <c r="C1054" s="1097"/>
      <c r="D1054" s="814"/>
    </row>
    <row r="1055" spans="2:28" outlineLevel="1" x14ac:dyDescent="0.15"/>
    <row r="1056" spans="2:28" ht="14" outlineLevel="1" x14ac:dyDescent="0.2">
      <c r="B1056" s="1475" t="s">
        <v>1165</v>
      </c>
      <c r="C1056" s="1876" t="s">
        <v>1168</v>
      </c>
      <c r="D1056" s="1877"/>
      <c r="E1056" s="1877"/>
      <c r="F1056" s="1877"/>
      <c r="G1056" s="1878"/>
      <c r="H1056" s="1320"/>
      <c r="I1056" s="1876" t="s">
        <v>128</v>
      </c>
      <c r="J1056" s="1877"/>
      <c r="K1056" s="1877"/>
      <c r="L1056" s="1877"/>
      <c r="M1056" s="1878"/>
      <c r="O1056" s="1898"/>
      <c r="P1056" s="1898"/>
      <c r="Q1056" s="1898"/>
      <c r="R1056" s="1898"/>
      <c r="S1056" s="1898"/>
      <c r="T1056" s="1898"/>
      <c r="W1056" s="4"/>
      <c r="X1056" s="4"/>
      <c r="Y1056" s="4"/>
      <c r="Z1056" s="4"/>
      <c r="AA1056" s="4"/>
      <c r="AB1056" s="4"/>
    </row>
    <row r="1057" spans="2:28" ht="12.75" customHeight="1" outlineLevel="1" x14ac:dyDescent="0.15">
      <c r="B1057" s="834"/>
      <c r="C1057" s="1863" t="s">
        <v>1166</v>
      </c>
      <c r="D1057" s="1865" t="s">
        <v>1167</v>
      </c>
      <c r="E1057" s="1866"/>
      <c r="F1057" s="1866"/>
      <c r="G1057" s="1867"/>
      <c r="H1057" s="834"/>
      <c r="I1057" s="1863" t="s">
        <v>1166</v>
      </c>
      <c r="J1057" s="1865" t="s">
        <v>1169</v>
      </c>
      <c r="K1057" s="1866"/>
      <c r="L1057" s="1866"/>
      <c r="M1057" s="1867"/>
      <c r="O1057" s="8"/>
      <c r="P1057" s="8"/>
      <c r="Q1057" s="8"/>
      <c r="R1057" s="8"/>
      <c r="S1057" s="8"/>
      <c r="T1057" s="8"/>
      <c r="W1057" s="4"/>
      <c r="X1057" s="4"/>
      <c r="Y1057" s="4"/>
      <c r="Z1057" s="4"/>
      <c r="AA1057" s="4"/>
      <c r="AB1057" s="4"/>
    </row>
    <row r="1058" spans="2:28" ht="14" outlineLevel="1" x14ac:dyDescent="0.15">
      <c r="B1058" s="1362" t="s">
        <v>90</v>
      </c>
      <c r="C1058" s="1864"/>
      <c r="D1058" s="1318" t="s">
        <v>14</v>
      </c>
      <c r="E1058" s="1042" t="s">
        <v>695</v>
      </c>
      <c r="F1058" s="1042" t="s">
        <v>27</v>
      </c>
      <c r="G1058" s="1319" t="s">
        <v>694</v>
      </c>
      <c r="H1058" s="1560" t="s">
        <v>723</v>
      </c>
      <c r="I1058" s="1864"/>
      <c r="J1058" s="1318" t="s">
        <v>14</v>
      </c>
      <c r="K1058" s="1042" t="s">
        <v>695</v>
      </c>
      <c r="L1058" s="1042" t="s">
        <v>27</v>
      </c>
      <c r="M1058" s="1319" t="s">
        <v>694</v>
      </c>
      <c r="W1058" s="4"/>
      <c r="X1058" s="4"/>
      <c r="Y1058" s="4"/>
      <c r="Z1058" s="4"/>
      <c r="AA1058" s="4"/>
      <c r="AB1058" s="4"/>
    </row>
    <row r="1059" spans="2:28" outlineLevel="1" x14ac:dyDescent="0.15">
      <c r="B1059" s="800" t="s">
        <v>1171</v>
      </c>
      <c r="C1059" s="924">
        <v>666.846</v>
      </c>
      <c r="D1059" s="865">
        <v>0</v>
      </c>
      <c r="E1059" s="849">
        <v>537.6</v>
      </c>
      <c r="F1059" s="894">
        <v>166.155</v>
      </c>
      <c r="G1059" s="806">
        <v>0</v>
      </c>
      <c r="H1059" s="829">
        <v>0.5</v>
      </c>
      <c r="I1059" s="924">
        <v>112.33124671100001</v>
      </c>
      <c r="J1059" s="865">
        <v>29.008419839999998</v>
      </c>
      <c r="K1059" s="849">
        <v>1.6564757720000001</v>
      </c>
      <c r="L1059" s="894">
        <v>72.780587655000005</v>
      </c>
      <c r="M1059" s="806">
        <v>0</v>
      </c>
      <c r="O1059" s="27"/>
      <c r="P1059" s="27"/>
      <c r="Q1059" s="27"/>
      <c r="R1059" s="13"/>
      <c r="W1059" s="4"/>
      <c r="X1059" s="4"/>
      <c r="Y1059" s="4"/>
      <c r="Z1059" s="4"/>
      <c r="AA1059" s="4"/>
      <c r="AB1059" s="4"/>
    </row>
    <row r="1060" spans="2:28" outlineLevel="1" x14ac:dyDescent="0.15">
      <c r="B1060" s="1678" t="s">
        <v>3169</v>
      </c>
      <c r="C1060" s="1676">
        <v>3833.7599999999998</v>
      </c>
      <c r="D1060" s="865"/>
      <c r="E1060" s="1676">
        <v>3834</v>
      </c>
      <c r="F1060" s="894"/>
      <c r="G1060" s="806"/>
      <c r="H1060" s="829"/>
      <c r="I1060" s="924"/>
      <c r="J1060" s="865"/>
      <c r="K1060" s="849"/>
      <c r="L1060" s="894"/>
      <c r="M1060" s="806"/>
      <c r="O1060" s="27"/>
      <c r="P1060" s="27"/>
      <c r="Q1060" s="27"/>
      <c r="R1060" s="13"/>
      <c r="W1060" s="4"/>
      <c r="X1060" s="4"/>
      <c r="Y1060" s="4"/>
      <c r="Z1060" s="4"/>
      <c r="AA1060" s="4"/>
      <c r="AB1060" s="4"/>
    </row>
    <row r="1061" spans="2:28" outlineLevel="1" x14ac:dyDescent="0.15">
      <c r="B1061" s="1678" t="s">
        <v>3171</v>
      </c>
      <c r="C1061" s="1676">
        <v>1309.8400000000001</v>
      </c>
      <c r="D1061" s="865"/>
      <c r="E1061" s="1677">
        <v>1309.8400000000001</v>
      </c>
      <c r="F1061" s="894"/>
      <c r="G1061" s="806"/>
      <c r="H1061" s="829"/>
      <c r="I1061" s="924"/>
      <c r="J1061" s="865"/>
      <c r="K1061" s="849"/>
      <c r="L1061" s="894"/>
      <c r="M1061" s="806"/>
      <c r="O1061" s="27"/>
      <c r="P1061" s="27"/>
      <c r="Q1061" s="27"/>
      <c r="R1061" s="13"/>
      <c r="W1061" s="4"/>
      <c r="X1061" s="4"/>
      <c r="Y1061" s="4"/>
      <c r="Z1061" s="4"/>
      <c r="AA1061" s="4"/>
      <c r="AB1061" s="4"/>
    </row>
    <row r="1062" spans="2:28" outlineLevel="1" x14ac:dyDescent="0.15">
      <c r="B1062" s="1678" t="s">
        <v>3172</v>
      </c>
      <c r="C1062" s="1676">
        <v>2147.04</v>
      </c>
      <c r="D1062" s="865"/>
      <c r="E1062" s="1677">
        <v>2147.04</v>
      </c>
      <c r="F1062" s="894"/>
      <c r="G1062" s="806"/>
      <c r="H1062" s="829"/>
      <c r="I1062" s="924"/>
      <c r="J1062" s="865"/>
      <c r="K1062" s="849"/>
      <c r="L1062" s="894"/>
      <c r="M1062" s="806"/>
      <c r="O1062" s="27"/>
      <c r="P1062" s="27"/>
      <c r="Q1062" s="27"/>
      <c r="R1062" s="13"/>
      <c r="W1062" s="4"/>
      <c r="X1062" s="4"/>
      <c r="Y1062" s="4"/>
      <c r="Z1062" s="4"/>
      <c r="AA1062" s="4"/>
      <c r="AB1062" s="4"/>
    </row>
    <row r="1063" spans="2:28" outlineLevel="1" x14ac:dyDescent="0.15">
      <c r="B1063" s="1678" t="s">
        <v>3173</v>
      </c>
      <c r="C1063" s="1676">
        <v>224</v>
      </c>
      <c r="D1063" s="865"/>
      <c r="E1063" s="1677">
        <v>224</v>
      </c>
      <c r="F1063" s="894"/>
      <c r="G1063" s="806"/>
      <c r="H1063" s="829"/>
      <c r="I1063" s="924"/>
      <c r="J1063" s="865"/>
      <c r="K1063" s="849"/>
      <c r="L1063" s="894"/>
      <c r="M1063" s="806"/>
      <c r="O1063" s="27"/>
      <c r="P1063" s="27"/>
      <c r="Q1063" s="27"/>
      <c r="R1063" s="13"/>
      <c r="W1063" s="4"/>
      <c r="X1063" s="4"/>
      <c r="Y1063" s="4"/>
      <c r="Z1063" s="4"/>
      <c r="AA1063" s="4"/>
      <c r="AB1063" s="4"/>
    </row>
    <row r="1064" spans="2:28" outlineLevel="1" x14ac:dyDescent="0.15">
      <c r="B1064" s="1678" t="s">
        <v>3174</v>
      </c>
      <c r="C1064" s="1676">
        <v>140</v>
      </c>
      <c r="D1064" s="865"/>
      <c r="E1064" s="1677">
        <v>140</v>
      </c>
      <c r="F1064" s="894"/>
      <c r="G1064" s="806"/>
      <c r="H1064" s="829"/>
      <c r="I1064" s="924"/>
      <c r="J1064" s="865"/>
      <c r="K1064" s="849"/>
      <c r="L1064" s="894"/>
      <c r="M1064" s="806"/>
      <c r="O1064" s="27"/>
      <c r="P1064" s="27"/>
      <c r="Q1064" s="27"/>
      <c r="R1064" s="13"/>
      <c r="W1064" s="4"/>
      <c r="X1064" s="4"/>
      <c r="Y1064" s="4"/>
      <c r="Z1064" s="4"/>
      <c r="AA1064" s="4"/>
      <c r="AB1064" s="4"/>
    </row>
    <row r="1065" spans="2:28" outlineLevel="1" x14ac:dyDescent="0.15">
      <c r="B1065" s="1678" t="s">
        <v>3175</v>
      </c>
      <c r="C1065" s="1676">
        <v>504</v>
      </c>
      <c r="D1065" s="865"/>
      <c r="E1065" s="1677">
        <v>504</v>
      </c>
      <c r="F1065" s="894"/>
      <c r="G1065" s="806"/>
      <c r="H1065" s="829"/>
      <c r="I1065" s="924"/>
      <c r="J1065" s="865"/>
      <c r="K1065" s="849"/>
      <c r="L1065" s="894"/>
      <c r="M1065" s="806"/>
      <c r="O1065" s="27"/>
      <c r="P1065" s="27"/>
      <c r="Q1065" s="27"/>
      <c r="R1065" s="13"/>
      <c r="W1065" s="4"/>
      <c r="X1065" s="4"/>
      <c r="Y1065" s="4"/>
      <c r="Z1065" s="4"/>
      <c r="AA1065" s="4"/>
      <c r="AB1065" s="4"/>
    </row>
    <row r="1066" spans="2:28" outlineLevel="1" x14ac:dyDescent="0.15">
      <c r="B1066" s="1678" t="s">
        <v>3176</v>
      </c>
      <c r="C1066" s="1676">
        <v>280</v>
      </c>
      <c r="D1066" s="865"/>
      <c r="E1066" s="1677">
        <v>280</v>
      </c>
      <c r="F1066" s="894"/>
      <c r="G1066" s="806"/>
      <c r="H1066" s="829"/>
      <c r="I1066" s="924"/>
      <c r="J1066" s="865"/>
      <c r="K1066" s="849"/>
      <c r="L1066" s="894"/>
      <c r="M1066" s="806"/>
      <c r="O1066" s="27"/>
      <c r="P1066" s="27"/>
      <c r="Q1066" s="27"/>
      <c r="R1066" s="13"/>
      <c r="W1066" s="4"/>
      <c r="X1066" s="4"/>
      <c r="Y1066" s="4"/>
      <c r="Z1066" s="4"/>
      <c r="AA1066" s="4"/>
      <c r="AB1066" s="4"/>
    </row>
    <row r="1067" spans="2:28" outlineLevel="1" x14ac:dyDescent="0.15">
      <c r="B1067" s="1678" t="s">
        <v>3177</v>
      </c>
      <c r="C1067" s="1676">
        <v>42</v>
      </c>
      <c r="D1067" s="865"/>
      <c r="E1067" s="1677">
        <v>42</v>
      </c>
      <c r="F1067" s="894"/>
      <c r="G1067" s="806"/>
      <c r="H1067" s="829"/>
      <c r="I1067" s="924"/>
      <c r="J1067" s="865"/>
      <c r="K1067" s="849"/>
      <c r="L1067" s="894"/>
      <c r="M1067" s="806"/>
      <c r="O1067" s="27"/>
      <c r="P1067" s="27"/>
      <c r="Q1067" s="27"/>
      <c r="R1067" s="13"/>
      <c r="W1067" s="4"/>
      <c r="X1067" s="4"/>
      <c r="Y1067" s="4"/>
      <c r="Z1067" s="4"/>
      <c r="AA1067" s="4"/>
      <c r="AB1067" s="4"/>
    </row>
    <row r="1068" spans="2:28" outlineLevel="1" x14ac:dyDescent="0.15">
      <c r="B1068" s="1678" t="s">
        <v>3178</v>
      </c>
      <c r="C1068" s="1676">
        <v>42</v>
      </c>
      <c r="D1068" s="865"/>
      <c r="E1068" s="1677">
        <v>42</v>
      </c>
      <c r="F1068" s="894"/>
      <c r="G1068" s="806"/>
      <c r="H1068" s="829"/>
      <c r="I1068" s="924"/>
      <c r="J1068" s="865"/>
      <c r="K1068" s="849"/>
      <c r="L1068" s="894"/>
      <c r="M1068" s="806"/>
      <c r="O1068" s="27"/>
      <c r="P1068" s="27"/>
      <c r="Q1068" s="27"/>
      <c r="R1068" s="13"/>
      <c r="W1068" s="4"/>
      <c r="X1068" s="4"/>
      <c r="Y1068" s="4"/>
      <c r="Z1068" s="4"/>
      <c r="AA1068" s="4"/>
      <c r="AB1068" s="4"/>
    </row>
    <row r="1069" spans="2:28" outlineLevel="1" x14ac:dyDescent="0.15">
      <c r="B1069" s="1678" t="s">
        <v>3179</v>
      </c>
      <c r="C1069" s="1676">
        <v>2.2400000000000002</v>
      </c>
      <c r="D1069" s="865"/>
      <c r="E1069" s="1677">
        <v>2.2400000000000002</v>
      </c>
      <c r="F1069" s="894"/>
      <c r="G1069" s="806"/>
      <c r="H1069" s="829"/>
      <c r="I1069" s="924"/>
      <c r="J1069" s="865"/>
      <c r="K1069" s="849"/>
      <c r="L1069" s="894"/>
      <c r="M1069" s="806"/>
      <c r="O1069" s="27"/>
      <c r="P1069" s="27"/>
      <c r="Q1069" s="27"/>
      <c r="R1069" s="13"/>
      <c r="W1069" s="4"/>
      <c r="X1069" s="4"/>
      <c r="Y1069" s="4"/>
      <c r="Z1069" s="4"/>
      <c r="AA1069" s="4"/>
      <c r="AB1069" s="4"/>
    </row>
    <row r="1070" spans="2:28" outlineLevel="1" x14ac:dyDescent="0.15">
      <c r="B1070" s="1678" t="s">
        <v>3180</v>
      </c>
      <c r="C1070" s="1676">
        <v>573.70000000000005</v>
      </c>
      <c r="D1070" s="865"/>
      <c r="E1070" s="1677">
        <v>420</v>
      </c>
      <c r="F1070" s="1680">
        <v>153.69999999999999</v>
      </c>
      <c r="G1070" s="806"/>
      <c r="H1070" s="829"/>
      <c r="I1070" s="924"/>
      <c r="J1070" s="865"/>
      <c r="K1070" s="849"/>
      <c r="L1070" s="894"/>
      <c r="M1070" s="806"/>
      <c r="O1070" s="27"/>
      <c r="P1070" s="27"/>
      <c r="Q1070" s="27"/>
      <c r="R1070" s="13"/>
      <c r="W1070" s="4"/>
      <c r="X1070" s="4"/>
      <c r="Y1070" s="4"/>
      <c r="Z1070" s="4"/>
      <c r="AA1070" s="4"/>
      <c r="AB1070" s="4"/>
    </row>
    <row r="1071" spans="2:28" outlineLevel="1" x14ac:dyDescent="0.15">
      <c r="B1071" s="1678" t="s">
        <v>3181</v>
      </c>
      <c r="C1071" s="1676">
        <v>284.60500000000002</v>
      </c>
      <c r="D1071" s="865"/>
      <c r="E1071" s="1677">
        <v>217.56</v>
      </c>
      <c r="F1071" s="1680">
        <v>67.045000000000002</v>
      </c>
      <c r="G1071" s="806"/>
      <c r="H1071" s="829"/>
      <c r="I1071" s="924"/>
      <c r="J1071" s="865"/>
      <c r="K1071" s="849"/>
      <c r="L1071" s="894"/>
      <c r="M1071" s="806"/>
      <c r="O1071" s="27"/>
      <c r="P1071" s="27"/>
      <c r="Q1071" s="27"/>
      <c r="R1071" s="13"/>
      <c r="W1071" s="4"/>
      <c r="X1071" s="4"/>
      <c r="Y1071" s="4"/>
      <c r="Z1071" s="4"/>
      <c r="AA1071" s="4"/>
      <c r="AB1071" s="4"/>
    </row>
    <row r="1072" spans="2:28" outlineLevel="1" x14ac:dyDescent="0.15">
      <c r="B1072" s="1678" t="s">
        <v>3182</v>
      </c>
      <c r="C1072" s="1676">
        <v>462.55500000000001</v>
      </c>
      <c r="D1072" s="865"/>
      <c r="E1072" s="1677">
        <v>338.8</v>
      </c>
      <c r="F1072" s="1680">
        <v>123.75500000000001</v>
      </c>
      <c r="G1072" s="806"/>
      <c r="H1072" s="829"/>
      <c r="I1072" s="924"/>
      <c r="J1072" s="865"/>
      <c r="K1072" s="849"/>
      <c r="L1072" s="894"/>
      <c r="M1072" s="806"/>
      <c r="O1072" s="27"/>
      <c r="P1072" s="27"/>
      <c r="Q1072" s="27"/>
      <c r="R1072" s="13"/>
      <c r="W1072" s="4"/>
      <c r="X1072" s="4"/>
      <c r="Y1072" s="4"/>
      <c r="Z1072" s="4"/>
      <c r="AA1072" s="4"/>
      <c r="AB1072" s="4"/>
    </row>
    <row r="1073" spans="2:28" outlineLevel="1" x14ac:dyDescent="0.15">
      <c r="B1073" s="1678" t="s">
        <v>3183</v>
      </c>
      <c r="C1073" s="1676">
        <v>662.03</v>
      </c>
      <c r="D1073" s="865"/>
      <c r="E1073" s="1677">
        <v>624.4</v>
      </c>
      <c r="F1073" s="1680">
        <v>37.629999999999995</v>
      </c>
      <c r="G1073" s="806"/>
      <c r="H1073" s="829"/>
      <c r="I1073" s="924"/>
      <c r="J1073" s="865"/>
      <c r="K1073" s="849"/>
      <c r="L1073" s="894"/>
      <c r="M1073" s="806"/>
      <c r="O1073" s="27"/>
      <c r="P1073" s="27"/>
      <c r="Q1073" s="27"/>
      <c r="R1073" s="13"/>
      <c r="W1073" s="4"/>
      <c r="X1073" s="4"/>
      <c r="Y1073" s="4"/>
      <c r="Z1073" s="4"/>
      <c r="AA1073" s="4"/>
      <c r="AB1073" s="4"/>
    </row>
    <row r="1074" spans="2:28" outlineLevel="1" x14ac:dyDescent="0.15">
      <c r="B1074" s="1678" t="s">
        <v>3184</v>
      </c>
      <c r="C1074" s="1676">
        <v>260.40899999999999</v>
      </c>
      <c r="D1074" s="865"/>
      <c r="E1074" s="1677">
        <v>242.76</v>
      </c>
      <c r="F1074" s="1680">
        <v>17.649000000000001</v>
      </c>
      <c r="G1074" s="806"/>
      <c r="H1074" s="829"/>
      <c r="I1074" s="924"/>
      <c r="J1074" s="865"/>
      <c r="K1074" s="849"/>
      <c r="L1074" s="894"/>
      <c r="M1074" s="806"/>
      <c r="O1074" s="27"/>
      <c r="P1074" s="27"/>
      <c r="Q1074" s="27"/>
      <c r="R1074" s="13"/>
      <c r="W1074" s="4"/>
      <c r="X1074" s="4"/>
      <c r="Y1074" s="4"/>
      <c r="Z1074" s="4"/>
      <c r="AA1074" s="4"/>
      <c r="AB1074" s="4"/>
    </row>
    <row r="1075" spans="2:28" outlineLevel="1" x14ac:dyDescent="0.15">
      <c r="B1075" s="1678"/>
      <c r="C1075" s="1676"/>
      <c r="D1075" s="865"/>
      <c r="E1075" s="1677"/>
      <c r="F1075" s="894"/>
      <c r="G1075" s="806"/>
      <c r="H1075" s="829"/>
      <c r="I1075" s="924"/>
      <c r="J1075" s="865"/>
      <c r="K1075" s="849"/>
      <c r="L1075" s="894"/>
      <c r="M1075" s="806"/>
      <c r="O1075" s="27"/>
      <c r="P1075" s="27"/>
      <c r="Q1075" s="27"/>
      <c r="R1075" s="13"/>
      <c r="W1075" s="4"/>
      <c r="X1075" s="4"/>
      <c r="Y1075" s="4"/>
      <c r="Z1075" s="4"/>
      <c r="AA1075" s="4"/>
      <c r="AB1075" s="4"/>
    </row>
    <row r="1076" spans="2:28" outlineLevel="1" x14ac:dyDescent="0.15">
      <c r="B1076" s="1679"/>
      <c r="C1076" s="1676"/>
      <c r="D1076" s="865"/>
      <c r="E1076" s="1677"/>
      <c r="F1076" s="894"/>
      <c r="G1076" s="806"/>
      <c r="H1076" s="829"/>
      <c r="I1076" s="924"/>
      <c r="J1076" s="865"/>
      <c r="K1076" s="849"/>
      <c r="L1076" s="894"/>
      <c r="M1076" s="806"/>
      <c r="O1076" s="27"/>
      <c r="P1076" s="27"/>
      <c r="Q1076" s="27"/>
      <c r="R1076" s="13"/>
      <c r="W1076" s="4"/>
      <c r="X1076" s="4"/>
      <c r="Y1076" s="4"/>
      <c r="Z1076" s="4"/>
      <c r="AA1076" s="4"/>
      <c r="AB1076" s="4"/>
    </row>
    <row r="1077" spans="2:28" outlineLevel="1" x14ac:dyDescent="0.15">
      <c r="B1077" s="800" t="s">
        <v>1190</v>
      </c>
      <c r="C1077" s="924">
        <v>1237.6120000000001</v>
      </c>
      <c r="D1077" s="865">
        <v>0</v>
      </c>
      <c r="E1077" s="849">
        <v>1288</v>
      </c>
      <c r="F1077" s="894">
        <v>77.91</v>
      </c>
      <c r="G1077" s="806">
        <v>0</v>
      </c>
      <c r="H1077" s="829">
        <v>0.5</v>
      </c>
      <c r="I1077" s="924">
        <v>0</v>
      </c>
      <c r="J1077" s="865">
        <v>0</v>
      </c>
      <c r="K1077" s="849">
        <v>0</v>
      </c>
      <c r="L1077" s="894">
        <v>0</v>
      </c>
      <c r="M1077" s="806">
        <v>0</v>
      </c>
      <c r="O1077" s="27"/>
      <c r="P1077" s="27"/>
      <c r="Q1077" s="27"/>
      <c r="R1077" s="13"/>
      <c r="W1077" s="4"/>
      <c r="X1077" s="4"/>
      <c r="Y1077" s="4"/>
      <c r="Z1077" s="4"/>
      <c r="AA1077" s="4"/>
      <c r="AB1077" s="4"/>
    </row>
    <row r="1078" spans="2:28" outlineLevel="1" x14ac:dyDescent="0.15">
      <c r="B1078" s="800" t="s">
        <v>1182</v>
      </c>
      <c r="C1078" s="924">
        <v>1350</v>
      </c>
      <c r="D1078" s="865">
        <v>0</v>
      </c>
      <c r="E1078" s="849">
        <v>1512</v>
      </c>
      <c r="F1078" s="894">
        <v>0</v>
      </c>
      <c r="G1078" s="806">
        <v>0</v>
      </c>
      <c r="H1078" s="829">
        <v>0.5</v>
      </c>
      <c r="I1078" s="924">
        <v>1183.3540101010001</v>
      </c>
      <c r="J1078" s="865">
        <v>598.85053370000003</v>
      </c>
      <c r="K1078" s="849">
        <v>12.997340244</v>
      </c>
      <c r="L1078" s="894">
        <v>509.45690505499999</v>
      </c>
      <c r="M1078" s="806">
        <v>0</v>
      </c>
      <c r="O1078" s="27"/>
      <c r="P1078" s="27"/>
      <c r="Q1078" s="27"/>
      <c r="R1078" s="13"/>
      <c r="W1078" s="4"/>
      <c r="X1078" s="4"/>
      <c r="Y1078" s="4"/>
      <c r="Z1078" s="4"/>
      <c r="AA1078" s="4"/>
      <c r="AB1078" s="4"/>
    </row>
    <row r="1079" spans="2:28" outlineLevel="1" x14ac:dyDescent="0.15">
      <c r="B1079" s="800" t="s">
        <v>1186</v>
      </c>
      <c r="C1079" s="924">
        <v>3051.26</v>
      </c>
      <c r="D1079" s="865">
        <v>0</v>
      </c>
      <c r="E1079" s="849">
        <v>3043.6</v>
      </c>
      <c r="F1079" s="894">
        <v>296.8</v>
      </c>
      <c r="G1079" s="806">
        <v>0</v>
      </c>
      <c r="H1079" s="829">
        <v>0.5</v>
      </c>
      <c r="I1079" s="924">
        <v>1183.3540101010001</v>
      </c>
      <c r="J1079" s="865">
        <v>598.85053370000003</v>
      </c>
      <c r="K1079" s="849">
        <v>12.997340244</v>
      </c>
      <c r="L1079" s="894">
        <v>509.45690505499999</v>
      </c>
      <c r="M1079" s="806">
        <v>0</v>
      </c>
      <c r="O1079" s="27"/>
      <c r="P1079" s="27"/>
      <c r="Q1079" s="27"/>
      <c r="R1079" s="13"/>
      <c r="W1079" s="4"/>
      <c r="X1079" s="4"/>
      <c r="Y1079" s="4"/>
      <c r="Z1079" s="4"/>
      <c r="AA1079" s="4"/>
      <c r="AB1079" s="4"/>
    </row>
    <row r="1080" spans="2:28" outlineLevel="1" x14ac:dyDescent="0.15">
      <c r="B1080" s="800" t="s">
        <v>1194</v>
      </c>
      <c r="C1080" s="924">
        <v>18.989999999999998</v>
      </c>
      <c r="D1080" s="865">
        <v>0</v>
      </c>
      <c r="E1080" s="849">
        <v>19.599999999999998</v>
      </c>
      <c r="F1080" s="894">
        <v>1.325</v>
      </c>
      <c r="G1080" s="806">
        <v>0</v>
      </c>
      <c r="H1080" s="829">
        <v>0.5</v>
      </c>
      <c r="I1080" s="924">
        <v>0.67582381499999999</v>
      </c>
      <c r="J1080" s="865">
        <v>0.25512142100000001</v>
      </c>
      <c r="K1080" s="849">
        <v>0</v>
      </c>
      <c r="L1080" s="894">
        <v>0.37411454499999997</v>
      </c>
      <c r="M1080" s="806">
        <v>0</v>
      </c>
      <c r="O1080" s="27"/>
      <c r="P1080" s="27"/>
      <c r="Q1080" s="27"/>
      <c r="R1080" s="13"/>
      <c r="W1080" s="4"/>
      <c r="X1080" s="4"/>
      <c r="Y1080" s="4"/>
      <c r="Z1080" s="4"/>
      <c r="AA1080" s="4"/>
      <c r="AB1080" s="4"/>
    </row>
    <row r="1081" spans="2:28" outlineLevel="1" x14ac:dyDescent="0.15">
      <c r="B1081" s="800" t="s">
        <v>1193</v>
      </c>
      <c r="C1081" s="924">
        <v>21.49</v>
      </c>
      <c r="D1081" s="865">
        <v>0</v>
      </c>
      <c r="E1081" s="849">
        <v>22.400000000000002</v>
      </c>
      <c r="F1081" s="894">
        <v>1.325</v>
      </c>
      <c r="G1081" s="806">
        <v>0</v>
      </c>
      <c r="H1081" s="829">
        <v>0.5</v>
      </c>
      <c r="I1081" s="924">
        <v>1.1026600660000001</v>
      </c>
      <c r="J1081" s="865">
        <v>0.41625074000000001</v>
      </c>
      <c r="K1081" s="849">
        <v>0</v>
      </c>
      <c r="L1081" s="894">
        <v>0.61039755500000004</v>
      </c>
      <c r="M1081" s="806">
        <v>0</v>
      </c>
      <c r="O1081" s="27"/>
      <c r="P1081" s="27"/>
      <c r="Q1081" s="27"/>
      <c r="R1081" s="13"/>
      <c r="W1081" s="4"/>
      <c r="X1081" s="4"/>
      <c r="Y1081" s="4"/>
      <c r="Z1081" s="4"/>
      <c r="AA1081" s="4"/>
      <c r="AB1081" s="4"/>
    </row>
    <row r="1082" spans="2:28" outlineLevel="1" x14ac:dyDescent="0.15">
      <c r="B1082" s="800" t="s">
        <v>1188</v>
      </c>
      <c r="C1082" s="924">
        <v>4536.8599999999997</v>
      </c>
      <c r="D1082" s="865">
        <v>0</v>
      </c>
      <c r="E1082" s="849">
        <v>3973.2000000000003</v>
      </c>
      <c r="F1082" s="894">
        <v>879.8</v>
      </c>
      <c r="G1082" s="806">
        <v>0</v>
      </c>
      <c r="H1082" s="829">
        <v>0.5</v>
      </c>
      <c r="I1082" s="924">
        <v>1262.2442774829999</v>
      </c>
      <c r="J1082" s="865">
        <v>638.77390270000001</v>
      </c>
      <c r="K1082" s="849">
        <v>13.863829588</v>
      </c>
      <c r="L1082" s="894">
        <v>543.42069868999999</v>
      </c>
      <c r="M1082" s="806">
        <v>0</v>
      </c>
      <c r="O1082" s="27"/>
      <c r="P1082" s="27"/>
      <c r="Q1082" s="27"/>
      <c r="R1082" s="13"/>
      <c r="W1082" s="4"/>
      <c r="X1082" s="4"/>
      <c r="Y1082" s="4"/>
      <c r="Z1082" s="4"/>
      <c r="AA1082" s="4"/>
      <c r="AB1082" s="4"/>
    </row>
    <row r="1083" spans="2:28" outlineLevel="1" x14ac:dyDescent="0.15">
      <c r="B1083" s="800" t="s">
        <v>1178</v>
      </c>
      <c r="C1083" s="924">
        <v>1282.5</v>
      </c>
      <c r="D1083" s="865">
        <v>0</v>
      </c>
      <c r="E1083" s="849">
        <v>1436.3999999999999</v>
      </c>
      <c r="F1083" s="894">
        <v>0</v>
      </c>
      <c r="G1083" s="806">
        <v>0</v>
      </c>
      <c r="H1083" s="829">
        <v>0.5</v>
      </c>
      <c r="I1083" s="924">
        <v>1183.3540101010001</v>
      </c>
      <c r="J1083" s="865">
        <v>598.85053370000003</v>
      </c>
      <c r="K1083" s="849">
        <v>12.997340244</v>
      </c>
      <c r="L1083" s="894">
        <v>509.45690505499999</v>
      </c>
      <c r="M1083" s="806">
        <v>0</v>
      </c>
      <c r="O1083" s="27"/>
      <c r="P1083" s="27"/>
      <c r="Q1083" s="27"/>
      <c r="R1083" s="13"/>
      <c r="W1083" s="4"/>
      <c r="X1083" s="4"/>
      <c r="Y1083" s="4"/>
      <c r="Z1083" s="4"/>
      <c r="AA1083" s="4"/>
      <c r="AB1083" s="4"/>
    </row>
    <row r="1084" spans="2:28" outlineLevel="1" x14ac:dyDescent="0.15">
      <c r="B1084" s="800" t="s">
        <v>1177</v>
      </c>
      <c r="C1084" s="924">
        <v>21.49</v>
      </c>
      <c r="D1084" s="865">
        <v>0</v>
      </c>
      <c r="E1084" s="849">
        <v>22.400000000000002</v>
      </c>
      <c r="F1084" s="894">
        <v>1.325</v>
      </c>
      <c r="G1084" s="806">
        <v>0</v>
      </c>
      <c r="H1084" s="829">
        <v>0.5</v>
      </c>
      <c r="I1084" s="924">
        <v>0.99595085500000002</v>
      </c>
      <c r="J1084" s="865">
        <v>0.375968411</v>
      </c>
      <c r="K1084" s="849">
        <v>0</v>
      </c>
      <c r="L1084" s="894">
        <v>0.55132667000000002</v>
      </c>
      <c r="M1084" s="806">
        <v>0</v>
      </c>
      <c r="O1084" s="27"/>
      <c r="P1084" s="27"/>
      <c r="Q1084" s="27"/>
      <c r="R1084" s="13"/>
      <c r="W1084" s="4"/>
      <c r="X1084" s="4"/>
      <c r="Y1084" s="4"/>
      <c r="Z1084" s="4"/>
      <c r="AA1084" s="4"/>
      <c r="AB1084" s="4"/>
    </row>
    <row r="1085" spans="2:28" outlineLevel="1" x14ac:dyDescent="0.15">
      <c r="B1085" s="800" t="s">
        <v>1172</v>
      </c>
      <c r="C1085" s="924">
        <v>608.08600000000001</v>
      </c>
      <c r="D1085" s="865">
        <v>0</v>
      </c>
      <c r="E1085" s="849">
        <v>428.40000000000003</v>
      </c>
      <c r="F1085" s="894">
        <v>200.60499999999999</v>
      </c>
      <c r="G1085" s="806">
        <v>0</v>
      </c>
      <c r="H1085" s="829">
        <v>0.5</v>
      </c>
      <c r="I1085" s="924">
        <v>99.115805845000011</v>
      </c>
      <c r="J1085" s="865">
        <v>25.59566457</v>
      </c>
      <c r="K1085" s="849">
        <v>1.4615962759999999</v>
      </c>
      <c r="L1085" s="894">
        <v>64.218165499999998</v>
      </c>
      <c r="M1085" s="806">
        <v>0</v>
      </c>
      <c r="O1085" s="27"/>
      <c r="P1085" s="27"/>
      <c r="Q1085" s="27"/>
      <c r="R1085" s="13"/>
      <c r="W1085" s="4"/>
      <c r="X1085" s="4"/>
      <c r="Y1085" s="4"/>
      <c r="Z1085" s="4"/>
      <c r="AA1085" s="4"/>
      <c r="AB1085" s="4"/>
    </row>
    <row r="1086" spans="2:28" outlineLevel="1" x14ac:dyDescent="0.15">
      <c r="B1086" s="800" t="s">
        <v>1184</v>
      </c>
      <c r="C1086" s="924">
        <v>227.64799999999997</v>
      </c>
      <c r="D1086" s="865">
        <v>0</v>
      </c>
      <c r="E1086" s="849">
        <v>229.59999999999997</v>
      </c>
      <c r="F1086" s="894">
        <v>20.14</v>
      </c>
      <c r="G1086" s="806">
        <v>0</v>
      </c>
      <c r="H1086" s="829">
        <v>0.5</v>
      </c>
      <c r="I1086" s="924">
        <v>1.141786688</v>
      </c>
      <c r="J1086" s="865">
        <v>0.43102092800000003</v>
      </c>
      <c r="K1086" s="849">
        <v>0</v>
      </c>
      <c r="L1086" s="894">
        <v>0.63205680000000009</v>
      </c>
      <c r="M1086" s="806">
        <v>0</v>
      </c>
      <c r="O1086" s="27"/>
      <c r="P1086" s="27"/>
      <c r="Q1086" s="27"/>
      <c r="R1086" s="13"/>
      <c r="W1086" s="4"/>
      <c r="X1086" s="4"/>
      <c r="Y1086" s="4"/>
      <c r="Z1086" s="4"/>
      <c r="AA1086" s="4"/>
      <c r="AB1086" s="4"/>
    </row>
    <row r="1087" spans="2:28" outlineLevel="1" x14ac:dyDescent="0.15">
      <c r="B1087" s="800" t="s">
        <v>1185</v>
      </c>
      <c r="C1087" s="924">
        <v>732.5</v>
      </c>
      <c r="D1087" s="865">
        <v>0</v>
      </c>
      <c r="E1087" s="849">
        <v>820.4</v>
      </c>
      <c r="F1087" s="894">
        <v>0</v>
      </c>
      <c r="G1087" s="806">
        <v>0</v>
      </c>
      <c r="H1087" s="829">
        <v>0.5</v>
      </c>
      <c r="I1087" s="924">
        <v>394.45133683300003</v>
      </c>
      <c r="J1087" s="865">
        <v>199.61684460000001</v>
      </c>
      <c r="K1087" s="849">
        <v>4.3324467479999997</v>
      </c>
      <c r="L1087" s="894">
        <v>169.81896843999999</v>
      </c>
      <c r="M1087" s="806">
        <v>0</v>
      </c>
      <c r="O1087" s="27"/>
      <c r="P1087" s="27"/>
      <c r="Q1087" s="27"/>
      <c r="R1087" s="13"/>
      <c r="W1087" s="4"/>
      <c r="X1087" s="4"/>
      <c r="Y1087" s="4"/>
      <c r="Z1087" s="4"/>
      <c r="AA1087" s="4"/>
      <c r="AB1087" s="4"/>
    </row>
    <row r="1088" spans="2:28" outlineLevel="1" x14ac:dyDescent="0.15">
      <c r="B1088" s="800" t="s">
        <v>1181</v>
      </c>
      <c r="C1088" s="924">
        <v>1282.5</v>
      </c>
      <c r="D1088" s="865">
        <v>0</v>
      </c>
      <c r="E1088" s="849">
        <v>1436.3999999999999</v>
      </c>
      <c r="F1088" s="894">
        <v>0</v>
      </c>
      <c r="G1088" s="806">
        <v>0</v>
      </c>
      <c r="H1088" s="829">
        <v>0.5</v>
      </c>
      <c r="I1088" s="924">
        <v>1183.3540101010001</v>
      </c>
      <c r="J1088" s="865">
        <v>598.85053370000003</v>
      </c>
      <c r="K1088" s="849">
        <v>12.997340244</v>
      </c>
      <c r="L1088" s="894">
        <v>509.45690505499999</v>
      </c>
      <c r="M1088" s="806">
        <v>0</v>
      </c>
      <c r="O1088" s="27"/>
      <c r="P1088" s="27"/>
      <c r="Q1088" s="27"/>
      <c r="R1088" s="13"/>
      <c r="W1088" s="4"/>
      <c r="X1088" s="4"/>
      <c r="Y1088" s="4"/>
      <c r="Z1088" s="4"/>
      <c r="AA1088" s="4"/>
      <c r="AB1088" s="4"/>
    </row>
    <row r="1089" spans="2:28" outlineLevel="1" x14ac:dyDescent="0.15">
      <c r="B1089" s="800" t="s">
        <v>1179</v>
      </c>
      <c r="C1089" s="924">
        <v>1070.538</v>
      </c>
      <c r="D1089" s="865">
        <v>0</v>
      </c>
      <c r="E1089" s="849">
        <v>988.39999999999986</v>
      </c>
      <c r="F1089" s="894">
        <v>167.215</v>
      </c>
      <c r="G1089" s="806">
        <v>0</v>
      </c>
      <c r="H1089" s="829">
        <v>0.5</v>
      </c>
      <c r="I1089" s="924">
        <v>112.33124671100001</v>
      </c>
      <c r="J1089" s="865">
        <v>29.008419839999998</v>
      </c>
      <c r="K1089" s="849">
        <v>1.6564757720000001</v>
      </c>
      <c r="L1089" s="894">
        <v>72.780587655000005</v>
      </c>
      <c r="M1089" s="806">
        <v>0</v>
      </c>
      <c r="O1089" s="27"/>
      <c r="P1089" s="27"/>
      <c r="Q1089" s="27"/>
      <c r="R1089" s="13"/>
      <c r="W1089" s="4"/>
      <c r="X1089" s="4"/>
      <c r="Y1089" s="4"/>
      <c r="Z1089" s="4"/>
      <c r="AA1089" s="4"/>
      <c r="AB1089" s="4"/>
    </row>
    <row r="1090" spans="2:28" outlineLevel="1" x14ac:dyDescent="0.15">
      <c r="B1090" s="800" t="s">
        <v>1191</v>
      </c>
      <c r="C1090" s="924">
        <v>207.464</v>
      </c>
      <c r="D1090" s="865">
        <v>0</v>
      </c>
      <c r="E1090" s="849">
        <v>159.6</v>
      </c>
      <c r="F1090" s="894">
        <v>57.77</v>
      </c>
      <c r="G1090" s="806">
        <v>0</v>
      </c>
      <c r="H1090" s="829">
        <v>0.5</v>
      </c>
      <c r="I1090" s="924">
        <v>59.469483500000003</v>
      </c>
      <c r="J1090" s="865">
        <v>15.357398740000001</v>
      </c>
      <c r="K1090" s="849">
        <v>0.87695776000000003</v>
      </c>
      <c r="L1090" s="894">
        <v>38.530899300000002</v>
      </c>
      <c r="M1090" s="806">
        <v>0</v>
      </c>
      <c r="O1090" s="27"/>
      <c r="P1090" s="27"/>
      <c r="Q1090" s="27"/>
      <c r="R1090" s="13"/>
      <c r="W1090" s="4"/>
      <c r="X1090" s="4"/>
      <c r="Y1090" s="4"/>
      <c r="Z1090" s="4"/>
      <c r="AA1090" s="4"/>
      <c r="AB1090" s="4"/>
    </row>
    <row r="1091" spans="2:28" outlineLevel="1" x14ac:dyDescent="0.15">
      <c r="B1091" s="800" t="s">
        <v>1176</v>
      </c>
      <c r="C1091" s="924">
        <v>876.26</v>
      </c>
      <c r="D1091" s="865">
        <v>0</v>
      </c>
      <c r="E1091" s="849">
        <v>607.6</v>
      </c>
      <c r="F1091" s="894">
        <v>296.8</v>
      </c>
      <c r="G1091" s="806">
        <v>0</v>
      </c>
      <c r="H1091" s="829">
        <v>0.5</v>
      </c>
      <c r="I1091" s="924">
        <v>236.67080187099998</v>
      </c>
      <c r="J1091" s="865">
        <v>119.7701067</v>
      </c>
      <c r="K1091" s="849">
        <v>2.59946806</v>
      </c>
      <c r="L1091" s="894">
        <v>101.89138090499999</v>
      </c>
      <c r="M1091" s="806">
        <v>0</v>
      </c>
      <c r="O1091" s="27"/>
      <c r="P1091" s="27"/>
      <c r="Q1091" s="27"/>
      <c r="R1091" s="13"/>
      <c r="W1091" s="4"/>
      <c r="X1091" s="4"/>
      <c r="Y1091" s="4"/>
      <c r="Z1091" s="4"/>
      <c r="AA1091" s="4"/>
      <c r="AB1091" s="4"/>
    </row>
    <row r="1092" spans="2:28" outlineLevel="1" x14ac:dyDescent="0.15">
      <c r="B1092" s="800" t="s">
        <v>1183</v>
      </c>
      <c r="C1092" s="924">
        <v>21.49</v>
      </c>
      <c r="D1092" s="865">
        <v>0</v>
      </c>
      <c r="E1092" s="849">
        <v>22.400000000000002</v>
      </c>
      <c r="F1092" s="894">
        <v>1.325</v>
      </c>
      <c r="G1092" s="806">
        <v>0</v>
      </c>
      <c r="H1092" s="829">
        <v>0.5</v>
      </c>
      <c r="I1092" s="924">
        <v>1.316078192</v>
      </c>
      <c r="J1092" s="865">
        <v>0.49681540000000002</v>
      </c>
      <c r="K1092" s="849">
        <v>0</v>
      </c>
      <c r="L1092" s="894">
        <v>0.72853906000000002</v>
      </c>
      <c r="M1092" s="806">
        <v>0</v>
      </c>
      <c r="O1092" s="27"/>
      <c r="P1092" s="27"/>
      <c r="Q1092" s="27"/>
      <c r="R1092" s="13"/>
      <c r="W1092" s="4"/>
      <c r="X1092" s="4"/>
      <c r="Y1092" s="4"/>
      <c r="Z1092" s="4"/>
      <c r="AA1092" s="4"/>
      <c r="AB1092" s="4"/>
    </row>
    <row r="1093" spans="2:28" outlineLevel="1" x14ac:dyDescent="0.15">
      <c r="B1093" s="800" t="s">
        <v>1180</v>
      </c>
      <c r="C1093" s="924">
        <v>1988.76</v>
      </c>
      <c r="D1093" s="865">
        <v>0</v>
      </c>
      <c r="E1093" s="849">
        <v>1853.6000000000001</v>
      </c>
      <c r="F1093" s="894">
        <v>296.8</v>
      </c>
      <c r="G1093" s="806">
        <v>0</v>
      </c>
      <c r="H1093" s="829">
        <v>0.5</v>
      </c>
      <c r="I1093" s="924">
        <v>1183.3540101010001</v>
      </c>
      <c r="J1093" s="865">
        <v>598.85053370000003</v>
      </c>
      <c r="K1093" s="849">
        <v>12.997340244</v>
      </c>
      <c r="L1093" s="894">
        <v>509.45690505499999</v>
      </c>
      <c r="M1093" s="806">
        <v>0</v>
      </c>
      <c r="O1093" s="27"/>
      <c r="P1093" s="27"/>
      <c r="Q1093" s="27"/>
      <c r="R1093" s="13"/>
      <c r="W1093" s="4"/>
      <c r="X1093" s="4"/>
      <c r="Y1093" s="4"/>
      <c r="Z1093" s="4"/>
      <c r="AA1093" s="4"/>
      <c r="AB1093" s="4"/>
    </row>
    <row r="1094" spans="2:28" outlineLevel="1" x14ac:dyDescent="0.15">
      <c r="B1094" s="800" t="s">
        <v>1173</v>
      </c>
      <c r="C1094" s="924">
        <v>70.677999999999997</v>
      </c>
      <c r="D1094" s="865">
        <v>0</v>
      </c>
      <c r="E1094" s="849">
        <v>58.800000000000004</v>
      </c>
      <c r="F1094" s="894">
        <v>16.164999999999999</v>
      </c>
      <c r="G1094" s="806">
        <v>0</v>
      </c>
      <c r="H1094" s="829">
        <v>0.5</v>
      </c>
      <c r="I1094" s="924">
        <v>26.430881445000001</v>
      </c>
      <c r="J1094" s="865">
        <v>6.8255105509999998</v>
      </c>
      <c r="K1094" s="849">
        <v>0.38975899199999997</v>
      </c>
      <c r="L1094" s="894">
        <v>17.124844045</v>
      </c>
      <c r="M1094" s="806">
        <v>0</v>
      </c>
      <c r="O1094" s="27"/>
      <c r="P1094" s="27"/>
      <c r="Q1094" s="27"/>
      <c r="R1094" s="13"/>
      <c r="W1094" s="4"/>
      <c r="X1094" s="4"/>
      <c r="Y1094" s="4"/>
      <c r="Z1094" s="4"/>
      <c r="AA1094" s="4"/>
      <c r="AB1094" s="4"/>
    </row>
    <row r="1095" spans="2:28" outlineLevel="1" x14ac:dyDescent="0.15">
      <c r="B1095" s="800" t="s">
        <v>1174</v>
      </c>
      <c r="C1095" s="924">
        <v>23.393999999999998</v>
      </c>
      <c r="D1095" s="865">
        <v>0</v>
      </c>
      <c r="E1095" s="849">
        <v>25.2</v>
      </c>
      <c r="F1095" s="894">
        <v>0.79500000000000004</v>
      </c>
      <c r="G1095" s="806">
        <v>0</v>
      </c>
      <c r="H1095" s="829">
        <v>0.5</v>
      </c>
      <c r="I1095" s="924">
        <v>26.430881445000001</v>
      </c>
      <c r="J1095" s="865">
        <v>6.8255105509999998</v>
      </c>
      <c r="K1095" s="849">
        <v>0.38975899199999997</v>
      </c>
      <c r="L1095" s="894">
        <v>17.124844045</v>
      </c>
      <c r="M1095" s="806">
        <v>0</v>
      </c>
      <c r="O1095" s="27"/>
      <c r="P1095" s="27"/>
      <c r="Q1095" s="27"/>
      <c r="R1095" s="13"/>
      <c r="W1095" s="4"/>
      <c r="X1095" s="4"/>
      <c r="Y1095" s="4"/>
      <c r="Z1095" s="4"/>
      <c r="AA1095" s="4"/>
      <c r="AB1095" s="4"/>
    </row>
    <row r="1096" spans="2:28" outlineLevel="1" x14ac:dyDescent="0.15">
      <c r="B1096" s="800" t="s">
        <v>1192</v>
      </c>
      <c r="C1096" s="924">
        <v>277.09800000000001</v>
      </c>
      <c r="D1096" s="865">
        <v>0</v>
      </c>
      <c r="E1096" s="849">
        <v>193.20000000000002</v>
      </c>
      <c r="F1096" s="894">
        <v>93.015000000000001</v>
      </c>
      <c r="G1096" s="806">
        <v>0</v>
      </c>
      <c r="H1096" s="829">
        <v>0.5</v>
      </c>
      <c r="I1096" s="924">
        <v>59.469483500000003</v>
      </c>
      <c r="J1096" s="865">
        <v>15.357398740000001</v>
      </c>
      <c r="K1096" s="849">
        <v>0.87695776000000003</v>
      </c>
      <c r="L1096" s="894">
        <v>38.530899300000002</v>
      </c>
      <c r="M1096" s="806">
        <v>0</v>
      </c>
      <c r="O1096" s="27"/>
      <c r="P1096" s="27"/>
      <c r="Q1096" s="27"/>
      <c r="R1096" s="13"/>
      <c r="W1096" s="4"/>
      <c r="X1096" s="4"/>
      <c r="Y1096" s="4"/>
      <c r="Z1096" s="4"/>
      <c r="AA1096" s="4"/>
      <c r="AB1096" s="4"/>
    </row>
    <row r="1097" spans="2:28" outlineLevel="1" x14ac:dyDescent="0.15">
      <c r="B1097" s="800" t="s">
        <v>1187</v>
      </c>
      <c r="C1097" s="924">
        <v>25.777999999999999</v>
      </c>
      <c r="D1097" s="865">
        <v>0</v>
      </c>
      <c r="E1097" s="849">
        <v>25.2</v>
      </c>
      <c r="F1097" s="894">
        <v>2.915</v>
      </c>
      <c r="G1097" s="806">
        <v>0</v>
      </c>
      <c r="H1097" s="829">
        <v>0.5</v>
      </c>
      <c r="I1097" s="924">
        <v>0</v>
      </c>
      <c r="J1097" s="865">
        <v>0</v>
      </c>
      <c r="K1097" s="849">
        <v>0</v>
      </c>
      <c r="L1097" s="894">
        <v>0</v>
      </c>
      <c r="M1097" s="806">
        <v>0</v>
      </c>
      <c r="O1097" s="27"/>
      <c r="P1097" s="27"/>
      <c r="Q1097" s="27"/>
      <c r="R1097" s="13"/>
      <c r="W1097" s="4"/>
      <c r="X1097" s="4"/>
      <c r="Y1097" s="4"/>
      <c r="Z1097" s="4"/>
      <c r="AA1097" s="4"/>
      <c r="AB1097" s="4"/>
    </row>
    <row r="1098" spans="2:28" outlineLevel="1" x14ac:dyDescent="0.15">
      <c r="B1098" s="800" t="s">
        <v>1170</v>
      </c>
      <c r="C1098" s="924">
        <v>2223.7599999999998</v>
      </c>
      <c r="D1098" s="865">
        <v>0</v>
      </c>
      <c r="E1098" s="849">
        <v>2116.7999999999997</v>
      </c>
      <c r="F1098" s="894">
        <v>296.8</v>
      </c>
      <c r="G1098" s="806">
        <v>0</v>
      </c>
      <c r="H1098" s="829">
        <v>0.5</v>
      </c>
      <c r="I1098" s="924">
        <v>1183.3540101010001</v>
      </c>
      <c r="J1098" s="865">
        <v>598.85053370000003</v>
      </c>
      <c r="K1098" s="849">
        <v>12.997340244</v>
      </c>
      <c r="L1098" s="894">
        <v>509.45690505499999</v>
      </c>
      <c r="M1098" s="806">
        <v>0</v>
      </c>
      <c r="O1098" s="27"/>
      <c r="P1098" s="27"/>
      <c r="Q1098" s="27"/>
      <c r="R1098" s="13"/>
      <c r="W1098" s="4"/>
      <c r="X1098" s="4"/>
      <c r="Y1098" s="4"/>
      <c r="Z1098" s="4"/>
      <c r="AA1098" s="4"/>
      <c r="AB1098" s="4"/>
    </row>
    <row r="1099" spans="2:28" outlineLevel="1" x14ac:dyDescent="0.15">
      <c r="B1099" s="800" t="s">
        <v>1175</v>
      </c>
      <c r="C1099" s="924">
        <v>563.96800000000007</v>
      </c>
      <c r="D1099" s="865">
        <v>0</v>
      </c>
      <c r="E1099" s="849">
        <v>492.80000000000007</v>
      </c>
      <c r="F1099" s="894">
        <v>110.24</v>
      </c>
      <c r="G1099" s="806">
        <v>0</v>
      </c>
      <c r="H1099" s="829">
        <v>0.5</v>
      </c>
      <c r="I1099" s="924">
        <v>99.115805845000011</v>
      </c>
      <c r="J1099" s="865">
        <v>25.59566457</v>
      </c>
      <c r="K1099" s="849">
        <v>1.4615962759999999</v>
      </c>
      <c r="L1099" s="894">
        <v>64.218165499999998</v>
      </c>
      <c r="M1099" s="806">
        <v>0</v>
      </c>
      <c r="O1099" s="27"/>
      <c r="P1099" s="27"/>
      <c r="Q1099" s="27"/>
      <c r="R1099" s="13"/>
      <c r="W1099" s="4"/>
      <c r="X1099" s="4"/>
      <c r="Y1099" s="4"/>
      <c r="Z1099" s="4"/>
      <c r="AA1099" s="4"/>
      <c r="AB1099" s="4"/>
    </row>
    <row r="1100" spans="2:28" outlineLevel="1" x14ac:dyDescent="0.15">
      <c r="B1100" s="800" t="s">
        <v>1189</v>
      </c>
      <c r="C1100" s="924">
        <v>3201.02</v>
      </c>
      <c r="D1100" s="865">
        <v>0</v>
      </c>
      <c r="E1100" s="849">
        <v>2587.2000000000003</v>
      </c>
      <c r="F1100" s="894">
        <v>792.35</v>
      </c>
      <c r="G1100" s="806">
        <v>0</v>
      </c>
      <c r="H1100" s="829">
        <v>0.5</v>
      </c>
      <c r="I1100" s="924">
        <v>1262.2442774829999</v>
      </c>
      <c r="J1100" s="865">
        <v>638.77390270000001</v>
      </c>
      <c r="K1100" s="849">
        <v>13.863829588</v>
      </c>
      <c r="L1100" s="894">
        <v>543.42069868999999</v>
      </c>
      <c r="M1100" s="806">
        <v>0</v>
      </c>
      <c r="O1100" s="27"/>
      <c r="P1100" s="27"/>
      <c r="Q1100" s="27"/>
      <c r="R1100" s="13"/>
      <c r="W1100" s="4"/>
      <c r="X1100" s="4"/>
      <c r="Y1100" s="4"/>
      <c r="Z1100" s="4"/>
      <c r="AA1100" s="4"/>
      <c r="AB1100" s="4"/>
    </row>
    <row r="1101" spans="2:28" outlineLevel="1" x14ac:dyDescent="0.15">
      <c r="B1101" s="800" t="s">
        <v>1023</v>
      </c>
      <c r="C1101" s="924">
        <v>21.49</v>
      </c>
      <c r="D1101" s="865">
        <v>0</v>
      </c>
      <c r="E1101" s="849">
        <v>22.400000000000002</v>
      </c>
      <c r="F1101" s="894">
        <v>1.325</v>
      </c>
      <c r="G1101" s="806">
        <v>0</v>
      </c>
      <c r="H1101" s="829">
        <v>0.5</v>
      </c>
      <c r="I1101" s="924">
        <v>0.78253302699999994</v>
      </c>
      <c r="J1101" s="865">
        <v>0.29540375099999999</v>
      </c>
      <c r="K1101" s="849">
        <v>0</v>
      </c>
      <c r="L1101" s="894">
        <v>0.43318543000000004</v>
      </c>
      <c r="M1101" s="806">
        <v>0</v>
      </c>
      <c r="O1101" s="27"/>
      <c r="P1101" s="27"/>
      <c r="Q1101" s="27"/>
      <c r="R1101" s="13"/>
      <c r="W1101" s="4"/>
      <c r="X1101" s="4"/>
      <c r="Y1101" s="4"/>
      <c r="Z1101" s="4"/>
      <c r="AA1101" s="4"/>
      <c r="AB1101" s="4"/>
    </row>
    <row r="1102" spans="2:28" outlineLevel="1" x14ac:dyDescent="0.15">
      <c r="B1102" s="801"/>
      <c r="C1102" s="802"/>
      <c r="D1102" s="801"/>
      <c r="E1102" s="823"/>
      <c r="F1102" s="824"/>
      <c r="G1102" s="802"/>
      <c r="H1102" s="830"/>
      <c r="I1102" s="802"/>
      <c r="J1102" s="801"/>
      <c r="K1102" s="823"/>
      <c r="L1102" s="824"/>
      <c r="M1102" s="802"/>
      <c r="W1102" s="4"/>
      <c r="X1102" s="4"/>
      <c r="Y1102" s="4"/>
      <c r="Z1102" s="4"/>
      <c r="AA1102" s="4"/>
      <c r="AB1102" s="4"/>
    </row>
    <row r="1103" spans="2:28" outlineLevel="1" x14ac:dyDescent="0.15"/>
    <row r="1104" spans="2:28" outlineLevel="1" x14ac:dyDescent="0.15"/>
    <row r="1105" spans="2:7" outlineLevel="1" x14ac:dyDescent="0.15">
      <c r="B1105" s="900" t="s">
        <v>1195</v>
      </c>
      <c r="C1105" s="1879" t="s">
        <v>1196</v>
      </c>
      <c r="D1105" s="1880"/>
      <c r="E1105" s="1874" t="s">
        <v>723</v>
      </c>
      <c r="F1105" s="1342" t="s">
        <v>1196</v>
      </c>
      <c r="G1105" s="1874" t="s">
        <v>723</v>
      </c>
    </row>
    <row r="1106" spans="2:7" outlineLevel="1" x14ac:dyDescent="0.15">
      <c r="B1106" s="880"/>
      <c r="C1106" s="1556" t="s">
        <v>768</v>
      </c>
      <c r="D1106" s="1341" t="s">
        <v>24</v>
      </c>
      <c r="E1106" s="1875"/>
      <c r="F1106" s="1560" t="s">
        <v>1197</v>
      </c>
      <c r="G1106" s="1875"/>
    </row>
    <row r="1107" spans="2:7" outlineLevel="1" x14ac:dyDescent="0.15">
      <c r="B1107" s="800" t="s">
        <v>1205</v>
      </c>
      <c r="C1107" s="1128">
        <v>28.07614031007752</v>
      </c>
      <c r="D1107" s="1129">
        <v>266.17500000000001</v>
      </c>
      <c r="E1107" s="807">
        <v>0.3</v>
      </c>
      <c r="F1107" s="1131">
        <v>111.7824048045115</v>
      </c>
      <c r="G1107" s="807">
        <v>0.5</v>
      </c>
    </row>
    <row r="1108" spans="2:7" outlineLevel="1" x14ac:dyDescent="0.15">
      <c r="B1108" s="800" t="s">
        <v>1201</v>
      </c>
      <c r="C1108" s="1128">
        <v>28.07614031007752</v>
      </c>
      <c r="D1108" s="1129">
        <v>266.17500000000001</v>
      </c>
      <c r="E1108" s="807">
        <v>0.3</v>
      </c>
      <c r="F1108" s="1131">
        <v>111.7824048045115</v>
      </c>
      <c r="G1108" s="807">
        <v>0.5</v>
      </c>
    </row>
    <row r="1109" spans="2:7" outlineLevel="1" x14ac:dyDescent="0.15">
      <c r="B1109" s="800" t="s">
        <v>1203</v>
      </c>
      <c r="C1109" s="1128">
        <v>28.07614031007752</v>
      </c>
      <c r="D1109" s="1129">
        <v>266.17500000000001</v>
      </c>
      <c r="E1109" s="807">
        <v>0.3</v>
      </c>
      <c r="F1109" s="1131">
        <v>111.7824048045115</v>
      </c>
      <c r="G1109" s="807">
        <v>0.5</v>
      </c>
    </row>
    <row r="1110" spans="2:7" outlineLevel="1" x14ac:dyDescent="0.15">
      <c r="B1110" s="800" t="s">
        <v>1204</v>
      </c>
      <c r="C1110" s="1128">
        <v>28.07614031007752</v>
      </c>
      <c r="D1110" s="1129">
        <v>266.17500000000001</v>
      </c>
      <c r="E1110" s="807">
        <v>0.3</v>
      </c>
      <c r="F1110" s="1131">
        <v>111.7824048045115</v>
      </c>
      <c r="G1110" s="807">
        <v>0.5</v>
      </c>
    </row>
    <row r="1111" spans="2:7" outlineLevel="1" x14ac:dyDescent="0.15">
      <c r="B1111" s="800" t="s">
        <v>1200</v>
      </c>
      <c r="C1111" s="1128">
        <v>28.07614031007752</v>
      </c>
      <c r="D1111" s="1129">
        <v>266.17500000000001</v>
      </c>
      <c r="E1111" s="807">
        <v>0.3</v>
      </c>
      <c r="F1111" s="1131">
        <v>111.7824048045115</v>
      </c>
      <c r="G1111" s="807">
        <v>0.5</v>
      </c>
    </row>
    <row r="1112" spans="2:7" outlineLevel="1" x14ac:dyDescent="0.15">
      <c r="B1112" s="800" t="s">
        <v>1199</v>
      </c>
      <c r="C1112" s="1128">
        <v>42.11421046511628</v>
      </c>
      <c r="D1112" s="1129">
        <v>399.26249999999999</v>
      </c>
      <c r="E1112" s="807">
        <v>0.3</v>
      </c>
      <c r="F1112" s="1130">
        <v>127.85569176986608</v>
      </c>
      <c r="G1112" s="807">
        <v>0.5</v>
      </c>
    </row>
    <row r="1113" spans="2:7" outlineLevel="1" x14ac:dyDescent="0.15">
      <c r="B1113" s="800" t="s">
        <v>1206</v>
      </c>
      <c r="C1113" s="1128">
        <v>28.07614031007752</v>
      </c>
      <c r="D1113" s="1129">
        <v>266.17500000000001</v>
      </c>
      <c r="E1113" s="807">
        <v>0.3</v>
      </c>
      <c r="F1113" s="1131">
        <v>111.7824048045115</v>
      </c>
      <c r="G1113" s="807">
        <v>0.5</v>
      </c>
    </row>
    <row r="1114" spans="2:7" outlineLevel="1" x14ac:dyDescent="0.15">
      <c r="B1114" s="800" t="s">
        <v>1207</v>
      </c>
      <c r="C1114" s="1128">
        <v>42.11421046511628</v>
      </c>
      <c r="D1114" s="1129">
        <v>399.26249999999999</v>
      </c>
      <c r="E1114" s="807">
        <v>0.3</v>
      </c>
      <c r="F1114" s="1130">
        <v>127.85569176986608</v>
      </c>
      <c r="G1114" s="807">
        <v>0.5</v>
      </c>
    </row>
    <row r="1115" spans="2:7" outlineLevel="1" x14ac:dyDescent="0.15">
      <c r="B1115" s="800" t="s">
        <v>1208</v>
      </c>
      <c r="C1115" s="1128">
        <v>18.249491201550388</v>
      </c>
      <c r="D1115" s="1129">
        <v>173.01374999999999</v>
      </c>
      <c r="E1115" s="807">
        <v>0.3</v>
      </c>
      <c r="F1115" s="1130">
        <v>25.571138353973215</v>
      </c>
      <c r="G1115" s="807">
        <v>0.5</v>
      </c>
    </row>
    <row r="1116" spans="2:7" outlineLevel="1" x14ac:dyDescent="0.15">
      <c r="B1116" s="800" t="s">
        <v>1202</v>
      </c>
      <c r="C1116" s="1128">
        <v>28.07614031007752</v>
      </c>
      <c r="D1116" s="1129">
        <v>266.17500000000001</v>
      </c>
      <c r="E1116" s="807">
        <v>0.3</v>
      </c>
      <c r="F1116" s="1131">
        <v>111.7824048045115</v>
      </c>
      <c r="G1116" s="807">
        <v>0.5</v>
      </c>
    </row>
    <row r="1117" spans="2:7" outlineLevel="1" x14ac:dyDescent="0.15">
      <c r="B1117" s="800" t="s">
        <v>1198</v>
      </c>
      <c r="C1117" s="1128">
        <v>28.07614031007752</v>
      </c>
      <c r="D1117" s="1129">
        <v>266.17500000000001</v>
      </c>
      <c r="E1117" s="807">
        <v>0.3</v>
      </c>
      <c r="F1117" s="1131">
        <v>111.7824048045115</v>
      </c>
      <c r="G1117" s="807">
        <v>0.5</v>
      </c>
    </row>
    <row r="1118" spans="2:7" outlineLevel="1" x14ac:dyDescent="0.15">
      <c r="B1118" s="800" t="s">
        <v>1209</v>
      </c>
      <c r="C1118" s="1128">
        <v>28.07614031007752</v>
      </c>
      <c r="D1118" s="1129">
        <v>266.17500000000001</v>
      </c>
      <c r="E1118" s="807">
        <v>0.3</v>
      </c>
      <c r="F1118" s="1131">
        <v>111.7824048045115</v>
      </c>
      <c r="G1118" s="807">
        <v>0.5</v>
      </c>
    </row>
    <row r="1119" spans="2:7" outlineLevel="1" x14ac:dyDescent="0.15">
      <c r="B1119" s="800" t="s">
        <v>1211</v>
      </c>
      <c r="C1119" s="1128">
        <v>18.249491201550388</v>
      </c>
      <c r="D1119" s="1129">
        <v>173.01374999999999</v>
      </c>
      <c r="E1119" s="807">
        <v>0.3</v>
      </c>
      <c r="F1119" s="1130">
        <v>25.571138353973215</v>
      </c>
      <c r="G1119" s="807">
        <v>0.5</v>
      </c>
    </row>
    <row r="1120" spans="2:7" outlineLevel="1" x14ac:dyDescent="0.15">
      <c r="B1120" s="800" t="s">
        <v>1210</v>
      </c>
      <c r="C1120" s="1128">
        <v>53.344666589147288</v>
      </c>
      <c r="D1120" s="1129">
        <v>505.73250000000007</v>
      </c>
      <c r="E1120" s="807">
        <v>0.3</v>
      </c>
      <c r="F1120" s="1130">
        <v>168.03890918325257</v>
      </c>
      <c r="G1120" s="807">
        <v>0.5</v>
      </c>
    </row>
    <row r="1121" spans="2:22" outlineLevel="1" x14ac:dyDescent="0.15">
      <c r="B1121" s="801"/>
      <c r="C1121" s="996"/>
      <c r="D1121" s="997"/>
      <c r="E1121" s="802"/>
      <c r="F1121" s="802"/>
      <c r="G1121" s="814"/>
    </row>
    <row r="1122" spans="2:22" outlineLevel="1" x14ac:dyDescent="0.15"/>
    <row r="1123" spans="2:22" outlineLevel="1" x14ac:dyDescent="0.15">
      <c r="B1123" s="900" t="s">
        <v>1212</v>
      </c>
      <c r="C1123" s="1491"/>
      <c r="D1123" s="1874" t="s">
        <v>723</v>
      </c>
      <c r="V1123" s="13"/>
    </row>
    <row r="1124" spans="2:22" outlineLevel="1" x14ac:dyDescent="0.15">
      <c r="B1124" s="1487"/>
      <c r="C1124" s="1492" t="s">
        <v>1196</v>
      </c>
      <c r="D1124" s="1875"/>
      <c r="V1124" s="13"/>
    </row>
    <row r="1125" spans="2:22" outlineLevel="1" x14ac:dyDescent="0.15">
      <c r="B1125" s="800" t="s">
        <v>1205</v>
      </c>
      <c r="C1125" s="1128">
        <v>112</v>
      </c>
      <c r="D1125" s="807">
        <v>0.5</v>
      </c>
      <c r="V1125" s="13"/>
    </row>
    <row r="1126" spans="2:22" outlineLevel="1" x14ac:dyDescent="0.15">
      <c r="B1126" s="800" t="s">
        <v>1201</v>
      </c>
      <c r="C1126" s="1128">
        <v>112</v>
      </c>
      <c r="D1126" s="807">
        <v>0.5</v>
      </c>
      <c r="V1126" s="13"/>
    </row>
    <row r="1127" spans="2:22" outlineLevel="1" x14ac:dyDescent="0.15">
      <c r="B1127" s="800" t="s">
        <v>1203</v>
      </c>
      <c r="C1127" s="1128">
        <v>112</v>
      </c>
      <c r="D1127" s="807">
        <v>0.5</v>
      </c>
      <c r="V1127" s="13"/>
    </row>
    <row r="1128" spans="2:22" outlineLevel="1" x14ac:dyDescent="0.15">
      <c r="B1128" s="800" t="s">
        <v>1204</v>
      </c>
      <c r="C1128" s="1128">
        <v>112</v>
      </c>
      <c r="D1128" s="807">
        <v>0.5</v>
      </c>
      <c r="V1128" s="13"/>
    </row>
    <row r="1129" spans="2:22" outlineLevel="1" x14ac:dyDescent="0.15">
      <c r="B1129" s="800" t="s">
        <v>1200</v>
      </c>
      <c r="C1129" s="1128">
        <v>112</v>
      </c>
      <c r="D1129" s="807">
        <v>0.5</v>
      </c>
      <c r="V1129" s="13"/>
    </row>
    <row r="1130" spans="2:22" outlineLevel="1" x14ac:dyDescent="0.15">
      <c r="B1130" s="800" t="s">
        <v>1199</v>
      </c>
      <c r="C1130" s="1128">
        <v>128</v>
      </c>
      <c r="D1130" s="807">
        <v>0.5</v>
      </c>
      <c r="V1130" s="13"/>
    </row>
    <row r="1131" spans="2:22" outlineLevel="1" x14ac:dyDescent="0.15">
      <c r="B1131" s="800" t="s">
        <v>1206</v>
      </c>
      <c r="C1131" s="1128">
        <v>112</v>
      </c>
      <c r="D1131" s="807">
        <v>0.5</v>
      </c>
      <c r="V1131" s="13"/>
    </row>
    <row r="1132" spans="2:22" outlineLevel="1" x14ac:dyDescent="0.15">
      <c r="B1132" s="800" t="s">
        <v>1207</v>
      </c>
      <c r="C1132" s="1128">
        <v>128</v>
      </c>
      <c r="D1132" s="807">
        <v>0.5</v>
      </c>
      <c r="V1132" s="13"/>
    </row>
    <row r="1133" spans="2:22" outlineLevel="1" x14ac:dyDescent="0.15">
      <c r="B1133" s="800" t="s">
        <v>1208</v>
      </c>
      <c r="C1133" s="1128">
        <v>25.6</v>
      </c>
      <c r="D1133" s="807">
        <v>0.5</v>
      </c>
      <c r="V1133" s="13"/>
    </row>
    <row r="1134" spans="2:22" outlineLevel="1" x14ac:dyDescent="0.15">
      <c r="B1134" s="800" t="s">
        <v>1202</v>
      </c>
      <c r="C1134" s="1128">
        <v>112</v>
      </c>
      <c r="D1134" s="807">
        <v>0.5</v>
      </c>
      <c r="V1134" s="13"/>
    </row>
    <row r="1135" spans="2:22" outlineLevel="1" x14ac:dyDescent="0.15">
      <c r="B1135" s="800" t="s">
        <v>1198</v>
      </c>
      <c r="C1135" s="1128">
        <v>112</v>
      </c>
      <c r="D1135" s="807">
        <v>0.5</v>
      </c>
      <c r="V1135" s="13"/>
    </row>
    <row r="1136" spans="2:22" outlineLevel="1" x14ac:dyDescent="0.15">
      <c r="B1136" s="800" t="s">
        <v>1209</v>
      </c>
      <c r="C1136" s="1128">
        <v>112</v>
      </c>
      <c r="D1136" s="807">
        <v>0.5</v>
      </c>
      <c r="V1136" s="13"/>
    </row>
    <row r="1137" spans="2:22" outlineLevel="1" x14ac:dyDescent="0.15">
      <c r="B1137" s="800" t="s">
        <v>1211</v>
      </c>
      <c r="C1137" s="1128">
        <v>25.6</v>
      </c>
      <c r="D1137" s="807">
        <v>0.5</v>
      </c>
      <c r="V1137" s="13"/>
    </row>
    <row r="1138" spans="2:22" outlineLevel="1" x14ac:dyDescent="0.15">
      <c r="B1138" s="800" t="s">
        <v>1210</v>
      </c>
      <c r="C1138" s="1128">
        <v>168</v>
      </c>
      <c r="D1138" s="807">
        <v>0.5</v>
      </c>
      <c r="V1138" s="13"/>
    </row>
    <row r="1139" spans="2:22" outlineLevel="1" x14ac:dyDescent="0.15">
      <c r="B1139" s="801"/>
      <c r="C1139" s="996"/>
      <c r="D1139" s="802"/>
      <c r="V1139" s="13"/>
    </row>
    <row r="1140" spans="2:22" outlineLevel="1" x14ac:dyDescent="0.15"/>
    <row r="1141" spans="2:22" outlineLevel="1" x14ac:dyDescent="0.15"/>
    <row r="1142" spans="2:22" outlineLevel="1" x14ac:dyDescent="0.15">
      <c r="B1142" s="1475" t="s">
        <v>1214</v>
      </c>
      <c r="C1142" s="1361"/>
      <c r="D1142" s="898"/>
    </row>
    <row r="1143" spans="2:22" ht="14" outlineLevel="1" x14ac:dyDescent="0.15">
      <c r="B1143" s="834"/>
      <c r="C1143" s="1360" t="s">
        <v>1213</v>
      </c>
      <c r="D1143" s="1563" t="s">
        <v>723</v>
      </c>
    </row>
    <row r="1144" spans="2:22" outlineLevel="1" x14ac:dyDescent="0.15">
      <c r="B1144" s="799" t="s">
        <v>1215</v>
      </c>
      <c r="C1144" s="804">
        <v>-1.61</v>
      </c>
      <c r="D1144" s="828">
        <v>0.7</v>
      </c>
    </row>
    <row r="1145" spans="2:22" outlineLevel="1" x14ac:dyDescent="0.15">
      <c r="B1145" s="800" t="s">
        <v>1221</v>
      </c>
      <c r="C1145" s="806">
        <v>190</v>
      </c>
      <c r="D1145" s="829">
        <v>0.7</v>
      </c>
    </row>
    <row r="1146" spans="2:22" outlineLevel="1" x14ac:dyDescent="0.15">
      <c r="B1146" s="800" t="s">
        <v>1217</v>
      </c>
      <c r="C1146" s="806">
        <v>-1.8</v>
      </c>
      <c r="D1146" s="829">
        <v>0.7</v>
      </c>
    </row>
    <row r="1147" spans="2:22" outlineLevel="1" x14ac:dyDescent="0.15">
      <c r="B1147" s="800" t="s">
        <v>1222</v>
      </c>
      <c r="C1147" s="806">
        <v>0</v>
      </c>
      <c r="D1147" s="829">
        <v>0.7</v>
      </c>
    </row>
    <row r="1148" spans="2:22" outlineLevel="1" x14ac:dyDescent="0.15">
      <c r="B1148" s="800"/>
      <c r="C1148" s="806"/>
      <c r="D1148" s="829"/>
      <c r="E1148" s="13"/>
      <c r="F1148" s="13"/>
      <c r="G1148" s="13"/>
    </row>
    <row r="1149" spans="2:22" outlineLevel="1" x14ac:dyDescent="0.15">
      <c r="B1149" s="800" t="s">
        <v>1216</v>
      </c>
      <c r="C1149" s="806">
        <v>2.75</v>
      </c>
      <c r="D1149" s="829">
        <v>0.7</v>
      </c>
    </row>
    <row r="1150" spans="2:22" outlineLevel="1" x14ac:dyDescent="0.15">
      <c r="B1150" s="800" t="s">
        <v>1223</v>
      </c>
      <c r="C1150" s="806">
        <v>290</v>
      </c>
      <c r="D1150" s="829">
        <v>0.7</v>
      </c>
    </row>
    <row r="1151" spans="2:22" outlineLevel="1" x14ac:dyDescent="0.15">
      <c r="B1151" s="800" t="s">
        <v>1218</v>
      </c>
      <c r="C1151" s="806">
        <v>0.37</v>
      </c>
      <c r="D1151" s="829">
        <v>0.7</v>
      </c>
    </row>
    <row r="1152" spans="2:22" outlineLevel="1" x14ac:dyDescent="0.15">
      <c r="B1152" s="800" t="s">
        <v>1224</v>
      </c>
      <c r="C1152" s="806">
        <v>0</v>
      </c>
      <c r="D1152" s="829">
        <v>0.7</v>
      </c>
    </row>
    <row r="1153" spans="1:256" outlineLevel="1" x14ac:dyDescent="0.15">
      <c r="B1153" s="800"/>
      <c r="C1153" s="806"/>
      <c r="D1153" s="829"/>
      <c r="E1153" s="13"/>
      <c r="F1153" s="13"/>
      <c r="G1153" s="13"/>
    </row>
    <row r="1154" spans="1:256" outlineLevel="1" x14ac:dyDescent="0.15">
      <c r="B1154" s="800" t="s">
        <v>1219</v>
      </c>
      <c r="C1154" s="806">
        <v>0.95</v>
      </c>
      <c r="D1154" s="829">
        <v>0.7</v>
      </c>
    </row>
    <row r="1155" spans="1:256" outlineLevel="1" x14ac:dyDescent="0.15">
      <c r="B1155" s="800" t="s">
        <v>1220</v>
      </c>
      <c r="C1155" s="806">
        <v>-0.37</v>
      </c>
      <c r="D1155" s="829">
        <v>0.7</v>
      </c>
    </row>
    <row r="1156" spans="1:256" outlineLevel="1" x14ac:dyDescent="0.15">
      <c r="B1156" s="800" t="s">
        <v>1225</v>
      </c>
      <c r="C1156" s="806">
        <v>290</v>
      </c>
      <c r="D1156" s="829">
        <v>0.7</v>
      </c>
    </row>
    <row r="1157" spans="1:256" outlineLevel="1" x14ac:dyDescent="0.15">
      <c r="B1157" s="800" t="s">
        <v>1226</v>
      </c>
      <c r="C1157" s="806">
        <v>0</v>
      </c>
      <c r="D1157" s="829">
        <v>0.7</v>
      </c>
    </row>
    <row r="1158" spans="1:256" outlineLevel="1" x14ac:dyDescent="0.15">
      <c r="B1158" s="801"/>
      <c r="C1158" s="802"/>
      <c r="D1158" s="830"/>
    </row>
    <row r="1159" spans="1:256" outlineLevel="1" x14ac:dyDescent="0.15"/>
    <row r="1160" spans="1:256" ht="15" customHeight="1" x14ac:dyDescent="0.15"/>
    <row r="1161" spans="1:256" s="26" customFormat="1" ht="20" customHeight="1" x14ac:dyDescent="0.15">
      <c r="A1161" s="13"/>
      <c r="B1161" s="1871" t="s">
        <v>719</v>
      </c>
      <c r="C1161" s="1872"/>
      <c r="D1161" s="1872"/>
      <c r="E1161" s="1872"/>
      <c r="F1161" s="1872"/>
      <c r="G1161" s="1872"/>
      <c r="H1161" s="1872"/>
      <c r="I1161" s="1872"/>
      <c r="J1161" s="1873"/>
      <c r="K1161" s="28"/>
      <c r="L1161" s="28"/>
      <c r="M1161" s="28"/>
      <c r="N1161" s="28"/>
      <c r="O1161" s="28"/>
      <c r="P1161" s="28"/>
      <c r="Q1161" s="28"/>
      <c r="R1161" s="28"/>
      <c r="S1161" s="28"/>
      <c r="T1161" s="28"/>
      <c r="U1161" s="28"/>
      <c r="V1161" s="28"/>
      <c r="W1161" s="29"/>
      <c r="X1161" s="29"/>
      <c r="Y1161" s="29"/>
      <c r="Z1161" s="29"/>
      <c r="AA1161" s="29"/>
      <c r="AB1161" s="29"/>
      <c r="AC1161" s="29"/>
      <c r="AD1161" s="29"/>
      <c r="AE1161" s="29"/>
      <c r="AF1161" s="29"/>
      <c r="AG1161" s="29"/>
      <c r="AH1161" s="29"/>
      <c r="AI1161" s="29"/>
      <c r="AJ1161" s="29"/>
      <c r="AK1161" s="29"/>
      <c r="AL1161" s="29"/>
      <c r="AM1161" s="29"/>
      <c r="AN1161" s="29"/>
      <c r="AO1161" s="29"/>
      <c r="AP1161" s="29"/>
      <c r="AQ1161" s="29"/>
      <c r="AR1161" s="29"/>
      <c r="AS1161" s="29"/>
      <c r="AT1161" s="29"/>
      <c r="AU1161" s="29"/>
      <c r="AV1161" s="29"/>
      <c r="AW1161" s="29"/>
      <c r="AX1161" s="29"/>
      <c r="AY1161" s="29"/>
      <c r="AZ1161" s="29"/>
      <c r="BA1161" s="29"/>
      <c r="BB1161" s="29"/>
      <c r="BC1161" s="29"/>
      <c r="BD1161" s="29"/>
      <c r="BE1161" s="29"/>
      <c r="BF1161" s="29"/>
      <c r="BG1161" s="29"/>
      <c r="BH1161" s="29"/>
      <c r="BI1161" s="29"/>
      <c r="BJ1161" s="29"/>
      <c r="BK1161" s="29"/>
      <c r="BL1161" s="29"/>
      <c r="BM1161" s="29"/>
      <c r="BN1161" s="29"/>
      <c r="BO1161" s="29"/>
      <c r="BP1161" s="29"/>
      <c r="BQ1161" s="29"/>
      <c r="BR1161" s="29"/>
      <c r="BS1161" s="29"/>
      <c r="BT1161" s="29"/>
      <c r="BU1161" s="29"/>
      <c r="BV1161" s="29"/>
      <c r="BW1161" s="29"/>
      <c r="BX1161" s="29"/>
      <c r="BY1161" s="29"/>
      <c r="BZ1161" s="29"/>
      <c r="CA1161" s="29"/>
      <c r="CB1161" s="29"/>
      <c r="CC1161" s="29"/>
      <c r="CD1161" s="29"/>
      <c r="CE1161" s="29"/>
      <c r="CF1161" s="29"/>
      <c r="CG1161" s="29"/>
      <c r="CH1161" s="29"/>
      <c r="CI1161" s="29"/>
      <c r="CJ1161" s="29"/>
      <c r="CK1161" s="29"/>
      <c r="CL1161" s="29"/>
      <c r="CM1161" s="29"/>
      <c r="CN1161" s="29"/>
      <c r="CO1161" s="29"/>
      <c r="CP1161" s="29"/>
      <c r="CQ1161" s="29"/>
      <c r="CR1161" s="29"/>
      <c r="CS1161" s="29"/>
      <c r="CT1161" s="29"/>
      <c r="CU1161" s="29"/>
      <c r="CV1161" s="29"/>
      <c r="CW1161" s="29"/>
      <c r="CX1161" s="29"/>
      <c r="CY1161" s="29"/>
      <c r="CZ1161" s="29"/>
      <c r="DA1161" s="29"/>
      <c r="DB1161" s="29"/>
      <c r="DC1161" s="29"/>
      <c r="DD1161" s="29"/>
      <c r="DE1161" s="29"/>
      <c r="DF1161" s="29"/>
      <c r="DG1161" s="29"/>
      <c r="DH1161" s="29"/>
      <c r="DI1161" s="29"/>
      <c r="DJ1161" s="29"/>
      <c r="DK1161" s="29"/>
      <c r="DL1161" s="29"/>
      <c r="DM1161" s="29"/>
      <c r="DN1161" s="29"/>
      <c r="DO1161" s="29"/>
      <c r="DP1161" s="29"/>
      <c r="DQ1161" s="29"/>
      <c r="DR1161" s="29"/>
      <c r="DS1161" s="29"/>
      <c r="DT1161" s="29"/>
      <c r="DU1161" s="29"/>
      <c r="DV1161" s="29"/>
      <c r="DW1161" s="29"/>
      <c r="DX1161" s="29"/>
      <c r="DY1161" s="29"/>
      <c r="DZ1161" s="29"/>
      <c r="EA1161" s="29"/>
      <c r="EB1161" s="29"/>
      <c r="EC1161" s="29"/>
      <c r="ED1161" s="29"/>
      <c r="EE1161" s="29"/>
      <c r="EF1161" s="29"/>
      <c r="EG1161" s="29"/>
      <c r="EH1161" s="29"/>
      <c r="EI1161" s="29"/>
      <c r="EJ1161" s="29"/>
      <c r="EK1161" s="29"/>
      <c r="EL1161" s="29"/>
      <c r="EM1161" s="29"/>
      <c r="EN1161" s="29"/>
      <c r="EO1161" s="29"/>
      <c r="EP1161" s="29"/>
      <c r="EQ1161" s="29"/>
      <c r="ER1161" s="29"/>
      <c r="ES1161" s="29"/>
      <c r="ET1161" s="29"/>
      <c r="EU1161" s="29"/>
      <c r="EV1161" s="29"/>
      <c r="EW1161" s="29"/>
      <c r="EX1161" s="29"/>
      <c r="EY1161" s="29"/>
      <c r="EZ1161" s="29"/>
      <c r="FA1161" s="29"/>
      <c r="FB1161" s="29"/>
      <c r="FC1161" s="29"/>
      <c r="FD1161" s="29"/>
      <c r="FE1161" s="29"/>
      <c r="FF1161" s="29"/>
      <c r="FG1161" s="29"/>
      <c r="FH1161" s="29"/>
      <c r="FI1161" s="29"/>
      <c r="FJ1161" s="29"/>
      <c r="FK1161" s="29"/>
      <c r="FL1161" s="29"/>
      <c r="FM1161" s="29"/>
      <c r="FN1161" s="29"/>
      <c r="FO1161" s="29"/>
      <c r="FP1161" s="29"/>
      <c r="FQ1161" s="29"/>
      <c r="FR1161" s="29"/>
      <c r="FS1161" s="29"/>
      <c r="FT1161" s="29"/>
      <c r="FU1161" s="29"/>
      <c r="FV1161" s="29"/>
      <c r="FW1161" s="29"/>
      <c r="FX1161" s="29"/>
      <c r="FY1161" s="29"/>
      <c r="FZ1161" s="29"/>
      <c r="GA1161" s="29"/>
      <c r="GB1161" s="29"/>
      <c r="GC1161" s="13"/>
      <c r="GD1161" s="13"/>
      <c r="GE1161" s="13"/>
      <c r="GF1161" s="13"/>
      <c r="GG1161" s="13"/>
      <c r="GH1161" s="13"/>
      <c r="GI1161" s="13"/>
      <c r="GJ1161" s="13"/>
      <c r="GK1161" s="13"/>
      <c r="GL1161" s="13"/>
      <c r="GM1161" s="13"/>
      <c r="GN1161" s="13"/>
      <c r="GO1161" s="13"/>
      <c r="GP1161" s="13"/>
      <c r="GQ1161" s="13"/>
      <c r="GR1161" s="13"/>
      <c r="GS1161" s="13"/>
      <c r="GT1161" s="13"/>
      <c r="GU1161" s="13"/>
      <c r="GV1161" s="13"/>
      <c r="GW1161" s="13"/>
      <c r="GX1161" s="13"/>
      <c r="GY1161" s="13"/>
      <c r="GZ1161" s="13"/>
      <c r="HA1161" s="13"/>
      <c r="HB1161" s="13"/>
      <c r="HC1161" s="13"/>
      <c r="HD1161" s="13"/>
      <c r="HE1161" s="13"/>
      <c r="HF1161" s="13"/>
      <c r="HG1161" s="13"/>
      <c r="HH1161" s="13"/>
      <c r="HI1161" s="13"/>
      <c r="HJ1161" s="13"/>
      <c r="HK1161" s="13"/>
      <c r="HL1161" s="13"/>
      <c r="HM1161" s="13"/>
      <c r="HN1161" s="13"/>
      <c r="HO1161" s="13"/>
      <c r="HP1161" s="13"/>
      <c r="HQ1161" s="13"/>
      <c r="HR1161" s="13"/>
      <c r="HS1161" s="13"/>
      <c r="HT1161" s="13"/>
      <c r="HU1161" s="13"/>
      <c r="HV1161" s="13"/>
      <c r="HW1161" s="13"/>
      <c r="HX1161" s="13"/>
      <c r="HY1161" s="13"/>
      <c r="HZ1161" s="13"/>
      <c r="IA1161" s="13"/>
      <c r="IB1161" s="13"/>
      <c r="IC1161" s="13"/>
      <c r="ID1161" s="13"/>
      <c r="IE1161" s="13"/>
      <c r="IF1161" s="13"/>
      <c r="IG1161" s="13"/>
      <c r="IH1161" s="13"/>
      <c r="II1161" s="13"/>
      <c r="IJ1161" s="13"/>
      <c r="IK1161" s="13"/>
      <c r="IL1161" s="13"/>
      <c r="IM1161" s="13"/>
      <c r="IN1161" s="13"/>
      <c r="IO1161" s="13"/>
      <c r="IP1161" s="13"/>
      <c r="IQ1161" s="13"/>
      <c r="IR1161" s="13"/>
      <c r="IS1161" s="13"/>
      <c r="IT1161" s="13"/>
      <c r="IU1161" s="13"/>
      <c r="IV1161" s="13"/>
    </row>
    <row r="1162" spans="1:256" outlineLevel="1" x14ac:dyDescent="0.15"/>
    <row r="1163" spans="1:256" outlineLevel="1" x14ac:dyDescent="0.15">
      <c r="B1163" s="1883" t="s">
        <v>1228</v>
      </c>
      <c r="C1163" s="1884"/>
    </row>
    <row r="1164" spans="1:256" outlineLevel="1" x14ac:dyDescent="0.15">
      <c r="B1164" s="1533" t="s">
        <v>1227</v>
      </c>
      <c r="C1164" s="1534">
        <v>0.03</v>
      </c>
    </row>
    <row r="1165" spans="1:256" outlineLevel="1" x14ac:dyDescent="0.15"/>
    <row r="1166" spans="1:256" s="26" customFormat="1" ht="15.75" customHeight="1" outlineLevel="1" x14ac:dyDescent="0.15">
      <c r="A1166" s="13"/>
      <c r="B1166" s="1868" t="s">
        <v>1251</v>
      </c>
      <c r="C1166" s="1869"/>
      <c r="D1166" s="1869"/>
      <c r="E1166" s="1869"/>
      <c r="F1166" s="1869"/>
      <c r="G1166" s="1869"/>
      <c r="H1166" s="1869"/>
      <c r="I1166" s="1869"/>
      <c r="J1166" s="1870"/>
      <c r="K1166" s="28"/>
      <c r="L1166" s="28"/>
      <c r="M1166" s="28"/>
      <c r="N1166" s="28"/>
      <c r="O1166" s="28"/>
      <c r="P1166" s="28"/>
      <c r="Q1166" s="28"/>
      <c r="R1166" s="28"/>
      <c r="S1166" s="28"/>
      <c r="T1166" s="28"/>
      <c r="U1166" s="28"/>
      <c r="V1166" s="28"/>
      <c r="W1166" s="29"/>
      <c r="X1166" s="29"/>
      <c r="Y1166" s="29"/>
      <c r="Z1166" s="29"/>
      <c r="AA1166" s="29"/>
      <c r="AB1166" s="29"/>
      <c r="AC1166" s="29"/>
      <c r="AD1166" s="29"/>
      <c r="AE1166" s="29"/>
      <c r="AF1166" s="29"/>
      <c r="AG1166" s="29"/>
      <c r="AH1166" s="29"/>
      <c r="AI1166" s="29"/>
      <c r="AJ1166" s="29"/>
      <c r="AK1166" s="29"/>
      <c r="AL1166" s="29"/>
      <c r="AM1166" s="29"/>
      <c r="AN1166" s="29"/>
      <c r="AO1166" s="29"/>
      <c r="AP1166" s="29"/>
      <c r="AQ1166" s="29"/>
      <c r="AR1166" s="29"/>
      <c r="AS1166" s="29"/>
      <c r="AT1166" s="29"/>
      <c r="AU1166" s="29"/>
      <c r="AV1166" s="29"/>
      <c r="AW1166" s="29"/>
      <c r="AX1166" s="29"/>
      <c r="AY1166" s="29"/>
      <c r="AZ1166" s="29"/>
      <c r="BA1166" s="29"/>
      <c r="BB1166" s="29"/>
      <c r="BC1166" s="29"/>
      <c r="BD1166" s="29"/>
      <c r="BE1166" s="29"/>
      <c r="BF1166" s="29"/>
      <c r="BG1166" s="29"/>
      <c r="BH1166" s="29"/>
      <c r="BI1166" s="29"/>
      <c r="BJ1166" s="29"/>
      <c r="BK1166" s="29"/>
      <c r="BL1166" s="29"/>
      <c r="BM1166" s="29"/>
      <c r="BN1166" s="29"/>
      <c r="BO1166" s="29"/>
      <c r="BP1166" s="29"/>
      <c r="BQ1166" s="29"/>
      <c r="BR1166" s="29"/>
      <c r="BS1166" s="29"/>
      <c r="BT1166" s="29"/>
      <c r="BU1166" s="29"/>
      <c r="BV1166" s="29"/>
      <c r="BW1166" s="29"/>
      <c r="BX1166" s="29"/>
      <c r="BY1166" s="29"/>
      <c r="BZ1166" s="29"/>
      <c r="CA1166" s="29"/>
      <c r="CB1166" s="29"/>
      <c r="CC1166" s="29"/>
      <c r="CD1166" s="29"/>
      <c r="CE1166" s="29"/>
      <c r="CF1166" s="29"/>
      <c r="CG1166" s="29"/>
      <c r="CH1166" s="29"/>
      <c r="CI1166" s="29"/>
      <c r="CJ1166" s="29"/>
      <c r="CK1166" s="29"/>
      <c r="CL1166" s="29"/>
      <c r="CM1166" s="29"/>
      <c r="CN1166" s="29"/>
      <c r="CO1166" s="29"/>
      <c r="CP1166" s="29"/>
      <c r="CQ1166" s="29"/>
      <c r="CR1166" s="29"/>
      <c r="CS1166" s="29"/>
      <c r="CT1166" s="29"/>
      <c r="CU1166" s="29"/>
      <c r="CV1166" s="29"/>
      <c r="CW1166" s="29"/>
      <c r="CX1166" s="29"/>
      <c r="CY1166" s="29"/>
      <c r="CZ1166" s="29"/>
      <c r="DA1166" s="29"/>
      <c r="DB1166" s="29"/>
      <c r="DC1166" s="29"/>
      <c r="DD1166" s="29"/>
      <c r="DE1166" s="29"/>
      <c r="DF1166" s="29"/>
      <c r="DG1166" s="29"/>
      <c r="DH1166" s="29"/>
      <c r="DI1166" s="29"/>
      <c r="DJ1166" s="29"/>
      <c r="DK1166" s="29"/>
      <c r="DL1166" s="29"/>
      <c r="DM1166" s="29"/>
      <c r="DN1166" s="29"/>
      <c r="DO1166" s="29"/>
      <c r="DP1166" s="29"/>
      <c r="DQ1166" s="29"/>
      <c r="DR1166" s="29"/>
      <c r="DS1166" s="29"/>
      <c r="DT1166" s="29"/>
      <c r="DU1166" s="29"/>
      <c r="DV1166" s="29"/>
      <c r="DW1166" s="29"/>
      <c r="DX1166" s="29"/>
      <c r="DY1166" s="29"/>
      <c r="DZ1166" s="29"/>
      <c r="EA1166" s="29"/>
      <c r="EB1166" s="29"/>
      <c r="EC1166" s="29"/>
      <c r="ED1166" s="29"/>
      <c r="EE1166" s="29"/>
      <c r="EF1166" s="29"/>
      <c r="EG1166" s="29"/>
      <c r="EH1166" s="29"/>
      <c r="EI1166" s="29"/>
      <c r="EJ1166" s="29"/>
      <c r="EK1166" s="29"/>
      <c r="EL1166" s="29"/>
      <c r="EM1166" s="29"/>
      <c r="EN1166" s="29"/>
      <c r="EO1166" s="29"/>
      <c r="EP1166" s="29"/>
      <c r="EQ1166" s="29"/>
      <c r="ER1166" s="29"/>
      <c r="ES1166" s="29"/>
      <c r="ET1166" s="29"/>
      <c r="EU1166" s="29"/>
      <c r="EV1166" s="29"/>
      <c r="EW1166" s="29"/>
      <c r="EX1166" s="29"/>
      <c r="EY1166" s="29"/>
      <c r="EZ1166" s="29"/>
      <c r="FA1166" s="29"/>
      <c r="FB1166" s="29"/>
      <c r="FC1166" s="29"/>
      <c r="FD1166" s="29"/>
      <c r="FE1166" s="29"/>
      <c r="FF1166" s="29"/>
      <c r="FG1166" s="29"/>
      <c r="FH1166" s="29"/>
      <c r="FI1166" s="29"/>
      <c r="FJ1166" s="29"/>
      <c r="FK1166" s="29"/>
      <c r="FL1166" s="29"/>
      <c r="FM1166" s="29"/>
      <c r="FN1166" s="29"/>
      <c r="FO1166" s="29"/>
      <c r="FP1166" s="29"/>
      <c r="FQ1166" s="29"/>
      <c r="FR1166" s="29"/>
      <c r="FS1166" s="29"/>
      <c r="FT1166" s="29"/>
      <c r="FU1166" s="29"/>
      <c r="FV1166" s="29"/>
      <c r="FW1166" s="29"/>
      <c r="FX1166" s="29"/>
      <c r="FY1166" s="29"/>
      <c r="FZ1166" s="29"/>
      <c r="GA1166" s="29"/>
      <c r="GB1166" s="29"/>
      <c r="GC1166" s="13"/>
      <c r="GD1166" s="13"/>
      <c r="GE1166" s="13"/>
      <c r="GF1166" s="13"/>
      <c r="GG1166" s="13"/>
      <c r="GH1166" s="13"/>
      <c r="GI1166" s="13"/>
      <c r="GJ1166" s="13"/>
      <c r="GK1166" s="13"/>
      <c r="GL1166" s="13"/>
      <c r="GM1166" s="13"/>
      <c r="GN1166" s="13"/>
      <c r="GO1166" s="13"/>
      <c r="GP1166" s="13"/>
      <c r="GQ1166" s="13"/>
      <c r="GR1166" s="13"/>
      <c r="GS1166" s="13"/>
      <c r="GT1166" s="13"/>
      <c r="GU1166" s="13"/>
      <c r="GV1166" s="13"/>
      <c r="GW1166" s="13"/>
      <c r="GX1166" s="13"/>
      <c r="GY1166" s="13"/>
      <c r="GZ1166" s="13"/>
      <c r="HA1166" s="13"/>
      <c r="HB1166" s="13"/>
      <c r="HC1166" s="13"/>
      <c r="HD1166" s="13"/>
      <c r="HE1166" s="13"/>
      <c r="HF1166" s="13"/>
      <c r="HG1166" s="13"/>
      <c r="HH1166" s="13"/>
      <c r="HI1166" s="13"/>
      <c r="HJ1166" s="13"/>
      <c r="HK1166" s="13"/>
      <c r="HL1166" s="13"/>
      <c r="HM1166" s="13"/>
      <c r="HN1166" s="13"/>
      <c r="HO1166" s="13"/>
      <c r="HP1166" s="13"/>
      <c r="HQ1166" s="13"/>
      <c r="HR1166" s="13"/>
      <c r="HS1166" s="13"/>
      <c r="HT1166" s="13"/>
      <c r="HU1166" s="13"/>
      <c r="HV1166" s="13"/>
      <c r="HW1166" s="13"/>
      <c r="HX1166" s="13"/>
      <c r="HY1166" s="13"/>
      <c r="HZ1166" s="13"/>
      <c r="IA1166" s="13"/>
      <c r="IB1166" s="13"/>
      <c r="IC1166" s="13"/>
      <c r="ID1166" s="13"/>
      <c r="IE1166" s="13"/>
      <c r="IF1166" s="13"/>
      <c r="IG1166" s="13"/>
      <c r="IH1166" s="13"/>
      <c r="II1166" s="13"/>
      <c r="IJ1166" s="13"/>
      <c r="IK1166" s="13"/>
      <c r="IL1166" s="13"/>
      <c r="IM1166" s="13"/>
      <c r="IN1166" s="13"/>
      <c r="IO1166" s="13"/>
      <c r="IP1166" s="13"/>
      <c r="IQ1166" s="13"/>
      <c r="IR1166" s="13"/>
      <c r="IS1166" s="13"/>
      <c r="IT1166" s="13"/>
      <c r="IU1166" s="13"/>
      <c r="IV1166" s="13"/>
    </row>
    <row r="1167" spans="1:256" outlineLevel="2" x14ac:dyDescent="0.15"/>
    <row r="1168" spans="1:256" outlineLevel="2" x14ac:dyDescent="0.15">
      <c r="B1168" s="1489" t="s">
        <v>1250</v>
      </c>
      <c r="C1168" s="901"/>
      <c r="D1168" s="901"/>
      <c r="E1168" s="901"/>
      <c r="F1168" s="901"/>
      <c r="G1168" s="901"/>
      <c r="H1168" s="901"/>
      <c r="I1168" s="901"/>
      <c r="J1168" s="901"/>
      <c r="K1168" s="898"/>
    </row>
    <row r="1169" spans="2:11" outlineLevel="2" x14ac:dyDescent="0.15">
      <c r="B1169" s="798"/>
      <c r="C1169" s="885" t="s">
        <v>1249</v>
      </c>
      <c r="D1169" s="1888" t="s">
        <v>1248</v>
      </c>
      <c r="E1169" s="1888"/>
      <c r="F1169" s="1888" t="s">
        <v>1247</v>
      </c>
      <c r="G1169" s="1888"/>
      <c r="H1169" s="1559" t="s">
        <v>1243</v>
      </c>
      <c r="I1169" s="1559" t="s">
        <v>1245</v>
      </c>
      <c r="J1169" s="1562" t="s">
        <v>1242</v>
      </c>
      <c r="K1169" s="834"/>
    </row>
    <row r="1170" spans="2:11" outlineLevel="2" x14ac:dyDescent="0.15">
      <c r="B1170" s="880" t="s">
        <v>91</v>
      </c>
      <c r="C1170" s="1557" t="s">
        <v>1133</v>
      </c>
      <c r="D1170" s="1557" t="s">
        <v>768</v>
      </c>
      <c r="E1170" s="888" t="s">
        <v>24</v>
      </c>
      <c r="F1170" s="1557" t="s">
        <v>768</v>
      </c>
      <c r="G1170" s="888" t="s">
        <v>24</v>
      </c>
      <c r="H1170" s="1560" t="s">
        <v>1244</v>
      </c>
      <c r="I1170" s="1560" t="s">
        <v>1246</v>
      </c>
      <c r="J1170" s="1557" t="s">
        <v>38</v>
      </c>
      <c r="K1170" s="1560" t="s">
        <v>723</v>
      </c>
    </row>
    <row r="1171" spans="2:11" outlineLevel="2" x14ac:dyDescent="0.15">
      <c r="B1171" s="800" t="s">
        <v>1229</v>
      </c>
      <c r="C1171" s="902">
        <v>3.2999999999999995E-2</v>
      </c>
      <c r="D1171" s="905">
        <v>3.4326837023255813E-2</v>
      </c>
      <c r="E1171" s="906">
        <v>0.20370504</v>
      </c>
      <c r="F1171" s="902">
        <v>3.4326837023255813E-2</v>
      </c>
      <c r="G1171" s="902">
        <v>0.20370504</v>
      </c>
      <c r="H1171" s="1215">
        <v>0.2</v>
      </c>
      <c r="I1171" s="1216">
        <v>0.26058444187301394</v>
      </c>
      <c r="J1171" s="904">
        <v>0.46050331760971941</v>
      </c>
      <c r="K1171" s="895">
        <v>9.2614913518120803E-2</v>
      </c>
    </row>
    <row r="1172" spans="2:11" outlineLevel="2" x14ac:dyDescent="0.15">
      <c r="B1172" s="800" t="s">
        <v>1230</v>
      </c>
      <c r="C1172" s="902">
        <v>2.4749999999999998E-2</v>
      </c>
      <c r="D1172" s="907">
        <v>2.0214821023255811E-2</v>
      </c>
      <c r="E1172" s="908">
        <v>0.19164599999999998</v>
      </c>
      <c r="F1172" s="902">
        <v>2.0214821023255811E-2</v>
      </c>
      <c r="G1172" s="902">
        <v>0.19164599999999998</v>
      </c>
      <c r="H1172" s="1217">
        <v>0.2</v>
      </c>
      <c r="I1172" s="713">
        <v>0.26058444187301394</v>
      </c>
      <c r="J1172" s="903">
        <v>0.46050331760971941</v>
      </c>
      <c r="K1172" s="807">
        <v>8.661075162385995E-2</v>
      </c>
    </row>
    <row r="1173" spans="2:11" outlineLevel="2" x14ac:dyDescent="0.15">
      <c r="B1173" s="800" t="s">
        <v>1231</v>
      </c>
      <c r="C1173" s="902">
        <v>4.0333333333333332E-2</v>
      </c>
      <c r="D1173" s="907">
        <v>3.8822018062015497E-2</v>
      </c>
      <c r="E1173" s="908">
        <v>0.23038069999999999</v>
      </c>
      <c r="F1173" s="902">
        <v>3.8822018062015497E-2</v>
      </c>
      <c r="G1173" s="902">
        <v>0.23038069999999999</v>
      </c>
      <c r="H1173" s="1217">
        <v>0.2</v>
      </c>
      <c r="I1173" s="713">
        <v>0.30134917135427164</v>
      </c>
      <c r="J1173" s="903">
        <v>0.69686602772542594</v>
      </c>
      <c r="K1173" s="807">
        <v>0.10863614244021699</v>
      </c>
    </row>
    <row r="1174" spans="2:11" outlineLevel="2" x14ac:dyDescent="0.15">
      <c r="B1174" s="800" t="s">
        <v>1232</v>
      </c>
      <c r="C1174" s="902">
        <v>3.0249999999999999E-2</v>
      </c>
      <c r="D1174" s="907">
        <v>2.3583957860465115E-2</v>
      </c>
      <c r="E1174" s="908">
        <v>0.22358700000000001</v>
      </c>
      <c r="F1174" s="902">
        <v>2.3583957860465115E-2</v>
      </c>
      <c r="G1174" s="902">
        <v>0.22358700000000001</v>
      </c>
      <c r="H1174" s="1217">
        <v>0.2</v>
      </c>
      <c r="I1174" s="713">
        <v>0.30134917135427164</v>
      </c>
      <c r="J1174" s="903">
        <v>0.69686602772542594</v>
      </c>
      <c r="K1174" s="807">
        <v>9.906803042200836E-2</v>
      </c>
    </row>
    <row r="1175" spans="2:11" outlineLevel="2" x14ac:dyDescent="0.15">
      <c r="B1175" s="800" t="s">
        <v>1233</v>
      </c>
      <c r="C1175" s="902">
        <v>4.6749999999999993E-2</v>
      </c>
      <c r="D1175" s="907">
        <v>6.8245021224806177E-2</v>
      </c>
      <c r="E1175" s="908">
        <v>0.40498501999999997</v>
      </c>
      <c r="F1175" s="902">
        <v>6.8245021224806177E-2</v>
      </c>
      <c r="G1175" s="902">
        <v>0.40498501999999997</v>
      </c>
      <c r="H1175" s="1217">
        <v>0.2</v>
      </c>
      <c r="I1175" s="713">
        <v>0.29041032669715572</v>
      </c>
      <c r="J1175" s="903">
        <v>1.2396253400982309</v>
      </c>
      <c r="K1175" s="807">
        <v>0.10843974304941136</v>
      </c>
    </row>
    <row r="1176" spans="2:11" outlineLevel="2" x14ac:dyDescent="0.15">
      <c r="B1176" s="800" t="s">
        <v>1234</v>
      </c>
      <c r="C1176" s="902">
        <v>3.7400000000000003E-2</v>
      </c>
      <c r="D1176" s="907">
        <v>3.0322231534883722E-2</v>
      </c>
      <c r="E1176" s="908">
        <v>0.28746900000000003</v>
      </c>
      <c r="F1176" s="902">
        <v>3.0322231534883722E-2</v>
      </c>
      <c r="G1176" s="902">
        <v>0.28746900000000003</v>
      </c>
      <c r="H1176" s="1217">
        <v>0.2</v>
      </c>
      <c r="I1176" s="713">
        <v>0.29041032669715572</v>
      </c>
      <c r="J1176" s="903">
        <v>1.2396253400982309</v>
      </c>
      <c r="K1176" s="807">
        <v>0.11844200487424614</v>
      </c>
    </row>
    <row r="1177" spans="2:11" outlineLevel="2" x14ac:dyDescent="0.15">
      <c r="B1177" s="800" t="s">
        <v>1235</v>
      </c>
      <c r="C1177" s="902">
        <v>3.85E-2</v>
      </c>
      <c r="D1177" s="907">
        <v>3.4814413984496119E-2</v>
      </c>
      <c r="E1177" s="908">
        <v>0.33005699999999999</v>
      </c>
      <c r="F1177" s="902">
        <v>3.4814413984496119E-2</v>
      </c>
      <c r="G1177" s="902">
        <v>0.33005699999999999</v>
      </c>
      <c r="H1177" s="1217">
        <v>0.2</v>
      </c>
      <c r="I1177" s="713">
        <v>0.3</v>
      </c>
      <c r="J1177" s="903">
        <v>1.4</v>
      </c>
      <c r="K1177" s="807">
        <v>0.1120395970869712</v>
      </c>
    </row>
    <row r="1178" spans="2:11" outlineLevel="2" x14ac:dyDescent="0.15">
      <c r="B1178" s="800" t="s">
        <v>1236</v>
      </c>
      <c r="C1178" s="902">
        <v>4.3477449095827986E-2</v>
      </c>
      <c r="D1178" s="907">
        <v>4.6989744980568841E-2</v>
      </c>
      <c r="E1178" s="908">
        <v>0.44548485767872908</v>
      </c>
      <c r="F1178" s="902">
        <v>6.7619389118379544E-2</v>
      </c>
      <c r="G1178" s="902">
        <v>0.64106357568402461</v>
      </c>
      <c r="H1178" s="1217">
        <v>0.2</v>
      </c>
      <c r="I1178" s="713">
        <v>0.3</v>
      </c>
      <c r="J1178" s="903">
        <v>2.3714972234087996</v>
      </c>
      <c r="K1178" s="807">
        <v>9.8074719213274708E-2</v>
      </c>
    </row>
    <row r="1179" spans="2:11" outlineLevel="2" x14ac:dyDescent="0.15">
      <c r="B1179" s="800" t="s">
        <v>1237</v>
      </c>
      <c r="C1179" s="902">
        <v>5.2000138335546703E-2</v>
      </c>
      <c r="D1179" s="907">
        <v>3.6829800119905311E-2</v>
      </c>
      <c r="E1179" s="908">
        <v>0.34916380736981473</v>
      </c>
      <c r="F1179" s="902">
        <v>5.2998980660351531E-2</v>
      </c>
      <c r="G1179" s="902">
        <v>0.50245523499558697</v>
      </c>
      <c r="H1179" s="1217">
        <v>0.2</v>
      </c>
      <c r="I1179" s="713">
        <v>0.3</v>
      </c>
      <c r="J1179" s="903">
        <v>2.8363711819389108</v>
      </c>
      <c r="K1179" s="807">
        <v>0.12061335156639592</v>
      </c>
    </row>
    <row r="1180" spans="2:11" outlineLevel="2" x14ac:dyDescent="0.15">
      <c r="B1180" s="800" t="s">
        <v>1238</v>
      </c>
      <c r="C1180" s="902">
        <v>5.9457783482842363E-2</v>
      </c>
      <c r="D1180" s="907">
        <v>5.4640146955834516E-2</v>
      </c>
      <c r="E1180" s="908">
        <v>0.51801426247855564</v>
      </c>
      <c r="F1180" s="902">
        <v>7.8628504155956971E-2</v>
      </c>
      <c r="G1180" s="902">
        <v>0.74543515820084838</v>
      </c>
      <c r="H1180" s="1217">
        <v>0.19024681226320964</v>
      </c>
      <c r="I1180" s="713">
        <v>0.35246971129152921</v>
      </c>
      <c r="J1180" s="903">
        <v>4.6948483581257348</v>
      </c>
      <c r="K1180" s="807">
        <v>0.10490741346622363</v>
      </c>
    </row>
    <row r="1181" spans="2:11" outlineLevel="2" x14ac:dyDescent="0.15">
      <c r="B1181" s="800" t="s">
        <v>1239</v>
      </c>
      <c r="C1181" s="902">
        <v>7.479177736456262E-2</v>
      </c>
      <c r="D1181" s="907">
        <v>7.1865176377148066E-2</v>
      </c>
      <c r="E1181" s="908">
        <v>0.68131563352108671</v>
      </c>
      <c r="F1181" s="902">
        <v>0.10341574161589596</v>
      </c>
      <c r="G1181" s="902">
        <v>0.98042981409131968</v>
      </c>
      <c r="H1181" s="1217">
        <v>0.17752736029736885</v>
      </c>
      <c r="I1181" s="713">
        <v>0.43315705673044191</v>
      </c>
      <c r="J1181" s="903">
        <v>9.7909235822700165</v>
      </c>
      <c r="K1181" s="807">
        <v>0.10140191635304184</v>
      </c>
    </row>
    <row r="1182" spans="2:11" outlineLevel="2" x14ac:dyDescent="0.15">
      <c r="B1182" s="800" t="s">
        <v>1240</v>
      </c>
      <c r="C1182" s="902">
        <v>7.7475799086758002E-2</v>
      </c>
      <c r="D1182" s="907">
        <v>8.2893044645934402E-2</v>
      </c>
      <c r="E1182" s="908">
        <v>0.78586500547983185</v>
      </c>
      <c r="F1182" s="902">
        <v>0.11928511302707633</v>
      </c>
      <c r="G1182" s="902">
        <v>1.1308789103246357</v>
      </c>
      <c r="H1182" s="1217">
        <v>0.14978943133299677</v>
      </c>
      <c r="I1182" s="713">
        <v>0.42427163527195022</v>
      </c>
      <c r="J1182" s="903">
        <v>11.621369863013697</v>
      </c>
      <c r="K1182" s="807">
        <v>9.646483338462726E-2</v>
      </c>
    </row>
    <row r="1183" spans="2:11" outlineLevel="2" x14ac:dyDescent="0.15">
      <c r="B1183" s="800" t="s">
        <v>146</v>
      </c>
      <c r="C1183" s="902">
        <v>8.6396543947465376E-2</v>
      </c>
      <c r="D1183" s="907">
        <v>0.10423755116522328</v>
      </c>
      <c r="E1183" s="908">
        <v>0.98822095469598759</v>
      </c>
      <c r="F1183" s="902">
        <v>0.15000037850605299</v>
      </c>
      <c r="G1183" s="902">
        <v>1.4220740567576404</v>
      </c>
      <c r="H1183" s="1217">
        <v>0.29927749338549114</v>
      </c>
      <c r="I1183" s="713">
        <v>0.49671961708996965</v>
      </c>
      <c r="J1183" s="903">
        <v>16.659237899917965</v>
      </c>
      <c r="K1183" s="807">
        <v>9.1728422803538628E-2</v>
      </c>
    </row>
    <row r="1184" spans="2:11" outlineLevel="2" x14ac:dyDescent="0.15">
      <c r="B1184" s="800" t="s">
        <v>1241</v>
      </c>
      <c r="C1184" s="902">
        <v>0.10999999999999999</v>
      </c>
      <c r="D1184" s="907">
        <v>8.6923197162574253E-2</v>
      </c>
      <c r="E1184" s="908">
        <v>0.82407274465869496</v>
      </c>
      <c r="F1184" s="902">
        <v>0.12508460079492392</v>
      </c>
      <c r="G1184" s="902">
        <v>1.1858607788990974</v>
      </c>
      <c r="H1184" s="1218">
        <v>0.21091797527003817</v>
      </c>
      <c r="I1184" s="1219">
        <v>0.57249634491029433</v>
      </c>
      <c r="J1184" s="903">
        <v>25</v>
      </c>
      <c r="K1184" s="807">
        <v>0.10950044274342019</v>
      </c>
    </row>
    <row r="1185" spans="2:11" outlineLevel="2" x14ac:dyDescent="0.15">
      <c r="B1185" s="1658" t="s">
        <v>3168</v>
      </c>
      <c r="C1185" s="902">
        <v>3.2999999999999995E-2</v>
      </c>
      <c r="D1185" s="905">
        <v>3.4326837023255813E-2</v>
      </c>
      <c r="E1185" s="1674">
        <v>0.21099999999999999</v>
      </c>
      <c r="F1185" s="902">
        <v>3.4326837023255813E-2</v>
      </c>
      <c r="G1185" s="1674">
        <v>0.21099999999999999</v>
      </c>
      <c r="H1185" s="1672"/>
      <c r="I1185" s="1673"/>
      <c r="J1185" s="903"/>
      <c r="K1185" s="807"/>
    </row>
    <row r="1186" spans="2:11" outlineLevel="2" x14ac:dyDescent="0.15">
      <c r="B1186" s="800"/>
      <c r="C1186" s="902"/>
      <c r="D1186" s="907"/>
      <c r="E1186" s="908"/>
      <c r="F1186" s="902"/>
      <c r="G1186" s="902"/>
      <c r="H1186" s="823"/>
      <c r="I1186" s="823"/>
      <c r="J1186" s="903"/>
      <c r="K1186" s="807"/>
    </row>
    <row r="1187" spans="2:11" outlineLevel="2" x14ac:dyDescent="0.15">
      <c r="B1187" s="800" t="s">
        <v>1252</v>
      </c>
      <c r="C1187" s="902">
        <v>3.0618270840579758E-2</v>
      </c>
      <c r="D1187" s="907">
        <v>4.1670494892550231E-2</v>
      </c>
      <c r="E1187" s="908">
        <v>0.21825539999999999</v>
      </c>
      <c r="F1187" s="902">
        <v>4.1670494892550231E-2</v>
      </c>
      <c r="G1187" s="902">
        <v>0.21825539999999999</v>
      </c>
      <c r="H1187" s="1215">
        <v>0.2</v>
      </c>
      <c r="I1187" s="1216">
        <v>0.3</v>
      </c>
      <c r="J1187" s="1322">
        <v>0.46050331760971941</v>
      </c>
      <c r="K1187" s="895">
        <v>0.2</v>
      </c>
    </row>
    <row r="1188" spans="2:11" outlineLevel="2" x14ac:dyDescent="0.15">
      <c r="B1188" s="800" t="s">
        <v>147</v>
      </c>
      <c r="C1188" s="902">
        <v>2.2963703130434821E-2</v>
      </c>
      <c r="D1188" s="907">
        <v>2.4936304130934048E-2</v>
      </c>
      <c r="E1188" s="908">
        <v>0.19430775</v>
      </c>
      <c r="F1188" s="902">
        <v>2.4936304130934048E-2</v>
      </c>
      <c r="G1188" s="902">
        <v>0.19430775</v>
      </c>
      <c r="H1188" s="1217">
        <v>0.2</v>
      </c>
      <c r="I1188" s="713">
        <v>0.3</v>
      </c>
      <c r="J1188" s="903">
        <v>0.46050331760971941</v>
      </c>
      <c r="K1188" s="807">
        <v>0.2</v>
      </c>
    </row>
    <row r="1189" spans="2:11" outlineLevel="2" x14ac:dyDescent="0.15">
      <c r="B1189" s="800" t="s">
        <v>1257</v>
      </c>
      <c r="C1189" s="902">
        <v>3.7422331027375265E-2</v>
      </c>
      <c r="D1189" s="907">
        <v>4.7226560878223585E-2</v>
      </c>
      <c r="E1189" s="908">
        <v>0.24735611999999998</v>
      </c>
      <c r="F1189" s="902">
        <v>4.7226560878223585E-2</v>
      </c>
      <c r="G1189" s="902">
        <v>0.24735611999999998</v>
      </c>
      <c r="H1189" s="1217">
        <v>0.2</v>
      </c>
      <c r="I1189" s="713">
        <v>0.3</v>
      </c>
      <c r="J1189" s="903">
        <v>0.69686602772542594</v>
      </c>
      <c r="K1189" s="807">
        <v>0.2</v>
      </c>
    </row>
    <row r="1190" spans="2:11" outlineLevel="2" x14ac:dyDescent="0.15">
      <c r="B1190" s="800" t="s">
        <v>1258</v>
      </c>
      <c r="C1190" s="902">
        <v>2.8066748270531447E-2</v>
      </c>
      <c r="D1190" s="907">
        <v>2.903542261821088E-2</v>
      </c>
      <c r="E1190" s="908">
        <v>0.22624875</v>
      </c>
      <c r="F1190" s="902">
        <v>2.903542261821088E-2</v>
      </c>
      <c r="G1190" s="902">
        <v>0.22624875</v>
      </c>
      <c r="H1190" s="1217">
        <v>0.2</v>
      </c>
      <c r="I1190" s="713">
        <v>0.3</v>
      </c>
      <c r="J1190" s="903">
        <v>0.69686602772542594</v>
      </c>
      <c r="K1190" s="807">
        <v>0.2</v>
      </c>
    </row>
    <row r="1191" spans="2:11" outlineLevel="2" x14ac:dyDescent="0.15">
      <c r="B1191" s="800" t="s">
        <v>1259</v>
      </c>
      <c r="C1191" s="902">
        <v>4.3375883690821328E-2</v>
      </c>
      <c r="D1191" s="907">
        <v>8.3340989785100461E-2</v>
      </c>
      <c r="E1191" s="908">
        <v>0.43651079999999998</v>
      </c>
      <c r="F1191" s="902">
        <v>8.3340989785100461E-2</v>
      </c>
      <c r="G1191" s="902">
        <v>0.43651079999999998</v>
      </c>
      <c r="H1191" s="1217">
        <v>0.2</v>
      </c>
      <c r="I1191" s="713">
        <v>0.3</v>
      </c>
      <c r="J1191" s="903">
        <v>1.2396253400982309</v>
      </c>
      <c r="K1191" s="807">
        <v>0.2</v>
      </c>
    </row>
    <row r="1192" spans="2:11" outlineLevel="2" x14ac:dyDescent="0.15">
      <c r="B1192" s="800" t="s">
        <v>1260</v>
      </c>
      <c r="C1192" s="902">
        <v>3.4700706952657062E-2</v>
      </c>
      <c r="D1192" s="907">
        <v>3.7233659592764541E-2</v>
      </c>
      <c r="E1192" s="908">
        <v>0.29013074999999999</v>
      </c>
      <c r="F1192" s="902">
        <v>3.7233659592764541E-2</v>
      </c>
      <c r="G1192" s="902">
        <v>0.29013074999999999</v>
      </c>
      <c r="H1192" s="1217">
        <v>0.2</v>
      </c>
      <c r="I1192" s="713">
        <v>0.3</v>
      </c>
      <c r="J1192" s="903">
        <v>1.2396253400982309</v>
      </c>
      <c r="K1192" s="807">
        <v>0.2</v>
      </c>
    </row>
    <row r="1193" spans="2:11" outlineLevel="2" x14ac:dyDescent="0.15">
      <c r="B1193" s="800" t="s">
        <v>148</v>
      </c>
      <c r="C1193" s="902">
        <v>3.5721315980676391E-2</v>
      </c>
      <c r="D1193" s="907">
        <v>3.6892066385491473E-2</v>
      </c>
      <c r="E1193" s="908">
        <v>0.28746900000000003</v>
      </c>
      <c r="F1193" s="902">
        <v>3.6892066385491473E-2</v>
      </c>
      <c r="G1193" s="902">
        <v>0.28746900000000003</v>
      </c>
      <c r="H1193" s="1217">
        <v>0.2</v>
      </c>
      <c r="I1193" s="713">
        <v>0.3</v>
      </c>
      <c r="J1193" s="903">
        <v>1.4</v>
      </c>
      <c r="K1193" s="807">
        <v>0.2</v>
      </c>
    </row>
    <row r="1194" spans="2:11" outlineLevel="2" x14ac:dyDescent="0.15">
      <c r="B1194" s="800" t="s">
        <v>1261</v>
      </c>
      <c r="C1194" s="902">
        <v>4.0339524602229733E-2</v>
      </c>
      <c r="D1194" s="907">
        <v>4.7717878813325121E-2</v>
      </c>
      <c r="E1194" s="908">
        <v>0.37182549660548153</v>
      </c>
      <c r="F1194" s="902">
        <v>6.871374549118818E-2</v>
      </c>
      <c r="G1194" s="902">
        <v>0.53542871511189338</v>
      </c>
      <c r="H1194" s="1217">
        <v>0.44</v>
      </c>
      <c r="I1194" s="713">
        <v>0.59</v>
      </c>
      <c r="J1194" s="903">
        <v>2.3714972234087996</v>
      </c>
      <c r="K1194" s="807">
        <v>0.2</v>
      </c>
    </row>
    <row r="1195" spans="2:11" outlineLevel="2" x14ac:dyDescent="0.15">
      <c r="B1195" s="800" t="s">
        <v>1262</v>
      </c>
      <c r="C1195" s="902">
        <v>4.8247100585011617E-2</v>
      </c>
      <c r="D1195" s="907">
        <v>3.7577829565493527E-2</v>
      </c>
      <c r="E1195" s="908">
        <v>0.2928125785768167</v>
      </c>
      <c r="F1195" s="902">
        <v>5.4112074574310685E-2</v>
      </c>
      <c r="G1195" s="902">
        <v>0.42165011315061601</v>
      </c>
      <c r="H1195" s="1217">
        <v>0.44</v>
      </c>
      <c r="I1195" s="713">
        <v>0.59</v>
      </c>
      <c r="J1195" s="903">
        <v>2.8363711819389108</v>
      </c>
      <c r="K1195" s="807">
        <v>0.2</v>
      </c>
    </row>
    <row r="1196" spans="2:11" outlineLevel="2" x14ac:dyDescent="0.15">
      <c r="B1196" s="800" t="s">
        <v>1263</v>
      </c>
      <c r="C1196" s="902">
        <v>5.5166500553279318E-2</v>
      </c>
      <c r="D1196" s="907">
        <v>6.3546767999168585E-2</v>
      </c>
      <c r="E1196" s="908">
        <v>0.49516678353200438</v>
      </c>
      <c r="F1196" s="902">
        <v>9.150734591880276E-2</v>
      </c>
      <c r="G1196" s="902">
        <v>0.7130401682860863</v>
      </c>
      <c r="H1196" s="1217">
        <v>0.39</v>
      </c>
      <c r="I1196" s="713">
        <v>0.44</v>
      </c>
      <c r="J1196" s="903">
        <v>4.6948483581257348</v>
      </c>
      <c r="K1196" s="807">
        <v>0.2</v>
      </c>
    </row>
    <row r="1197" spans="2:11" outlineLevel="2" x14ac:dyDescent="0.15">
      <c r="B1197" s="800" t="s">
        <v>1264</v>
      </c>
      <c r="C1197" s="902">
        <v>6.9393784727167299E-2</v>
      </c>
      <c r="D1197" s="907">
        <v>8.6215663122747713E-2</v>
      </c>
      <c r="E1197" s="908">
        <v>0.67180651263221425</v>
      </c>
      <c r="F1197" s="902">
        <v>0.12415055489675671</v>
      </c>
      <c r="G1197" s="902">
        <v>0.96740137819038841</v>
      </c>
      <c r="H1197" s="1217">
        <v>0.44</v>
      </c>
      <c r="I1197" s="713">
        <v>0.46</v>
      </c>
      <c r="J1197" s="903">
        <v>9.7909235822700165</v>
      </c>
      <c r="K1197" s="807">
        <v>0.2</v>
      </c>
    </row>
    <row r="1198" spans="2:11" outlineLevel="2" x14ac:dyDescent="0.15">
      <c r="B1198" s="800" t="s">
        <v>1265</v>
      </c>
      <c r="C1198" s="902">
        <v>7.1884090909960563E-2</v>
      </c>
      <c r="D1198" s="907">
        <v>0.1093480352960373</v>
      </c>
      <c r="E1198" s="908">
        <v>0.85205773051732991</v>
      </c>
      <c r="F1198" s="902">
        <v>0.15746117082629371</v>
      </c>
      <c r="G1198" s="902">
        <v>1.226963131944955</v>
      </c>
      <c r="H1198" s="1217">
        <v>0.64</v>
      </c>
      <c r="I1198" s="713">
        <v>0.55000000000000004</v>
      </c>
      <c r="J1198" s="903">
        <v>11.621369863013697</v>
      </c>
      <c r="K1198" s="807">
        <v>0.2</v>
      </c>
    </row>
    <row r="1199" spans="2:11" outlineLevel="2" x14ac:dyDescent="0.15">
      <c r="B1199" s="800" t="s">
        <v>149</v>
      </c>
      <c r="C1199" s="902">
        <v>8.0160993402228709E-2</v>
      </c>
      <c r="D1199" s="907">
        <v>0.13394173618900562</v>
      </c>
      <c r="E1199" s="908">
        <v>1.0436958601933923</v>
      </c>
      <c r="F1199" s="902">
        <v>0.19287610011216813</v>
      </c>
      <c r="G1199" s="902">
        <v>1.5029220386784852</v>
      </c>
      <c r="H1199" s="1217">
        <v>0.47</v>
      </c>
      <c r="I1199" s="713">
        <v>0.48</v>
      </c>
      <c r="J1199" s="903">
        <v>16.659237899917965</v>
      </c>
      <c r="K1199" s="807">
        <v>0.2</v>
      </c>
    </row>
    <row r="1200" spans="2:11" outlineLevel="2" x14ac:dyDescent="0.15">
      <c r="B1200" s="800" t="s">
        <v>1241</v>
      </c>
      <c r="C1200" s="902">
        <v>0.10206090280193253</v>
      </c>
      <c r="D1200" s="907">
        <v>0.11165935006249238</v>
      </c>
      <c r="E1200" s="908">
        <v>0.87006787225499582</v>
      </c>
      <c r="F1200" s="902">
        <v>0.16078946408998904</v>
      </c>
      <c r="G1200" s="902">
        <v>1.252897736047194</v>
      </c>
      <c r="H1200" s="1218">
        <v>0.47</v>
      </c>
      <c r="I1200" s="1219">
        <v>0.71</v>
      </c>
      <c r="J1200" s="903">
        <v>25</v>
      </c>
      <c r="K1200" s="807">
        <v>0.2</v>
      </c>
    </row>
    <row r="1201" spans="2:11" outlineLevel="2" x14ac:dyDescent="0.15">
      <c r="B1201" s="800"/>
      <c r="C1201" s="902"/>
      <c r="D1201" s="907"/>
      <c r="E1201" s="908"/>
      <c r="F1201" s="902"/>
      <c r="G1201" s="902"/>
      <c r="H1201" s="823"/>
      <c r="I1201" s="823"/>
      <c r="J1201" s="903"/>
      <c r="K1201" s="807"/>
    </row>
    <row r="1202" spans="2:11" outlineLevel="2" x14ac:dyDescent="0.15">
      <c r="B1202" s="800" t="s">
        <v>1253</v>
      </c>
      <c r="C1202" s="902">
        <v>3.2999999999999995E-2</v>
      </c>
      <c r="D1202" s="907">
        <v>4.497339361964877E-2</v>
      </c>
      <c r="E1202" s="908">
        <v>0.20370504</v>
      </c>
      <c r="F1202" s="902">
        <v>4.497339361964877E-2</v>
      </c>
      <c r="G1202" s="902">
        <v>0.20370504</v>
      </c>
      <c r="H1202" s="1215">
        <v>0.2</v>
      </c>
      <c r="I1202" s="1216">
        <v>0.3</v>
      </c>
      <c r="J1202" s="1322">
        <v>0.46050331760971941</v>
      </c>
      <c r="K1202" s="895">
        <v>9.2614913518120803E-2</v>
      </c>
    </row>
    <row r="1203" spans="2:11" outlineLevel="2" x14ac:dyDescent="0.15">
      <c r="B1203" s="800" t="s">
        <v>1254</v>
      </c>
      <c r="C1203" s="902">
        <v>2.4749999999999998E-2</v>
      </c>
      <c r="D1203" s="907">
        <v>3.0428263207496562E-2</v>
      </c>
      <c r="E1203" s="908">
        <v>0.19164599999999998</v>
      </c>
      <c r="F1203" s="902">
        <v>3.0428263207496562E-2</v>
      </c>
      <c r="G1203" s="902">
        <v>0.19164599999999998</v>
      </c>
      <c r="H1203" s="1217">
        <v>0.2</v>
      </c>
      <c r="I1203" s="713">
        <v>0.3</v>
      </c>
      <c r="J1203" s="903">
        <v>0.46050331760971941</v>
      </c>
      <c r="K1203" s="807">
        <v>8.661075162385995E-2</v>
      </c>
    </row>
    <row r="1204" spans="2:11" outlineLevel="2" x14ac:dyDescent="0.15">
      <c r="B1204" s="800" t="s">
        <v>1266</v>
      </c>
      <c r="C1204" s="902">
        <v>4.0333333333333332E-2</v>
      </c>
      <c r="D1204" s="907">
        <v>5.0862766593650389E-2</v>
      </c>
      <c r="E1204" s="908">
        <v>0.23038069999999999</v>
      </c>
      <c r="F1204" s="902">
        <v>5.0862766593650389E-2</v>
      </c>
      <c r="G1204" s="902">
        <v>0.23038069999999999</v>
      </c>
      <c r="H1204" s="1217">
        <v>0.2</v>
      </c>
      <c r="I1204" s="713">
        <v>0.3</v>
      </c>
      <c r="J1204" s="903">
        <v>0.69686602772542594</v>
      </c>
      <c r="K1204" s="807">
        <v>0.10863614244021699</v>
      </c>
    </row>
    <row r="1205" spans="2:11" outlineLevel="2" x14ac:dyDescent="0.15">
      <c r="B1205" s="800" t="s">
        <v>1267</v>
      </c>
      <c r="C1205" s="902">
        <v>3.0249999999999999E-2</v>
      </c>
      <c r="D1205" s="907">
        <v>3.5499640408745994E-2</v>
      </c>
      <c r="E1205" s="908">
        <v>0.22358700000000001</v>
      </c>
      <c r="F1205" s="902">
        <v>3.5499640408745994E-2</v>
      </c>
      <c r="G1205" s="902">
        <v>0.22358700000000001</v>
      </c>
      <c r="H1205" s="1217">
        <v>0.2</v>
      </c>
      <c r="I1205" s="713">
        <v>0.3</v>
      </c>
      <c r="J1205" s="903">
        <v>0.69686602772542594</v>
      </c>
      <c r="K1205" s="807">
        <v>9.906803042200836E-2</v>
      </c>
    </row>
    <row r="1206" spans="2:11" outlineLevel="2" x14ac:dyDescent="0.15">
      <c r="B1206" s="800" t="s">
        <v>1268</v>
      </c>
      <c r="C1206" s="902">
        <v>4.6749999999999993E-2</v>
      </c>
      <c r="D1206" s="907">
        <v>8.9411389696206475E-2</v>
      </c>
      <c r="E1206" s="908">
        <v>0.40498501999999997</v>
      </c>
      <c r="F1206" s="902">
        <v>8.9411389696206475E-2</v>
      </c>
      <c r="G1206" s="902">
        <v>0.40498501999999997</v>
      </c>
      <c r="H1206" s="1217">
        <v>0.2</v>
      </c>
      <c r="I1206" s="713">
        <v>0.3</v>
      </c>
      <c r="J1206" s="903">
        <v>1.2396253400982309</v>
      </c>
      <c r="K1206" s="807">
        <v>0.10843974304941136</v>
      </c>
    </row>
    <row r="1207" spans="2:11" outlineLevel="2" x14ac:dyDescent="0.15">
      <c r="B1207" s="800" t="s">
        <v>1269</v>
      </c>
      <c r="C1207" s="902">
        <v>3.7400000000000003E-2</v>
      </c>
      <c r="D1207" s="907">
        <v>4.5642394811244852E-2</v>
      </c>
      <c r="E1207" s="908">
        <v>0.28746900000000003</v>
      </c>
      <c r="F1207" s="902">
        <v>4.5642394811244852E-2</v>
      </c>
      <c r="G1207" s="902">
        <v>0.28746900000000003</v>
      </c>
      <c r="H1207" s="1217">
        <v>0.2</v>
      </c>
      <c r="I1207" s="713">
        <v>0.3</v>
      </c>
      <c r="J1207" s="903">
        <v>1.2396253400982309</v>
      </c>
      <c r="K1207" s="807">
        <v>0.11844200487424614</v>
      </c>
    </row>
    <row r="1208" spans="2:11" outlineLevel="2" x14ac:dyDescent="0.15">
      <c r="B1208" s="800" t="s">
        <v>1255</v>
      </c>
      <c r="C1208" s="902">
        <v>3.85E-2</v>
      </c>
      <c r="D1208" s="907">
        <v>5.2404231079577424E-2</v>
      </c>
      <c r="E1208" s="908">
        <v>0.33005699999999999</v>
      </c>
      <c r="F1208" s="902">
        <v>5.2404231079577424E-2</v>
      </c>
      <c r="G1208" s="902">
        <v>0.33005699999999999</v>
      </c>
      <c r="H1208" s="1217">
        <v>0.2</v>
      </c>
      <c r="I1208" s="713">
        <v>0.3</v>
      </c>
      <c r="J1208" s="903">
        <v>1.4</v>
      </c>
      <c r="K1208" s="807">
        <v>0.1120395970869712</v>
      </c>
    </row>
    <row r="1209" spans="2:11" outlineLevel="2" x14ac:dyDescent="0.15">
      <c r="B1209" s="800" t="s">
        <v>1270</v>
      </c>
      <c r="C1209" s="902">
        <v>4.3477449095827986E-2</v>
      </c>
      <c r="D1209" s="907">
        <v>7.0731090157908405E-2</v>
      </c>
      <c r="E1209" s="908">
        <v>0.44548485767872908</v>
      </c>
      <c r="F1209" s="902">
        <v>0.10178376388577061</v>
      </c>
      <c r="G1209" s="902">
        <v>0.64106357568402461</v>
      </c>
      <c r="H1209" s="1217">
        <v>0.44</v>
      </c>
      <c r="I1209" s="713">
        <v>0.59</v>
      </c>
      <c r="J1209" s="903">
        <v>2.3714972234087996</v>
      </c>
      <c r="K1209" s="807">
        <v>9.8074719213274708E-2</v>
      </c>
    </row>
    <row r="1210" spans="2:11" outlineLevel="2" x14ac:dyDescent="0.15">
      <c r="B1210" s="800" t="s">
        <v>1271</v>
      </c>
      <c r="C1210" s="902">
        <v>5.2000138335546703E-2</v>
      </c>
      <c r="D1210" s="907">
        <v>5.5437881475117412E-2</v>
      </c>
      <c r="E1210" s="908">
        <v>0.34916380736981473</v>
      </c>
      <c r="F1210" s="902">
        <v>7.9776463586144555E-2</v>
      </c>
      <c r="G1210" s="902">
        <v>0.50245523499558697</v>
      </c>
      <c r="H1210" s="1217">
        <v>0.44</v>
      </c>
      <c r="I1210" s="713">
        <v>0.59</v>
      </c>
      <c r="J1210" s="903">
        <v>2.8363711819389108</v>
      </c>
      <c r="K1210" s="807">
        <v>0.12061335156639592</v>
      </c>
    </row>
    <row r="1211" spans="2:11" outlineLevel="2" x14ac:dyDescent="0.15">
      <c r="B1211" s="800" t="s">
        <v>1272</v>
      </c>
      <c r="C1211" s="902">
        <v>5.9457783482842363E-2</v>
      </c>
      <c r="D1211" s="907">
        <v>8.2246821347352436E-2</v>
      </c>
      <c r="E1211" s="908">
        <v>0.51801426247855564</v>
      </c>
      <c r="F1211" s="902">
        <v>0.118355181938873</v>
      </c>
      <c r="G1211" s="902">
        <v>0.74543515820084838</v>
      </c>
      <c r="H1211" s="1217">
        <v>0.39</v>
      </c>
      <c r="I1211" s="713">
        <v>0.44</v>
      </c>
      <c r="J1211" s="903">
        <v>4.6948483581257348</v>
      </c>
      <c r="K1211" s="807">
        <v>0.10490741346622363</v>
      </c>
    </row>
    <row r="1212" spans="2:11" outlineLevel="2" x14ac:dyDescent="0.15">
      <c r="B1212" s="800" t="s">
        <v>1273</v>
      </c>
      <c r="C1212" s="902">
        <v>7.479177736456262E-2</v>
      </c>
      <c r="D1212" s="907">
        <v>0.10817471496489307</v>
      </c>
      <c r="E1212" s="908">
        <v>0.68131563352108671</v>
      </c>
      <c r="F1212" s="902">
        <v>0.15566605324216318</v>
      </c>
      <c r="G1212" s="902">
        <v>0.98042981409131968</v>
      </c>
      <c r="H1212" s="1217">
        <v>0.44</v>
      </c>
      <c r="I1212" s="713">
        <v>0.46</v>
      </c>
      <c r="J1212" s="903">
        <v>9.7909235822700165</v>
      </c>
      <c r="K1212" s="807">
        <v>0.10140191635304184</v>
      </c>
    </row>
    <row r="1213" spans="2:11" outlineLevel="2" x14ac:dyDescent="0.15">
      <c r="B1213" s="800" t="s">
        <v>1274</v>
      </c>
      <c r="C1213" s="902">
        <v>7.7475799086758002E-2</v>
      </c>
      <c r="D1213" s="907">
        <v>0.12477436123008594</v>
      </c>
      <c r="E1213" s="908">
        <v>0.78586500547983185</v>
      </c>
      <c r="F1213" s="902">
        <v>0.17955334908719678</v>
      </c>
      <c r="G1213" s="902">
        <v>1.1308789103246357</v>
      </c>
      <c r="H1213" s="1217">
        <v>0.64</v>
      </c>
      <c r="I1213" s="713">
        <v>0.55000000000000004</v>
      </c>
      <c r="J1213" s="903">
        <v>11.621369863013697</v>
      </c>
      <c r="K1213" s="807">
        <v>9.646483338462726E-2</v>
      </c>
    </row>
    <row r="1214" spans="2:11" outlineLevel="2" x14ac:dyDescent="0.15">
      <c r="B1214" s="800" t="s">
        <v>1256</v>
      </c>
      <c r="C1214" s="902">
        <v>8.6396543947465376E-2</v>
      </c>
      <c r="D1214" s="907">
        <v>0.15690307815792162</v>
      </c>
      <c r="E1214" s="908">
        <v>0.98822095469598759</v>
      </c>
      <c r="F1214" s="902">
        <v>0.22578735637359451</v>
      </c>
      <c r="G1214" s="902">
        <v>1.4220740567576404</v>
      </c>
      <c r="H1214" s="1217">
        <v>0.47</v>
      </c>
      <c r="I1214" s="713">
        <v>0.48</v>
      </c>
      <c r="J1214" s="903">
        <v>16.659237899917965</v>
      </c>
      <c r="K1214" s="807">
        <v>9.1728422803538628E-2</v>
      </c>
    </row>
    <row r="1215" spans="2:11" outlineLevel="2" x14ac:dyDescent="0.15">
      <c r="B1215" s="800" t="s">
        <v>1275</v>
      </c>
      <c r="C1215" s="902">
        <v>0.10999999999999999</v>
      </c>
      <c r="D1215" s="907">
        <v>0.13084072913913614</v>
      </c>
      <c r="E1215" s="908">
        <v>0.82407274465869496</v>
      </c>
      <c r="F1215" s="902">
        <v>0.18828300046851296</v>
      </c>
      <c r="G1215" s="902">
        <v>1.1858607788990974</v>
      </c>
      <c r="H1215" s="1218">
        <v>0.47</v>
      </c>
      <c r="I1215" s="1219">
        <v>0.71</v>
      </c>
      <c r="J1215" s="903">
        <v>25</v>
      </c>
      <c r="K1215" s="807">
        <v>0.10950044274342019</v>
      </c>
    </row>
    <row r="1216" spans="2:11" outlineLevel="2" x14ac:dyDescent="0.15">
      <c r="B1216" s="801"/>
      <c r="C1216" s="823"/>
      <c r="D1216" s="909"/>
      <c r="E1216" s="842"/>
      <c r="F1216" s="823"/>
      <c r="G1216" s="823"/>
      <c r="H1216" s="823"/>
      <c r="I1216" s="823"/>
      <c r="J1216" s="823"/>
      <c r="K1216" s="802"/>
    </row>
    <row r="1217" spans="2:33" outlineLevel="2" x14ac:dyDescent="0.15">
      <c r="B1217" s="13"/>
      <c r="C1217" s="13"/>
      <c r="D1217" s="13"/>
      <c r="E1217" s="13"/>
      <c r="F1217" s="13"/>
      <c r="G1217" s="13"/>
      <c r="H1217" s="13"/>
      <c r="I1217" s="13"/>
    </row>
    <row r="1218" spans="2:33" outlineLevel="2" x14ac:dyDescent="0.15">
      <c r="B1218" s="1489" t="s">
        <v>1276</v>
      </c>
      <c r="C1218" s="1876" t="s">
        <v>765</v>
      </c>
      <c r="D1218" s="1877"/>
      <c r="E1218" s="1878"/>
      <c r="F1218" s="1876" t="s">
        <v>1280</v>
      </c>
      <c r="G1218" s="1877"/>
      <c r="H1218" s="1877"/>
      <c r="I1218" s="1877"/>
      <c r="J1218" s="1877"/>
      <c r="K1218" s="1877"/>
      <c r="L1218" s="1877"/>
      <c r="M1218" s="1877"/>
      <c r="N1218" s="1878"/>
      <c r="O1218" s="1876" t="s">
        <v>773</v>
      </c>
      <c r="P1218" s="1877"/>
      <c r="Q1218" s="1878"/>
      <c r="R1218" s="1876" t="s">
        <v>765</v>
      </c>
      <c r="S1218" s="1877"/>
      <c r="T1218" s="1878"/>
      <c r="U1218" s="1876" t="s">
        <v>1282</v>
      </c>
      <c r="V1218" s="1877"/>
      <c r="W1218" s="1877"/>
      <c r="X1218" s="1877"/>
      <c r="Y1218" s="1877"/>
      <c r="Z1218" s="1877"/>
      <c r="AA1218" s="1877"/>
      <c r="AB1218" s="1877"/>
      <c r="AC1218" s="1878"/>
      <c r="AD1218" s="1876" t="s">
        <v>773</v>
      </c>
      <c r="AE1218" s="1877"/>
      <c r="AF1218" s="1878"/>
      <c r="AG1218" s="1509"/>
    </row>
    <row r="1219" spans="2:33" outlineLevel="2" x14ac:dyDescent="0.15">
      <c r="B1219" s="798"/>
      <c r="C1219" s="1885" t="s">
        <v>1278</v>
      </c>
      <c r="D1219" s="1888"/>
      <c r="E1219" s="1886"/>
      <c r="F1219" s="1885" t="s">
        <v>14</v>
      </c>
      <c r="G1219" s="1888"/>
      <c r="H1219" s="1886"/>
      <c r="I1219" s="1885" t="s">
        <v>695</v>
      </c>
      <c r="J1219" s="1888"/>
      <c r="K1219" s="1886"/>
      <c r="L1219" s="1885" t="s">
        <v>27</v>
      </c>
      <c r="M1219" s="1888"/>
      <c r="N1219" s="1886"/>
      <c r="O1219" s="1885" t="s">
        <v>1278</v>
      </c>
      <c r="P1219" s="1888"/>
      <c r="Q1219" s="1886"/>
      <c r="R1219" s="1885" t="s">
        <v>1281</v>
      </c>
      <c r="S1219" s="1888"/>
      <c r="T1219" s="1886"/>
      <c r="U1219" s="1885" t="s">
        <v>14</v>
      </c>
      <c r="V1219" s="1888"/>
      <c r="W1219" s="1886"/>
      <c r="X1219" s="1885" t="s">
        <v>695</v>
      </c>
      <c r="Y1219" s="1888"/>
      <c r="Z1219" s="1886"/>
      <c r="AA1219" s="1885" t="s">
        <v>27</v>
      </c>
      <c r="AB1219" s="1888"/>
      <c r="AC1219" s="1886"/>
      <c r="AD1219" s="1885" t="s">
        <v>1283</v>
      </c>
      <c r="AE1219" s="1888"/>
      <c r="AF1219" s="1886"/>
      <c r="AG1219" s="1510"/>
    </row>
    <row r="1220" spans="2:33" outlineLevel="2" x14ac:dyDescent="0.15">
      <c r="B1220" s="1556" t="s">
        <v>1277</v>
      </c>
      <c r="C1220" s="1556" t="s">
        <v>1279</v>
      </c>
      <c r="D1220" s="1557" t="s">
        <v>768</v>
      </c>
      <c r="E1220" s="1506" t="s">
        <v>24</v>
      </c>
      <c r="F1220" s="1556" t="s">
        <v>1279</v>
      </c>
      <c r="G1220" s="1557" t="s">
        <v>768</v>
      </c>
      <c r="H1220" s="1506" t="s">
        <v>24</v>
      </c>
      <c r="I1220" s="1556" t="s">
        <v>1279</v>
      </c>
      <c r="J1220" s="1557" t="s">
        <v>768</v>
      </c>
      <c r="K1220" s="1506" t="s">
        <v>24</v>
      </c>
      <c r="L1220" s="1556" t="s">
        <v>1279</v>
      </c>
      <c r="M1220" s="1557" t="s">
        <v>768</v>
      </c>
      <c r="N1220" s="1506" t="s">
        <v>24</v>
      </c>
      <c r="O1220" s="1556" t="s">
        <v>1279</v>
      </c>
      <c r="P1220" s="1557" t="s">
        <v>768</v>
      </c>
      <c r="Q1220" s="1506" t="s">
        <v>24</v>
      </c>
      <c r="R1220" s="1556" t="s">
        <v>1279</v>
      </c>
      <c r="S1220" s="1557" t="s">
        <v>768</v>
      </c>
      <c r="T1220" s="1506" t="s">
        <v>24</v>
      </c>
      <c r="U1220" s="1556" t="s">
        <v>1279</v>
      </c>
      <c r="V1220" s="1557" t="s">
        <v>768</v>
      </c>
      <c r="W1220" s="1506" t="s">
        <v>24</v>
      </c>
      <c r="X1220" s="1556" t="s">
        <v>1279</v>
      </c>
      <c r="Y1220" s="1557" t="s">
        <v>768</v>
      </c>
      <c r="Z1220" s="1506" t="s">
        <v>24</v>
      </c>
      <c r="AA1220" s="1556" t="s">
        <v>1279</v>
      </c>
      <c r="AB1220" s="1557" t="s">
        <v>768</v>
      </c>
      <c r="AC1220" s="1506" t="s">
        <v>24</v>
      </c>
      <c r="AD1220" s="1556" t="s">
        <v>1279</v>
      </c>
      <c r="AE1220" s="1557" t="s">
        <v>768</v>
      </c>
      <c r="AF1220" s="1506" t="s">
        <v>24</v>
      </c>
      <c r="AG1220" s="1560" t="s">
        <v>723</v>
      </c>
    </row>
    <row r="1221" spans="2:33" outlineLevel="2" x14ac:dyDescent="0.15">
      <c r="B1221" s="800" t="s">
        <v>1284</v>
      </c>
      <c r="C1221" s="868">
        <v>8.8599999999999998E-2</v>
      </c>
      <c r="D1221" s="882">
        <v>0.23090000000000002</v>
      </c>
      <c r="E1221" s="933">
        <v>0.88444599999999995</v>
      </c>
      <c r="F1221" s="868">
        <v>8.8599999999999998E-2</v>
      </c>
      <c r="G1221" s="882">
        <v>0.20300000000000001</v>
      </c>
      <c r="H1221" s="844">
        <v>0.877</v>
      </c>
      <c r="I1221" s="826">
        <v>0</v>
      </c>
      <c r="J1221" s="831">
        <v>1.78E-2</v>
      </c>
      <c r="K1221" s="913">
        <v>3.9599999999999998E-4</v>
      </c>
      <c r="L1221" s="826">
        <v>0</v>
      </c>
      <c r="M1221" s="912">
        <v>1.01E-2</v>
      </c>
      <c r="N1221" s="912">
        <v>7.0499999999999998E-3</v>
      </c>
      <c r="O1221" s="799">
        <v>0</v>
      </c>
      <c r="P1221" s="912">
        <v>-5.11E-2</v>
      </c>
      <c r="Q1221" s="947">
        <v>5.11E-2</v>
      </c>
      <c r="R1221" s="868">
        <v>0.04</v>
      </c>
      <c r="S1221" s="882">
        <v>0.10489999999999999</v>
      </c>
      <c r="T1221" s="933">
        <v>0.40239000000000003</v>
      </c>
      <c r="U1221" s="843">
        <v>0.04</v>
      </c>
      <c r="V1221" s="843">
        <v>9.2200000000000004E-2</v>
      </c>
      <c r="W1221" s="844">
        <v>0.39900000000000002</v>
      </c>
      <c r="X1221" s="821">
        <v>0</v>
      </c>
      <c r="Y1221" s="825">
        <v>8.0999999999999996E-3</v>
      </c>
      <c r="Z1221" s="913">
        <v>1.8000000000000001E-4</v>
      </c>
      <c r="AA1221" s="821">
        <v>0</v>
      </c>
      <c r="AB1221" s="856">
        <v>4.5999999999999999E-3</v>
      </c>
      <c r="AC1221" s="912">
        <v>3.2100000000000002E-3</v>
      </c>
      <c r="AD1221" s="799">
        <v>0</v>
      </c>
      <c r="AE1221" s="912">
        <v>-2.3199999999999998E-2</v>
      </c>
      <c r="AF1221" s="947">
        <v>2.3199999999999998E-2</v>
      </c>
      <c r="AG1221" s="878">
        <v>0.7</v>
      </c>
    </row>
    <row r="1222" spans="2:33" outlineLevel="2" x14ac:dyDescent="0.15">
      <c r="B1222" s="800" t="s">
        <v>1285</v>
      </c>
      <c r="C1222" s="869">
        <v>0.154</v>
      </c>
      <c r="D1222" s="843">
        <v>0.40379999999999999</v>
      </c>
      <c r="E1222" s="874">
        <v>1.5529919999999999</v>
      </c>
      <c r="F1222" s="869">
        <v>0.154</v>
      </c>
      <c r="G1222" s="843">
        <v>0.35499999999999998</v>
      </c>
      <c r="H1222" s="845">
        <v>1.54</v>
      </c>
      <c r="I1222" s="821">
        <v>0</v>
      </c>
      <c r="J1222" s="825">
        <v>3.1099999999999999E-2</v>
      </c>
      <c r="K1222" s="914">
        <v>6.9200000000000002E-4</v>
      </c>
      <c r="L1222" s="821">
        <v>0</v>
      </c>
      <c r="M1222" s="856">
        <v>1.77E-2</v>
      </c>
      <c r="N1222" s="856">
        <v>1.23E-2</v>
      </c>
      <c r="O1222" s="800">
        <v>0</v>
      </c>
      <c r="P1222" s="856">
        <v>-8.9300000000000004E-2</v>
      </c>
      <c r="Q1222" s="893">
        <v>8.9300000000000004E-2</v>
      </c>
      <c r="R1222" s="869">
        <v>0.04</v>
      </c>
      <c r="S1222" s="843">
        <v>0.10489999999999999</v>
      </c>
      <c r="T1222" s="874">
        <v>0.40239000000000003</v>
      </c>
      <c r="U1222" s="843">
        <v>0.04</v>
      </c>
      <c r="V1222" s="843">
        <v>9.2200000000000004E-2</v>
      </c>
      <c r="W1222" s="845">
        <v>0.39900000000000002</v>
      </c>
      <c r="X1222" s="821">
        <v>0</v>
      </c>
      <c r="Y1222" s="825">
        <v>8.0999999999999996E-3</v>
      </c>
      <c r="Z1222" s="914">
        <v>1.8000000000000001E-4</v>
      </c>
      <c r="AA1222" s="821">
        <v>0</v>
      </c>
      <c r="AB1222" s="856">
        <v>4.5999999999999999E-3</v>
      </c>
      <c r="AC1222" s="856">
        <v>3.2100000000000002E-3</v>
      </c>
      <c r="AD1222" s="800">
        <v>0</v>
      </c>
      <c r="AE1222" s="856">
        <v>-2.3199999999999998E-2</v>
      </c>
      <c r="AF1222" s="893">
        <v>2.3199999999999998E-2</v>
      </c>
      <c r="AG1222" s="878">
        <v>0.7</v>
      </c>
    </row>
    <row r="1223" spans="2:33" outlineLevel="2" x14ac:dyDescent="0.15">
      <c r="B1223" s="800" t="s">
        <v>1286</v>
      </c>
      <c r="C1223" s="869">
        <v>3.5999999999999997E-2</v>
      </c>
      <c r="D1223" s="843">
        <v>7.077E-2</v>
      </c>
      <c r="E1223" s="874">
        <v>0.27128200000000002</v>
      </c>
      <c r="F1223" s="869">
        <v>3.5999999999999997E-2</v>
      </c>
      <c r="G1223" s="843">
        <v>6.2199999999999998E-2</v>
      </c>
      <c r="H1223" s="845">
        <v>0.26900000000000002</v>
      </c>
      <c r="I1223" s="821">
        <v>0</v>
      </c>
      <c r="J1223" s="825">
        <v>5.47E-3</v>
      </c>
      <c r="K1223" s="914">
        <v>1.22E-4</v>
      </c>
      <c r="L1223" s="821">
        <v>0</v>
      </c>
      <c r="M1223" s="856">
        <v>3.0999999999999999E-3</v>
      </c>
      <c r="N1223" s="856">
        <v>2.16E-3</v>
      </c>
      <c r="O1223" s="800">
        <v>0</v>
      </c>
      <c r="P1223" s="856">
        <v>-1.5699999999999999E-2</v>
      </c>
      <c r="Q1223" s="893">
        <v>1.5699999999999999E-2</v>
      </c>
      <c r="R1223" s="869">
        <v>0.09</v>
      </c>
      <c r="S1223" s="843">
        <v>0.17745999999999998</v>
      </c>
      <c r="T1223" s="874">
        <v>0.67971400000000004</v>
      </c>
      <c r="U1223" s="843">
        <v>0.09</v>
      </c>
      <c r="V1223" s="843">
        <v>0.156</v>
      </c>
      <c r="W1223" s="845">
        <v>0.67400000000000004</v>
      </c>
      <c r="X1223" s="821">
        <v>0</v>
      </c>
      <c r="Y1223" s="825">
        <v>1.37E-2</v>
      </c>
      <c r="Z1223" s="914">
        <v>3.0400000000000002E-4</v>
      </c>
      <c r="AA1223" s="821">
        <v>0</v>
      </c>
      <c r="AB1223" s="856">
        <v>7.7600000000000004E-3</v>
      </c>
      <c r="AC1223" s="856">
        <v>5.4099999999999999E-3</v>
      </c>
      <c r="AD1223" s="800">
        <v>0</v>
      </c>
      <c r="AE1223" s="856">
        <v>-3.9199999999999999E-2</v>
      </c>
      <c r="AF1223" s="893">
        <v>3.9199999999999999E-2</v>
      </c>
      <c r="AG1223" s="878">
        <v>0.7</v>
      </c>
    </row>
    <row r="1224" spans="2:33" outlineLevel="2" x14ac:dyDescent="0.15">
      <c r="B1224" s="800" t="s">
        <v>1294</v>
      </c>
      <c r="C1224" s="869">
        <v>3.1800000000000002E-2</v>
      </c>
      <c r="D1224" s="843">
        <v>6.4610000000000001E-2</v>
      </c>
      <c r="E1224" s="874">
        <v>0.248081</v>
      </c>
      <c r="F1224" s="869">
        <v>3.1800000000000002E-2</v>
      </c>
      <c r="G1224" s="843">
        <v>5.6800000000000003E-2</v>
      </c>
      <c r="H1224" s="845">
        <v>0.246</v>
      </c>
      <c r="I1224" s="821">
        <v>0</v>
      </c>
      <c r="J1224" s="825">
        <v>4.9800000000000001E-3</v>
      </c>
      <c r="K1224" s="914">
        <v>1.11E-4</v>
      </c>
      <c r="L1224" s="821">
        <v>0</v>
      </c>
      <c r="M1224" s="856">
        <v>2.8300000000000001E-3</v>
      </c>
      <c r="N1224" s="856">
        <v>1.97E-3</v>
      </c>
      <c r="O1224" s="800">
        <v>0</v>
      </c>
      <c r="P1224" s="856">
        <v>-1.43E-2</v>
      </c>
      <c r="Q1224" s="893">
        <v>1.43E-2</v>
      </c>
      <c r="R1224" s="869">
        <v>0.105</v>
      </c>
      <c r="S1224" s="843">
        <v>0.21273999999999998</v>
      </c>
      <c r="T1224" s="874">
        <v>0.81787600000000005</v>
      </c>
      <c r="U1224" s="843">
        <v>0.105</v>
      </c>
      <c r="V1224" s="843">
        <v>0.187</v>
      </c>
      <c r="W1224" s="845">
        <v>0.81100000000000005</v>
      </c>
      <c r="X1224" s="821">
        <v>0</v>
      </c>
      <c r="Y1224" s="825">
        <v>1.6400000000000001E-2</v>
      </c>
      <c r="Z1224" s="914">
        <v>3.6600000000000001E-4</v>
      </c>
      <c r="AA1224" s="821">
        <v>0</v>
      </c>
      <c r="AB1224" s="856">
        <v>9.3399999999999993E-3</v>
      </c>
      <c r="AC1224" s="856">
        <v>6.5100000000000002E-3</v>
      </c>
      <c r="AD1224" s="800">
        <v>0</v>
      </c>
      <c r="AE1224" s="856">
        <v>-4.7199999999999999E-2</v>
      </c>
      <c r="AF1224" s="893">
        <v>4.7199999999999999E-2</v>
      </c>
      <c r="AG1224" s="878">
        <v>0.7</v>
      </c>
    </row>
    <row r="1225" spans="2:33" outlineLevel="2" x14ac:dyDescent="0.15">
      <c r="B1225" s="800" t="s">
        <v>1295</v>
      </c>
      <c r="C1225" s="869">
        <v>3.5999999999999997E-2</v>
      </c>
      <c r="D1225" s="843">
        <v>7.077E-2</v>
      </c>
      <c r="E1225" s="874">
        <v>0.27128200000000002</v>
      </c>
      <c r="F1225" s="869">
        <v>3.5999999999999997E-2</v>
      </c>
      <c r="G1225" s="843">
        <v>6.2199999999999998E-2</v>
      </c>
      <c r="H1225" s="845">
        <v>0.26900000000000002</v>
      </c>
      <c r="I1225" s="821">
        <v>0</v>
      </c>
      <c r="J1225" s="825">
        <v>5.47E-3</v>
      </c>
      <c r="K1225" s="914">
        <v>1.22E-4</v>
      </c>
      <c r="L1225" s="821">
        <v>0</v>
      </c>
      <c r="M1225" s="856">
        <v>3.0999999999999999E-3</v>
      </c>
      <c r="N1225" s="856">
        <v>2.16E-3</v>
      </c>
      <c r="O1225" s="800">
        <v>0</v>
      </c>
      <c r="P1225" s="856">
        <v>-1.5699999999999999E-2</v>
      </c>
      <c r="Q1225" s="893">
        <v>1.5699999999999999E-2</v>
      </c>
      <c r="R1225" s="869">
        <v>0.09</v>
      </c>
      <c r="S1225" s="843">
        <v>0.17745999999999998</v>
      </c>
      <c r="T1225" s="874">
        <v>0.67971400000000004</v>
      </c>
      <c r="U1225" s="843">
        <v>0.09</v>
      </c>
      <c r="V1225" s="843">
        <v>0.156</v>
      </c>
      <c r="W1225" s="845">
        <v>0.67400000000000004</v>
      </c>
      <c r="X1225" s="821">
        <v>0</v>
      </c>
      <c r="Y1225" s="825">
        <v>1.37E-2</v>
      </c>
      <c r="Z1225" s="914">
        <v>3.0400000000000002E-4</v>
      </c>
      <c r="AA1225" s="821">
        <v>0</v>
      </c>
      <c r="AB1225" s="856">
        <v>7.7600000000000004E-3</v>
      </c>
      <c r="AC1225" s="856">
        <v>5.4099999999999999E-3</v>
      </c>
      <c r="AD1225" s="800">
        <v>0</v>
      </c>
      <c r="AE1225" s="856">
        <v>-3.9199999999999999E-2</v>
      </c>
      <c r="AF1225" s="893">
        <v>3.9199999999999999E-2</v>
      </c>
      <c r="AG1225" s="878">
        <v>0.7</v>
      </c>
    </row>
    <row r="1226" spans="2:33" outlineLevel="2" x14ac:dyDescent="0.15">
      <c r="B1226" s="800" t="s">
        <v>1292</v>
      </c>
      <c r="C1226" s="869">
        <v>1.72E-2</v>
      </c>
      <c r="D1226" s="843">
        <v>3.3330000000000005E-2</v>
      </c>
      <c r="E1226" s="874">
        <v>0.1280772</v>
      </c>
      <c r="F1226" s="869">
        <v>1.72E-2</v>
      </c>
      <c r="G1226" s="843">
        <v>2.93E-2</v>
      </c>
      <c r="H1226" s="845">
        <v>0.127</v>
      </c>
      <c r="I1226" s="821">
        <v>0</v>
      </c>
      <c r="J1226" s="825">
        <v>2.5699999999999998E-3</v>
      </c>
      <c r="K1226" s="914">
        <v>5.7200000000000001E-5</v>
      </c>
      <c r="L1226" s="821">
        <v>0</v>
      </c>
      <c r="M1226" s="856">
        <v>1.4599999999999999E-3</v>
      </c>
      <c r="N1226" s="856">
        <v>1.0200000000000001E-3</v>
      </c>
      <c r="O1226" s="800">
        <v>0</v>
      </c>
      <c r="P1226" s="856">
        <v>-7.3800000000000003E-3</v>
      </c>
      <c r="Q1226" s="893">
        <v>7.3800000000000003E-3</v>
      </c>
      <c r="R1226" s="869">
        <v>0.10299999999999999</v>
      </c>
      <c r="S1226" s="843">
        <v>0.20015999999999998</v>
      </c>
      <c r="T1226" s="874">
        <v>0.76745299999999994</v>
      </c>
      <c r="U1226" s="843">
        <v>0.10299999999999999</v>
      </c>
      <c r="V1226" s="843">
        <v>0.17599999999999999</v>
      </c>
      <c r="W1226" s="845">
        <v>0.76100000000000001</v>
      </c>
      <c r="X1226" s="821">
        <v>0</v>
      </c>
      <c r="Y1226" s="825">
        <v>1.54E-2</v>
      </c>
      <c r="Z1226" s="914">
        <v>3.4299999999999999E-4</v>
      </c>
      <c r="AA1226" s="821">
        <v>0</v>
      </c>
      <c r="AB1226" s="856">
        <v>8.7600000000000004E-3</v>
      </c>
      <c r="AC1226" s="856">
        <v>6.11E-3</v>
      </c>
      <c r="AD1226" s="800">
        <v>0</v>
      </c>
      <c r="AE1226" s="856">
        <v>-4.4299999999999999E-2</v>
      </c>
      <c r="AF1226" s="893">
        <v>4.4299999999999999E-2</v>
      </c>
      <c r="AG1226" s="878">
        <v>0.7</v>
      </c>
    </row>
    <row r="1227" spans="2:33" outlineLevel="2" x14ac:dyDescent="0.15">
      <c r="B1227" s="800" t="s">
        <v>1293</v>
      </c>
      <c r="C1227" s="869">
        <v>8.8000000000000005E-3</v>
      </c>
      <c r="D1227" s="843">
        <v>1.9901000000000002E-2</v>
      </c>
      <c r="E1227" s="874">
        <v>7.6242099999999993E-2</v>
      </c>
      <c r="F1227" s="869">
        <v>8.8000000000000005E-3</v>
      </c>
      <c r="G1227" s="843">
        <v>1.7500000000000002E-2</v>
      </c>
      <c r="H1227" s="845">
        <v>7.5600000000000001E-2</v>
      </c>
      <c r="I1227" s="821">
        <v>0</v>
      </c>
      <c r="J1227" s="825">
        <v>1.5299999999999999E-3</v>
      </c>
      <c r="K1227" s="914">
        <v>3.4100000000000002E-5</v>
      </c>
      <c r="L1227" s="821">
        <v>0</v>
      </c>
      <c r="M1227" s="856">
        <v>8.7100000000000003E-4</v>
      </c>
      <c r="N1227" s="856">
        <v>6.0800000000000003E-4</v>
      </c>
      <c r="O1227" s="800">
        <v>0</v>
      </c>
      <c r="P1227" s="856">
        <v>-4.4000000000000003E-3</v>
      </c>
      <c r="Q1227" s="893">
        <v>4.4000000000000003E-3</v>
      </c>
      <c r="R1227" s="869">
        <v>0.11</v>
      </c>
      <c r="S1227" s="843">
        <v>0.24809999999999999</v>
      </c>
      <c r="T1227" s="874">
        <v>0.95301599999999997</v>
      </c>
      <c r="U1227" s="843">
        <v>0.11</v>
      </c>
      <c r="V1227" s="843">
        <v>0.218</v>
      </c>
      <c r="W1227" s="845">
        <v>0.94499999999999995</v>
      </c>
      <c r="X1227" s="821">
        <v>0</v>
      </c>
      <c r="Y1227" s="825">
        <v>1.9199999999999998E-2</v>
      </c>
      <c r="Z1227" s="914">
        <v>4.26E-4</v>
      </c>
      <c r="AA1227" s="821">
        <v>0</v>
      </c>
      <c r="AB1227" s="856">
        <v>1.09E-2</v>
      </c>
      <c r="AC1227" s="856">
        <v>7.5900000000000004E-3</v>
      </c>
      <c r="AD1227" s="800">
        <v>0</v>
      </c>
      <c r="AE1227" s="856">
        <v>-5.5E-2</v>
      </c>
      <c r="AF1227" s="893">
        <v>5.5E-2</v>
      </c>
      <c r="AG1227" s="878">
        <v>0.7</v>
      </c>
    </row>
    <row r="1228" spans="2:33" outlineLevel="2" x14ac:dyDescent="0.15">
      <c r="B1228" s="800" t="s">
        <v>1296</v>
      </c>
      <c r="C1228" s="869">
        <v>8.8000000000000005E-3</v>
      </c>
      <c r="D1228" s="843">
        <v>2.1271000000000002E-2</v>
      </c>
      <c r="E1228" s="874">
        <v>8.1485499999999988E-2</v>
      </c>
      <c r="F1228" s="869">
        <v>8.8000000000000005E-3</v>
      </c>
      <c r="G1228" s="843">
        <v>1.8700000000000001E-2</v>
      </c>
      <c r="H1228" s="845">
        <v>8.0799999999999997E-2</v>
      </c>
      <c r="I1228" s="821">
        <v>0</v>
      </c>
      <c r="J1228" s="825">
        <v>1.64E-3</v>
      </c>
      <c r="K1228" s="914">
        <v>3.65E-5</v>
      </c>
      <c r="L1228" s="821">
        <v>0</v>
      </c>
      <c r="M1228" s="856">
        <v>9.3099999999999997E-4</v>
      </c>
      <c r="N1228" s="856">
        <v>6.4899999999999995E-4</v>
      </c>
      <c r="O1228" s="800">
        <v>0</v>
      </c>
      <c r="P1228" s="856">
        <v>-4.7000000000000002E-3</v>
      </c>
      <c r="Q1228" s="893">
        <v>4.7000000000000002E-3</v>
      </c>
      <c r="R1228" s="869">
        <v>0.11</v>
      </c>
      <c r="S1228" s="843">
        <v>0.2651</v>
      </c>
      <c r="T1228" s="874">
        <v>1.0185759999999999</v>
      </c>
      <c r="U1228" s="843">
        <v>0.11</v>
      </c>
      <c r="V1228" s="843">
        <v>0.23300000000000001</v>
      </c>
      <c r="W1228" s="845">
        <v>1.01</v>
      </c>
      <c r="X1228" s="821">
        <v>0</v>
      </c>
      <c r="Y1228" s="825">
        <v>2.0500000000000001E-2</v>
      </c>
      <c r="Z1228" s="914">
        <v>4.5600000000000003E-4</v>
      </c>
      <c r="AA1228" s="821">
        <v>0</v>
      </c>
      <c r="AB1228" s="856">
        <v>1.1599999999999999E-2</v>
      </c>
      <c r="AC1228" s="856">
        <v>8.1200000000000005E-3</v>
      </c>
      <c r="AD1228" s="800">
        <v>0</v>
      </c>
      <c r="AE1228" s="856">
        <v>-5.8799999999999998E-2</v>
      </c>
      <c r="AF1228" s="893">
        <v>5.8799999999999998E-2</v>
      </c>
      <c r="AG1228" s="878">
        <v>0.7</v>
      </c>
    </row>
    <row r="1229" spans="2:33" outlineLevel="2" x14ac:dyDescent="0.15">
      <c r="B1229" s="800" t="s">
        <v>1297</v>
      </c>
      <c r="C1229" s="869">
        <v>8.8000000000000005E-3</v>
      </c>
      <c r="D1229" s="843">
        <v>2.2411999999999998E-2</v>
      </c>
      <c r="E1229" s="874">
        <v>8.5922399999999996E-2</v>
      </c>
      <c r="F1229" s="869">
        <v>8.8000000000000005E-3</v>
      </c>
      <c r="G1229" s="843">
        <v>1.9699999999999999E-2</v>
      </c>
      <c r="H1229" s="845">
        <v>8.5199999999999998E-2</v>
      </c>
      <c r="I1229" s="821">
        <v>0</v>
      </c>
      <c r="J1229" s="825">
        <v>1.73E-3</v>
      </c>
      <c r="K1229" s="914">
        <v>3.8399999999999998E-5</v>
      </c>
      <c r="L1229" s="821">
        <v>0</v>
      </c>
      <c r="M1229" s="856">
        <v>9.8200000000000002E-4</v>
      </c>
      <c r="N1229" s="856">
        <v>6.8400000000000004E-4</v>
      </c>
      <c r="O1229" s="800">
        <v>0</v>
      </c>
      <c r="P1229" s="856">
        <v>-4.96E-3</v>
      </c>
      <c r="Q1229" s="893">
        <v>4.96E-3</v>
      </c>
      <c r="R1229" s="869">
        <v>0.11</v>
      </c>
      <c r="S1229" s="843">
        <v>0.27989999999999998</v>
      </c>
      <c r="T1229" s="874">
        <v>1.07904</v>
      </c>
      <c r="U1229" s="843">
        <v>0.11</v>
      </c>
      <c r="V1229" s="843">
        <v>0.246</v>
      </c>
      <c r="W1229" s="845">
        <v>1.07</v>
      </c>
      <c r="X1229" s="821">
        <v>0</v>
      </c>
      <c r="Y1229" s="825">
        <v>2.1600000000000001E-2</v>
      </c>
      <c r="Z1229" s="914">
        <v>4.8000000000000001E-4</v>
      </c>
      <c r="AA1229" s="821">
        <v>0</v>
      </c>
      <c r="AB1229" s="856">
        <v>1.23E-2</v>
      </c>
      <c r="AC1229" s="856">
        <v>8.5599999999999999E-3</v>
      </c>
      <c r="AD1229" s="800">
        <v>0</v>
      </c>
      <c r="AE1229" s="856">
        <v>-6.2E-2</v>
      </c>
      <c r="AF1229" s="893">
        <v>6.2E-2</v>
      </c>
      <c r="AG1229" s="878">
        <v>0.7</v>
      </c>
    </row>
    <row r="1230" spans="2:33" outlineLevel="2" x14ac:dyDescent="0.15">
      <c r="B1230" s="800" t="s">
        <v>1298</v>
      </c>
      <c r="C1230" s="869">
        <v>8.8000000000000005E-3</v>
      </c>
      <c r="D1230" s="843">
        <v>1.9567000000000001E-2</v>
      </c>
      <c r="E1230" s="874">
        <v>7.503159999999999E-2</v>
      </c>
      <c r="F1230" s="869">
        <v>8.8000000000000005E-3</v>
      </c>
      <c r="G1230" s="843">
        <v>1.72E-2</v>
      </c>
      <c r="H1230" s="845">
        <v>7.4399999999999994E-2</v>
      </c>
      <c r="I1230" s="821">
        <v>0</v>
      </c>
      <c r="J1230" s="825">
        <v>1.5100000000000001E-3</v>
      </c>
      <c r="K1230" s="914">
        <v>3.3599999999999997E-5</v>
      </c>
      <c r="L1230" s="821">
        <v>0</v>
      </c>
      <c r="M1230" s="856">
        <v>8.5700000000000001E-4</v>
      </c>
      <c r="N1230" s="856">
        <v>5.9800000000000001E-4</v>
      </c>
      <c r="O1230" s="800">
        <v>0</v>
      </c>
      <c r="P1230" s="856">
        <v>-4.3299999999999996E-3</v>
      </c>
      <c r="Q1230" s="893">
        <v>4.3299999999999996E-3</v>
      </c>
      <c r="R1230" s="869">
        <v>0.11</v>
      </c>
      <c r="S1230" s="843">
        <v>0.24459999999999998</v>
      </c>
      <c r="T1230" s="874">
        <v>0.93889</v>
      </c>
      <c r="U1230" s="843">
        <v>0.11</v>
      </c>
      <c r="V1230" s="843">
        <v>0.215</v>
      </c>
      <c r="W1230" s="845">
        <v>0.93100000000000005</v>
      </c>
      <c r="X1230" s="821">
        <v>0</v>
      </c>
      <c r="Y1230" s="825">
        <v>1.89E-2</v>
      </c>
      <c r="Z1230" s="914">
        <v>4.2000000000000002E-4</v>
      </c>
      <c r="AA1230" s="821">
        <v>0</v>
      </c>
      <c r="AB1230" s="856">
        <v>1.0699999999999999E-2</v>
      </c>
      <c r="AC1230" s="856">
        <v>7.4700000000000001E-3</v>
      </c>
      <c r="AD1230" s="800">
        <v>0</v>
      </c>
      <c r="AE1230" s="856">
        <v>-5.4199999999999998E-2</v>
      </c>
      <c r="AF1230" s="893">
        <v>5.4199999999999998E-2</v>
      </c>
      <c r="AG1230" s="878">
        <v>0.7</v>
      </c>
    </row>
    <row r="1231" spans="2:33" outlineLevel="2" x14ac:dyDescent="0.15">
      <c r="B1231" s="800" t="s">
        <v>1299</v>
      </c>
      <c r="C1231" s="869">
        <v>8.8000000000000005E-3</v>
      </c>
      <c r="D1231" s="843">
        <v>1.8541999999999999E-2</v>
      </c>
      <c r="E1231" s="874">
        <v>7.09978E-2</v>
      </c>
      <c r="F1231" s="869">
        <v>8.8000000000000005E-3</v>
      </c>
      <c r="G1231" s="843">
        <v>1.6299999999999999E-2</v>
      </c>
      <c r="H1231" s="845">
        <v>7.0400000000000004E-2</v>
      </c>
      <c r="I1231" s="821">
        <v>0</v>
      </c>
      <c r="J1231" s="825">
        <v>1.4300000000000001E-3</v>
      </c>
      <c r="K1231" s="914">
        <v>3.18E-5</v>
      </c>
      <c r="L1231" s="821">
        <v>0</v>
      </c>
      <c r="M1231" s="856">
        <v>8.12E-4</v>
      </c>
      <c r="N1231" s="856">
        <v>5.6599999999999999E-4</v>
      </c>
      <c r="O1231" s="800">
        <v>0</v>
      </c>
      <c r="P1231" s="856">
        <v>-4.1000000000000003E-3</v>
      </c>
      <c r="Q1231" s="893">
        <v>4.1000000000000003E-3</v>
      </c>
      <c r="R1231" s="869">
        <v>0.11</v>
      </c>
      <c r="S1231" s="843">
        <v>0.23100000000000001</v>
      </c>
      <c r="T1231" s="874">
        <v>0.88846700000000001</v>
      </c>
      <c r="U1231" s="843">
        <v>0.11</v>
      </c>
      <c r="V1231" s="843">
        <v>0.20300000000000001</v>
      </c>
      <c r="W1231" s="845">
        <v>0.88100000000000001</v>
      </c>
      <c r="X1231" s="821">
        <v>0</v>
      </c>
      <c r="Y1231" s="825">
        <v>1.7899999999999999E-2</v>
      </c>
      <c r="Z1231" s="914">
        <v>3.97E-4</v>
      </c>
      <c r="AA1231" s="821">
        <v>0</v>
      </c>
      <c r="AB1231" s="856">
        <v>1.01E-2</v>
      </c>
      <c r="AC1231" s="856">
        <v>7.0699999999999999E-3</v>
      </c>
      <c r="AD1231" s="800">
        <v>0</v>
      </c>
      <c r="AE1231" s="856">
        <v>-5.1200000000000002E-2</v>
      </c>
      <c r="AF1231" s="893">
        <v>5.1200000000000002E-2</v>
      </c>
      <c r="AG1231" s="878">
        <v>0.7</v>
      </c>
    </row>
    <row r="1232" spans="2:33" outlineLevel="2" x14ac:dyDescent="0.15">
      <c r="B1232" s="800" t="s">
        <v>1300</v>
      </c>
      <c r="C1232" s="869">
        <v>8.8000000000000005E-3</v>
      </c>
      <c r="D1232" s="843">
        <v>2.1054E-2</v>
      </c>
      <c r="E1232" s="874">
        <v>8.0880199999999999E-2</v>
      </c>
      <c r="F1232" s="869">
        <v>8.8000000000000005E-3</v>
      </c>
      <c r="G1232" s="843">
        <v>1.8499999999999999E-2</v>
      </c>
      <c r="H1232" s="845">
        <v>8.0199999999999994E-2</v>
      </c>
      <c r="I1232" s="821">
        <v>0</v>
      </c>
      <c r="J1232" s="825">
        <v>1.6299999999999999E-3</v>
      </c>
      <c r="K1232" s="914">
        <v>3.6199999999999999E-5</v>
      </c>
      <c r="L1232" s="821">
        <v>0</v>
      </c>
      <c r="M1232" s="856">
        <v>9.2400000000000002E-4</v>
      </c>
      <c r="N1232" s="856">
        <v>6.4400000000000004E-4</v>
      </c>
      <c r="O1232" s="800">
        <v>0</v>
      </c>
      <c r="P1232" s="856">
        <v>-4.6699999999999997E-3</v>
      </c>
      <c r="Q1232" s="893">
        <v>4.6699999999999997E-3</v>
      </c>
      <c r="R1232" s="869">
        <v>0.11</v>
      </c>
      <c r="S1232" s="843">
        <v>0.26390000000000002</v>
      </c>
      <c r="T1232" s="874">
        <v>1.0085019999999998</v>
      </c>
      <c r="U1232" s="843">
        <v>0.11</v>
      </c>
      <c r="V1232" s="843">
        <v>0.23200000000000001</v>
      </c>
      <c r="W1232" s="845">
        <v>1</v>
      </c>
      <c r="X1232" s="821">
        <v>0</v>
      </c>
      <c r="Y1232" s="825">
        <v>2.0299999999999999E-2</v>
      </c>
      <c r="Z1232" s="914">
        <v>4.5199999999999998E-4</v>
      </c>
      <c r="AA1232" s="821">
        <v>0</v>
      </c>
      <c r="AB1232" s="856">
        <v>1.1599999999999999E-2</v>
      </c>
      <c r="AC1232" s="856">
        <v>8.0499999999999999E-3</v>
      </c>
      <c r="AD1232" s="800">
        <v>0</v>
      </c>
      <c r="AE1232" s="856">
        <v>-5.8400000000000001E-2</v>
      </c>
      <c r="AF1232" s="893">
        <v>5.8400000000000001E-2</v>
      </c>
      <c r="AG1232" s="878">
        <v>0.7</v>
      </c>
    </row>
    <row r="1233" spans="1:256" outlineLevel="2" x14ac:dyDescent="0.15">
      <c r="B1233" s="800" t="s">
        <v>1301</v>
      </c>
      <c r="C1233" s="869">
        <v>1.8599999999999998E-2</v>
      </c>
      <c r="D1233" s="843">
        <v>3.8009999999999995E-2</v>
      </c>
      <c r="E1233" s="874">
        <v>0.14622529999999997</v>
      </c>
      <c r="F1233" s="869">
        <v>1.8599999999999998E-2</v>
      </c>
      <c r="G1233" s="843">
        <v>3.3399999999999999E-2</v>
      </c>
      <c r="H1233" s="845">
        <v>0.14499999999999999</v>
      </c>
      <c r="I1233" s="821">
        <v>0</v>
      </c>
      <c r="J1233" s="825">
        <v>2.9399999999999999E-3</v>
      </c>
      <c r="K1233" s="914">
        <v>6.5300000000000002E-5</v>
      </c>
      <c r="L1233" s="821">
        <v>0</v>
      </c>
      <c r="M1233" s="856">
        <v>1.67E-3</v>
      </c>
      <c r="N1233" s="856">
        <v>1.16E-3</v>
      </c>
      <c r="O1233" s="800">
        <v>0</v>
      </c>
      <c r="P1233" s="856">
        <v>-8.4200000000000004E-3</v>
      </c>
      <c r="Q1233" s="893">
        <v>8.4200000000000004E-3</v>
      </c>
      <c r="R1233" s="869">
        <v>0.13200000000000001</v>
      </c>
      <c r="S1233" s="843">
        <v>0.26969999999999994</v>
      </c>
      <c r="T1233" s="874">
        <v>1.038724</v>
      </c>
      <c r="U1233" s="843">
        <v>0.13200000000000001</v>
      </c>
      <c r="V1233" s="843">
        <v>0.23699999999999999</v>
      </c>
      <c r="W1233" s="845">
        <v>1.03</v>
      </c>
      <c r="X1233" s="821">
        <v>0</v>
      </c>
      <c r="Y1233" s="825">
        <v>2.0899999999999998E-2</v>
      </c>
      <c r="Z1233" s="914">
        <v>4.64E-4</v>
      </c>
      <c r="AA1233" s="821">
        <v>0</v>
      </c>
      <c r="AB1233" s="856">
        <v>1.18E-2</v>
      </c>
      <c r="AC1233" s="856">
        <v>8.26E-3</v>
      </c>
      <c r="AD1233" s="800">
        <v>0</v>
      </c>
      <c r="AE1233" s="856">
        <v>-5.9799999999999999E-2</v>
      </c>
      <c r="AF1233" s="893">
        <v>5.9799999999999999E-2</v>
      </c>
      <c r="AG1233" s="878">
        <v>0.7</v>
      </c>
    </row>
    <row r="1234" spans="1:256" outlineLevel="2" x14ac:dyDescent="0.15">
      <c r="B1234" s="800" t="s">
        <v>1302</v>
      </c>
      <c r="C1234" s="869">
        <v>1.83E-2</v>
      </c>
      <c r="D1234" s="843">
        <v>3.7420000000000002E-2</v>
      </c>
      <c r="E1234" s="874">
        <v>0.1432041</v>
      </c>
      <c r="F1234" s="869">
        <v>1.83E-2</v>
      </c>
      <c r="G1234" s="843">
        <v>3.2899999999999999E-2</v>
      </c>
      <c r="H1234" s="845">
        <v>0.14199999999999999</v>
      </c>
      <c r="I1234" s="821">
        <v>0</v>
      </c>
      <c r="J1234" s="825">
        <v>2.8800000000000002E-3</v>
      </c>
      <c r="K1234" s="914">
        <v>6.41E-5</v>
      </c>
      <c r="L1234" s="821">
        <v>0</v>
      </c>
      <c r="M1234" s="856">
        <v>1.64E-3</v>
      </c>
      <c r="N1234" s="856">
        <v>1.14E-3</v>
      </c>
      <c r="O1234" s="800">
        <v>0</v>
      </c>
      <c r="P1234" s="856">
        <v>-8.2799999999999992E-3</v>
      </c>
      <c r="Q1234" s="893">
        <v>8.2799999999999992E-3</v>
      </c>
      <c r="R1234" s="869">
        <v>0.11</v>
      </c>
      <c r="S1234" s="843">
        <v>0.22413000000000002</v>
      </c>
      <c r="T1234" s="874">
        <v>0.86023499999999997</v>
      </c>
      <c r="U1234" s="843">
        <v>0.11</v>
      </c>
      <c r="V1234" s="843">
        <v>0.19700000000000001</v>
      </c>
      <c r="W1234" s="845">
        <v>0.85299999999999998</v>
      </c>
      <c r="X1234" s="821">
        <v>0</v>
      </c>
      <c r="Y1234" s="825">
        <v>1.7299999999999999E-2</v>
      </c>
      <c r="Z1234" s="914">
        <v>3.8499999999999998E-4</v>
      </c>
      <c r="AA1234" s="821">
        <v>0</v>
      </c>
      <c r="AB1234" s="856">
        <v>9.8300000000000002E-3</v>
      </c>
      <c r="AC1234" s="856">
        <v>6.8500000000000002E-3</v>
      </c>
      <c r="AD1234" s="800">
        <v>0</v>
      </c>
      <c r="AE1234" s="856">
        <v>-4.9700000000000001E-2</v>
      </c>
      <c r="AF1234" s="893">
        <v>4.9700000000000001E-2</v>
      </c>
      <c r="AG1234" s="878">
        <v>0.7</v>
      </c>
    </row>
    <row r="1235" spans="1:256" outlineLevel="2" x14ac:dyDescent="0.15">
      <c r="B1235" s="800" t="s">
        <v>1303</v>
      </c>
      <c r="C1235" s="869">
        <v>2.4500000000000001E-2</v>
      </c>
      <c r="D1235" s="843">
        <v>4.0389999999999995E-2</v>
      </c>
      <c r="E1235" s="874">
        <v>0.15530939999999999</v>
      </c>
      <c r="F1235" s="869">
        <v>2.4500000000000001E-2</v>
      </c>
      <c r="G1235" s="843">
        <v>3.5499999999999997E-2</v>
      </c>
      <c r="H1235" s="845">
        <v>0.154</v>
      </c>
      <c r="I1235" s="821">
        <v>0</v>
      </c>
      <c r="J1235" s="825">
        <v>3.1199999999999999E-3</v>
      </c>
      <c r="K1235" s="914">
        <v>6.9400000000000006E-5</v>
      </c>
      <c r="L1235" s="821">
        <v>0</v>
      </c>
      <c r="M1235" s="856">
        <v>1.7700000000000001E-3</v>
      </c>
      <c r="N1235" s="856">
        <v>1.24E-3</v>
      </c>
      <c r="O1235" s="800">
        <v>0</v>
      </c>
      <c r="P1235" s="856">
        <v>-8.9499999999999996E-3</v>
      </c>
      <c r="Q1235" s="893">
        <v>8.9499999999999996E-3</v>
      </c>
      <c r="R1235" s="869">
        <v>0.14699999999999999</v>
      </c>
      <c r="S1235" s="843">
        <v>0.24229999999999999</v>
      </c>
      <c r="T1235" s="874">
        <v>0.93082600000000004</v>
      </c>
      <c r="U1235" s="843">
        <v>0.14699999999999999</v>
      </c>
      <c r="V1235" s="843">
        <v>0.21299999999999999</v>
      </c>
      <c r="W1235" s="845">
        <v>0.92300000000000004</v>
      </c>
      <c r="X1235" s="821">
        <v>0</v>
      </c>
      <c r="Y1235" s="825">
        <v>1.8700000000000001E-2</v>
      </c>
      <c r="Z1235" s="914">
        <v>4.1599999999999997E-4</v>
      </c>
      <c r="AA1235" s="821">
        <v>0</v>
      </c>
      <c r="AB1235" s="856">
        <v>1.06E-2</v>
      </c>
      <c r="AC1235" s="856">
        <v>7.4099999999999999E-3</v>
      </c>
      <c r="AD1235" s="800">
        <v>0</v>
      </c>
      <c r="AE1235" s="856">
        <v>-5.3699999999999998E-2</v>
      </c>
      <c r="AF1235" s="893">
        <v>5.3699999999999998E-2</v>
      </c>
      <c r="AG1235" s="878">
        <v>0.7</v>
      </c>
    </row>
    <row r="1236" spans="1:256" outlineLevel="2" x14ac:dyDescent="0.15">
      <c r="B1236" s="800"/>
      <c r="C1236" s="869"/>
      <c r="D1236" s="843"/>
      <c r="E1236" s="874"/>
      <c r="F1236" s="869"/>
      <c r="G1236" s="843"/>
      <c r="H1236" s="845"/>
      <c r="I1236" s="821"/>
      <c r="J1236" s="825"/>
      <c r="K1236" s="914"/>
      <c r="L1236" s="821"/>
      <c r="M1236" s="856"/>
      <c r="N1236" s="856"/>
      <c r="O1236" s="800"/>
      <c r="P1236" s="856"/>
      <c r="Q1236" s="893"/>
      <c r="R1236" s="869"/>
      <c r="S1236" s="843"/>
      <c r="T1236" s="874"/>
      <c r="U1236" s="843"/>
      <c r="V1236" s="843"/>
      <c r="W1236" s="845"/>
      <c r="X1236" s="821"/>
      <c r="Y1236" s="825"/>
      <c r="Z1236" s="914"/>
      <c r="AA1236" s="821"/>
      <c r="AB1236" s="856"/>
      <c r="AC1236" s="856"/>
      <c r="AD1236" s="800"/>
      <c r="AE1236" s="856"/>
      <c r="AF1236" s="893"/>
      <c r="AG1236" s="878"/>
    </row>
    <row r="1237" spans="1:256" outlineLevel="2" x14ac:dyDescent="0.15">
      <c r="B1237" s="800" t="s">
        <v>1304</v>
      </c>
      <c r="C1237" s="869">
        <v>7.22E-2</v>
      </c>
      <c r="D1237" s="843">
        <v>0.16041999999999998</v>
      </c>
      <c r="E1237" s="874">
        <v>0.61517500000000003</v>
      </c>
      <c r="F1237" s="869">
        <v>7.22E-2</v>
      </c>
      <c r="G1237" s="843">
        <v>0.14099999999999999</v>
      </c>
      <c r="H1237" s="845">
        <v>0.61</v>
      </c>
      <c r="I1237" s="821">
        <v>0</v>
      </c>
      <c r="J1237" s="825">
        <v>1.24E-2</v>
      </c>
      <c r="K1237" s="914">
        <v>2.7500000000000002E-4</v>
      </c>
      <c r="L1237" s="821">
        <v>0</v>
      </c>
      <c r="M1237" s="856">
        <v>7.0200000000000002E-3</v>
      </c>
      <c r="N1237" s="856">
        <v>4.8999999999999998E-3</v>
      </c>
      <c r="O1237" s="800">
        <v>0</v>
      </c>
      <c r="P1237" s="856">
        <v>-3.5499999999999997E-2</v>
      </c>
      <c r="Q1237" s="893">
        <v>3.5499999999999997E-2</v>
      </c>
      <c r="R1237" s="869">
        <v>6.5000000000000002E-2</v>
      </c>
      <c r="S1237" s="843">
        <v>0.14441999999999999</v>
      </c>
      <c r="T1237" s="874">
        <v>0.55365800000000009</v>
      </c>
      <c r="U1237" s="843">
        <v>6.5000000000000002E-2</v>
      </c>
      <c r="V1237" s="843">
        <v>0.127</v>
      </c>
      <c r="W1237" s="845">
        <v>0.54900000000000004</v>
      </c>
      <c r="X1237" s="821">
        <v>0</v>
      </c>
      <c r="Y1237" s="825">
        <v>1.11E-2</v>
      </c>
      <c r="Z1237" s="914">
        <v>2.4800000000000001E-4</v>
      </c>
      <c r="AA1237" s="821">
        <v>0</v>
      </c>
      <c r="AB1237" s="856">
        <v>6.3200000000000001E-3</v>
      </c>
      <c r="AC1237" s="856">
        <v>4.4099999999999999E-3</v>
      </c>
      <c r="AD1237" s="800">
        <v>0</v>
      </c>
      <c r="AE1237" s="856">
        <v>-3.1899999999999998E-2</v>
      </c>
      <c r="AF1237" s="893">
        <v>3.1899999999999998E-2</v>
      </c>
      <c r="AG1237" s="878">
        <v>0.7</v>
      </c>
    </row>
    <row r="1238" spans="1:256" outlineLevel="2" x14ac:dyDescent="0.15">
      <c r="B1238" s="800" t="s">
        <v>1305</v>
      </c>
      <c r="C1238" s="869">
        <v>3.8300000000000001E-2</v>
      </c>
      <c r="D1238" s="843">
        <v>8.7480000000000002E-2</v>
      </c>
      <c r="E1238" s="874">
        <v>0.33582000000000001</v>
      </c>
      <c r="F1238" s="869">
        <v>3.8300000000000001E-2</v>
      </c>
      <c r="G1238" s="843">
        <v>7.6899999999999996E-2</v>
      </c>
      <c r="H1238" s="845">
        <v>0.33300000000000002</v>
      </c>
      <c r="I1238" s="821">
        <v>0</v>
      </c>
      <c r="J1238" s="825">
        <v>6.7499999999999999E-3</v>
      </c>
      <c r="K1238" s="914">
        <v>1.4999999999999999E-4</v>
      </c>
      <c r="L1238" s="821">
        <v>0</v>
      </c>
      <c r="M1238" s="856">
        <v>3.8300000000000001E-3</v>
      </c>
      <c r="N1238" s="856">
        <v>2.6700000000000001E-3</v>
      </c>
      <c r="O1238" s="800">
        <v>0</v>
      </c>
      <c r="P1238" s="856">
        <v>-1.9400000000000001E-2</v>
      </c>
      <c r="Q1238" s="893">
        <v>1.9400000000000001E-2</v>
      </c>
      <c r="R1238" s="869">
        <v>6.9000000000000006E-2</v>
      </c>
      <c r="S1238" s="843">
        <v>0.157</v>
      </c>
      <c r="T1238" s="874">
        <v>0.60407999999999995</v>
      </c>
      <c r="U1238" s="843">
        <v>6.9000000000000006E-2</v>
      </c>
      <c r="V1238" s="843">
        <v>0.13800000000000001</v>
      </c>
      <c r="W1238" s="845">
        <v>0.59899999999999998</v>
      </c>
      <c r="X1238" s="821">
        <v>0</v>
      </c>
      <c r="Y1238" s="825">
        <v>1.21E-2</v>
      </c>
      <c r="Z1238" s="914">
        <v>2.7E-4</v>
      </c>
      <c r="AA1238" s="821">
        <v>0</v>
      </c>
      <c r="AB1238" s="856">
        <v>6.8999999999999999E-3</v>
      </c>
      <c r="AC1238" s="856">
        <v>4.81E-3</v>
      </c>
      <c r="AD1238" s="800">
        <v>0</v>
      </c>
      <c r="AE1238" s="856">
        <v>-3.4799999999999998E-2</v>
      </c>
      <c r="AF1238" s="893">
        <v>3.4799999999999998E-2</v>
      </c>
      <c r="AG1238" s="878">
        <v>0.7</v>
      </c>
    </row>
    <row r="1239" spans="1:256" outlineLevel="2" x14ac:dyDescent="0.15">
      <c r="B1239" s="800" t="s">
        <v>1287</v>
      </c>
      <c r="C1239" s="869">
        <v>8.8000000000000005E-3</v>
      </c>
      <c r="D1239" s="843">
        <v>1.7746999999999999E-2</v>
      </c>
      <c r="E1239" s="874">
        <v>6.8072400000000005E-2</v>
      </c>
      <c r="F1239" s="869">
        <v>8.8000000000000005E-3</v>
      </c>
      <c r="G1239" s="843">
        <v>1.5599999999999999E-2</v>
      </c>
      <c r="H1239" s="845">
        <v>6.7500000000000004E-2</v>
      </c>
      <c r="I1239" s="821">
        <v>0</v>
      </c>
      <c r="J1239" s="825">
        <v>1.3699999999999999E-3</v>
      </c>
      <c r="K1239" s="914">
        <v>3.04E-5</v>
      </c>
      <c r="L1239" s="821">
        <v>0</v>
      </c>
      <c r="M1239" s="856">
        <v>7.7700000000000002E-4</v>
      </c>
      <c r="N1239" s="856">
        <v>5.4199999999999995E-4</v>
      </c>
      <c r="O1239" s="800">
        <v>0</v>
      </c>
      <c r="P1239" s="856">
        <v>-3.9300000000000003E-3</v>
      </c>
      <c r="Q1239" s="893">
        <v>3.9300000000000003E-3</v>
      </c>
      <c r="R1239" s="869">
        <v>0.11</v>
      </c>
      <c r="S1239" s="843">
        <v>0.22181000000000001</v>
      </c>
      <c r="T1239" s="874">
        <v>0.85015000000000007</v>
      </c>
      <c r="U1239" s="843">
        <v>0.11</v>
      </c>
      <c r="V1239" s="843">
        <v>0.19500000000000001</v>
      </c>
      <c r="W1239" s="845">
        <v>0.84299999999999997</v>
      </c>
      <c r="X1239" s="821">
        <v>0</v>
      </c>
      <c r="Y1239" s="825">
        <v>1.7100000000000001E-2</v>
      </c>
      <c r="Z1239" s="914">
        <v>3.8000000000000002E-4</v>
      </c>
      <c r="AA1239" s="821">
        <v>0</v>
      </c>
      <c r="AB1239" s="856">
        <v>9.7099999999999999E-3</v>
      </c>
      <c r="AC1239" s="856">
        <v>6.77E-3</v>
      </c>
      <c r="AD1239" s="800">
        <v>0</v>
      </c>
      <c r="AE1239" s="856">
        <v>-4.9099999999999998E-2</v>
      </c>
      <c r="AF1239" s="893">
        <v>4.9099999999999998E-2</v>
      </c>
      <c r="AG1239" s="878">
        <v>0.7</v>
      </c>
    </row>
    <row r="1240" spans="1:256" outlineLevel="2" x14ac:dyDescent="0.15">
      <c r="B1240" s="800" t="s">
        <v>1288</v>
      </c>
      <c r="C1240" s="869">
        <v>8.8000000000000005E-3</v>
      </c>
      <c r="D1240" s="843">
        <v>1.7965999999999999E-2</v>
      </c>
      <c r="E1240" s="874">
        <v>6.8878800000000004E-2</v>
      </c>
      <c r="F1240" s="869">
        <v>8.8000000000000005E-3</v>
      </c>
      <c r="G1240" s="843">
        <v>1.5800000000000002E-2</v>
      </c>
      <c r="H1240" s="845">
        <v>6.83E-2</v>
      </c>
      <c r="I1240" s="821">
        <v>0</v>
      </c>
      <c r="J1240" s="825">
        <v>1.3799999999999999E-3</v>
      </c>
      <c r="K1240" s="914">
        <v>3.0800000000000003E-5</v>
      </c>
      <c r="L1240" s="821">
        <v>0</v>
      </c>
      <c r="M1240" s="856">
        <v>7.8600000000000002E-4</v>
      </c>
      <c r="N1240" s="856">
        <v>5.4799999999999998E-4</v>
      </c>
      <c r="O1240" s="800">
        <v>0</v>
      </c>
      <c r="P1240" s="856">
        <v>-3.9699999999999996E-3</v>
      </c>
      <c r="Q1240" s="893">
        <v>3.9699999999999996E-3</v>
      </c>
      <c r="R1240" s="869">
        <v>0.11</v>
      </c>
      <c r="S1240" s="843">
        <v>0.22413000000000002</v>
      </c>
      <c r="T1240" s="874">
        <v>0.86023499999999997</v>
      </c>
      <c r="U1240" s="843">
        <v>0.11</v>
      </c>
      <c r="V1240" s="843">
        <v>0.19700000000000001</v>
      </c>
      <c r="W1240" s="845">
        <v>0.85299999999999998</v>
      </c>
      <c r="X1240" s="821">
        <v>0</v>
      </c>
      <c r="Y1240" s="825">
        <v>1.7299999999999999E-2</v>
      </c>
      <c r="Z1240" s="914">
        <v>3.8499999999999998E-4</v>
      </c>
      <c r="AA1240" s="821">
        <v>0</v>
      </c>
      <c r="AB1240" s="856">
        <v>9.8300000000000002E-3</v>
      </c>
      <c r="AC1240" s="856">
        <v>6.8500000000000002E-3</v>
      </c>
      <c r="AD1240" s="800">
        <v>0</v>
      </c>
      <c r="AE1240" s="856">
        <v>-4.9700000000000001E-2</v>
      </c>
      <c r="AF1240" s="893">
        <v>4.9700000000000001E-2</v>
      </c>
      <c r="AG1240" s="878">
        <v>0.7</v>
      </c>
    </row>
    <row r="1241" spans="1:256" outlineLevel="2" x14ac:dyDescent="0.15">
      <c r="B1241" s="800"/>
      <c r="C1241" s="869"/>
      <c r="D1241" s="843"/>
      <c r="E1241" s="874"/>
      <c r="F1241" s="869"/>
      <c r="G1241" s="843"/>
      <c r="H1241" s="845"/>
      <c r="I1241" s="821"/>
      <c r="J1241" s="825"/>
      <c r="K1241" s="914"/>
      <c r="L1241" s="821"/>
      <c r="M1241" s="856"/>
      <c r="N1241" s="856"/>
      <c r="O1241" s="800"/>
      <c r="P1241" s="856"/>
      <c r="Q1241" s="893"/>
      <c r="R1241" s="869"/>
      <c r="S1241" s="843"/>
      <c r="T1241" s="874"/>
      <c r="U1241" s="843"/>
      <c r="V1241" s="843"/>
      <c r="W1241" s="845"/>
      <c r="X1241" s="821"/>
      <c r="Y1241" s="825"/>
      <c r="Z1241" s="914"/>
      <c r="AA1241" s="821"/>
      <c r="AB1241" s="856"/>
      <c r="AC1241" s="856"/>
      <c r="AD1241" s="800"/>
      <c r="AE1241" s="856"/>
      <c r="AF1241" s="893"/>
      <c r="AG1241" s="878"/>
    </row>
    <row r="1242" spans="1:256" outlineLevel="2" x14ac:dyDescent="0.15">
      <c r="B1242" s="800" t="s">
        <v>1289</v>
      </c>
      <c r="C1242" s="869">
        <v>1.7100000000000001E-2</v>
      </c>
      <c r="D1242" s="843">
        <v>3.7430000000000005E-2</v>
      </c>
      <c r="E1242" s="874">
        <v>0.14420429999999998</v>
      </c>
      <c r="F1242" s="869">
        <v>1.7100000000000001E-2</v>
      </c>
      <c r="G1242" s="843">
        <v>3.2899999999999999E-2</v>
      </c>
      <c r="H1242" s="845">
        <v>0.14299999999999999</v>
      </c>
      <c r="I1242" s="821">
        <v>0</v>
      </c>
      <c r="J1242" s="825">
        <v>2.8900000000000002E-3</v>
      </c>
      <c r="K1242" s="914">
        <v>6.4300000000000004E-5</v>
      </c>
      <c r="L1242" s="821">
        <v>0</v>
      </c>
      <c r="M1242" s="856">
        <v>1.64E-3</v>
      </c>
      <c r="N1242" s="856">
        <v>1.14E-3</v>
      </c>
      <c r="O1242" s="800">
        <v>0</v>
      </c>
      <c r="P1242" s="856">
        <v>-8.3000000000000001E-3</v>
      </c>
      <c r="Q1242" s="893">
        <v>8.3000000000000001E-3</v>
      </c>
      <c r="R1242" s="869">
        <v>4.8000000000000001E-2</v>
      </c>
      <c r="S1242" s="843">
        <v>0.10489999999999999</v>
      </c>
      <c r="T1242" s="874">
        <v>0.40239000000000003</v>
      </c>
      <c r="U1242" s="843">
        <v>4.8000000000000001E-2</v>
      </c>
      <c r="V1242" s="843">
        <v>9.2200000000000004E-2</v>
      </c>
      <c r="W1242" s="845">
        <v>0.39900000000000002</v>
      </c>
      <c r="X1242" s="821">
        <v>0</v>
      </c>
      <c r="Y1242" s="825">
        <v>8.0999999999999996E-3</v>
      </c>
      <c r="Z1242" s="914">
        <v>1.8000000000000001E-4</v>
      </c>
      <c r="AA1242" s="821">
        <v>0</v>
      </c>
      <c r="AB1242" s="856">
        <v>4.5999999999999999E-3</v>
      </c>
      <c r="AC1242" s="856">
        <v>3.2100000000000002E-3</v>
      </c>
      <c r="AD1242" s="800">
        <v>0</v>
      </c>
      <c r="AE1242" s="856">
        <v>-2.3199999999999998E-2</v>
      </c>
      <c r="AF1242" s="893">
        <v>2.3199999999999998E-2</v>
      </c>
      <c r="AG1242" s="878">
        <v>0.7</v>
      </c>
    </row>
    <row r="1243" spans="1:256" outlineLevel="2" x14ac:dyDescent="0.15">
      <c r="B1243" s="800" t="s">
        <v>1290</v>
      </c>
      <c r="C1243" s="869">
        <v>6.6499999999999997E-3</v>
      </c>
      <c r="D1243" s="843">
        <v>1.1205999999999999E-2</v>
      </c>
      <c r="E1243" s="874">
        <v>4.2961199999999998E-2</v>
      </c>
      <c r="F1243" s="869">
        <v>6.6499999999999997E-3</v>
      </c>
      <c r="G1243" s="843">
        <v>9.8499999999999994E-3</v>
      </c>
      <c r="H1243" s="845">
        <v>4.2599999999999999E-2</v>
      </c>
      <c r="I1243" s="821">
        <v>0</v>
      </c>
      <c r="J1243" s="825">
        <v>8.6499999999999999E-4</v>
      </c>
      <c r="K1243" s="914">
        <v>1.9199999999999999E-5</v>
      </c>
      <c r="L1243" s="821">
        <v>0</v>
      </c>
      <c r="M1243" s="856">
        <v>4.9100000000000001E-4</v>
      </c>
      <c r="N1243" s="856">
        <v>3.4200000000000002E-4</v>
      </c>
      <c r="O1243" s="800">
        <v>0</v>
      </c>
      <c r="P1243" s="856">
        <v>-2.48E-3</v>
      </c>
      <c r="Q1243" s="893">
        <v>2.48E-3</v>
      </c>
      <c r="R1243" s="869">
        <v>0.105</v>
      </c>
      <c r="S1243" s="843">
        <v>0.17745999999999998</v>
      </c>
      <c r="T1243" s="874">
        <v>0.67971400000000004</v>
      </c>
      <c r="U1243" s="843">
        <v>0.105</v>
      </c>
      <c r="V1243" s="843">
        <v>0.156</v>
      </c>
      <c r="W1243" s="845">
        <v>0.67400000000000004</v>
      </c>
      <c r="X1243" s="821">
        <v>0</v>
      </c>
      <c r="Y1243" s="825">
        <v>1.37E-2</v>
      </c>
      <c r="Z1243" s="914">
        <v>3.0400000000000002E-4</v>
      </c>
      <c r="AA1243" s="821">
        <v>0</v>
      </c>
      <c r="AB1243" s="856">
        <v>7.7600000000000004E-3</v>
      </c>
      <c r="AC1243" s="856">
        <v>5.4099999999999999E-3</v>
      </c>
      <c r="AD1243" s="800">
        <v>0</v>
      </c>
      <c r="AE1243" s="856">
        <v>-3.9199999999999999E-2</v>
      </c>
      <c r="AF1243" s="893">
        <v>3.9199999999999999E-2</v>
      </c>
      <c r="AG1243" s="878">
        <v>0.7</v>
      </c>
    </row>
    <row r="1244" spans="1:256" outlineLevel="2" x14ac:dyDescent="0.15">
      <c r="B1244" s="800" t="s">
        <v>1291</v>
      </c>
      <c r="C1244" s="869">
        <v>3.49E-3</v>
      </c>
      <c r="D1244" s="843">
        <v>7.1219999999999999E-3</v>
      </c>
      <c r="E1244" s="874">
        <v>2.7330199999999999E-2</v>
      </c>
      <c r="F1244" s="869">
        <v>3.49E-3</v>
      </c>
      <c r="G1244" s="843">
        <v>6.2599999999999999E-3</v>
      </c>
      <c r="H1244" s="845">
        <v>2.7099999999999999E-2</v>
      </c>
      <c r="I1244" s="821">
        <v>0</v>
      </c>
      <c r="J1244" s="825">
        <v>5.5000000000000003E-4</v>
      </c>
      <c r="K1244" s="914">
        <v>1.22E-5</v>
      </c>
      <c r="L1244" s="821">
        <v>0</v>
      </c>
      <c r="M1244" s="856">
        <v>3.1199999999999999E-4</v>
      </c>
      <c r="N1244" s="856">
        <v>2.1800000000000001E-4</v>
      </c>
      <c r="O1244" s="800">
        <v>0</v>
      </c>
      <c r="P1244" s="856">
        <v>-1.58E-3</v>
      </c>
      <c r="Q1244" s="893">
        <v>1.58E-3</v>
      </c>
      <c r="R1244" s="869">
        <v>0.11</v>
      </c>
      <c r="S1244" s="843">
        <v>0.22413000000000002</v>
      </c>
      <c r="T1244" s="874">
        <v>0.86023499999999997</v>
      </c>
      <c r="U1244" s="843">
        <v>0.11</v>
      </c>
      <c r="V1244" s="843">
        <v>0.19700000000000001</v>
      </c>
      <c r="W1244" s="845">
        <v>0.85299999999999998</v>
      </c>
      <c r="X1244" s="821">
        <v>0</v>
      </c>
      <c r="Y1244" s="825">
        <v>1.7299999999999999E-2</v>
      </c>
      <c r="Z1244" s="914">
        <v>3.8499999999999998E-4</v>
      </c>
      <c r="AA1244" s="821">
        <v>0</v>
      </c>
      <c r="AB1244" s="856">
        <v>9.8300000000000002E-3</v>
      </c>
      <c r="AC1244" s="856">
        <v>6.8500000000000002E-3</v>
      </c>
      <c r="AD1244" s="800">
        <v>0</v>
      </c>
      <c r="AE1244" s="856">
        <v>-4.9700000000000001E-2</v>
      </c>
      <c r="AF1244" s="893">
        <v>4.9700000000000001E-2</v>
      </c>
      <c r="AG1244" s="878">
        <v>0.7</v>
      </c>
    </row>
    <row r="1245" spans="1:256" outlineLevel="2" x14ac:dyDescent="0.15">
      <c r="B1245" s="801"/>
      <c r="C1245" s="870"/>
      <c r="D1245" s="859"/>
      <c r="E1245" s="967"/>
      <c r="F1245" s="870"/>
      <c r="G1245" s="859"/>
      <c r="H1245" s="860"/>
      <c r="I1245" s="823"/>
      <c r="J1245" s="916"/>
      <c r="K1245" s="917"/>
      <c r="L1245" s="823"/>
      <c r="M1245" s="863"/>
      <c r="N1245" s="863"/>
      <c r="O1245" s="801"/>
      <c r="P1245" s="863"/>
      <c r="Q1245" s="918"/>
      <c r="R1245" s="870"/>
      <c r="S1245" s="859"/>
      <c r="T1245" s="967"/>
      <c r="U1245" s="859"/>
      <c r="V1245" s="859"/>
      <c r="W1245" s="860"/>
      <c r="X1245" s="823"/>
      <c r="Y1245" s="916"/>
      <c r="Z1245" s="917"/>
      <c r="AA1245" s="823"/>
      <c r="AB1245" s="863"/>
      <c r="AC1245" s="863"/>
      <c r="AD1245" s="801"/>
      <c r="AE1245" s="863"/>
      <c r="AF1245" s="918"/>
      <c r="AG1245" s="919"/>
    </row>
    <row r="1246" spans="1:256" outlineLevel="2" x14ac:dyDescent="0.15">
      <c r="B1246" s="13"/>
      <c r="C1246" s="13"/>
      <c r="D1246" s="13"/>
      <c r="E1246" s="13"/>
      <c r="F1246" s="13"/>
      <c r="G1246" s="13"/>
      <c r="H1246" s="13"/>
      <c r="I1246" s="13"/>
    </row>
    <row r="1247" spans="1:256" outlineLevel="1" x14ac:dyDescent="0.15"/>
    <row r="1248" spans="1:256" s="26" customFormat="1" ht="15.75" customHeight="1" outlineLevel="1" collapsed="1" x14ac:dyDescent="0.15">
      <c r="A1248" s="13"/>
      <c r="B1248" s="1868" t="s">
        <v>1306</v>
      </c>
      <c r="C1248" s="1869"/>
      <c r="D1248" s="1869"/>
      <c r="E1248" s="1869"/>
      <c r="F1248" s="1869"/>
      <c r="G1248" s="1869"/>
      <c r="H1248" s="1869"/>
      <c r="I1248" s="1869"/>
      <c r="J1248" s="1870"/>
      <c r="K1248" s="1392"/>
      <c r="L1248" s="1393"/>
      <c r="M1248" s="1393"/>
      <c r="N1248" s="1393"/>
      <c r="O1248" s="1395"/>
      <c r="P1248" s="1395"/>
      <c r="Q1248" s="1395"/>
      <c r="R1248" s="1394"/>
      <c r="S1248" s="1394"/>
      <c r="T1248" s="1394"/>
      <c r="U1248" s="28"/>
      <c r="V1248" s="28"/>
      <c r="W1248" s="29"/>
      <c r="X1248" s="29"/>
      <c r="Y1248" s="29"/>
      <c r="Z1248" s="29"/>
      <c r="AA1248" s="29"/>
      <c r="AB1248" s="29"/>
      <c r="AC1248" s="29"/>
      <c r="AD1248" s="29"/>
      <c r="AE1248" s="29"/>
      <c r="AF1248" s="29"/>
      <c r="AG1248" s="29"/>
      <c r="AH1248" s="29"/>
      <c r="AI1248" s="29"/>
      <c r="AJ1248" s="29"/>
      <c r="AK1248" s="29"/>
      <c r="AL1248" s="29"/>
      <c r="AM1248" s="29"/>
      <c r="AN1248" s="29"/>
      <c r="AO1248" s="29"/>
      <c r="AP1248" s="29"/>
      <c r="AQ1248" s="29"/>
      <c r="AR1248" s="29"/>
      <c r="AS1248" s="29"/>
      <c r="AT1248" s="29"/>
      <c r="AU1248" s="29"/>
      <c r="AV1248" s="29"/>
      <c r="AW1248" s="29"/>
      <c r="AX1248" s="29"/>
      <c r="AY1248" s="29"/>
      <c r="AZ1248" s="29"/>
      <c r="BA1248" s="29"/>
      <c r="BB1248" s="29"/>
      <c r="BC1248" s="29"/>
      <c r="BD1248" s="29"/>
      <c r="BE1248" s="29"/>
      <c r="BF1248" s="29"/>
      <c r="BG1248" s="29"/>
      <c r="BH1248" s="29"/>
      <c r="BI1248" s="29"/>
      <c r="BJ1248" s="29"/>
      <c r="BK1248" s="29"/>
      <c r="BL1248" s="29"/>
      <c r="BM1248" s="29"/>
      <c r="BN1248" s="29"/>
      <c r="BO1248" s="29"/>
      <c r="BP1248" s="29"/>
      <c r="BQ1248" s="29"/>
      <c r="BR1248" s="29"/>
      <c r="BS1248" s="29"/>
      <c r="BT1248" s="29"/>
      <c r="BU1248" s="29"/>
      <c r="BV1248" s="29"/>
      <c r="BW1248" s="29"/>
      <c r="BX1248" s="29"/>
      <c r="BY1248" s="29"/>
      <c r="BZ1248" s="29"/>
      <c r="CA1248" s="29"/>
      <c r="CB1248" s="29"/>
      <c r="CC1248" s="29"/>
      <c r="CD1248" s="29"/>
      <c r="CE1248" s="29"/>
      <c r="CF1248" s="29"/>
      <c r="CG1248" s="29"/>
      <c r="CH1248" s="29"/>
      <c r="CI1248" s="29"/>
      <c r="CJ1248" s="29"/>
      <c r="CK1248" s="29"/>
      <c r="CL1248" s="29"/>
      <c r="CM1248" s="29"/>
      <c r="CN1248" s="29"/>
      <c r="CO1248" s="29"/>
      <c r="CP1248" s="29"/>
      <c r="CQ1248" s="29"/>
      <c r="CR1248" s="29"/>
      <c r="CS1248" s="29"/>
      <c r="CT1248" s="29"/>
      <c r="CU1248" s="29"/>
      <c r="CV1248" s="29"/>
      <c r="CW1248" s="29"/>
      <c r="CX1248" s="29"/>
      <c r="CY1248" s="29"/>
      <c r="CZ1248" s="29"/>
      <c r="DA1248" s="29"/>
      <c r="DB1248" s="29"/>
      <c r="DC1248" s="29"/>
      <c r="DD1248" s="29"/>
      <c r="DE1248" s="29"/>
      <c r="DF1248" s="29"/>
      <c r="DG1248" s="29"/>
      <c r="DH1248" s="29"/>
      <c r="DI1248" s="29"/>
      <c r="DJ1248" s="29"/>
      <c r="DK1248" s="29"/>
      <c r="DL1248" s="29"/>
      <c r="DM1248" s="29"/>
      <c r="DN1248" s="29"/>
      <c r="DO1248" s="29"/>
      <c r="DP1248" s="29"/>
      <c r="DQ1248" s="29"/>
      <c r="DR1248" s="29"/>
      <c r="DS1248" s="29"/>
      <c r="DT1248" s="29"/>
      <c r="DU1248" s="29"/>
      <c r="DV1248" s="29"/>
      <c r="DW1248" s="29"/>
      <c r="DX1248" s="29"/>
      <c r="DY1248" s="29"/>
      <c r="DZ1248" s="29"/>
      <c r="EA1248" s="29"/>
      <c r="EB1248" s="29"/>
      <c r="EC1248" s="29"/>
      <c r="ED1248" s="29"/>
      <c r="EE1248" s="29"/>
      <c r="EF1248" s="29"/>
      <c r="EG1248" s="29"/>
      <c r="EH1248" s="29"/>
      <c r="EI1248" s="29"/>
      <c r="EJ1248" s="29"/>
      <c r="EK1248" s="29"/>
      <c r="EL1248" s="29"/>
      <c r="EM1248" s="29"/>
      <c r="EN1248" s="29"/>
      <c r="EO1248" s="29"/>
      <c r="EP1248" s="29"/>
      <c r="EQ1248" s="29"/>
      <c r="ER1248" s="29"/>
      <c r="ES1248" s="29"/>
      <c r="ET1248" s="29"/>
      <c r="EU1248" s="29"/>
      <c r="EV1248" s="29"/>
      <c r="EW1248" s="29"/>
      <c r="EX1248" s="29"/>
      <c r="EY1248" s="29"/>
      <c r="EZ1248" s="29"/>
      <c r="FA1248" s="29"/>
      <c r="FB1248" s="29"/>
      <c r="FC1248" s="29"/>
      <c r="FD1248" s="29"/>
      <c r="FE1248" s="29"/>
      <c r="FF1248" s="29"/>
      <c r="FG1248" s="29"/>
      <c r="FH1248" s="29"/>
      <c r="FI1248" s="29"/>
      <c r="FJ1248" s="29"/>
      <c r="FK1248" s="29"/>
      <c r="FL1248" s="29"/>
      <c r="FM1248" s="29"/>
      <c r="FN1248" s="29"/>
      <c r="FO1248" s="29"/>
      <c r="FP1248" s="29"/>
      <c r="FQ1248" s="29"/>
      <c r="FR1248" s="29"/>
      <c r="FS1248" s="29"/>
      <c r="FT1248" s="29"/>
      <c r="FU1248" s="29"/>
      <c r="FV1248" s="29"/>
      <c r="FW1248" s="29"/>
      <c r="FX1248" s="29"/>
      <c r="FY1248" s="29"/>
      <c r="FZ1248" s="29"/>
      <c r="GA1248" s="29"/>
      <c r="GB1248" s="29"/>
      <c r="GC1248" s="13"/>
      <c r="GD1248" s="13"/>
      <c r="GE1248" s="13"/>
      <c r="GF1248" s="13"/>
      <c r="GG1248" s="13"/>
      <c r="GH1248" s="13"/>
      <c r="GI1248" s="13"/>
      <c r="GJ1248" s="13"/>
      <c r="GK1248" s="13"/>
      <c r="GL1248" s="13"/>
      <c r="GM1248" s="13"/>
      <c r="GN1248" s="13"/>
      <c r="GO1248" s="13"/>
      <c r="GP1248" s="13"/>
      <c r="GQ1248" s="13"/>
      <c r="GR1248" s="13"/>
      <c r="GS1248" s="13"/>
      <c r="GT1248" s="13"/>
      <c r="GU1248" s="13"/>
      <c r="GV1248" s="13"/>
      <c r="GW1248" s="13"/>
      <c r="GX1248" s="13"/>
      <c r="GY1248" s="13"/>
      <c r="GZ1248" s="13"/>
      <c r="HA1248" s="13"/>
      <c r="HB1248" s="13"/>
      <c r="HC1248" s="13"/>
      <c r="HD1248" s="13"/>
      <c r="HE1248" s="13"/>
      <c r="HF1248" s="13"/>
      <c r="HG1248" s="13"/>
      <c r="HH1248" s="13"/>
      <c r="HI1248" s="13"/>
      <c r="HJ1248" s="13"/>
      <c r="HK1248" s="13"/>
      <c r="HL1248" s="13"/>
      <c r="HM1248" s="13"/>
      <c r="HN1248" s="13"/>
      <c r="HO1248" s="13"/>
      <c r="HP1248" s="13"/>
      <c r="HQ1248" s="13"/>
      <c r="HR1248" s="13"/>
      <c r="HS1248" s="13"/>
      <c r="HT1248" s="13"/>
      <c r="HU1248" s="13"/>
      <c r="HV1248" s="13"/>
      <c r="HW1248" s="13"/>
      <c r="HX1248" s="13"/>
      <c r="HY1248" s="13"/>
      <c r="HZ1248" s="13"/>
      <c r="IA1248" s="13"/>
      <c r="IB1248" s="13"/>
      <c r="IC1248" s="13"/>
      <c r="ID1248" s="13"/>
      <c r="IE1248" s="13"/>
      <c r="IF1248" s="13"/>
      <c r="IG1248" s="13"/>
      <c r="IH1248" s="13"/>
      <c r="II1248" s="13"/>
      <c r="IJ1248" s="13"/>
      <c r="IK1248" s="13"/>
      <c r="IL1248" s="13"/>
      <c r="IM1248" s="13"/>
      <c r="IN1248" s="13"/>
      <c r="IO1248" s="13"/>
      <c r="IP1248" s="13"/>
      <c r="IQ1248" s="13"/>
      <c r="IR1248" s="13"/>
      <c r="IS1248" s="13"/>
      <c r="IT1248" s="13"/>
      <c r="IU1248" s="13"/>
      <c r="IV1248" s="13"/>
    </row>
    <row r="1249" spans="2:26" hidden="1" outlineLevel="2" x14ac:dyDescent="0.15">
      <c r="J1249" s="27"/>
      <c r="K1249" s="1392"/>
      <c r="L1249" s="1393"/>
      <c r="M1249" s="1393"/>
      <c r="N1249" s="1393"/>
      <c r="O1249" s="12"/>
      <c r="P1249" s="12"/>
      <c r="Q1249" s="12"/>
      <c r="R1249" s="1394"/>
      <c r="S1249" s="1394"/>
      <c r="T1249" s="1394"/>
    </row>
    <row r="1250" spans="2:26" ht="27" hidden="1" customHeight="1" outlineLevel="2" x14ac:dyDescent="0.15">
      <c r="B1250" s="961" t="s">
        <v>1306</v>
      </c>
      <c r="C1250" s="1863" t="s">
        <v>1308</v>
      </c>
      <c r="D1250" s="1889" t="s">
        <v>1309</v>
      </c>
      <c r="E1250" s="1890"/>
      <c r="F1250" s="1891"/>
      <c r="G1250" s="1863" t="s">
        <v>1310</v>
      </c>
      <c r="H1250" s="887"/>
      <c r="K1250" s="1392"/>
      <c r="L1250" s="1393"/>
      <c r="M1250" s="1393"/>
      <c r="N1250" s="1393"/>
      <c r="O1250" s="12"/>
      <c r="P1250" s="12"/>
      <c r="Q1250" s="12"/>
      <c r="R1250" s="1394"/>
      <c r="S1250" s="1394"/>
      <c r="T1250" s="1394"/>
      <c r="W1250" s="4"/>
      <c r="X1250" s="4"/>
      <c r="Y1250" s="4"/>
      <c r="Z1250" s="4"/>
    </row>
    <row r="1251" spans="2:26" ht="14" hidden="1" outlineLevel="2" x14ac:dyDescent="0.15">
      <c r="B1251" s="1556" t="s">
        <v>1307</v>
      </c>
      <c r="C1251" s="1864"/>
      <c r="D1251" s="890" t="s">
        <v>14</v>
      </c>
      <c r="E1251" s="889" t="s">
        <v>695</v>
      </c>
      <c r="F1251" s="889" t="s">
        <v>27</v>
      </c>
      <c r="G1251" s="1864"/>
      <c r="H1251" s="1558" t="s">
        <v>723</v>
      </c>
      <c r="K1251" s="1392"/>
      <c r="L1251" s="1393"/>
      <c r="M1251" s="1393"/>
      <c r="N1251" s="1393"/>
      <c r="O1251" s="12"/>
      <c r="P1251" s="12"/>
      <c r="Q1251" s="12"/>
      <c r="R1251" s="1394"/>
      <c r="S1251" s="1394"/>
      <c r="T1251" s="1394"/>
      <c r="W1251" s="4"/>
      <c r="X1251" s="4"/>
      <c r="Y1251" s="4"/>
      <c r="Z1251" s="4"/>
    </row>
    <row r="1252" spans="2:26" hidden="1" outlineLevel="2" x14ac:dyDescent="0.15">
      <c r="B1252" s="920" t="s">
        <v>1311</v>
      </c>
      <c r="C1252" s="1521">
        <v>2.186E-3</v>
      </c>
      <c r="D1252" s="1001">
        <v>2.186E-3</v>
      </c>
      <c r="E1252" s="1128">
        <v>0</v>
      </c>
      <c r="F1252" s="1128">
        <v>0</v>
      </c>
      <c r="G1252" s="1130">
        <v>0</v>
      </c>
      <c r="H1252" s="807">
        <v>0.7</v>
      </c>
      <c r="I1252" s="1220"/>
      <c r="K1252" s="1392"/>
      <c r="L1252" s="1393"/>
      <c r="M1252" s="1393"/>
      <c r="N1252" s="1393"/>
      <c r="O1252" s="12"/>
      <c r="P1252" s="12"/>
      <c r="Q1252" s="12"/>
      <c r="R1252" s="1394"/>
      <c r="S1252" s="1394"/>
      <c r="T1252" s="1394"/>
      <c r="W1252" s="4"/>
      <c r="X1252" s="4"/>
      <c r="Y1252" s="4"/>
      <c r="Z1252" s="4"/>
    </row>
    <row r="1253" spans="2:26" hidden="1" outlineLevel="2" x14ac:dyDescent="0.15">
      <c r="B1253" s="920" t="s">
        <v>1312</v>
      </c>
      <c r="C1253" s="1522">
        <v>3.6102799999999997E-2</v>
      </c>
      <c r="D1253" s="1001">
        <v>3.4959999999999998E-2</v>
      </c>
      <c r="E1253" s="1519">
        <v>5.888E-4</v>
      </c>
      <c r="F1253" s="1519">
        <v>5.5400000000000002E-4</v>
      </c>
      <c r="G1253" s="1130">
        <v>0</v>
      </c>
      <c r="H1253" s="807">
        <v>0.7</v>
      </c>
      <c r="K1253" s="1392"/>
      <c r="L1253" s="1393"/>
      <c r="M1253" s="1393"/>
      <c r="N1253" s="1393"/>
      <c r="O1253" s="12"/>
      <c r="P1253" s="12"/>
      <c r="Q1253" s="12"/>
      <c r="R1253" s="1394"/>
      <c r="S1253" s="1394"/>
      <c r="T1253" s="1394"/>
      <c r="W1253" s="4"/>
      <c r="X1253" s="4"/>
      <c r="Y1253" s="4"/>
      <c r="Z1253" s="4"/>
    </row>
    <row r="1254" spans="2:26" hidden="1" outlineLevel="2" x14ac:dyDescent="0.15">
      <c r="B1254" s="920" t="s">
        <v>1313</v>
      </c>
      <c r="C1254" s="1522">
        <v>5.5742799999999992E-3</v>
      </c>
      <c r="D1254" s="1001">
        <v>5.4599999999999996E-3</v>
      </c>
      <c r="E1254" s="1520">
        <v>5.8879999999999999E-5</v>
      </c>
      <c r="F1254" s="1520">
        <v>5.5399999999999998E-5</v>
      </c>
      <c r="G1254" s="1130">
        <v>0</v>
      </c>
      <c r="H1254" s="807">
        <v>0.7</v>
      </c>
      <c r="K1254" s="1392"/>
      <c r="L1254" s="1393"/>
      <c r="M1254" s="1393"/>
      <c r="N1254" s="1393"/>
      <c r="O1254" s="12"/>
      <c r="P1254" s="12"/>
      <c r="Q1254" s="12"/>
      <c r="R1254" s="1394"/>
      <c r="S1254" s="1394"/>
      <c r="T1254" s="1394"/>
      <c r="W1254" s="4"/>
      <c r="X1254" s="4"/>
      <c r="Y1254" s="4"/>
      <c r="Z1254" s="4"/>
    </row>
    <row r="1255" spans="2:26" hidden="1" outlineLevel="2" x14ac:dyDescent="0.15">
      <c r="B1255" s="920" t="s">
        <v>1314</v>
      </c>
      <c r="C1255" s="1522">
        <v>1.6919999999999999E-3</v>
      </c>
      <c r="D1255" s="1001">
        <v>1.6919999999999999E-3</v>
      </c>
      <c r="E1255" s="1128">
        <v>0</v>
      </c>
      <c r="F1255" s="1128">
        <v>0</v>
      </c>
      <c r="G1255" s="1130">
        <v>0</v>
      </c>
      <c r="H1255" s="807">
        <v>0.7</v>
      </c>
      <c r="K1255" s="1392"/>
      <c r="L1255" s="1393"/>
      <c r="M1255" s="1393"/>
      <c r="N1255" s="1393"/>
      <c r="O1255" s="12"/>
      <c r="P1255" s="12"/>
      <c r="Q1255" s="12"/>
      <c r="R1255" s="1394"/>
      <c r="S1255" s="1394"/>
      <c r="T1255" s="1394"/>
      <c r="W1255" s="4"/>
      <c r="X1255" s="4"/>
      <c r="Y1255" s="4"/>
      <c r="Z1255" s="4"/>
    </row>
    <row r="1256" spans="2:26" hidden="1" outlineLevel="2" x14ac:dyDescent="0.15">
      <c r="B1256" s="920" t="s">
        <v>1315</v>
      </c>
      <c r="C1256" s="1522">
        <v>2.7977930000000002E-2</v>
      </c>
      <c r="D1256" s="1001">
        <v>2.7089999999999999E-2</v>
      </c>
      <c r="E1256" s="1519">
        <v>4.5692999999999998E-4</v>
      </c>
      <c r="F1256" s="1519">
        <v>4.3100000000000001E-4</v>
      </c>
      <c r="G1256" s="1130">
        <v>0</v>
      </c>
      <c r="H1256" s="807">
        <v>0.7</v>
      </c>
      <c r="K1256" s="1392"/>
      <c r="L1256" s="1393"/>
      <c r="M1256" s="1393"/>
      <c r="N1256" s="1393"/>
      <c r="O1256" s="12"/>
      <c r="P1256" s="12"/>
      <c r="Q1256" s="12"/>
      <c r="R1256" s="1394"/>
      <c r="S1256" s="1394"/>
      <c r="T1256" s="1394"/>
      <c r="W1256" s="4"/>
      <c r="X1256" s="4"/>
      <c r="Y1256" s="4"/>
      <c r="Z1256" s="4"/>
    </row>
    <row r="1257" spans="2:26" hidden="1" outlineLevel="2" x14ac:dyDescent="0.15">
      <c r="B1257" s="920" t="s">
        <v>1316</v>
      </c>
      <c r="C1257" s="1522">
        <v>4.3207929999999999E-3</v>
      </c>
      <c r="D1257" s="1001">
        <v>4.2319999999999997E-3</v>
      </c>
      <c r="E1257" s="1520">
        <v>4.5692999999999998E-5</v>
      </c>
      <c r="F1257" s="1520">
        <v>4.3099999999999997E-5</v>
      </c>
      <c r="G1257" s="1130">
        <v>0</v>
      </c>
      <c r="H1257" s="807">
        <v>0.7</v>
      </c>
      <c r="K1257" s="1392"/>
      <c r="L1257" s="1393"/>
      <c r="M1257" s="1393"/>
      <c r="N1257" s="1393"/>
      <c r="O1257" s="12"/>
      <c r="P1257" s="12"/>
      <c r="Q1257" s="12"/>
      <c r="R1257" s="1394"/>
      <c r="S1257" s="1394"/>
      <c r="T1257" s="1394"/>
      <c r="W1257" s="4"/>
      <c r="X1257" s="4"/>
      <c r="Y1257" s="4"/>
      <c r="Z1257" s="4"/>
    </row>
    <row r="1258" spans="2:26" hidden="1" outlineLevel="2" x14ac:dyDescent="0.15">
      <c r="B1258" s="920" t="s">
        <v>1317</v>
      </c>
      <c r="C1258" s="1522">
        <v>1.464E-3</v>
      </c>
      <c r="D1258" s="1001">
        <v>1.464E-3</v>
      </c>
      <c r="E1258" s="1128">
        <v>0</v>
      </c>
      <c r="F1258" s="1128">
        <v>0</v>
      </c>
      <c r="G1258" s="1130">
        <v>0</v>
      </c>
      <c r="H1258" s="807">
        <v>0.7</v>
      </c>
      <c r="K1258" s="1392"/>
      <c r="L1258" s="1393"/>
      <c r="M1258" s="1393"/>
      <c r="N1258" s="1393"/>
      <c r="O1258" s="12"/>
      <c r="P1258" s="12"/>
      <c r="Q1258" s="12"/>
      <c r="R1258" s="1394"/>
      <c r="S1258" s="1394"/>
      <c r="T1258" s="1394"/>
      <c r="W1258" s="4"/>
      <c r="X1258" s="4"/>
      <c r="Y1258" s="4"/>
      <c r="Z1258" s="4"/>
    </row>
    <row r="1259" spans="2:26" hidden="1" outlineLevel="2" x14ac:dyDescent="0.15">
      <c r="B1259" s="920" t="s">
        <v>1318</v>
      </c>
      <c r="C1259" s="1522">
        <v>2.4157580000000001E-2</v>
      </c>
      <c r="D1259" s="1001">
        <v>2.3390000000000001E-2</v>
      </c>
      <c r="E1259" s="1519">
        <v>3.9557999999999998E-4</v>
      </c>
      <c r="F1259" s="1519">
        <v>3.7199999999999999E-4</v>
      </c>
      <c r="G1259" s="1130">
        <v>0</v>
      </c>
      <c r="H1259" s="807">
        <v>0.7</v>
      </c>
      <c r="K1259" s="1392"/>
      <c r="L1259" s="1393"/>
      <c r="M1259" s="1393"/>
      <c r="N1259" s="1393"/>
      <c r="O1259" s="12"/>
      <c r="P1259" s="12"/>
      <c r="Q1259" s="12"/>
      <c r="R1259" s="1394"/>
      <c r="S1259" s="1394"/>
      <c r="T1259" s="1394"/>
      <c r="W1259" s="4"/>
      <c r="X1259" s="4"/>
      <c r="Y1259" s="4"/>
      <c r="Z1259" s="4"/>
    </row>
    <row r="1260" spans="2:26" hidden="1" outlineLevel="2" x14ac:dyDescent="0.15">
      <c r="B1260" s="920" t="s">
        <v>1319</v>
      </c>
      <c r="C1260" s="1522">
        <v>3.7337579999999998E-3</v>
      </c>
      <c r="D1260" s="1001">
        <v>3.6570000000000001E-3</v>
      </c>
      <c r="E1260" s="1520">
        <v>3.9558000000000003E-5</v>
      </c>
      <c r="F1260" s="1520">
        <v>3.7200000000000003E-5</v>
      </c>
      <c r="G1260" s="1130">
        <v>0</v>
      </c>
      <c r="H1260" s="807">
        <v>0.7</v>
      </c>
      <c r="K1260" s="1392"/>
      <c r="L1260" s="1393"/>
      <c r="M1260" s="1393"/>
      <c r="N1260" s="1393"/>
      <c r="O1260" s="12"/>
      <c r="P1260" s="12"/>
      <c r="Q1260" s="12"/>
      <c r="R1260" s="1394"/>
      <c r="S1260" s="1394"/>
      <c r="T1260" s="1394"/>
      <c r="W1260" s="4"/>
      <c r="X1260" s="4"/>
      <c r="Y1260" s="4"/>
      <c r="Z1260" s="4"/>
    </row>
    <row r="1261" spans="2:26" hidden="1" outlineLevel="2" x14ac:dyDescent="0.15">
      <c r="B1261" s="920"/>
      <c r="C1261" s="1522"/>
      <c r="D1261" s="1001"/>
      <c r="E1261" s="1128"/>
      <c r="F1261" s="1128"/>
      <c r="G1261" s="1130"/>
      <c r="H1261" s="807"/>
      <c r="K1261" s="1392"/>
      <c r="L1261" s="1393"/>
      <c r="M1261" s="1393"/>
      <c r="N1261" s="1393"/>
      <c r="O1261" s="12"/>
      <c r="P1261" s="12"/>
      <c r="Q1261" s="12"/>
      <c r="R1261" s="1394"/>
      <c r="S1261" s="1394"/>
      <c r="T1261" s="1394"/>
      <c r="W1261" s="4"/>
      <c r="X1261" s="4"/>
      <c r="Y1261" s="4"/>
      <c r="Z1261" s="4"/>
    </row>
    <row r="1262" spans="2:26" hidden="1" outlineLevel="2" x14ac:dyDescent="0.15">
      <c r="B1262" s="920" t="s">
        <v>1320</v>
      </c>
      <c r="C1262" s="1522">
        <v>7.6999999999999999E-2</v>
      </c>
      <c r="D1262" s="1001">
        <v>7.6999999999999999E-2</v>
      </c>
      <c r="E1262" s="1128">
        <v>0</v>
      </c>
      <c r="F1262" s="1128">
        <v>0</v>
      </c>
      <c r="G1262" s="1130">
        <v>0</v>
      </c>
      <c r="H1262" s="807">
        <v>0.4</v>
      </c>
      <c r="K1262" s="1392"/>
      <c r="L1262" s="1393"/>
      <c r="M1262" s="1393"/>
      <c r="N1262" s="1393"/>
      <c r="O1262" s="12"/>
      <c r="P1262" s="12"/>
      <c r="Q1262" s="12"/>
      <c r="R1262" s="1394"/>
      <c r="S1262" s="1394"/>
      <c r="T1262" s="1394"/>
      <c r="W1262" s="4"/>
      <c r="X1262" s="4"/>
      <c r="Y1262" s="4"/>
      <c r="Z1262" s="4"/>
    </row>
    <row r="1263" spans="2:26" hidden="1" outlineLevel="2" x14ac:dyDescent="0.15">
      <c r="B1263" s="920" t="s">
        <v>1321</v>
      </c>
      <c r="C1263" s="1522">
        <v>2.2599999999999999E-2</v>
      </c>
      <c r="D1263" s="1001">
        <v>2.2599999999999999E-2</v>
      </c>
      <c r="E1263" s="1128">
        <v>0</v>
      </c>
      <c r="F1263" s="1128">
        <v>0</v>
      </c>
      <c r="G1263" s="1130">
        <v>0</v>
      </c>
      <c r="H1263" s="807">
        <v>0.5</v>
      </c>
      <c r="K1263" s="1392"/>
      <c r="L1263" s="1393"/>
      <c r="M1263" s="1393"/>
      <c r="N1263" s="1393"/>
      <c r="O1263" s="12"/>
      <c r="P1263" s="12"/>
      <c r="Q1263" s="12"/>
      <c r="R1263" s="1394"/>
      <c r="S1263" s="1394"/>
      <c r="T1263" s="1394"/>
      <c r="W1263" s="4"/>
      <c r="X1263" s="4"/>
      <c r="Y1263" s="4"/>
      <c r="Z1263" s="4"/>
    </row>
    <row r="1264" spans="2:26" hidden="1" outlineLevel="2" x14ac:dyDescent="0.15">
      <c r="B1264" s="920" t="s">
        <v>933</v>
      </c>
      <c r="C1264" s="1522">
        <v>1.26E-2</v>
      </c>
      <c r="D1264" s="1001">
        <v>1.26E-2</v>
      </c>
      <c r="E1264" s="1128">
        <v>0</v>
      </c>
      <c r="F1264" s="1128">
        <v>0</v>
      </c>
      <c r="G1264" s="1130">
        <v>0</v>
      </c>
      <c r="H1264" s="807">
        <v>0.5</v>
      </c>
      <c r="K1264" s="1392"/>
      <c r="L1264" s="1393"/>
      <c r="M1264" s="1393"/>
      <c r="N1264" s="1393"/>
      <c r="O1264" s="12"/>
      <c r="P1264" s="12"/>
      <c r="Q1264" s="12"/>
      <c r="R1264" s="1394"/>
      <c r="S1264" s="1394"/>
      <c r="T1264" s="1394"/>
      <c r="W1264" s="4"/>
      <c r="X1264" s="4"/>
      <c r="Y1264" s="4"/>
      <c r="Z1264" s="4"/>
    </row>
    <row r="1265" spans="2:26" hidden="1" outlineLevel="2" x14ac:dyDescent="0.15">
      <c r="B1265" s="920" t="s">
        <v>935</v>
      </c>
      <c r="C1265" s="1522">
        <v>1.8599999999999998E-2</v>
      </c>
      <c r="D1265" s="1001">
        <v>1.8599999999999998E-2</v>
      </c>
      <c r="E1265" s="1128">
        <v>0</v>
      </c>
      <c r="F1265" s="1128">
        <v>0</v>
      </c>
      <c r="G1265" s="1130">
        <v>0</v>
      </c>
      <c r="H1265" s="807">
        <v>0.5</v>
      </c>
      <c r="K1265" s="1392"/>
      <c r="L1265" s="1393"/>
      <c r="M1265" s="1393"/>
      <c r="N1265" s="1393"/>
      <c r="O1265" s="12"/>
      <c r="P1265" s="12"/>
      <c r="Q1265" s="12"/>
      <c r="R1265" s="1394"/>
      <c r="S1265" s="1394"/>
      <c r="T1265" s="1394"/>
      <c r="W1265" s="4"/>
      <c r="X1265" s="4"/>
      <c r="Y1265" s="4"/>
      <c r="Z1265" s="4"/>
    </row>
    <row r="1266" spans="2:26" hidden="1" outlineLevel="2" x14ac:dyDescent="0.15">
      <c r="B1266" s="920" t="s">
        <v>951</v>
      </c>
      <c r="C1266" s="1522">
        <v>3.78E-2</v>
      </c>
      <c r="D1266" s="1001">
        <v>3.78E-2</v>
      </c>
      <c r="E1266" s="1128">
        <v>0</v>
      </c>
      <c r="F1266" s="1128">
        <v>0</v>
      </c>
      <c r="G1266" s="1130">
        <v>0</v>
      </c>
      <c r="H1266" s="807">
        <v>0.5</v>
      </c>
      <c r="K1266" s="1392"/>
      <c r="L1266" s="1393"/>
      <c r="M1266" s="1393"/>
      <c r="N1266" s="1393"/>
      <c r="O1266" s="12"/>
      <c r="P1266" s="12"/>
      <c r="Q1266" s="12"/>
      <c r="R1266" s="1394"/>
      <c r="S1266" s="1394"/>
      <c r="T1266" s="1394"/>
      <c r="W1266" s="4"/>
      <c r="X1266" s="4"/>
      <c r="Y1266" s="4"/>
      <c r="Z1266" s="4"/>
    </row>
    <row r="1267" spans="2:26" hidden="1" outlineLevel="2" x14ac:dyDescent="0.15">
      <c r="B1267" s="920" t="s">
        <v>960</v>
      </c>
      <c r="C1267" s="1522">
        <v>2.01E-2</v>
      </c>
      <c r="D1267" s="1001">
        <v>2.01E-2</v>
      </c>
      <c r="E1267" s="1128">
        <v>0</v>
      </c>
      <c r="F1267" s="1128">
        <v>0</v>
      </c>
      <c r="G1267" s="1130">
        <v>0</v>
      </c>
      <c r="H1267" s="807">
        <v>0.5</v>
      </c>
      <c r="K1267" s="1392"/>
      <c r="L1267" s="1393"/>
      <c r="M1267" s="1393"/>
      <c r="N1267" s="1393"/>
      <c r="O1267" s="12"/>
      <c r="P1267" s="12"/>
      <c r="Q1267" s="12"/>
      <c r="R1267" s="1394"/>
      <c r="S1267" s="1394"/>
      <c r="T1267" s="1394"/>
      <c r="W1267" s="4"/>
      <c r="X1267" s="4"/>
      <c r="Y1267" s="4"/>
      <c r="Z1267" s="4"/>
    </row>
    <row r="1268" spans="2:26" hidden="1" outlineLevel="2" x14ac:dyDescent="0.15">
      <c r="B1268" s="920" t="s">
        <v>927</v>
      </c>
      <c r="C1268" s="1522">
        <v>3.2000000000000001E-2</v>
      </c>
      <c r="D1268" s="1001">
        <v>3.2000000000000001E-2</v>
      </c>
      <c r="E1268" s="1128">
        <v>0</v>
      </c>
      <c r="F1268" s="1128">
        <v>0</v>
      </c>
      <c r="G1268" s="1130">
        <v>0</v>
      </c>
      <c r="H1268" s="807">
        <v>0.5</v>
      </c>
      <c r="K1268" s="1392"/>
      <c r="L1268" s="1393"/>
      <c r="M1268" s="1393"/>
      <c r="N1268" s="1393"/>
      <c r="O1268" s="12"/>
      <c r="P1268" s="12"/>
      <c r="Q1268" s="12"/>
      <c r="R1268" s="1394"/>
      <c r="S1268" s="1394"/>
      <c r="T1268" s="1394"/>
      <c r="W1268" s="4"/>
      <c r="X1268" s="4"/>
      <c r="Y1268" s="4"/>
      <c r="Z1268" s="4"/>
    </row>
    <row r="1269" spans="2:26" hidden="1" outlineLevel="2" x14ac:dyDescent="0.15">
      <c r="B1269" s="920" t="s">
        <v>970</v>
      </c>
      <c r="C1269" s="1522">
        <v>4.4499999999999998E-2</v>
      </c>
      <c r="D1269" s="1001">
        <v>4.4499999999999998E-2</v>
      </c>
      <c r="E1269" s="1128">
        <v>0</v>
      </c>
      <c r="F1269" s="1128">
        <v>0</v>
      </c>
      <c r="G1269" s="1130">
        <v>0</v>
      </c>
      <c r="H1269" s="807">
        <v>0.5</v>
      </c>
      <c r="K1269" s="1392"/>
      <c r="L1269" s="1393"/>
      <c r="M1269" s="1393"/>
      <c r="N1269" s="1393"/>
      <c r="O1269" s="12"/>
      <c r="P1269" s="12"/>
      <c r="Q1269" s="12"/>
      <c r="R1269" s="1394"/>
      <c r="S1269" s="1394"/>
      <c r="T1269" s="1394"/>
      <c r="W1269" s="4"/>
      <c r="X1269" s="4"/>
      <c r="Y1269" s="4"/>
      <c r="Z1269" s="4"/>
    </row>
    <row r="1270" spans="2:26" hidden="1" outlineLevel="2" x14ac:dyDescent="0.15">
      <c r="B1270" s="920" t="s">
        <v>976</v>
      </c>
      <c r="C1270" s="1522">
        <v>5.8200000000000002E-2</v>
      </c>
      <c r="D1270" s="1001">
        <v>5.8200000000000002E-2</v>
      </c>
      <c r="E1270" s="1128">
        <v>0</v>
      </c>
      <c r="F1270" s="1128">
        <v>0</v>
      </c>
      <c r="G1270" s="1130">
        <v>0</v>
      </c>
      <c r="H1270" s="807">
        <v>0.5</v>
      </c>
      <c r="K1270" s="1392"/>
      <c r="L1270" s="1393"/>
      <c r="M1270" s="1393"/>
      <c r="N1270" s="1393"/>
      <c r="O1270" s="12"/>
      <c r="P1270" s="12"/>
      <c r="Q1270" s="12"/>
      <c r="R1270" s="1394"/>
      <c r="S1270" s="1394"/>
      <c r="T1270" s="1394"/>
      <c r="W1270" s="4"/>
      <c r="X1270" s="4"/>
      <c r="Y1270" s="4"/>
      <c r="Z1270" s="4"/>
    </row>
    <row r="1271" spans="2:26" hidden="1" outlineLevel="2" x14ac:dyDescent="0.15">
      <c r="B1271" s="920" t="s">
        <v>1322</v>
      </c>
      <c r="C1271" s="1522">
        <v>2.9100000000000001E-2</v>
      </c>
      <c r="D1271" s="1001">
        <v>2.9100000000000001E-2</v>
      </c>
      <c r="E1271" s="1128">
        <v>0</v>
      </c>
      <c r="F1271" s="1128">
        <v>0</v>
      </c>
      <c r="G1271" s="1130">
        <v>0</v>
      </c>
      <c r="H1271" s="807">
        <v>0.5</v>
      </c>
      <c r="L1271" s="26"/>
      <c r="M1271" s="26"/>
      <c r="N1271" s="26"/>
      <c r="W1271" s="4"/>
      <c r="X1271" s="4"/>
      <c r="Y1271" s="4"/>
      <c r="Z1271" s="4"/>
    </row>
    <row r="1272" spans="2:26" hidden="1" outlineLevel="2" x14ac:dyDescent="0.15">
      <c r="B1272" s="920" t="s">
        <v>152</v>
      </c>
      <c r="C1272" s="1522">
        <v>2.53E-2</v>
      </c>
      <c r="D1272" s="1001">
        <v>2.53E-2</v>
      </c>
      <c r="E1272" s="1128">
        <v>0</v>
      </c>
      <c r="F1272" s="1128">
        <v>0</v>
      </c>
      <c r="G1272" s="1130">
        <v>0</v>
      </c>
      <c r="H1272" s="807">
        <v>0.5</v>
      </c>
      <c r="W1272" s="4"/>
      <c r="X1272" s="4"/>
      <c r="Y1272" s="4"/>
      <c r="Z1272" s="4"/>
    </row>
    <row r="1273" spans="2:26" hidden="1" outlineLevel="2" x14ac:dyDescent="0.15">
      <c r="B1273" s="920" t="s">
        <v>1030</v>
      </c>
      <c r="C1273" s="1522">
        <v>3.04E-2</v>
      </c>
      <c r="D1273" s="1001">
        <v>3.04E-2</v>
      </c>
      <c r="E1273" s="1128">
        <v>0</v>
      </c>
      <c r="F1273" s="1128">
        <v>0</v>
      </c>
      <c r="G1273" s="1130">
        <v>0</v>
      </c>
      <c r="H1273" s="807">
        <v>0.5</v>
      </c>
      <c r="W1273" s="4"/>
      <c r="X1273" s="4"/>
      <c r="Y1273" s="4"/>
      <c r="Z1273" s="4"/>
    </row>
    <row r="1274" spans="2:26" hidden="1" outlineLevel="2" x14ac:dyDescent="0.15">
      <c r="B1274" s="920" t="s">
        <v>1000</v>
      </c>
      <c r="C1274" s="1522">
        <v>8.2199999999999999E-3</v>
      </c>
      <c r="D1274" s="1001">
        <v>8.2199999999999999E-3</v>
      </c>
      <c r="E1274" s="1128">
        <v>0</v>
      </c>
      <c r="F1274" s="1128">
        <v>0</v>
      </c>
      <c r="G1274" s="1130">
        <v>0</v>
      </c>
      <c r="H1274" s="807">
        <v>0.5</v>
      </c>
      <c r="W1274" s="4"/>
      <c r="X1274" s="4"/>
      <c r="Y1274" s="4"/>
      <c r="Z1274" s="4"/>
    </row>
    <row r="1275" spans="2:26" hidden="1" outlineLevel="2" x14ac:dyDescent="0.15">
      <c r="B1275" s="920" t="s">
        <v>153</v>
      </c>
      <c r="C1275" s="1522">
        <v>4.4400000000000002E-2</v>
      </c>
      <c r="D1275" s="1001">
        <v>4.4400000000000002E-2</v>
      </c>
      <c r="E1275" s="1128">
        <v>0</v>
      </c>
      <c r="F1275" s="1128">
        <v>0</v>
      </c>
      <c r="G1275" s="1130">
        <v>0</v>
      </c>
      <c r="H1275" s="807">
        <v>0.5</v>
      </c>
      <c r="W1275" s="4"/>
      <c r="X1275" s="4"/>
      <c r="Y1275" s="4"/>
      <c r="Z1275" s="4"/>
    </row>
    <row r="1276" spans="2:26" hidden="1" outlineLevel="2" x14ac:dyDescent="0.15">
      <c r="B1276" s="920" t="s">
        <v>956</v>
      </c>
      <c r="C1276" s="1522">
        <v>3.4500000000000003E-2</v>
      </c>
      <c r="D1276" s="1001">
        <v>3.4500000000000003E-2</v>
      </c>
      <c r="E1276" s="1128">
        <v>0</v>
      </c>
      <c r="F1276" s="1128">
        <v>0</v>
      </c>
      <c r="G1276" s="1130">
        <v>0</v>
      </c>
      <c r="H1276" s="807">
        <v>0.5</v>
      </c>
      <c r="K1276" s="1392"/>
      <c r="L1276" s="1393"/>
      <c r="M1276" s="1393"/>
      <c r="N1276" s="1393"/>
      <c r="O1276" s="12"/>
      <c r="P1276" s="12"/>
      <c r="Q1276" s="12"/>
      <c r="R1276" s="1394"/>
      <c r="S1276" s="1394"/>
      <c r="T1276" s="1394"/>
      <c r="W1276" s="4"/>
      <c r="X1276" s="4"/>
      <c r="Y1276" s="4"/>
      <c r="Z1276" s="4"/>
    </row>
    <row r="1277" spans="2:26" hidden="1" outlineLevel="2" x14ac:dyDescent="0.15">
      <c r="B1277" s="920" t="s">
        <v>1015</v>
      </c>
      <c r="C1277" s="1522">
        <v>4.28E-3</v>
      </c>
      <c r="D1277" s="1001">
        <v>4.28E-3</v>
      </c>
      <c r="E1277" s="1128">
        <v>0</v>
      </c>
      <c r="F1277" s="1128">
        <v>0</v>
      </c>
      <c r="G1277" s="1130">
        <v>0</v>
      </c>
      <c r="H1277" s="807">
        <v>0.5</v>
      </c>
      <c r="W1277" s="4"/>
      <c r="X1277" s="4"/>
      <c r="Y1277" s="4"/>
      <c r="Z1277" s="4"/>
    </row>
    <row r="1278" spans="2:26" hidden="1" outlineLevel="2" x14ac:dyDescent="0.15">
      <c r="B1278" s="920" t="s">
        <v>1016</v>
      </c>
      <c r="C1278" s="1522">
        <v>3.64E-3</v>
      </c>
      <c r="D1278" s="1001">
        <v>3.64E-3</v>
      </c>
      <c r="E1278" s="1128">
        <v>0</v>
      </c>
      <c r="F1278" s="1128">
        <v>0</v>
      </c>
      <c r="G1278" s="1130">
        <v>0</v>
      </c>
      <c r="H1278" s="807">
        <v>0.5</v>
      </c>
      <c r="W1278" s="4"/>
      <c r="X1278" s="4"/>
      <c r="Y1278" s="4"/>
      <c r="Z1278" s="4"/>
    </row>
    <row r="1279" spans="2:26" hidden="1" outlineLevel="2" x14ac:dyDescent="0.15">
      <c r="B1279" s="920" t="s">
        <v>1323</v>
      </c>
      <c r="C1279" s="1522">
        <v>4.1200000000000001E-2</v>
      </c>
      <c r="D1279" s="1001">
        <v>4.1200000000000001E-2</v>
      </c>
      <c r="E1279" s="1128">
        <v>0</v>
      </c>
      <c r="F1279" s="1128">
        <v>0</v>
      </c>
      <c r="G1279" s="1130">
        <v>0</v>
      </c>
      <c r="H1279" s="807">
        <v>0.5</v>
      </c>
      <c r="W1279" s="4"/>
      <c r="X1279" s="4"/>
      <c r="Y1279" s="4"/>
      <c r="Z1279" s="4"/>
    </row>
    <row r="1280" spans="2:26" hidden="1" outlineLevel="2" x14ac:dyDescent="0.15">
      <c r="B1280" s="801"/>
      <c r="C1280" s="931"/>
      <c r="D1280" s="922"/>
      <c r="E1280" s="922"/>
      <c r="F1280" s="922"/>
      <c r="G1280" s="931"/>
      <c r="H1280" s="803"/>
      <c r="W1280" s="4"/>
      <c r="X1280" s="4"/>
      <c r="Y1280" s="4"/>
      <c r="Z1280" s="4"/>
    </row>
    <row r="1281" spans="1:256" hidden="1" outlineLevel="2" x14ac:dyDescent="0.15"/>
    <row r="1282" spans="1:256" outlineLevel="1" x14ac:dyDescent="0.15"/>
    <row r="1283" spans="1:256" s="26" customFormat="1" ht="15.75" customHeight="1" outlineLevel="1" collapsed="1" x14ac:dyDescent="0.15">
      <c r="A1283" s="13"/>
      <c r="B1283" s="1868" t="s">
        <v>1324</v>
      </c>
      <c r="C1283" s="1869"/>
      <c r="D1283" s="1869"/>
      <c r="E1283" s="1869"/>
      <c r="F1283" s="1869"/>
      <c r="G1283" s="1869"/>
      <c r="H1283" s="1869"/>
      <c r="I1283" s="1869"/>
      <c r="J1283" s="1870"/>
      <c r="K1283" s="28"/>
      <c r="L1283" s="28"/>
      <c r="M1283" s="28"/>
      <c r="N1283" s="28"/>
      <c r="O1283" s="28"/>
      <c r="P1283" s="28"/>
      <c r="Q1283" s="28"/>
      <c r="R1283" s="28"/>
      <c r="S1283" s="28"/>
      <c r="T1283" s="28"/>
      <c r="U1283" s="28"/>
      <c r="V1283" s="28"/>
      <c r="W1283" s="29"/>
      <c r="X1283" s="29"/>
      <c r="Y1283" s="29"/>
      <c r="Z1283" s="29"/>
      <c r="AA1283" s="29"/>
      <c r="AB1283" s="29"/>
      <c r="AC1283" s="29"/>
      <c r="AD1283" s="29"/>
      <c r="AE1283" s="29"/>
      <c r="AF1283" s="29"/>
      <c r="AG1283" s="29"/>
      <c r="AH1283" s="29"/>
      <c r="AI1283" s="29"/>
      <c r="AJ1283" s="29"/>
      <c r="AK1283" s="29"/>
      <c r="AL1283" s="29"/>
      <c r="AM1283" s="29"/>
      <c r="AN1283" s="29"/>
      <c r="AO1283" s="29"/>
      <c r="AP1283" s="29"/>
      <c r="AQ1283" s="29"/>
      <c r="AR1283" s="29"/>
      <c r="AS1283" s="29"/>
      <c r="AT1283" s="29"/>
      <c r="AU1283" s="29"/>
      <c r="AV1283" s="29"/>
      <c r="AW1283" s="29"/>
      <c r="AX1283" s="29"/>
      <c r="AY1283" s="29"/>
      <c r="AZ1283" s="29"/>
      <c r="BA1283" s="29"/>
      <c r="BB1283" s="29"/>
      <c r="BC1283" s="29"/>
      <c r="BD1283" s="29"/>
      <c r="BE1283" s="29"/>
      <c r="BF1283" s="29"/>
      <c r="BG1283" s="29"/>
      <c r="BH1283" s="29"/>
      <c r="BI1283" s="29"/>
      <c r="BJ1283" s="29"/>
      <c r="BK1283" s="29"/>
      <c r="BL1283" s="29"/>
      <c r="BM1283" s="29"/>
      <c r="BN1283" s="29"/>
      <c r="BO1283" s="29"/>
      <c r="BP1283" s="29"/>
      <c r="BQ1283" s="29"/>
      <c r="BR1283" s="29"/>
      <c r="BS1283" s="29"/>
      <c r="BT1283" s="29"/>
      <c r="BU1283" s="29"/>
      <c r="BV1283" s="29"/>
      <c r="BW1283" s="29"/>
      <c r="BX1283" s="29"/>
      <c r="BY1283" s="29"/>
      <c r="BZ1283" s="29"/>
      <c r="CA1283" s="29"/>
      <c r="CB1283" s="29"/>
      <c r="CC1283" s="29"/>
      <c r="CD1283" s="29"/>
      <c r="CE1283" s="29"/>
      <c r="CF1283" s="29"/>
      <c r="CG1283" s="29"/>
      <c r="CH1283" s="29"/>
      <c r="CI1283" s="29"/>
      <c r="CJ1283" s="29"/>
      <c r="CK1283" s="29"/>
      <c r="CL1283" s="29"/>
      <c r="CM1283" s="29"/>
      <c r="CN1283" s="29"/>
      <c r="CO1283" s="29"/>
      <c r="CP1283" s="29"/>
      <c r="CQ1283" s="29"/>
      <c r="CR1283" s="29"/>
      <c r="CS1283" s="29"/>
      <c r="CT1283" s="29"/>
      <c r="CU1283" s="29"/>
      <c r="CV1283" s="29"/>
      <c r="CW1283" s="29"/>
      <c r="CX1283" s="29"/>
      <c r="CY1283" s="29"/>
      <c r="CZ1283" s="29"/>
      <c r="DA1283" s="29"/>
      <c r="DB1283" s="29"/>
      <c r="DC1283" s="29"/>
      <c r="DD1283" s="29"/>
      <c r="DE1283" s="29"/>
      <c r="DF1283" s="29"/>
      <c r="DG1283" s="29"/>
      <c r="DH1283" s="29"/>
      <c r="DI1283" s="29"/>
      <c r="DJ1283" s="29"/>
      <c r="DK1283" s="29"/>
      <c r="DL1283" s="29"/>
      <c r="DM1283" s="29"/>
      <c r="DN1283" s="29"/>
      <c r="DO1283" s="29"/>
      <c r="DP1283" s="29"/>
      <c r="DQ1283" s="29"/>
      <c r="DR1283" s="29"/>
      <c r="DS1283" s="29"/>
      <c r="DT1283" s="29"/>
      <c r="DU1283" s="29"/>
      <c r="DV1283" s="29"/>
      <c r="DW1283" s="29"/>
      <c r="DX1283" s="29"/>
      <c r="DY1283" s="29"/>
      <c r="DZ1283" s="29"/>
      <c r="EA1283" s="29"/>
      <c r="EB1283" s="29"/>
      <c r="EC1283" s="29"/>
      <c r="ED1283" s="29"/>
      <c r="EE1283" s="29"/>
      <c r="EF1283" s="29"/>
      <c r="EG1283" s="29"/>
      <c r="EH1283" s="29"/>
      <c r="EI1283" s="29"/>
      <c r="EJ1283" s="29"/>
      <c r="EK1283" s="29"/>
      <c r="EL1283" s="29"/>
      <c r="EM1283" s="29"/>
      <c r="EN1283" s="29"/>
      <c r="EO1283" s="29"/>
      <c r="EP1283" s="29"/>
      <c r="EQ1283" s="29"/>
      <c r="ER1283" s="29"/>
      <c r="ES1283" s="29"/>
      <c r="ET1283" s="29"/>
      <c r="EU1283" s="29"/>
      <c r="EV1283" s="29"/>
      <c r="EW1283" s="29"/>
      <c r="EX1283" s="29"/>
      <c r="EY1283" s="29"/>
      <c r="EZ1283" s="29"/>
      <c r="FA1283" s="29"/>
      <c r="FB1283" s="29"/>
      <c r="FC1283" s="29"/>
      <c r="FD1283" s="29"/>
      <c r="FE1283" s="29"/>
      <c r="FF1283" s="29"/>
      <c r="FG1283" s="29"/>
      <c r="FH1283" s="29"/>
      <c r="FI1283" s="29"/>
      <c r="FJ1283" s="29"/>
      <c r="FK1283" s="29"/>
      <c r="FL1283" s="29"/>
      <c r="FM1283" s="29"/>
      <c r="FN1283" s="29"/>
      <c r="FO1283" s="29"/>
      <c r="FP1283" s="29"/>
      <c r="FQ1283" s="29"/>
      <c r="FR1283" s="29"/>
      <c r="FS1283" s="29"/>
      <c r="FT1283" s="29"/>
      <c r="FU1283" s="29"/>
      <c r="FV1283" s="29"/>
      <c r="FW1283" s="29"/>
      <c r="FX1283" s="29"/>
      <c r="FY1283" s="29"/>
      <c r="FZ1283" s="29"/>
      <c r="GA1283" s="29"/>
      <c r="GB1283" s="29"/>
      <c r="GC1283" s="13"/>
      <c r="GD1283" s="13"/>
      <c r="GE1283" s="13"/>
      <c r="GF1283" s="13"/>
      <c r="GG1283" s="13"/>
      <c r="GH1283" s="13"/>
      <c r="GI1283" s="13"/>
      <c r="GJ1283" s="13"/>
      <c r="GK1283" s="13"/>
      <c r="GL1283" s="13"/>
      <c r="GM1283" s="13"/>
      <c r="GN1283" s="13"/>
      <c r="GO1283" s="13"/>
      <c r="GP1283" s="13"/>
      <c r="GQ1283" s="13"/>
      <c r="GR1283" s="13"/>
      <c r="GS1283" s="13"/>
      <c r="GT1283" s="13"/>
      <c r="GU1283" s="13"/>
      <c r="GV1283" s="13"/>
      <c r="GW1283" s="13"/>
      <c r="GX1283" s="13"/>
      <c r="GY1283" s="13"/>
      <c r="GZ1283" s="13"/>
      <c r="HA1283" s="13"/>
      <c r="HB1283" s="13"/>
      <c r="HC1283" s="13"/>
      <c r="HD1283" s="13"/>
      <c r="HE1283" s="13"/>
      <c r="HF1283" s="13"/>
      <c r="HG1283" s="13"/>
      <c r="HH1283" s="13"/>
      <c r="HI1283" s="13"/>
      <c r="HJ1283" s="13"/>
      <c r="HK1283" s="13"/>
      <c r="HL1283" s="13"/>
      <c r="HM1283" s="13"/>
      <c r="HN1283" s="13"/>
      <c r="HO1283" s="13"/>
      <c r="HP1283" s="13"/>
      <c r="HQ1283" s="13"/>
      <c r="HR1283" s="13"/>
      <c r="HS1283" s="13"/>
      <c r="HT1283" s="13"/>
      <c r="HU1283" s="13"/>
      <c r="HV1283" s="13"/>
      <c r="HW1283" s="13"/>
      <c r="HX1283" s="13"/>
      <c r="HY1283" s="13"/>
      <c r="HZ1283" s="13"/>
      <c r="IA1283" s="13"/>
      <c r="IB1283" s="13"/>
      <c r="IC1283" s="13"/>
      <c r="ID1283" s="13"/>
      <c r="IE1283" s="13"/>
      <c r="IF1283" s="13"/>
      <c r="IG1283" s="13"/>
      <c r="IH1283" s="13"/>
      <c r="II1283" s="13"/>
      <c r="IJ1283" s="13"/>
      <c r="IK1283" s="13"/>
      <c r="IL1283" s="13"/>
      <c r="IM1283" s="13"/>
      <c r="IN1283" s="13"/>
      <c r="IO1283" s="13"/>
      <c r="IP1283" s="13"/>
      <c r="IQ1283" s="13"/>
      <c r="IR1283" s="13"/>
      <c r="IS1283" s="13"/>
      <c r="IT1283" s="13"/>
      <c r="IU1283" s="13"/>
      <c r="IV1283" s="13"/>
    </row>
    <row r="1284" spans="1:256" hidden="1" outlineLevel="2" x14ac:dyDescent="0.15"/>
    <row r="1285" spans="1:256" hidden="1" outlineLevel="2" x14ac:dyDescent="0.15">
      <c r="B1285" s="928" t="s">
        <v>1325</v>
      </c>
      <c r="C1285" s="929">
        <v>1</v>
      </c>
    </row>
    <row r="1286" spans="1:256" hidden="1" outlineLevel="2" x14ac:dyDescent="0.15"/>
    <row r="1287" spans="1:256" hidden="1" outlineLevel="2" x14ac:dyDescent="0.15">
      <c r="B1287" s="840" t="s">
        <v>1324</v>
      </c>
      <c r="C1287" s="1876" t="s">
        <v>765</v>
      </c>
      <c r="D1287" s="1878"/>
      <c r="E1287" s="1876" t="s">
        <v>1327</v>
      </c>
      <c r="F1287" s="1877"/>
      <c r="G1287" s="1877"/>
      <c r="H1287" s="1877"/>
      <c r="I1287" s="1877"/>
      <c r="J1287" s="1878"/>
      <c r="K1287" s="1877" t="s">
        <v>773</v>
      </c>
      <c r="L1287" s="1878"/>
      <c r="M1287" s="898"/>
      <c r="W1287" s="4"/>
      <c r="X1287" s="4"/>
      <c r="Y1287" s="4"/>
      <c r="Z1287" s="4"/>
      <c r="AA1287" s="4"/>
      <c r="AB1287" s="4"/>
      <c r="AC1287" s="4"/>
    </row>
    <row r="1288" spans="1:256" hidden="1" outlineLevel="2" x14ac:dyDescent="0.15">
      <c r="B1288" s="798"/>
      <c r="C1288" s="1885" t="s">
        <v>1308</v>
      </c>
      <c r="D1288" s="1886"/>
      <c r="E1288" s="1879" t="s">
        <v>14</v>
      </c>
      <c r="F1288" s="1887"/>
      <c r="G1288" s="1887" t="s">
        <v>695</v>
      </c>
      <c r="H1288" s="1887"/>
      <c r="I1288" s="1887" t="s">
        <v>27</v>
      </c>
      <c r="J1288" s="1880"/>
      <c r="K1288" s="1879" t="s">
        <v>1308</v>
      </c>
      <c r="L1288" s="1880"/>
      <c r="M1288" s="834"/>
      <c r="W1288" s="4"/>
      <c r="X1288" s="4"/>
      <c r="Y1288" s="4"/>
      <c r="Z1288" s="4"/>
      <c r="AA1288" s="4"/>
      <c r="AB1288" s="4"/>
      <c r="AC1288" s="4"/>
    </row>
    <row r="1289" spans="1:256" hidden="1" outlineLevel="2" x14ac:dyDescent="0.15">
      <c r="B1289" s="880" t="s">
        <v>1326</v>
      </c>
      <c r="C1289" s="1556" t="s">
        <v>768</v>
      </c>
      <c r="D1289" s="896" t="s">
        <v>24</v>
      </c>
      <c r="E1289" s="1556" t="s">
        <v>768</v>
      </c>
      <c r="F1289" s="888" t="s">
        <v>24</v>
      </c>
      <c r="G1289" s="1556" t="s">
        <v>768</v>
      </c>
      <c r="H1289" s="888" t="s">
        <v>24</v>
      </c>
      <c r="I1289" s="1556" t="s">
        <v>768</v>
      </c>
      <c r="J1289" s="896" t="s">
        <v>24</v>
      </c>
      <c r="K1289" s="1556" t="s">
        <v>768</v>
      </c>
      <c r="L1289" s="896" t="s">
        <v>24</v>
      </c>
      <c r="M1289" s="1560" t="s">
        <v>723</v>
      </c>
      <c r="W1289" s="4"/>
      <c r="X1289" s="4"/>
      <c r="Y1289" s="4"/>
      <c r="Z1289" s="4"/>
      <c r="AA1289" s="4"/>
      <c r="AB1289" s="4"/>
      <c r="AC1289" s="4"/>
    </row>
    <row r="1290" spans="1:256" hidden="1" outlineLevel="2" x14ac:dyDescent="0.15">
      <c r="B1290" s="800" t="s">
        <v>1358</v>
      </c>
      <c r="C1290" s="882">
        <v>0.65079999999999993</v>
      </c>
      <c r="D1290" s="933">
        <v>3.09</v>
      </c>
      <c r="E1290" s="868">
        <v>0.58799999999999997</v>
      </c>
      <c r="F1290" s="844">
        <v>3.09</v>
      </c>
      <c r="G1290" s="882">
        <v>6.2799999999999995E-2</v>
      </c>
      <c r="H1290" s="850">
        <v>0</v>
      </c>
      <c r="I1290" s="941">
        <v>0</v>
      </c>
      <c r="J1290" s="942">
        <v>0</v>
      </c>
      <c r="K1290" s="941">
        <v>0</v>
      </c>
      <c r="L1290" s="942">
        <v>0</v>
      </c>
      <c r="M1290" s="829">
        <v>0.5</v>
      </c>
      <c r="N1290" s="27"/>
      <c r="O1290" s="27"/>
      <c r="W1290" s="4"/>
      <c r="X1290" s="4"/>
      <c r="Y1290" s="4"/>
      <c r="Z1290" s="4"/>
      <c r="AA1290" s="4"/>
      <c r="AB1290" s="4"/>
      <c r="AC1290" s="4"/>
    </row>
    <row r="1291" spans="1:256" hidden="1" outlineLevel="2" x14ac:dyDescent="0.15">
      <c r="B1291" s="800" t="s">
        <v>1328</v>
      </c>
      <c r="C1291" s="843">
        <v>0.86330000000000007</v>
      </c>
      <c r="D1291" s="874">
        <v>4.0999999999999996</v>
      </c>
      <c r="E1291" s="869">
        <v>0.78</v>
      </c>
      <c r="F1291" s="845">
        <v>4.0999999999999996</v>
      </c>
      <c r="G1291" s="843">
        <v>8.3299999999999999E-2</v>
      </c>
      <c r="H1291" s="851">
        <v>0</v>
      </c>
      <c r="I1291" s="849">
        <v>0</v>
      </c>
      <c r="J1291" s="894">
        <v>0</v>
      </c>
      <c r="K1291" s="849">
        <v>0</v>
      </c>
      <c r="L1291" s="894">
        <v>0</v>
      </c>
      <c r="M1291" s="829">
        <v>0.5</v>
      </c>
      <c r="N1291" s="27"/>
      <c r="O1291" s="27"/>
      <c r="W1291" s="4"/>
      <c r="X1291" s="4"/>
      <c r="Y1291" s="4"/>
      <c r="Z1291" s="4"/>
      <c r="AA1291" s="4"/>
      <c r="AB1291" s="4"/>
      <c r="AC1291" s="4"/>
    </row>
    <row r="1292" spans="1:256" hidden="1" outlineLevel="2" x14ac:dyDescent="0.15">
      <c r="B1292" s="800" t="s">
        <v>1329</v>
      </c>
      <c r="C1292" s="843">
        <v>1.1400000000000001</v>
      </c>
      <c r="D1292" s="874">
        <v>5.42</v>
      </c>
      <c r="E1292" s="869">
        <v>1.03</v>
      </c>
      <c r="F1292" s="845">
        <v>5.42</v>
      </c>
      <c r="G1292" s="843">
        <v>0.11</v>
      </c>
      <c r="H1292" s="851">
        <v>0</v>
      </c>
      <c r="I1292" s="849">
        <v>0</v>
      </c>
      <c r="J1292" s="894">
        <v>0</v>
      </c>
      <c r="K1292" s="849">
        <v>0</v>
      </c>
      <c r="L1292" s="894">
        <v>0</v>
      </c>
      <c r="M1292" s="829">
        <v>0.5</v>
      </c>
      <c r="N1292" s="27"/>
      <c r="O1292" s="27"/>
      <c r="W1292" s="4"/>
      <c r="X1292" s="4"/>
      <c r="Y1292" s="4"/>
      <c r="Z1292" s="4"/>
      <c r="AA1292" s="4"/>
      <c r="AB1292" s="4"/>
      <c r="AC1292" s="4"/>
    </row>
    <row r="1293" spans="1:256" hidden="1" outlineLevel="2" x14ac:dyDescent="0.15">
      <c r="B1293" s="800" t="s">
        <v>1330</v>
      </c>
      <c r="C1293" s="843">
        <v>0.43170000000000003</v>
      </c>
      <c r="D1293" s="874">
        <v>2.0499999999999998</v>
      </c>
      <c r="E1293" s="869">
        <v>0.39</v>
      </c>
      <c r="F1293" s="845">
        <v>2.0499999999999998</v>
      </c>
      <c r="G1293" s="843">
        <v>4.1700000000000001E-2</v>
      </c>
      <c r="H1293" s="851">
        <v>0</v>
      </c>
      <c r="I1293" s="849">
        <v>0</v>
      </c>
      <c r="J1293" s="894">
        <v>0</v>
      </c>
      <c r="K1293" s="849">
        <v>0</v>
      </c>
      <c r="L1293" s="894">
        <v>0</v>
      </c>
      <c r="M1293" s="829">
        <v>0.5</v>
      </c>
      <c r="N1293" s="27"/>
      <c r="O1293" s="27"/>
      <c r="W1293" s="4"/>
      <c r="X1293" s="4"/>
      <c r="Y1293" s="4"/>
      <c r="Z1293" s="4"/>
      <c r="AA1293" s="4"/>
      <c r="AB1293" s="4"/>
      <c r="AC1293" s="4"/>
    </row>
    <row r="1294" spans="1:256" hidden="1" outlineLevel="2" x14ac:dyDescent="0.15">
      <c r="B1294" s="800" t="s">
        <v>1331</v>
      </c>
      <c r="C1294" s="843">
        <v>0.2989</v>
      </c>
      <c r="D1294" s="874">
        <v>1.42</v>
      </c>
      <c r="E1294" s="869">
        <v>0.27</v>
      </c>
      <c r="F1294" s="845">
        <v>1.42</v>
      </c>
      <c r="G1294" s="843">
        <v>2.8899999999999999E-2</v>
      </c>
      <c r="H1294" s="851">
        <v>0</v>
      </c>
      <c r="I1294" s="849">
        <v>0</v>
      </c>
      <c r="J1294" s="894">
        <v>0</v>
      </c>
      <c r="K1294" s="849">
        <v>0</v>
      </c>
      <c r="L1294" s="894">
        <v>0</v>
      </c>
      <c r="M1294" s="829">
        <v>0.5</v>
      </c>
      <c r="N1294" s="27"/>
      <c r="O1294" s="27"/>
      <c r="W1294" s="4"/>
      <c r="X1294" s="4"/>
      <c r="Y1294" s="4"/>
      <c r="Z1294" s="4"/>
      <c r="AA1294" s="4"/>
      <c r="AB1294" s="4"/>
      <c r="AC1294" s="4"/>
    </row>
    <row r="1295" spans="1:256" hidden="1" outlineLevel="2" x14ac:dyDescent="0.15">
      <c r="B1295" s="800" t="s">
        <v>1332</v>
      </c>
      <c r="C1295" s="843">
        <v>0.19919999999999999</v>
      </c>
      <c r="D1295" s="874">
        <v>0.94599999999999995</v>
      </c>
      <c r="E1295" s="869">
        <v>0.18</v>
      </c>
      <c r="F1295" s="845">
        <v>0.94599999999999995</v>
      </c>
      <c r="G1295" s="843">
        <v>1.9199999999999998E-2</v>
      </c>
      <c r="H1295" s="851">
        <v>0</v>
      </c>
      <c r="I1295" s="849">
        <v>0</v>
      </c>
      <c r="J1295" s="894">
        <v>0</v>
      </c>
      <c r="K1295" s="849">
        <v>0</v>
      </c>
      <c r="L1295" s="894">
        <v>0</v>
      </c>
      <c r="M1295" s="829">
        <v>0.5</v>
      </c>
      <c r="N1295" s="27"/>
      <c r="O1295" s="27"/>
      <c r="W1295" s="4"/>
      <c r="X1295" s="4"/>
      <c r="Y1295" s="4"/>
      <c r="Z1295" s="4"/>
      <c r="AA1295" s="4"/>
      <c r="AB1295" s="4"/>
      <c r="AC1295" s="4"/>
    </row>
    <row r="1296" spans="1:256" hidden="1" outlineLevel="2" x14ac:dyDescent="0.15">
      <c r="B1296" s="800" t="s">
        <v>1333</v>
      </c>
      <c r="C1296" s="843">
        <v>0.2989</v>
      </c>
      <c r="D1296" s="874">
        <v>1.42</v>
      </c>
      <c r="E1296" s="869">
        <v>0.27</v>
      </c>
      <c r="F1296" s="845">
        <v>1.42</v>
      </c>
      <c r="G1296" s="843">
        <v>2.8899999999999999E-2</v>
      </c>
      <c r="H1296" s="851">
        <v>0</v>
      </c>
      <c r="I1296" s="849">
        <v>0</v>
      </c>
      <c r="J1296" s="894">
        <v>0</v>
      </c>
      <c r="K1296" s="849">
        <v>0</v>
      </c>
      <c r="L1296" s="894">
        <v>0</v>
      </c>
      <c r="M1296" s="829">
        <v>0.5</v>
      </c>
      <c r="N1296" s="27"/>
      <c r="O1296" s="27"/>
      <c r="W1296" s="4"/>
      <c r="X1296" s="4"/>
      <c r="Y1296" s="4"/>
      <c r="Z1296" s="4"/>
      <c r="AA1296" s="4"/>
      <c r="AB1296" s="4"/>
      <c r="AC1296" s="4"/>
    </row>
    <row r="1297" spans="2:29" hidden="1" outlineLevel="2" x14ac:dyDescent="0.15">
      <c r="B1297" s="800" t="s">
        <v>1334</v>
      </c>
      <c r="C1297" s="843">
        <v>0.2457</v>
      </c>
      <c r="D1297" s="874">
        <v>1.17</v>
      </c>
      <c r="E1297" s="869">
        <v>0.222</v>
      </c>
      <c r="F1297" s="845">
        <v>1.17</v>
      </c>
      <c r="G1297" s="843">
        <v>2.3699999999999999E-2</v>
      </c>
      <c r="H1297" s="851">
        <v>0</v>
      </c>
      <c r="I1297" s="849">
        <v>0</v>
      </c>
      <c r="J1297" s="894">
        <v>0</v>
      </c>
      <c r="K1297" s="849">
        <v>0</v>
      </c>
      <c r="L1297" s="894">
        <v>0</v>
      </c>
      <c r="M1297" s="829">
        <v>0.5</v>
      </c>
      <c r="N1297" s="27"/>
      <c r="O1297" s="27"/>
      <c r="W1297" s="4"/>
      <c r="X1297" s="4"/>
      <c r="Y1297" s="4"/>
      <c r="Z1297" s="4"/>
      <c r="AA1297" s="4"/>
      <c r="AB1297" s="4"/>
      <c r="AC1297" s="4"/>
    </row>
    <row r="1298" spans="2:29" hidden="1" outlineLevel="2" x14ac:dyDescent="0.15">
      <c r="B1298" s="800" t="s">
        <v>1335</v>
      </c>
      <c r="C1298" s="843">
        <v>0.2258</v>
      </c>
      <c r="D1298" s="874">
        <v>1.07</v>
      </c>
      <c r="E1298" s="869">
        <v>0.20399999999999999</v>
      </c>
      <c r="F1298" s="845">
        <v>1.07</v>
      </c>
      <c r="G1298" s="843">
        <v>2.18E-2</v>
      </c>
      <c r="H1298" s="851">
        <v>0</v>
      </c>
      <c r="I1298" s="849">
        <v>0</v>
      </c>
      <c r="J1298" s="894">
        <v>0</v>
      </c>
      <c r="K1298" s="849">
        <v>0</v>
      </c>
      <c r="L1298" s="894">
        <v>0</v>
      </c>
      <c r="M1298" s="829">
        <v>0.5</v>
      </c>
      <c r="N1298" s="27"/>
      <c r="O1298" s="27"/>
      <c r="W1298" s="4"/>
      <c r="X1298" s="4"/>
      <c r="Y1298" s="4"/>
      <c r="Z1298" s="4"/>
      <c r="AA1298" s="4"/>
      <c r="AB1298" s="4"/>
      <c r="AC1298" s="4"/>
    </row>
    <row r="1299" spans="2:29" hidden="1" outlineLevel="2" x14ac:dyDescent="0.15">
      <c r="B1299" s="800" t="s">
        <v>1336</v>
      </c>
      <c r="C1299" s="843">
        <v>0.21920000000000001</v>
      </c>
      <c r="D1299" s="874">
        <v>1.04</v>
      </c>
      <c r="E1299" s="869">
        <v>0.19800000000000001</v>
      </c>
      <c r="F1299" s="845">
        <v>1.04</v>
      </c>
      <c r="G1299" s="843">
        <v>2.12E-2</v>
      </c>
      <c r="H1299" s="851">
        <v>0</v>
      </c>
      <c r="I1299" s="849">
        <v>0</v>
      </c>
      <c r="J1299" s="894">
        <v>0</v>
      </c>
      <c r="K1299" s="849">
        <v>0</v>
      </c>
      <c r="L1299" s="894">
        <v>0</v>
      </c>
      <c r="M1299" s="829">
        <v>0.5</v>
      </c>
      <c r="N1299" s="27"/>
      <c r="O1299" s="27"/>
      <c r="W1299" s="4"/>
      <c r="X1299" s="4"/>
      <c r="Y1299" s="4"/>
      <c r="Z1299" s="4"/>
      <c r="AA1299" s="4"/>
      <c r="AB1299" s="4"/>
      <c r="AC1299" s="4"/>
    </row>
    <row r="1300" spans="2:29" hidden="1" outlineLevel="2" x14ac:dyDescent="0.15">
      <c r="B1300" s="800" t="s">
        <v>1337</v>
      </c>
      <c r="C1300" s="843">
        <v>0.27889999999999998</v>
      </c>
      <c r="D1300" s="874">
        <v>1.32</v>
      </c>
      <c r="E1300" s="869">
        <v>0.252</v>
      </c>
      <c r="F1300" s="845">
        <v>1.32</v>
      </c>
      <c r="G1300" s="843">
        <v>2.69E-2</v>
      </c>
      <c r="H1300" s="851">
        <v>0</v>
      </c>
      <c r="I1300" s="849">
        <v>0</v>
      </c>
      <c r="J1300" s="894">
        <v>0</v>
      </c>
      <c r="K1300" s="849">
        <v>0</v>
      </c>
      <c r="L1300" s="894">
        <v>0</v>
      </c>
      <c r="M1300" s="829">
        <v>0.5</v>
      </c>
      <c r="N1300" s="27"/>
      <c r="O1300" s="27"/>
      <c r="W1300" s="4"/>
      <c r="X1300" s="4"/>
      <c r="Y1300" s="4"/>
      <c r="Z1300" s="4"/>
      <c r="AA1300" s="4"/>
      <c r="AB1300" s="4"/>
      <c r="AC1300" s="4"/>
    </row>
    <row r="1301" spans="2:29" hidden="1" outlineLevel="2" x14ac:dyDescent="0.15">
      <c r="B1301" s="800" t="s">
        <v>1338</v>
      </c>
      <c r="C1301" s="843">
        <v>0.27229999999999999</v>
      </c>
      <c r="D1301" s="874">
        <v>1.29</v>
      </c>
      <c r="E1301" s="869">
        <v>0.246</v>
      </c>
      <c r="F1301" s="845">
        <v>1.29</v>
      </c>
      <c r="G1301" s="843">
        <v>2.63E-2</v>
      </c>
      <c r="H1301" s="851">
        <v>0</v>
      </c>
      <c r="I1301" s="849">
        <v>0</v>
      </c>
      <c r="J1301" s="894">
        <v>0</v>
      </c>
      <c r="K1301" s="849">
        <v>0</v>
      </c>
      <c r="L1301" s="894">
        <v>0</v>
      </c>
      <c r="M1301" s="829">
        <v>0.5</v>
      </c>
      <c r="N1301" s="27"/>
      <c r="O1301" s="27"/>
      <c r="W1301" s="4"/>
      <c r="X1301" s="4"/>
      <c r="Y1301" s="4"/>
      <c r="Z1301" s="4"/>
      <c r="AA1301" s="4"/>
      <c r="AB1301" s="4"/>
      <c r="AC1301" s="4"/>
    </row>
    <row r="1302" spans="2:29" hidden="1" outlineLevel="2" x14ac:dyDescent="0.15">
      <c r="B1302" s="800" t="s">
        <v>1339</v>
      </c>
      <c r="C1302" s="843">
        <v>0.27889999999999998</v>
      </c>
      <c r="D1302" s="874">
        <v>1.32</v>
      </c>
      <c r="E1302" s="869">
        <v>0.252</v>
      </c>
      <c r="F1302" s="845">
        <v>1.32</v>
      </c>
      <c r="G1302" s="843">
        <v>2.69E-2</v>
      </c>
      <c r="H1302" s="851">
        <v>0</v>
      </c>
      <c r="I1302" s="849">
        <v>0</v>
      </c>
      <c r="J1302" s="894">
        <v>0</v>
      </c>
      <c r="K1302" s="849">
        <v>0</v>
      </c>
      <c r="L1302" s="894">
        <v>0</v>
      </c>
      <c r="M1302" s="829">
        <v>0.5</v>
      </c>
      <c r="N1302" s="27"/>
      <c r="O1302" s="27"/>
      <c r="W1302" s="4"/>
      <c r="X1302" s="4"/>
      <c r="Y1302" s="4"/>
      <c r="Z1302" s="4"/>
      <c r="AA1302" s="4"/>
      <c r="AB1302" s="4"/>
      <c r="AC1302" s="4"/>
    </row>
    <row r="1303" spans="2:29" hidden="1" outlineLevel="2" x14ac:dyDescent="0.15">
      <c r="B1303" s="800" t="s">
        <v>1340</v>
      </c>
      <c r="C1303" s="843">
        <v>0.2059</v>
      </c>
      <c r="D1303" s="874">
        <v>0.97699999999999998</v>
      </c>
      <c r="E1303" s="869">
        <v>0.186</v>
      </c>
      <c r="F1303" s="845">
        <v>0.97699999999999998</v>
      </c>
      <c r="G1303" s="843">
        <v>1.9900000000000001E-2</v>
      </c>
      <c r="H1303" s="851">
        <v>0</v>
      </c>
      <c r="I1303" s="849">
        <v>0</v>
      </c>
      <c r="J1303" s="894">
        <v>0</v>
      </c>
      <c r="K1303" s="849">
        <v>0</v>
      </c>
      <c r="L1303" s="894">
        <v>0</v>
      </c>
      <c r="M1303" s="829">
        <v>0.5</v>
      </c>
      <c r="N1303" s="27"/>
      <c r="O1303" s="27"/>
      <c r="W1303" s="4"/>
      <c r="X1303" s="4"/>
      <c r="Y1303" s="4"/>
      <c r="Z1303" s="4"/>
      <c r="AA1303" s="4"/>
      <c r="AB1303" s="4"/>
      <c r="AC1303" s="4"/>
    </row>
    <row r="1304" spans="2:29" hidden="1" outlineLevel="2" x14ac:dyDescent="0.15">
      <c r="B1304" s="800" t="s">
        <v>1341</v>
      </c>
      <c r="C1304" s="843">
        <v>0.19919999999999999</v>
      </c>
      <c r="D1304" s="874">
        <v>0.94599999999999995</v>
      </c>
      <c r="E1304" s="869">
        <v>0.18</v>
      </c>
      <c r="F1304" s="845">
        <v>0.94599999999999995</v>
      </c>
      <c r="G1304" s="843">
        <v>1.9199999999999998E-2</v>
      </c>
      <c r="H1304" s="851">
        <v>0</v>
      </c>
      <c r="I1304" s="849">
        <v>0</v>
      </c>
      <c r="J1304" s="894">
        <v>0</v>
      </c>
      <c r="K1304" s="849">
        <v>0</v>
      </c>
      <c r="L1304" s="894">
        <v>0</v>
      </c>
      <c r="M1304" s="829">
        <v>0.5</v>
      </c>
      <c r="N1304" s="27"/>
      <c r="O1304" s="27"/>
      <c r="W1304" s="4"/>
      <c r="X1304" s="4"/>
      <c r="Y1304" s="4"/>
      <c r="Z1304" s="4"/>
      <c r="AA1304" s="4"/>
      <c r="AB1304" s="4"/>
      <c r="AC1304" s="4"/>
    </row>
    <row r="1305" spans="2:29" hidden="1" outlineLevel="2" x14ac:dyDescent="0.15">
      <c r="B1305" s="800" t="s">
        <v>1342</v>
      </c>
      <c r="C1305" s="843">
        <v>0.21920000000000001</v>
      </c>
      <c r="D1305" s="874">
        <v>1.04</v>
      </c>
      <c r="E1305" s="869">
        <v>0.19800000000000001</v>
      </c>
      <c r="F1305" s="845">
        <v>1.04</v>
      </c>
      <c r="G1305" s="843">
        <v>2.12E-2</v>
      </c>
      <c r="H1305" s="851">
        <v>0</v>
      </c>
      <c r="I1305" s="849">
        <v>0</v>
      </c>
      <c r="J1305" s="894">
        <v>0</v>
      </c>
      <c r="K1305" s="849">
        <v>0</v>
      </c>
      <c r="L1305" s="894">
        <v>0</v>
      </c>
      <c r="M1305" s="829">
        <v>0.5</v>
      </c>
      <c r="N1305" s="27"/>
      <c r="O1305" s="27"/>
      <c r="W1305" s="4"/>
      <c r="X1305" s="4"/>
      <c r="Y1305" s="4"/>
      <c r="Z1305" s="4"/>
      <c r="AA1305" s="4"/>
      <c r="AB1305" s="4"/>
      <c r="AC1305" s="4"/>
    </row>
    <row r="1306" spans="2:29" hidden="1" outlineLevel="2" x14ac:dyDescent="0.15">
      <c r="B1306" s="800" t="s">
        <v>1343</v>
      </c>
      <c r="C1306" s="843">
        <v>0.29220000000000002</v>
      </c>
      <c r="D1306" s="874">
        <v>1.39</v>
      </c>
      <c r="E1306" s="869">
        <v>0.26400000000000001</v>
      </c>
      <c r="F1306" s="845">
        <v>1.39</v>
      </c>
      <c r="G1306" s="843">
        <v>2.8199999999999999E-2</v>
      </c>
      <c r="H1306" s="851">
        <v>0</v>
      </c>
      <c r="I1306" s="849">
        <v>0</v>
      </c>
      <c r="J1306" s="894">
        <v>0</v>
      </c>
      <c r="K1306" s="849">
        <v>0</v>
      </c>
      <c r="L1306" s="894">
        <v>0</v>
      </c>
      <c r="M1306" s="829">
        <v>0.5</v>
      </c>
      <c r="N1306" s="27"/>
      <c r="O1306" s="27"/>
      <c r="W1306" s="4"/>
      <c r="X1306" s="4"/>
      <c r="Y1306" s="4"/>
      <c r="Z1306" s="4"/>
      <c r="AA1306" s="4"/>
      <c r="AB1306" s="4"/>
      <c r="AC1306" s="4"/>
    </row>
    <row r="1307" spans="2:29" hidden="1" outlineLevel="2" x14ac:dyDescent="0.15">
      <c r="B1307" s="800" t="s">
        <v>1344</v>
      </c>
      <c r="C1307" s="843">
        <v>0.21920000000000001</v>
      </c>
      <c r="D1307" s="874">
        <v>1.04</v>
      </c>
      <c r="E1307" s="869">
        <v>0.19800000000000001</v>
      </c>
      <c r="F1307" s="845">
        <v>1.04</v>
      </c>
      <c r="G1307" s="843">
        <v>2.12E-2</v>
      </c>
      <c r="H1307" s="851">
        <v>0</v>
      </c>
      <c r="I1307" s="849">
        <v>0</v>
      </c>
      <c r="J1307" s="894">
        <v>0</v>
      </c>
      <c r="K1307" s="849">
        <v>0</v>
      </c>
      <c r="L1307" s="894">
        <v>0</v>
      </c>
      <c r="M1307" s="829">
        <v>0.5</v>
      </c>
      <c r="N1307" s="27"/>
      <c r="O1307" s="27"/>
      <c r="W1307" s="4"/>
      <c r="X1307" s="4"/>
      <c r="Y1307" s="4"/>
      <c r="Z1307" s="4"/>
      <c r="AA1307" s="4"/>
      <c r="AB1307" s="4"/>
      <c r="AC1307" s="4"/>
    </row>
    <row r="1308" spans="2:29" hidden="1" outlineLevel="2" x14ac:dyDescent="0.15">
      <c r="B1308" s="800" t="s">
        <v>1345</v>
      </c>
      <c r="C1308" s="843">
        <v>0.21249999999999999</v>
      </c>
      <c r="D1308" s="874">
        <v>1.01</v>
      </c>
      <c r="E1308" s="869">
        <v>0.192</v>
      </c>
      <c r="F1308" s="845">
        <v>1.01</v>
      </c>
      <c r="G1308" s="843">
        <v>2.0500000000000001E-2</v>
      </c>
      <c r="H1308" s="851">
        <v>0</v>
      </c>
      <c r="I1308" s="849">
        <v>0</v>
      </c>
      <c r="J1308" s="894">
        <v>0</v>
      </c>
      <c r="K1308" s="849">
        <v>0</v>
      </c>
      <c r="L1308" s="894">
        <v>0</v>
      </c>
      <c r="M1308" s="829">
        <v>0.5</v>
      </c>
      <c r="N1308" s="27"/>
      <c r="O1308" s="27"/>
      <c r="W1308" s="4"/>
      <c r="X1308" s="4"/>
      <c r="Y1308" s="4"/>
      <c r="Z1308" s="4"/>
      <c r="AA1308" s="4"/>
      <c r="AB1308" s="4"/>
      <c r="AC1308" s="4"/>
    </row>
    <row r="1309" spans="2:29" hidden="1" outlineLevel="2" x14ac:dyDescent="0.15">
      <c r="B1309" s="800" t="s">
        <v>1346</v>
      </c>
      <c r="C1309" s="843">
        <v>0.19259999999999999</v>
      </c>
      <c r="D1309" s="874">
        <v>0.91400000000000003</v>
      </c>
      <c r="E1309" s="869">
        <v>0.17399999999999999</v>
      </c>
      <c r="F1309" s="845">
        <v>0.91400000000000003</v>
      </c>
      <c r="G1309" s="843">
        <v>1.8599999999999998E-2</v>
      </c>
      <c r="H1309" s="851">
        <v>0</v>
      </c>
      <c r="I1309" s="849">
        <v>0</v>
      </c>
      <c r="J1309" s="894">
        <v>0</v>
      </c>
      <c r="K1309" s="849">
        <v>0</v>
      </c>
      <c r="L1309" s="894">
        <v>0</v>
      </c>
      <c r="M1309" s="829">
        <v>0.5</v>
      </c>
      <c r="N1309" s="27"/>
      <c r="O1309" s="27"/>
      <c r="W1309" s="4"/>
      <c r="X1309" s="4"/>
      <c r="Y1309" s="4"/>
      <c r="Z1309" s="4"/>
      <c r="AA1309" s="4"/>
      <c r="AB1309" s="4"/>
      <c r="AC1309" s="4"/>
    </row>
    <row r="1310" spans="2:29" hidden="1" outlineLevel="2" x14ac:dyDescent="0.15">
      <c r="B1310" s="800" t="s">
        <v>1347</v>
      </c>
      <c r="C1310" s="843">
        <v>0.21249999999999999</v>
      </c>
      <c r="D1310" s="874">
        <v>1.01</v>
      </c>
      <c r="E1310" s="869">
        <v>0.192</v>
      </c>
      <c r="F1310" s="845">
        <v>1.01</v>
      </c>
      <c r="G1310" s="843">
        <v>2.0500000000000001E-2</v>
      </c>
      <c r="H1310" s="851">
        <v>0</v>
      </c>
      <c r="I1310" s="849">
        <v>0</v>
      </c>
      <c r="J1310" s="894">
        <v>0</v>
      </c>
      <c r="K1310" s="849">
        <v>0</v>
      </c>
      <c r="L1310" s="894">
        <v>0</v>
      </c>
      <c r="M1310" s="829">
        <v>0.5</v>
      </c>
      <c r="N1310" s="27"/>
      <c r="O1310" s="27"/>
      <c r="W1310" s="4"/>
      <c r="X1310" s="4"/>
      <c r="Y1310" s="4"/>
      <c r="Z1310" s="4"/>
      <c r="AA1310" s="4"/>
      <c r="AB1310" s="4"/>
      <c r="AC1310" s="4"/>
    </row>
    <row r="1311" spans="2:29" hidden="1" outlineLevel="2" x14ac:dyDescent="0.15">
      <c r="B1311" s="800" t="s">
        <v>1348</v>
      </c>
      <c r="C1311" s="843">
        <v>0.2059</v>
      </c>
      <c r="D1311" s="874">
        <v>0.97699999999999998</v>
      </c>
      <c r="E1311" s="869">
        <v>0.186</v>
      </c>
      <c r="F1311" s="845">
        <v>0.97699999999999998</v>
      </c>
      <c r="G1311" s="843">
        <v>1.9900000000000001E-2</v>
      </c>
      <c r="H1311" s="851">
        <v>0</v>
      </c>
      <c r="I1311" s="849">
        <v>0</v>
      </c>
      <c r="J1311" s="894">
        <v>0</v>
      </c>
      <c r="K1311" s="849">
        <v>0</v>
      </c>
      <c r="L1311" s="894">
        <v>0</v>
      </c>
      <c r="M1311" s="829">
        <v>0.5</v>
      </c>
      <c r="N1311" s="27"/>
      <c r="O1311" s="27"/>
      <c r="W1311" s="4"/>
      <c r="X1311" s="4"/>
      <c r="Y1311" s="4"/>
      <c r="Z1311" s="4"/>
      <c r="AA1311" s="4"/>
      <c r="AB1311" s="4"/>
      <c r="AC1311" s="4"/>
    </row>
    <row r="1312" spans="2:29" hidden="1" outlineLevel="2" x14ac:dyDescent="0.15">
      <c r="B1312" s="800" t="s">
        <v>1349</v>
      </c>
      <c r="C1312" s="843">
        <v>0.23910000000000001</v>
      </c>
      <c r="D1312" s="874">
        <v>1.1399999999999999</v>
      </c>
      <c r="E1312" s="869">
        <v>0.216</v>
      </c>
      <c r="F1312" s="845">
        <v>1.1399999999999999</v>
      </c>
      <c r="G1312" s="843">
        <v>2.3099999999999999E-2</v>
      </c>
      <c r="H1312" s="851">
        <v>0</v>
      </c>
      <c r="I1312" s="849">
        <v>0</v>
      </c>
      <c r="J1312" s="894">
        <v>0</v>
      </c>
      <c r="K1312" s="849">
        <v>0</v>
      </c>
      <c r="L1312" s="894">
        <v>0</v>
      </c>
      <c r="M1312" s="829">
        <v>0.5</v>
      </c>
      <c r="N1312" s="27"/>
      <c r="O1312" s="27"/>
      <c r="W1312" s="4"/>
      <c r="X1312" s="4"/>
      <c r="Y1312" s="4"/>
      <c r="Z1312" s="4"/>
      <c r="AA1312" s="4"/>
      <c r="AB1312" s="4"/>
      <c r="AC1312" s="4"/>
    </row>
    <row r="1313" spans="2:29" hidden="1" outlineLevel="2" x14ac:dyDescent="0.15">
      <c r="B1313" s="800" t="s">
        <v>1350</v>
      </c>
      <c r="C1313" s="843">
        <v>0.2457</v>
      </c>
      <c r="D1313" s="874">
        <v>1.17</v>
      </c>
      <c r="E1313" s="869">
        <v>0.222</v>
      </c>
      <c r="F1313" s="845">
        <v>1.17</v>
      </c>
      <c r="G1313" s="843">
        <v>2.3699999999999999E-2</v>
      </c>
      <c r="H1313" s="851">
        <v>0</v>
      </c>
      <c r="I1313" s="849">
        <v>0</v>
      </c>
      <c r="J1313" s="894">
        <v>0</v>
      </c>
      <c r="K1313" s="849">
        <v>0</v>
      </c>
      <c r="L1313" s="894">
        <v>0</v>
      </c>
      <c r="M1313" s="829">
        <v>0.5</v>
      </c>
      <c r="N1313" s="27"/>
      <c r="O1313" s="27"/>
      <c r="W1313" s="4"/>
      <c r="X1313" s="4"/>
      <c r="Y1313" s="4"/>
      <c r="Z1313" s="4"/>
      <c r="AA1313" s="4"/>
      <c r="AB1313" s="4"/>
      <c r="AC1313" s="4"/>
    </row>
    <row r="1314" spans="2:29" hidden="1" outlineLevel="2" x14ac:dyDescent="0.15">
      <c r="B1314" s="800" t="s">
        <v>1351</v>
      </c>
      <c r="C1314" s="843">
        <v>0.21249999999999999</v>
      </c>
      <c r="D1314" s="874">
        <v>1.01</v>
      </c>
      <c r="E1314" s="869">
        <v>0.192</v>
      </c>
      <c r="F1314" s="845">
        <v>1.01</v>
      </c>
      <c r="G1314" s="843">
        <v>2.0500000000000001E-2</v>
      </c>
      <c r="H1314" s="851">
        <v>0</v>
      </c>
      <c r="I1314" s="849">
        <v>0</v>
      </c>
      <c r="J1314" s="894">
        <v>0</v>
      </c>
      <c r="K1314" s="849">
        <v>0</v>
      </c>
      <c r="L1314" s="894">
        <v>0</v>
      </c>
      <c r="M1314" s="829">
        <v>0.5</v>
      </c>
      <c r="N1314" s="27"/>
      <c r="O1314" s="27"/>
      <c r="W1314" s="4"/>
      <c r="X1314" s="4"/>
      <c r="Y1314" s="4"/>
      <c r="Z1314" s="4"/>
      <c r="AA1314" s="4"/>
      <c r="AB1314" s="4"/>
      <c r="AC1314" s="4"/>
    </row>
    <row r="1315" spans="2:29" hidden="1" outlineLevel="2" x14ac:dyDescent="0.15">
      <c r="B1315" s="800" t="s">
        <v>1352</v>
      </c>
      <c r="C1315" s="843">
        <v>0.19919999999999999</v>
      </c>
      <c r="D1315" s="874">
        <v>0.94599999999999995</v>
      </c>
      <c r="E1315" s="869">
        <v>0.18</v>
      </c>
      <c r="F1315" s="845">
        <v>0.94599999999999995</v>
      </c>
      <c r="G1315" s="843">
        <v>1.9199999999999998E-2</v>
      </c>
      <c r="H1315" s="851">
        <v>0</v>
      </c>
      <c r="I1315" s="849">
        <v>0</v>
      </c>
      <c r="J1315" s="894">
        <v>0</v>
      </c>
      <c r="K1315" s="849">
        <v>0</v>
      </c>
      <c r="L1315" s="894">
        <v>0</v>
      </c>
      <c r="M1315" s="829">
        <v>0.5</v>
      </c>
      <c r="N1315" s="27"/>
      <c r="O1315" s="27"/>
      <c r="W1315" s="4"/>
      <c r="X1315" s="4"/>
      <c r="Y1315" s="4"/>
      <c r="Z1315" s="4"/>
      <c r="AA1315" s="4"/>
      <c r="AB1315" s="4"/>
      <c r="AC1315" s="4"/>
    </row>
    <row r="1316" spans="2:29" hidden="1" outlineLevel="2" x14ac:dyDescent="0.15">
      <c r="B1316" s="800" t="s">
        <v>1353</v>
      </c>
      <c r="C1316" s="843">
        <v>0.19919999999999999</v>
      </c>
      <c r="D1316" s="874">
        <v>0.94599999999999995</v>
      </c>
      <c r="E1316" s="869">
        <v>0.18</v>
      </c>
      <c r="F1316" s="845">
        <v>0.94599999999999995</v>
      </c>
      <c r="G1316" s="843">
        <v>1.9199999999999998E-2</v>
      </c>
      <c r="H1316" s="851">
        <v>0</v>
      </c>
      <c r="I1316" s="849">
        <v>0</v>
      </c>
      <c r="J1316" s="894">
        <v>0</v>
      </c>
      <c r="K1316" s="849">
        <v>0</v>
      </c>
      <c r="L1316" s="894">
        <v>0</v>
      </c>
      <c r="M1316" s="829">
        <v>0.5</v>
      </c>
      <c r="N1316" s="27"/>
      <c r="O1316" s="27"/>
      <c r="W1316" s="4"/>
      <c r="X1316" s="4"/>
      <c r="Y1316" s="4"/>
      <c r="Z1316" s="4"/>
      <c r="AA1316" s="4"/>
      <c r="AB1316" s="4"/>
      <c r="AC1316" s="4"/>
    </row>
    <row r="1317" spans="2:29" hidden="1" outlineLevel="2" x14ac:dyDescent="0.15">
      <c r="B1317" s="800" t="s">
        <v>1354</v>
      </c>
      <c r="C1317" s="843">
        <v>0.21920000000000001</v>
      </c>
      <c r="D1317" s="874">
        <v>1.04</v>
      </c>
      <c r="E1317" s="869">
        <v>0.19800000000000001</v>
      </c>
      <c r="F1317" s="845">
        <v>1.04</v>
      </c>
      <c r="G1317" s="843">
        <v>2.12E-2</v>
      </c>
      <c r="H1317" s="851">
        <v>0</v>
      </c>
      <c r="I1317" s="849">
        <v>0</v>
      </c>
      <c r="J1317" s="894">
        <v>0</v>
      </c>
      <c r="K1317" s="849">
        <v>0</v>
      </c>
      <c r="L1317" s="894">
        <v>0</v>
      </c>
      <c r="M1317" s="829">
        <v>0.5</v>
      </c>
      <c r="N1317" s="27"/>
      <c r="O1317" s="27"/>
      <c r="W1317" s="4"/>
      <c r="X1317" s="4"/>
      <c r="Y1317" s="4"/>
      <c r="Z1317" s="4"/>
      <c r="AA1317" s="4"/>
      <c r="AB1317" s="4"/>
      <c r="AC1317" s="4"/>
    </row>
    <row r="1318" spans="2:29" hidden="1" outlineLevel="2" x14ac:dyDescent="0.15">
      <c r="B1318" s="800" t="s">
        <v>1355</v>
      </c>
      <c r="C1318" s="843">
        <v>0.21249999999999999</v>
      </c>
      <c r="D1318" s="874">
        <v>1.01</v>
      </c>
      <c r="E1318" s="869">
        <v>0.192</v>
      </c>
      <c r="F1318" s="845">
        <v>1.01</v>
      </c>
      <c r="G1318" s="843">
        <v>2.0500000000000001E-2</v>
      </c>
      <c r="H1318" s="851">
        <v>0</v>
      </c>
      <c r="I1318" s="849">
        <v>0</v>
      </c>
      <c r="J1318" s="894">
        <v>0</v>
      </c>
      <c r="K1318" s="849">
        <v>0</v>
      </c>
      <c r="L1318" s="894">
        <v>0</v>
      </c>
      <c r="M1318" s="829">
        <v>0.5</v>
      </c>
      <c r="N1318" s="27"/>
      <c r="O1318" s="27"/>
      <c r="W1318" s="4"/>
      <c r="X1318" s="4"/>
      <c r="Y1318" s="4"/>
      <c r="Z1318" s="4"/>
      <c r="AA1318" s="4"/>
      <c r="AB1318" s="4"/>
      <c r="AC1318" s="4"/>
    </row>
    <row r="1319" spans="2:29" hidden="1" outlineLevel="2" x14ac:dyDescent="0.15">
      <c r="B1319" s="800" t="s">
        <v>1356</v>
      </c>
      <c r="C1319" s="843">
        <v>0.2059</v>
      </c>
      <c r="D1319" s="874">
        <v>0.97699999999999998</v>
      </c>
      <c r="E1319" s="869">
        <v>0.186</v>
      </c>
      <c r="F1319" s="845">
        <v>0.97699999999999998</v>
      </c>
      <c r="G1319" s="843">
        <v>1.9900000000000001E-2</v>
      </c>
      <c r="H1319" s="851">
        <v>0</v>
      </c>
      <c r="I1319" s="849">
        <v>0</v>
      </c>
      <c r="J1319" s="894">
        <v>0</v>
      </c>
      <c r="K1319" s="849">
        <v>0</v>
      </c>
      <c r="L1319" s="894">
        <v>0</v>
      </c>
      <c r="M1319" s="829">
        <v>0.5</v>
      </c>
      <c r="N1319" s="27"/>
      <c r="O1319" s="27"/>
      <c r="W1319" s="4"/>
      <c r="X1319" s="4"/>
      <c r="Y1319" s="4"/>
      <c r="Z1319" s="4"/>
      <c r="AA1319" s="4"/>
      <c r="AB1319" s="4"/>
      <c r="AC1319" s="4"/>
    </row>
    <row r="1320" spans="2:29" hidden="1" outlineLevel="2" x14ac:dyDescent="0.15">
      <c r="B1320" s="800" t="s">
        <v>1357</v>
      </c>
      <c r="C1320" s="843">
        <v>0.21249999999999999</v>
      </c>
      <c r="D1320" s="874">
        <v>1.01</v>
      </c>
      <c r="E1320" s="869">
        <v>0.192</v>
      </c>
      <c r="F1320" s="845">
        <v>1.01</v>
      </c>
      <c r="G1320" s="843">
        <v>2.0500000000000001E-2</v>
      </c>
      <c r="H1320" s="851">
        <v>0</v>
      </c>
      <c r="I1320" s="849">
        <v>0</v>
      </c>
      <c r="J1320" s="894">
        <v>0</v>
      </c>
      <c r="K1320" s="849">
        <v>0</v>
      </c>
      <c r="L1320" s="894">
        <v>0</v>
      </c>
      <c r="M1320" s="829">
        <v>0.5</v>
      </c>
      <c r="N1320" s="27"/>
      <c r="O1320" s="27"/>
      <c r="W1320" s="4"/>
      <c r="X1320" s="4"/>
      <c r="Y1320" s="4"/>
      <c r="Z1320" s="4"/>
      <c r="AA1320" s="4"/>
      <c r="AB1320" s="4"/>
      <c r="AC1320" s="4"/>
    </row>
    <row r="1321" spans="2:29" hidden="1" outlineLevel="2" x14ac:dyDescent="0.15">
      <c r="B1321" s="800"/>
      <c r="C1321" s="843"/>
      <c r="D1321" s="874"/>
      <c r="E1321" s="869"/>
      <c r="F1321" s="845"/>
      <c r="G1321" s="843"/>
      <c r="H1321" s="851"/>
      <c r="I1321" s="849"/>
      <c r="J1321" s="894"/>
      <c r="K1321" s="849"/>
      <c r="L1321" s="894"/>
      <c r="M1321" s="829"/>
      <c r="N1321" s="27"/>
      <c r="O1321" s="27"/>
      <c r="W1321" s="4"/>
      <c r="X1321" s="4"/>
      <c r="Y1321" s="4"/>
      <c r="Z1321" s="4"/>
      <c r="AA1321" s="4"/>
      <c r="AB1321" s="4"/>
      <c r="AC1321" s="4"/>
    </row>
    <row r="1322" spans="2:29" hidden="1" outlineLevel="2" x14ac:dyDescent="0.15">
      <c r="B1322" s="800" t="s">
        <v>1359</v>
      </c>
      <c r="C1322" s="843">
        <v>0.15419379407365791</v>
      </c>
      <c r="D1322" s="874">
        <v>1.6925835740261659</v>
      </c>
      <c r="E1322" s="869"/>
      <c r="F1322" s="845"/>
      <c r="G1322" s="843"/>
      <c r="H1322" s="851"/>
      <c r="I1322" s="849"/>
      <c r="J1322" s="894"/>
      <c r="K1322" s="849"/>
      <c r="L1322" s="894"/>
      <c r="M1322" s="829">
        <v>0.2</v>
      </c>
      <c r="N1322" s="27"/>
      <c r="O1322" s="27"/>
      <c r="W1322" s="4"/>
      <c r="X1322" s="4"/>
      <c r="Y1322" s="4"/>
      <c r="Z1322" s="4"/>
      <c r="AA1322" s="4"/>
      <c r="AB1322" s="4"/>
      <c r="AC1322" s="4"/>
    </row>
    <row r="1323" spans="2:29" hidden="1" outlineLevel="2" x14ac:dyDescent="0.15">
      <c r="B1323" s="800" t="s">
        <v>1999</v>
      </c>
      <c r="C1323" s="843">
        <v>9.7629975761801713E-2</v>
      </c>
      <c r="D1323" s="874">
        <v>1.0716831653293408</v>
      </c>
      <c r="E1323" s="869"/>
      <c r="F1323" s="845"/>
      <c r="G1323" s="843"/>
      <c r="H1323" s="851"/>
      <c r="I1323" s="849"/>
      <c r="J1323" s="894"/>
      <c r="K1323" s="849"/>
      <c r="L1323" s="894"/>
      <c r="M1323" s="829">
        <v>0.2</v>
      </c>
      <c r="N1323" s="27"/>
      <c r="O1323" s="27"/>
      <c r="W1323" s="4"/>
      <c r="X1323" s="4"/>
      <c r="Y1323" s="4"/>
      <c r="Z1323" s="4"/>
      <c r="AA1323" s="4"/>
      <c r="AB1323" s="4"/>
      <c r="AC1323" s="4"/>
    </row>
    <row r="1324" spans="2:29" hidden="1" outlineLevel="2" x14ac:dyDescent="0.15">
      <c r="B1324" s="800" t="s">
        <v>1777</v>
      </c>
      <c r="C1324" s="843">
        <v>5.0208328052686567E-2</v>
      </c>
      <c r="D1324" s="874">
        <v>0.55113626233685442</v>
      </c>
      <c r="E1324" s="869"/>
      <c r="F1324" s="845"/>
      <c r="G1324" s="843"/>
      <c r="H1324" s="851"/>
      <c r="I1324" s="849"/>
      <c r="J1324" s="894"/>
      <c r="K1324" s="849"/>
      <c r="L1324" s="894"/>
      <c r="M1324" s="829">
        <v>0.2</v>
      </c>
      <c r="N1324" s="27"/>
      <c r="O1324" s="27"/>
      <c r="W1324" s="4"/>
      <c r="X1324" s="4"/>
      <c r="Y1324" s="4"/>
      <c r="Z1324" s="4"/>
      <c r="AA1324" s="4"/>
      <c r="AB1324" s="4"/>
      <c r="AC1324" s="4"/>
    </row>
    <row r="1325" spans="2:29" hidden="1" outlineLevel="2" x14ac:dyDescent="0.15">
      <c r="B1325" s="800"/>
      <c r="C1325" s="843"/>
      <c r="D1325" s="874"/>
      <c r="E1325" s="869"/>
      <c r="F1325" s="845"/>
      <c r="G1325" s="843"/>
      <c r="H1325" s="851"/>
      <c r="I1325" s="849"/>
      <c r="J1325" s="894"/>
      <c r="K1325" s="849"/>
      <c r="L1325" s="894"/>
      <c r="M1325" s="829"/>
      <c r="N1325" s="27"/>
      <c r="O1325" s="27"/>
      <c r="W1325" s="4"/>
      <c r="X1325" s="4"/>
      <c r="Y1325" s="4"/>
      <c r="Z1325" s="4"/>
      <c r="AA1325" s="4"/>
      <c r="AB1325" s="4"/>
      <c r="AC1325" s="4"/>
    </row>
    <row r="1326" spans="2:29" hidden="1" outlineLevel="2" x14ac:dyDescent="0.15">
      <c r="B1326" s="800" t="s">
        <v>1360</v>
      </c>
      <c r="C1326" s="843">
        <v>0.16800000000000001</v>
      </c>
      <c r="D1326" s="874">
        <v>1.47</v>
      </c>
      <c r="E1326" s="869">
        <v>0.16800000000000001</v>
      </c>
      <c r="F1326" s="845">
        <v>1.47</v>
      </c>
      <c r="G1326" s="843">
        <v>0</v>
      </c>
      <c r="H1326" s="851">
        <v>0</v>
      </c>
      <c r="I1326" s="849">
        <v>0</v>
      </c>
      <c r="J1326" s="894">
        <v>0</v>
      </c>
      <c r="K1326" s="849">
        <v>0</v>
      </c>
      <c r="L1326" s="894">
        <v>0</v>
      </c>
      <c r="M1326" s="829">
        <v>0.2</v>
      </c>
      <c r="N1326" s="27"/>
      <c r="O1326" s="27"/>
      <c r="W1326" s="4"/>
      <c r="X1326" s="4"/>
      <c r="Y1326" s="4"/>
      <c r="Z1326" s="4"/>
      <c r="AA1326" s="4"/>
      <c r="AB1326" s="4"/>
      <c r="AC1326" s="4"/>
    </row>
    <row r="1327" spans="2:29" hidden="1" outlineLevel="2" x14ac:dyDescent="0.15">
      <c r="B1327" s="800" t="s">
        <v>1361</v>
      </c>
      <c r="C1327" s="843">
        <v>0.13600000000000001</v>
      </c>
      <c r="D1327" s="874">
        <v>0.98099999999999998</v>
      </c>
      <c r="E1327" s="869">
        <v>0.13600000000000001</v>
      </c>
      <c r="F1327" s="845">
        <v>0.98099999999999998</v>
      </c>
      <c r="G1327" s="843">
        <v>0</v>
      </c>
      <c r="H1327" s="851">
        <v>0</v>
      </c>
      <c r="I1327" s="849">
        <v>0</v>
      </c>
      <c r="J1327" s="894">
        <v>0</v>
      </c>
      <c r="K1327" s="849">
        <v>0</v>
      </c>
      <c r="L1327" s="894">
        <v>0</v>
      </c>
      <c r="M1327" s="829">
        <v>0.2</v>
      </c>
      <c r="N1327" s="27"/>
      <c r="O1327" s="27"/>
      <c r="W1327" s="4"/>
      <c r="X1327" s="4"/>
      <c r="Y1327" s="4"/>
      <c r="Z1327" s="4"/>
      <c r="AA1327" s="4"/>
      <c r="AB1327" s="4"/>
      <c r="AC1327" s="4"/>
    </row>
    <row r="1328" spans="2:29" hidden="1" outlineLevel="2" x14ac:dyDescent="0.15">
      <c r="B1328" s="801"/>
      <c r="C1328" s="922"/>
      <c r="D1328" s="934"/>
      <c r="E1328" s="935"/>
      <c r="F1328" s="937"/>
      <c r="G1328" s="922"/>
      <c r="H1328" s="937"/>
      <c r="I1328" s="922"/>
      <c r="J1328" s="934"/>
      <c r="K1328" s="922"/>
      <c r="L1328" s="934"/>
      <c r="M1328" s="803"/>
      <c r="W1328" s="4"/>
      <c r="X1328" s="4"/>
      <c r="Y1328" s="4"/>
      <c r="Z1328" s="4"/>
      <c r="AA1328" s="4"/>
      <c r="AB1328" s="4"/>
      <c r="AC1328" s="4"/>
    </row>
    <row r="1329" spans="1:256" hidden="1" outlineLevel="2" x14ac:dyDescent="0.15"/>
    <row r="1330" spans="1:256" outlineLevel="1" x14ac:dyDescent="0.15"/>
    <row r="1331" spans="1:256" s="26" customFormat="1" ht="15.75" customHeight="1" outlineLevel="1" collapsed="1" x14ac:dyDescent="0.15">
      <c r="A1331" s="13"/>
      <c r="B1331" s="1868" t="s">
        <v>1362</v>
      </c>
      <c r="C1331" s="1869"/>
      <c r="D1331" s="1869"/>
      <c r="E1331" s="1869"/>
      <c r="F1331" s="1869"/>
      <c r="G1331" s="1869"/>
      <c r="H1331" s="1869"/>
      <c r="I1331" s="1869"/>
      <c r="J1331" s="1870"/>
      <c r="K1331" s="28"/>
      <c r="L1331" s="28"/>
      <c r="M1331" s="28"/>
      <c r="N1331" s="28"/>
      <c r="O1331" s="28"/>
      <c r="P1331" s="28"/>
      <c r="Q1331" s="28"/>
      <c r="R1331" s="28"/>
      <c r="S1331" s="28"/>
      <c r="T1331" s="28"/>
      <c r="U1331" s="28"/>
      <c r="V1331" s="28"/>
      <c r="W1331" s="29"/>
      <c r="X1331" s="29"/>
      <c r="Y1331" s="29"/>
      <c r="Z1331" s="29"/>
      <c r="AA1331" s="29"/>
      <c r="AB1331" s="29"/>
      <c r="AC1331" s="29"/>
      <c r="AD1331" s="29"/>
      <c r="AE1331" s="29"/>
      <c r="AF1331" s="29"/>
      <c r="AG1331" s="29"/>
      <c r="AH1331" s="29"/>
      <c r="AI1331" s="29"/>
      <c r="AJ1331" s="29"/>
      <c r="AK1331" s="29"/>
      <c r="AL1331" s="29"/>
      <c r="AM1331" s="29"/>
      <c r="AN1331" s="29"/>
      <c r="AO1331" s="29"/>
      <c r="AP1331" s="29"/>
      <c r="AQ1331" s="29"/>
      <c r="AR1331" s="29"/>
      <c r="AS1331" s="29"/>
      <c r="AT1331" s="29"/>
      <c r="AU1331" s="29"/>
      <c r="AV1331" s="29"/>
      <c r="AW1331" s="29"/>
      <c r="AX1331" s="29"/>
      <c r="AY1331" s="29"/>
      <c r="AZ1331" s="29"/>
      <c r="BA1331" s="29"/>
      <c r="BB1331" s="29"/>
      <c r="BC1331" s="29"/>
      <c r="BD1331" s="29"/>
      <c r="BE1331" s="29"/>
      <c r="BF1331" s="29"/>
      <c r="BG1331" s="29"/>
      <c r="BH1331" s="29"/>
      <c r="BI1331" s="29"/>
      <c r="BJ1331" s="29"/>
      <c r="BK1331" s="29"/>
      <c r="BL1331" s="29"/>
      <c r="BM1331" s="29"/>
      <c r="BN1331" s="29"/>
      <c r="BO1331" s="29"/>
      <c r="BP1331" s="29"/>
      <c r="BQ1331" s="29"/>
      <c r="BR1331" s="29"/>
      <c r="BS1331" s="29"/>
      <c r="BT1331" s="29"/>
      <c r="BU1331" s="29"/>
      <c r="BV1331" s="29"/>
      <c r="BW1331" s="29"/>
      <c r="BX1331" s="29"/>
      <c r="BY1331" s="29"/>
      <c r="BZ1331" s="29"/>
      <c r="CA1331" s="29"/>
      <c r="CB1331" s="29"/>
      <c r="CC1331" s="29"/>
      <c r="CD1331" s="29"/>
      <c r="CE1331" s="29"/>
      <c r="CF1331" s="29"/>
      <c r="CG1331" s="29"/>
      <c r="CH1331" s="29"/>
      <c r="CI1331" s="29"/>
      <c r="CJ1331" s="29"/>
      <c r="CK1331" s="29"/>
      <c r="CL1331" s="29"/>
      <c r="CM1331" s="29"/>
      <c r="CN1331" s="29"/>
      <c r="CO1331" s="29"/>
      <c r="CP1331" s="29"/>
      <c r="CQ1331" s="29"/>
      <c r="CR1331" s="29"/>
      <c r="CS1331" s="29"/>
      <c r="CT1331" s="29"/>
      <c r="CU1331" s="29"/>
      <c r="CV1331" s="29"/>
      <c r="CW1331" s="29"/>
      <c r="CX1331" s="29"/>
      <c r="CY1331" s="29"/>
      <c r="CZ1331" s="29"/>
      <c r="DA1331" s="29"/>
      <c r="DB1331" s="29"/>
      <c r="DC1331" s="29"/>
      <c r="DD1331" s="29"/>
      <c r="DE1331" s="29"/>
      <c r="DF1331" s="29"/>
      <c r="DG1331" s="29"/>
      <c r="DH1331" s="29"/>
      <c r="DI1331" s="29"/>
      <c r="DJ1331" s="29"/>
      <c r="DK1331" s="29"/>
      <c r="DL1331" s="29"/>
      <c r="DM1331" s="29"/>
      <c r="DN1331" s="29"/>
      <c r="DO1331" s="29"/>
      <c r="DP1331" s="29"/>
      <c r="DQ1331" s="29"/>
      <c r="DR1331" s="29"/>
      <c r="DS1331" s="29"/>
      <c r="DT1331" s="29"/>
      <c r="DU1331" s="29"/>
      <c r="DV1331" s="29"/>
      <c r="DW1331" s="29"/>
      <c r="DX1331" s="29"/>
      <c r="DY1331" s="29"/>
      <c r="DZ1331" s="29"/>
      <c r="EA1331" s="29"/>
      <c r="EB1331" s="29"/>
      <c r="EC1331" s="29"/>
      <c r="ED1331" s="29"/>
      <c r="EE1331" s="29"/>
      <c r="EF1331" s="29"/>
      <c r="EG1331" s="29"/>
      <c r="EH1331" s="29"/>
      <c r="EI1331" s="29"/>
      <c r="EJ1331" s="29"/>
      <c r="EK1331" s="29"/>
      <c r="EL1331" s="29"/>
      <c r="EM1331" s="29"/>
      <c r="EN1331" s="29"/>
      <c r="EO1331" s="29"/>
      <c r="EP1331" s="29"/>
      <c r="EQ1331" s="29"/>
      <c r="ER1331" s="29"/>
      <c r="ES1331" s="29"/>
      <c r="ET1331" s="29"/>
      <c r="EU1331" s="29"/>
      <c r="EV1331" s="29"/>
      <c r="EW1331" s="29"/>
      <c r="EX1331" s="29"/>
      <c r="EY1331" s="29"/>
      <c r="EZ1331" s="29"/>
      <c r="FA1331" s="29"/>
      <c r="FB1331" s="29"/>
      <c r="FC1331" s="29"/>
      <c r="FD1331" s="29"/>
      <c r="FE1331" s="29"/>
      <c r="FF1331" s="29"/>
      <c r="FG1331" s="29"/>
      <c r="FH1331" s="29"/>
      <c r="FI1331" s="29"/>
      <c r="FJ1331" s="29"/>
      <c r="FK1331" s="29"/>
      <c r="FL1331" s="29"/>
      <c r="FM1331" s="29"/>
      <c r="FN1331" s="29"/>
      <c r="FO1331" s="29"/>
      <c r="FP1331" s="29"/>
      <c r="FQ1331" s="29"/>
      <c r="FR1331" s="29"/>
      <c r="FS1331" s="29"/>
      <c r="FT1331" s="29"/>
      <c r="FU1331" s="29"/>
      <c r="FV1331" s="29"/>
      <c r="FW1331" s="29"/>
      <c r="FX1331" s="29"/>
      <c r="FY1331" s="29"/>
      <c r="FZ1331" s="29"/>
      <c r="GA1331" s="29"/>
      <c r="GB1331" s="29"/>
      <c r="GC1331" s="13"/>
      <c r="GD1331" s="13"/>
      <c r="GE1331" s="13"/>
      <c r="GF1331" s="13"/>
      <c r="GG1331" s="13"/>
      <c r="GH1331" s="13"/>
      <c r="GI1331" s="13"/>
      <c r="GJ1331" s="13"/>
      <c r="GK1331" s="13"/>
      <c r="GL1331" s="13"/>
      <c r="GM1331" s="13"/>
      <c r="GN1331" s="13"/>
      <c r="GO1331" s="13"/>
      <c r="GP1331" s="13"/>
      <c r="GQ1331" s="13"/>
      <c r="GR1331" s="13"/>
      <c r="GS1331" s="13"/>
      <c r="GT1331" s="13"/>
      <c r="GU1331" s="13"/>
      <c r="GV1331" s="13"/>
      <c r="GW1331" s="13"/>
      <c r="GX1331" s="13"/>
      <c r="GY1331" s="13"/>
      <c r="GZ1331" s="13"/>
      <c r="HA1331" s="13"/>
      <c r="HB1331" s="13"/>
      <c r="HC1331" s="13"/>
      <c r="HD1331" s="13"/>
      <c r="HE1331" s="13"/>
      <c r="HF1331" s="13"/>
      <c r="HG1331" s="13"/>
      <c r="HH1331" s="13"/>
      <c r="HI1331" s="13"/>
      <c r="HJ1331" s="13"/>
      <c r="HK1331" s="13"/>
      <c r="HL1331" s="13"/>
      <c r="HM1331" s="13"/>
      <c r="HN1331" s="13"/>
      <c r="HO1331" s="13"/>
      <c r="HP1331" s="13"/>
      <c r="HQ1331" s="13"/>
      <c r="HR1331" s="13"/>
      <c r="HS1331" s="13"/>
      <c r="HT1331" s="13"/>
      <c r="HU1331" s="13"/>
      <c r="HV1331" s="13"/>
      <c r="HW1331" s="13"/>
      <c r="HX1331" s="13"/>
      <c r="HY1331" s="13"/>
      <c r="HZ1331" s="13"/>
      <c r="IA1331" s="13"/>
      <c r="IB1331" s="13"/>
      <c r="IC1331" s="13"/>
      <c r="ID1331" s="13"/>
      <c r="IE1331" s="13"/>
      <c r="IF1331" s="13"/>
      <c r="IG1331" s="13"/>
      <c r="IH1331" s="13"/>
      <c r="II1331" s="13"/>
      <c r="IJ1331" s="13"/>
      <c r="IK1331" s="13"/>
      <c r="IL1331" s="13"/>
      <c r="IM1331" s="13"/>
      <c r="IN1331" s="13"/>
      <c r="IO1331" s="13"/>
      <c r="IP1331" s="13"/>
      <c r="IQ1331" s="13"/>
      <c r="IR1331" s="13"/>
      <c r="IS1331" s="13"/>
      <c r="IT1331" s="13"/>
      <c r="IU1331" s="13"/>
      <c r="IV1331" s="13"/>
    </row>
    <row r="1332" spans="1:256" hidden="1" outlineLevel="2" x14ac:dyDescent="0.15"/>
    <row r="1333" spans="1:256" hidden="1" outlineLevel="2" x14ac:dyDescent="0.15">
      <c r="B1333" s="1475" t="s">
        <v>1363</v>
      </c>
      <c r="C1333" s="1876" t="s">
        <v>765</v>
      </c>
      <c r="D1333" s="1878"/>
      <c r="E1333" s="1876" t="s">
        <v>1327</v>
      </c>
      <c r="F1333" s="1877"/>
      <c r="G1333" s="1877"/>
      <c r="H1333" s="1877"/>
      <c r="I1333" s="1877"/>
      <c r="J1333" s="1878"/>
      <c r="K1333" s="1877" t="s">
        <v>773</v>
      </c>
      <c r="L1333" s="1878"/>
      <c r="M1333" s="1876" t="s">
        <v>765</v>
      </c>
      <c r="N1333" s="1878"/>
      <c r="O1333" s="1876" t="s">
        <v>1282</v>
      </c>
      <c r="P1333" s="1877"/>
      <c r="Q1333" s="1877"/>
      <c r="R1333" s="1877"/>
      <c r="S1333" s="1877"/>
      <c r="T1333" s="1878"/>
      <c r="U1333" s="1877" t="s">
        <v>773</v>
      </c>
      <c r="V1333" s="1878"/>
      <c r="W1333" s="898"/>
    </row>
    <row r="1334" spans="1:256" hidden="1" outlineLevel="2" x14ac:dyDescent="0.15">
      <c r="B1334" s="899"/>
      <c r="C1334" s="1885" t="s">
        <v>1308</v>
      </c>
      <c r="D1334" s="1886"/>
      <c r="E1334" s="1879" t="s">
        <v>14</v>
      </c>
      <c r="F1334" s="1887"/>
      <c r="G1334" s="1887" t="s">
        <v>695</v>
      </c>
      <c r="H1334" s="1887"/>
      <c r="I1334" s="1887" t="s">
        <v>27</v>
      </c>
      <c r="J1334" s="1880"/>
      <c r="K1334" s="1879" t="s">
        <v>1310</v>
      </c>
      <c r="L1334" s="1880"/>
      <c r="M1334" s="1885" t="s">
        <v>1281</v>
      </c>
      <c r="N1334" s="1886"/>
      <c r="O1334" s="1879" t="s">
        <v>14</v>
      </c>
      <c r="P1334" s="1887"/>
      <c r="Q1334" s="1887" t="s">
        <v>695</v>
      </c>
      <c r="R1334" s="1887"/>
      <c r="S1334" s="1887" t="s">
        <v>27</v>
      </c>
      <c r="T1334" s="1880"/>
      <c r="U1334" s="1879" t="s">
        <v>1364</v>
      </c>
      <c r="V1334" s="1880"/>
      <c r="W1334" s="834"/>
    </row>
    <row r="1335" spans="1:256" hidden="1" outlineLevel="2" x14ac:dyDescent="0.15">
      <c r="B1335" s="948" t="s">
        <v>1365</v>
      </c>
      <c r="C1335" s="1561" t="s">
        <v>768</v>
      </c>
      <c r="D1335" s="897" t="s">
        <v>24</v>
      </c>
      <c r="E1335" s="1561" t="s">
        <v>768</v>
      </c>
      <c r="F1335" s="885" t="s">
        <v>24</v>
      </c>
      <c r="G1335" s="1561" t="s">
        <v>768</v>
      </c>
      <c r="H1335" s="885" t="s">
        <v>24</v>
      </c>
      <c r="I1335" s="1561" t="s">
        <v>768</v>
      </c>
      <c r="J1335" s="897" t="s">
        <v>24</v>
      </c>
      <c r="K1335" s="1561" t="s">
        <v>768</v>
      </c>
      <c r="L1335" s="897" t="s">
        <v>24</v>
      </c>
      <c r="M1335" s="1561" t="s">
        <v>768</v>
      </c>
      <c r="N1335" s="897" t="s">
        <v>24</v>
      </c>
      <c r="O1335" s="1561" t="s">
        <v>768</v>
      </c>
      <c r="P1335" s="1507" t="s">
        <v>24</v>
      </c>
      <c r="Q1335" s="1561" t="s">
        <v>768</v>
      </c>
      <c r="R1335" s="1507" t="s">
        <v>24</v>
      </c>
      <c r="S1335" s="1561" t="s">
        <v>768</v>
      </c>
      <c r="T1335" s="1508" t="s">
        <v>24</v>
      </c>
      <c r="U1335" s="1561" t="s">
        <v>768</v>
      </c>
      <c r="V1335" s="897" t="s">
        <v>24</v>
      </c>
      <c r="W1335" s="1563" t="s">
        <v>723</v>
      </c>
    </row>
    <row r="1336" spans="1:256" hidden="1" outlineLevel="2" x14ac:dyDescent="0.15">
      <c r="B1336" s="808" t="s">
        <v>1366</v>
      </c>
      <c r="C1336" s="882">
        <v>4.6049999999999997E-3</v>
      </c>
      <c r="D1336" s="882">
        <v>2.8481599999999999E-2</v>
      </c>
      <c r="E1336" s="868">
        <v>4.1999999999999997E-3</v>
      </c>
      <c r="F1336" s="844">
        <v>2.8299999999999999E-2</v>
      </c>
      <c r="G1336" s="831">
        <v>4.0499999999999998E-4</v>
      </c>
      <c r="H1336" s="913">
        <v>1.36E-5</v>
      </c>
      <c r="I1336" s="826">
        <v>0</v>
      </c>
      <c r="J1336" s="943">
        <v>1.6799999999999999E-4</v>
      </c>
      <c r="K1336" s="799">
        <v>0</v>
      </c>
      <c r="L1336" s="827">
        <v>0</v>
      </c>
      <c r="M1336" s="941">
        <v>16.78</v>
      </c>
      <c r="N1336" s="945">
        <v>103.6627</v>
      </c>
      <c r="O1336" s="940">
        <v>15.3</v>
      </c>
      <c r="P1336" s="847">
        <v>103</v>
      </c>
      <c r="Q1336" s="912">
        <v>1.48</v>
      </c>
      <c r="R1336" s="857">
        <v>4.9700000000000001E-2</v>
      </c>
      <c r="S1336" s="826">
        <v>0</v>
      </c>
      <c r="T1336" s="947">
        <v>0.61299999999999999</v>
      </c>
      <c r="U1336" s="826">
        <v>0</v>
      </c>
      <c r="V1336" s="827">
        <v>0</v>
      </c>
      <c r="W1336" s="884">
        <v>0.6</v>
      </c>
    </row>
    <row r="1337" spans="1:256" hidden="1" outlineLevel="2" x14ac:dyDescent="0.15">
      <c r="B1337" s="949" t="s">
        <v>1367</v>
      </c>
      <c r="C1337" s="843">
        <v>3.026E-3</v>
      </c>
      <c r="D1337" s="843">
        <v>1.8921030000000002E-2</v>
      </c>
      <c r="E1337" s="869">
        <v>2.7599999999999999E-3</v>
      </c>
      <c r="F1337" s="845">
        <v>1.8800000000000001E-2</v>
      </c>
      <c r="G1337" s="825">
        <v>2.6600000000000001E-4</v>
      </c>
      <c r="H1337" s="914">
        <v>9.0299999999999999E-6</v>
      </c>
      <c r="I1337" s="821">
        <v>0</v>
      </c>
      <c r="J1337" s="944">
        <v>1.12E-4</v>
      </c>
      <c r="K1337" s="800">
        <v>0</v>
      </c>
      <c r="L1337" s="822">
        <v>0</v>
      </c>
      <c r="M1337" s="849">
        <v>33.33</v>
      </c>
      <c r="N1337" s="946">
        <v>208.3295</v>
      </c>
      <c r="O1337" s="846">
        <v>30.4</v>
      </c>
      <c r="P1337" s="848">
        <v>207</v>
      </c>
      <c r="Q1337" s="856">
        <v>2.93</v>
      </c>
      <c r="R1337" s="858">
        <v>9.9500000000000005E-2</v>
      </c>
      <c r="S1337" s="821">
        <v>0</v>
      </c>
      <c r="T1337" s="893">
        <v>1.23</v>
      </c>
      <c r="U1337" s="821">
        <v>0</v>
      </c>
      <c r="V1337" s="822">
        <v>0</v>
      </c>
      <c r="W1337" s="878">
        <v>0.6</v>
      </c>
    </row>
    <row r="1338" spans="1:256" hidden="1" outlineLevel="2" x14ac:dyDescent="0.15">
      <c r="B1338" s="949" t="s">
        <v>1368</v>
      </c>
      <c r="C1338" s="843">
        <v>2.8179999999999998E-3</v>
      </c>
      <c r="D1338" s="843">
        <v>1.7612430000000002E-2</v>
      </c>
      <c r="E1338" s="869">
        <v>2.5699999999999998E-3</v>
      </c>
      <c r="F1338" s="845">
        <v>1.7500000000000002E-2</v>
      </c>
      <c r="G1338" s="825">
        <v>2.4800000000000001E-4</v>
      </c>
      <c r="H1338" s="914">
        <v>8.4300000000000006E-6</v>
      </c>
      <c r="I1338" s="821">
        <v>0</v>
      </c>
      <c r="J1338" s="944">
        <v>1.0399999999999999E-4</v>
      </c>
      <c r="K1338" s="800">
        <v>0</v>
      </c>
      <c r="L1338" s="822">
        <v>0</v>
      </c>
      <c r="M1338" s="849">
        <v>52.19</v>
      </c>
      <c r="N1338" s="946">
        <v>326.07600000000002</v>
      </c>
      <c r="O1338" s="846">
        <v>47.6</v>
      </c>
      <c r="P1338" s="848">
        <v>324</v>
      </c>
      <c r="Q1338" s="856">
        <v>4.59</v>
      </c>
      <c r="R1338" s="858">
        <v>0.156</v>
      </c>
      <c r="S1338" s="821">
        <v>0</v>
      </c>
      <c r="T1338" s="893">
        <v>1.92</v>
      </c>
      <c r="U1338" s="821">
        <v>0</v>
      </c>
      <c r="V1338" s="822">
        <v>0</v>
      </c>
      <c r="W1338" s="878">
        <v>0.6</v>
      </c>
    </row>
    <row r="1339" spans="1:256" hidden="1" outlineLevel="2" x14ac:dyDescent="0.15">
      <c r="B1339" s="949" t="s">
        <v>1369</v>
      </c>
      <c r="C1339" s="843">
        <v>1.8859999999999999E-3</v>
      </c>
      <c r="D1339" s="843">
        <v>1.177534E-2</v>
      </c>
      <c r="E1339" s="869">
        <v>1.72E-3</v>
      </c>
      <c r="F1339" s="845">
        <v>1.17E-2</v>
      </c>
      <c r="G1339" s="825">
        <v>1.66E-4</v>
      </c>
      <c r="H1339" s="914">
        <v>5.6400000000000002E-6</v>
      </c>
      <c r="I1339" s="821">
        <v>0</v>
      </c>
      <c r="J1339" s="944">
        <v>6.97E-5</v>
      </c>
      <c r="K1339" s="800">
        <v>0</v>
      </c>
      <c r="L1339" s="822">
        <v>0</v>
      </c>
      <c r="M1339" s="849">
        <v>87.49</v>
      </c>
      <c r="N1339" s="946">
        <v>546.49099999999999</v>
      </c>
      <c r="O1339" s="846">
        <v>79.8</v>
      </c>
      <c r="P1339" s="848">
        <v>543</v>
      </c>
      <c r="Q1339" s="856">
        <v>7.69</v>
      </c>
      <c r="R1339" s="858">
        <v>0.26100000000000001</v>
      </c>
      <c r="S1339" s="821">
        <v>0</v>
      </c>
      <c r="T1339" s="893">
        <v>3.23</v>
      </c>
      <c r="U1339" s="821">
        <v>0</v>
      </c>
      <c r="V1339" s="822">
        <v>0</v>
      </c>
      <c r="W1339" s="878">
        <v>0.6</v>
      </c>
    </row>
    <row r="1340" spans="1:256" hidden="1" outlineLevel="2" x14ac:dyDescent="0.15">
      <c r="B1340" s="949" t="s">
        <v>1370</v>
      </c>
      <c r="C1340" s="843">
        <v>1.4139999999999999E-3</v>
      </c>
      <c r="D1340" s="843">
        <v>8.8264299999999997E-3</v>
      </c>
      <c r="E1340" s="869">
        <v>1.2899999999999999E-3</v>
      </c>
      <c r="F1340" s="845">
        <v>8.77E-3</v>
      </c>
      <c r="G1340" s="825">
        <v>1.2400000000000001E-4</v>
      </c>
      <c r="H1340" s="914">
        <v>4.2300000000000002E-6</v>
      </c>
      <c r="I1340" s="821">
        <v>0</v>
      </c>
      <c r="J1340" s="944">
        <v>5.2200000000000002E-5</v>
      </c>
      <c r="K1340" s="800">
        <v>0</v>
      </c>
      <c r="L1340" s="822">
        <v>0</v>
      </c>
      <c r="M1340" s="849">
        <v>105.91</v>
      </c>
      <c r="N1340" s="946">
        <v>661.226</v>
      </c>
      <c r="O1340" s="846">
        <v>96.6</v>
      </c>
      <c r="P1340" s="848">
        <v>657</v>
      </c>
      <c r="Q1340" s="856">
        <v>9.31</v>
      </c>
      <c r="R1340" s="858">
        <v>0.316</v>
      </c>
      <c r="S1340" s="821">
        <v>0</v>
      </c>
      <c r="T1340" s="893">
        <v>3.91</v>
      </c>
      <c r="U1340" s="821">
        <v>0</v>
      </c>
      <c r="V1340" s="822">
        <v>0</v>
      </c>
      <c r="W1340" s="878">
        <v>0.6</v>
      </c>
    </row>
    <row r="1341" spans="1:256" hidden="1" outlineLevel="2" x14ac:dyDescent="0.15">
      <c r="B1341" s="801"/>
      <c r="C1341" s="823"/>
      <c r="D1341" s="823"/>
      <c r="E1341" s="801"/>
      <c r="F1341" s="842"/>
      <c r="G1341" s="823"/>
      <c r="H1341" s="842"/>
      <c r="I1341" s="823"/>
      <c r="J1341" s="824"/>
      <c r="K1341" s="801"/>
      <c r="L1341" s="824"/>
      <c r="M1341" s="823"/>
      <c r="N1341" s="824"/>
      <c r="O1341" s="823"/>
      <c r="P1341" s="842"/>
      <c r="Q1341" s="823"/>
      <c r="R1341" s="842"/>
      <c r="S1341" s="823"/>
      <c r="T1341" s="824"/>
      <c r="U1341" s="823"/>
      <c r="V1341" s="824"/>
      <c r="W1341" s="824"/>
    </row>
    <row r="1342" spans="1:256" hidden="1" outlineLevel="2" x14ac:dyDescent="0.15"/>
    <row r="1343" spans="1:256" hidden="1" outlineLevel="2" x14ac:dyDescent="0.15">
      <c r="B1343" s="1475" t="s">
        <v>1371</v>
      </c>
      <c r="C1343" s="1876" t="s">
        <v>765</v>
      </c>
      <c r="D1343" s="1878"/>
      <c r="E1343" s="1876" t="s">
        <v>1327</v>
      </c>
      <c r="F1343" s="1877"/>
      <c r="G1343" s="1877"/>
      <c r="H1343" s="1877"/>
      <c r="I1343" s="1877"/>
      <c r="J1343" s="1878"/>
      <c r="K1343" s="1877" t="s">
        <v>773</v>
      </c>
      <c r="L1343" s="1878"/>
      <c r="M1343" s="1876" t="s">
        <v>765</v>
      </c>
      <c r="N1343" s="1878"/>
      <c r="O1343" s="1876" t="s">
        <v>1372</v>
      </c>
      <c r="P1343" s="1877"/>
      <c r="Q1343" s="1877"/>
      <c r="R1343" s="1877"/>
      <c r="S1343" s="1877"/>
      <c r="T1343" s="1878"/>
      <c r="U1343" s="1877" t="s">
        <v>773</v>
      </c>
      <c r="V1343" s="1878"/>
      <c r="W1343" s="898"/>
    </row>
    <row r="1344" spans="1:256" hidden="1" outlineLevel="2" x14ac:dyDescent="0.15">
      <c r="B1344" s="899"/>
      <c r="C1344" s="1885" t="s">
        <v>1308</v>
      </c>
      <c r="D1344" s="1886"/>
      <c r="E1344" s="1879" t="s">
        <v>14</v>
      </c>
      <c r="F1344" s="1887"/>
      <c r="G1344" s="1887" t="s">
        <v>695</v>
      </c>
      <c r="H1344" s="1887"/>
      <c r="I1344" s="1887" t="s">
        <v>27</v>
      </c>
      <c r="J1344" s="1880"/>
      <c r="K1344" s="1879" t="s">
        <v>1310</v>
      </c>
      <c r="L1344" s="1880"/>
      <c r="M1344" s="1885" t="s">
        <v>1373</v>
      </c>
      <c r="N1344" s="1886"/>
      <c r="O1344" s="1879" t="s">
        <v>14</v>
      </c>
      <c r="P1344" s="1887"/>
      <c r="Q1344" s="1887" t="s">
        <v>695</v>
      </c>
      <c r="R1344" s="1887"/>
      <c r="S1344" s="1887" t="s">
        <v>27</v>
      </c>
      <c r="T1344" s="1880"/>
      <c r="U1344" s="1879" t="s">
        <v>1364</v>
      </c>
      <c r="V1344" s="1880"/>
      <c r="W1344" s="834"/>
    </row>
    <row r="1345" spans="2:23" hidden="1" outlineLevel="2" x14ac:dyDescent="0.15">
      <c r="B1345" s="948" t="s">
        <v>2668</v>
      </c>
      <c r="C1345" s="1562" t="s">
        <v>768</v>
      </c>
      <c r="D1345" s="897" t="s">
        <v>24</v>
      </c>
      <c r="E1345" s="1562" t="s">
        <v>768</v>
      </c>
      <c r="F1345" s="1507" t="s">
        <v>24</v>
      </c>
      <c r="G1345" s="1562" t="s">
        <v>768</v>
      </c>
      <c r="H1345" s="1507" t="s">
        <v>24</v>
      </c>
      <c r="I1345" s="1562" t="s">
        <v>768</v>
      </c>
      <c r="J1345" s="1508" t="s">
        <v>24</v>
      </c>
      <c r="K1345" s="1562" t="s">
        <v>768</v>
      </c>
      <c r="L1345" s="897" t="s">
        <v>24</v>
      </c>
      <c r="M1345" s="1562" t="s">
        <v>768</v>
      </c>
      <c r="N1345" s="897" t="s">
        <v>24</v>
      </c>
      <c r="O1345" s="1562" t="s">
        <v>768</v>
      </c>
      <c r="P1345" s="1507" t="s">
        <v>24</v>
      </c>
      <c r="Q1345" s="1562" t="s">
        <v>768</v>
      </c>
      <c r="R1345" s="1507" t="s">
        <v>24</v>
      </c>
      <c r="S1345" s="1562" t="s">
        <v>768</v>
      </c>
      <c r="T1345" s="1508" t="s">
        <v>24</v>
      </c>
      <c r="U1345" s="1562" t="s">
        <v>768</v>
      </c>
      <c r="V1345" s="897" t="s">
        <v>24</v>
      </c>
      <c r="W1345" s="1563" t="s">
        <v>723</v>
      </c>
    </row>
    <row r="1346" spans="2:23" hidden="1" outlineLevel="2" x14ac:dyDescent="0.15">
      <c r="B1346" s="808" t="s">
        <v>1377</v>
      </c>
      <c r="C1346" s="882">
        <v>1.5460000000000001E-3</v>
      </c>
      <c r="D1346" s="882">
        <v>9.6315900000000006E-3</v>
      </c>
      <c r="E1346" s="868">
        <v>1.41E-3</v>
      </c>
      <c r="F1346" s="844">
        <v>9.5700000000000004E-3</v>
      </c>
      <c r="G1346" s="831">
        <v>1.36E-4</v>
      </c>
      <c r="H1346" s="913">
        <v>4.5900000000000001E-6</v>
      </c>
      <c r="I1346" s="826">
        <v>0</v>
      </c>
      <c r="J1346" s="943">
        <v>5.7000000000000003E-5</v>
      </c>
      <c r="K1346" s="799">
        <v>0</v>
      </c>
      <c r="L1346" s="827">
        <v>0</v>
      </c>
      <c r="M1346" s="941">
        <v>19.73</v>
      </c>
      <c r="N1346" s="945">
        <v>122.78580000000001</v>
      </c>
      <c r="O1346" s="940">
        <v>18</v>
      </c>
      <c r="P1346" s="847">
        <v>122</v>
      </c>
      <c r="Q1346" s="912">
        <v>1.73</v>
      </c>
      <c r="R1346" s="857">
        <v>5.8799999999999998E-2</v>
      </c>
      <c r="S1346" s="826">
        <v>0</v>
      </c>
      <c r="T1346" s="947">
        <v>0.72699999999999998</v>
      </c>
      <c r="U1346" s="826">
        <v>0</v>
      </c>
      <c r="V1346" s="827">
        <v>0</v>
      </c>
      <c r="W1346" s="884">
        <v>0.6</v>
      </c>
    </row>
    <row r="1347" spans="2:23" hidden="1" outlineLevel="2" x14ac:dyDescent="0.15">
      <c r="B1347" s="949" t="s">
        <v>1378</v>
      </c>
      <c r="C1347" s="843">
        <v>8.091000000000001E-4</v>
      </c>
      <c r="D1347" s="843">
        <v>5.0523200000000008E-3</v>
      </c>
      <c r="E1347" s="869">
        <v>7.3800000000000005E-4</v>
      </c>
      <c r="F1347" s="845">
        <v>5.0200000000000002E-3</v>
      </c>
      <c r="G1347" s="825">
        <v>7.1099999999999994E-5</v>
      </c>
      <c r="H1347" s="914">
        <v>2.4200000000000001E-6</v>
      </c>
      <c r="I1347" s="821">
        <v>0</v>
      </c>
      <c r="J1347" s="944">
        <v>2.9899999999999998E-5</v>
      </c>
      <c r="K1347" s="800">
        <v>0</v>
      </c>
      <c r="L1347" s="822">
        <v>0</v>
      </c>
      <c r="M1347" s="849">
        <v>19.96</v>
      </c>
      <c r="N1347" s="946">
        <v>124.7966</v>
      </c>
      <c r="O1347" s="846">
        <v>18.2</v>
      </c>
      <c r="P1347" s="848">
        <v>124</v>
      </c>
      <c r="Q1347" s="856">
        <v>1.76</v>
      </c>
      <c r="R1347" s="858">
        <v>5.96E-2</v>
      </c>
      <c r="S1347" s="821">
        <v>0</v>
      </c>
      <c r="T1347" s="893">
        <v>0.73699999999999999</v>
      </c>
      <c r="U1347" s="821">
        <v>0</v>
      </c>
      <c r="V1347" s="822">
        <v>0</v>
      </c>
      <c r="W1347" s="878">
        <v>0.6</v>
      </c>
    </row>
    <row r="1348" spans="2:23" hidden="1" outlineLevel="2" x14ac:dyDescent="0.15">
      <c r="B1348" s="949" t="s">
        <v>1379</v>
      </c>
      <c r="C1348" s="843">
        <v>7.5099999999999993E-4</v>
      </c>
      <c r="D1348" s="843">
        <v>4.6900399999999995E-3</v>
      </c>
      <c r="E1348" s="869">
        <v>6.8499999999999995E-4</v>
      </c>
      <c r="F1348" s="845">
        <v>4.6600000000000001E-3</v>
      </c>
      <c r="G1348" s="825">
        <v>6.6000000000000005E-5</v>
      </c>
      <c r="H1348" s="914">
        <v>2.2400000000000002E-6</v>
      </c>
      <c r="I1348" s="821">
        <v>0</v>
      </c>
      <c r="J1348" s="944">
        <v>2.7800000000000001E-5</v>
      </c>
      <c r="K1348" s="800">
        <v>0</v>
      </c>
      <c r="L1348" s="822">
        <v>0</v>
      </c>
      <c r="M1348" s="849">
        <v>24.78</v>
      </c>
      <c r="N1348" s="946">
        <v>154.99</v>
      </c>
      <c r="O1348" s="846">
        <v>22.6</v>
      </c>
      <c r="P1348" s="848">
        <v>154</v>
      </c>
      <c r="Q1348" s="856">
        <v>2.1800000000000002</v>
      </c>
      <c r="R1348" s="858">
        <v>7.3999999999999996E-2</v>
      </c>
      <c r="S1348" s="821">
        <v>0</v>
      </c>
      <c r="T1348" s="893">
        <v>0.91600000000000004</v>
      </c>
      <c r="U1348" s="821">
        <v>0</v>
      </c>
      <c r="V1348" s="822">
        <v>0</v>
      </c>
      <c r="W1348" s="878">
        <v>0.6</v>
      </c>
    </row>
    <row r="1349" spans="2:23" hidden="1" outlineLevel="2" x14ac:dyDescent="0.15">
      <c r="B1349" s="949" t="s">
        <v>1380</v>
      </c>
      <c r="C1349" s="843">
        <v>5.0440000000000001E-4</v>
      </c>
      <c r="D1349" s="843">
        <v>3.1501000000000003E-3</v>
      </c>
      <c r="E1349" s="869">
        <v>4.6000000000000001E-4</v>
      </c>
      <c r="F1349" s="845">
        <v>3.13E-3</v>
      </c>
      <c r="G1349" s="825">
        <v>4.4400000000000002E-5</v>
      </c>
      <c r="H1349" s="914">
        <v>1.5E-6</v>
      </c>
      <c r="I1349" s="821">
        <v>0</v>
      </c>
      <c r="J1349" s="944">
        <v>1.8600000000000001E-5</v>
      </c>
      <c r="K1349" s="800">
        <v>0</v>
      </c>
      <c r="L1349" s="822">
        <v>0</v>
      </c>
      <c r="M1349" s="849">
        <v>40.130000000000003</v>
      </c>
      <c r="N1349" s="946">
        <v>250.6</v>
      </c>
      <c r="O1349" s="846">
        <v>36.6</v>
      </c>
      <c r="P1349" s="848">
        <v>249</v>
      </c>
      <c r="Q1349" s="856">
        <v>3.53</v>
      </c>
      <c r="R1349" s="858">
        <v>0.12</v>
      </c>
      <c r="S1349" s="821">
        <v>0</v>
      </c>
      <c r="T1349" s="893">
        <v>1.48</v>
      </c>
      <c r="U1349" s="821">
        <v>0</v>
      </c>
      <c r="V1349" s="822">
        <v>0</v>
      </c>
      <c r="W1349" s="878">
        <v>0.6</v>
      </c>
    </row>
    <row r="1350" spans="2:23" hidden="1" outlineLevel="2" x14ac:dyDescent="0.15">
      <c r="B1350" s="949" t="s">
        <v>1374</v>
      </c>
      <c r="C1350" s="843">
        <v>3.2989999999999998E-3</v>
      </c>
      <c r="D1350" s="843">
        <v>1.5488720000000001E-2</v>
      </c>
      <c r="E1350" s="869">
        <v>3.0000000000000001E-3</v>
      </c>
      <c r="F1350" s="845">
        <v>1.54E-2</v>
      </c>
      <c r="G1350" s="825">
        <v>2.99E-4</v>
      </c>
      <c r="H1350" s="914">
        <v>7.3200000000000002E-6</v>
      </c>
      <c r="I1350" s="821">
        <v>0</v>
      </c>
      <c r="J1350" s="944">
        <v>8.14E-5</v>
      </c>
      <c r="K1350" s="800">
        <v>0</v>
      </c>
      <c r="L1350" s="822">
        <v>0</v>
      </c>
      <c r="M1350" s="849">
        <v>8.6749999999999989</v>
      </c>
      <c r="N1350" s="946">
        <v>40.633199999999995</v>
      </c>
      <c r="O1350" s="846">
        <v>7.89</v>
      </c>
      <c r="P1350" s="848">
        <v>40.4</v>
      </c>
      <c r="Q1350" s="856">
        <v>0.78500000000000003</v>
      </c>
      <c r="R1350" s="858">
        <v>1.9199999999999998E-2</v>
      </c>
      <c r="S1350" s="821">
        <v>0</v>
      </c>
      <c r="T1350" s="893">
        <v>0.214</v>
      </c>
      <c r="U1350" s="821">
        <v>0</v>
      </c>
      <c r="V1350" s="822">
        <v>0</v>
      </c>
      <c r="W1350" s="878">
        <v>0.6</v>
      </c>
    </row>
    <row r="1351" spans="2:23" hidden="1" outlineLevel="2" x14ac:dyDescent="0.15">
      <c r="B1351" s="949"/>
      <c r="C1351" s="843"/>
      <c r="D1351" s="843"/>
      <c r="E1351" s="869"/>
      <c r="F1351" s="845"/>
      <c r="G1351" s="825"/>
      <c r="H1351" s="914"/>
      <c r="I1351" s="821"/>
      <c r="J1351" s="944"/>
      <c r="K1351" s="800"/>
      <c r="L1351" s="822"/>
      <c r="M1351" s="849"/>
      <c r="N1351" s="946"/>
      <c r="O1351" s="846"/>
      <c r="P1351" s="848"/>
      <c r="Q1351" s="856"/>
      <c r="R1351" s="858"/>
      <c r="S1351" s="821"/>
      <c r="T1351" s="893"/>
      <c r="U1351" s="821"/>
      <c r="V1351" s="822"/>
      <c r="W1351" s="878"/>
    </row>
    <row r="1352" spans="2:23" hidden="1" outlineLevel="2" x14ac:dyDescent="0.15">
      <c r="B1352" s="949" t="s">
        <v>1375</v>
      </c>
      <c r="C1352" s="843">
        <v>7.672E-3</v>
      </c>
      <c r="D1352" s="843">
        <v>4.6897000000000001E-2</v>
      </c>
      <c r="E1352" s="869">
        <v>7.0000000000000001E-3</v>
      </c>
      <c r="F1352" s="845">
        <v>4.6600000000000003E-2</v>
      </c>
      <c r="G1352" s="825">
        <v>6.7199999999999996E-4</v>
      </c>
      <c r="H1352" s="914">
        <v>2.0999999999999999E-5</v>
      </c>
      <c r="I1352" s="821">
        <v>0</v>
      </c>
      <c r="J1352" s="944">
        <v>2.7599999999999999E-4</v>
      </c>
      <c r="K1352" s="800">
        <v>0</v>
      </c>
      <c r="L1352" s="822">
        <v>0</v>
      </c>
      <c r="M1352" s="849">
        <v>14.040000000000001</v>
      </c>
      <c r="N1352" s="946">
        <v>85.945999999999998</v>
      </c>
      <c r="O1352" s="846">
        <v>12.8</v>
      </c>
      <c r="P1352" s="848">
        <v>85.4</v>
      </c>
      <c r="Q1352" s="856">
        <v>1.24</v>
      </c>
      <c r="R1352" s="858">
        <v>4.1000000000000002E-2</v>
      </c>
      <c r="S1352" s="821">
        <v>0</v>
      </c>
      <c r="T1352" s="893">
        <v>0.505</v>
      </c>
      <c r="U1352" s="821">
        <v>0</v>
      </c>
      <c r="V1352" s="822">
        <v>0</v>
      </c>
      <c r="W1352" s="878">
        <v>0.6</v>
      </c>
    </row>
    <row r="1353" spans="2:23" hidden="1" outlineLevel="2" x14ac:dyDescent="0.15">
      <c r="B1353" s="949" t="s">
        <v>1376</v>
      </c>
      <c r="C1353" s="843">
        <v>2.0280000000000003E-3</v>
      </c>
      <c r="D1353" s="843">
        <v>1.2680760000000001E-2</v>
      </c>
      <c r="E1353" s="869">
        <v>1.8500000000000001E-3</v>
      </c>
      <c r="F1353" s="845">
        <v>1.26E-2</v>
      </c>
      <c r="G1353" s="825">
        <v>1.7799999999999999E-4</v>
      </c>
      <c r="H1353" s="914">
        <v>6.0599999999999996E-6</v>
      </c>
      <c r="I1353" s="821">
        <v>0</v>
      </c>
      <c r="J1353" s="944">
        <v>7.47E-5</v>
      </c>
      <c r="K1353" s="800">
        <v>0</v>
      </c>
      <c r="L1353" s="822">
        <v>0</v>
      </c>
      <c r="M1353" s="849">
        <v>45.17</v>
      </c>
      <c r="N1353" s="946">
        <v>281.80500000000001</v>
      </c>
      <c r="O1353" s="846">
        <v>41.2</v>
      </c>
      <c r="P1353" s="848">
        <v>280</v>
      </c>
      <c r="Q1353" s="856">
        <v>3.97</v>
      </c>
      <c r="R1353" s="858">
        <v>0.13500000000000001</v>
      </c>
      <c r="S1353" s="821">
        <v>0</v>
      </c>
      <c r="T1353" s="893">
        <v>1.67</v>
      </c>
      <c r="U1353" s="821">
        <v>0</v>
      </c>
      <c r="V1353" s="822">
        <v>0</v>
      </c>
      <c r="W1353" s="878">
        <v>0.6</v>
      </c>
    </row>
    <row r="1354" spans="2:23" hidden="1" outlineLevel="2" x14ac:dyDescent="0.15">
      <c r="B1354" s="949"/>
      <c r="C1354" s="843"/>
      <c r="D1354" s="843"/>
      <c r="E1354" s="869"/>
      <c r="F1354" s="845"/>
      <c r="G1354" s="825"/>
      <c r="H1354" s="914"/>
      <c r="I1354" s="821"/>
      <c r="J1354" s="944"/>
      <c r="K1354" s="800"/>
      <c r="L1354" s="822"/>
      <c r="M1354" s="849"/>
      <c r="N1354" s="946"/>
      <c r="O1354" s="846"/>
      <c r="P1354" s="848"/>
      <c r="Q1354" s="856"/>
      <c r="R1354" s="858"/>
      <c r="S1354" s="821"/>
      <c r="T1354" s="893"/>
      <c r="U1354" s="821"/>
      <c r="V1354" s="822"/>
      <c r="W1354" s="878"/>
    </row>
    <row r="1355" spans="2:23" hidden="1" outlineLevel="2" x14ac:dyDescent="0.15">
      <c r="B1355" s="949" t="s">
        <v>1381</v>
      </c>
      <c r="C1355" s="843">
        <v>3.509E-3</v>
      </c>
      <c r="D1355" s="843">
        <v>2.1839400000000002E-2</v>
      </c>
      <c r="E1355" s="869">
        <v>3.2000000000000002E-3</v>
      </c>
      <c r="F1355" s="845">
        <v>2.1700000000000001E-2</v>
      </c>
      <c r="G1355" s="825">
        <v>3.0899999999999998E-4</v>
      </c>
      <c r="H1355" s="914">
        <v>1.04E-5</v>
      </c>
      <c r="I1355" s="821">
        <v>0</v>
      </c>
      <c r="J1355" s="944">
        <v>1.2899999999999999E-4</v>
      </c>
      <c r="K1355" s="800">
        <v>0</v>
      </c>
      <c r="L1355" s="822">
        <v>0</v>
      </c>
      <c r="M1355" s="849">
        <v>27.96</v>
      </c>
      <c r="N1355" s="946">
        <v>174.11330000000001</v>
      </c>
      <c r="O1355" s="846">
        <v>25.5</v>
      </c>
      <c r="P1355" s="848">
        <v>173</v>
      </c>
      <c r="Q1355" s="856">
        <v>2.46</v>
      </c>
      <c r="R1355" s="858">
        <v>8.3299999999999999E-2</v>
      </c>
      <c r="S1355" s="821">
        <v>0</v>
      </c>
      <c r="T1355" s="893">
        <v>1.03</v>
      </c>
      <c r="U1355" s="821">
        <v>0</v>
      </c>
      <c r="V1355" s="822">
        <v>0</v>
      </c>
      <c r="W1355" s="878">
        <v>0.6</v>
      </c>
    </row>
    <row r="1356" spans="2:23" hidden="1" outlineLevel="2" x14ac:dyDescent="0.15">
      <c r="B1356" s="949" t="s">
        <v>1382</v>
      </c>
      <c r="C1356" s="843">
        <v>2.6100000000000003E-3</v>
      </c>
      <c r="D1356" s="843">
        <v>1.610228E-2</v>
      </c>
      <c r="E1356" s="869">
        <v>2.3800000000000002E-3</v>
      </c>
      <c r="F1356" s="845">
        <v>1.6E-2</v>
      </c>
      <c r="G1356" s="825">
        <v>2.3000000000000001E-4</v>
      </c>
      <c r="H1356" s="914">
        <v>7.6799999999999993E-6</v>
      </c>
      <c r="I1356" s="821">
        <v>0</v>
      </c>
      <c r="J1356" s="944">
        <v>9.4599999999999996E-5</v>
      </c>
      <c r="K1356" s="800">
        <v>0</v>
      </c>
      <c r="L1356" s="822">
        <v>0</v>
      </c>
      <c r="M1356" s="849">
        <v>40.57</v>
      </c>
      <c r="N1356" s="946">
        <v>249.589</v>
      </c>
      <c r="O1356" s="846">
        <v>37</v>
      </c>
      <c r="P1356" s="848">
        <v>248</v>
      </c>
      <c r="Q1356" s="856">
        <v>3.57</v>
      </c>
      <c r="R1356" s="858">
        <v>0.11899999999999999</v>
      </c>
      <c r="S1356" s="821">
        <v>0</v>
      </c>
      <c r="T1356" s="893">
        <v>1.47</v>
      </c>
      <c r="U1356" s="821">
        <v>0</v>
      </c>
      <c r="V1356" s="822">
        <v>0</v>
      </c>
      <c r="W1356" s="878">
        <v>0.6</v>
      </c>
    </row>
    <row r="1357" spans="2:23" hidden="1" outlineLevel="2" x14ac:dyDescent="0.15">
      <c r="B1357" s="949" t="s">
        <v>1383</v>
      </c>
      <c r="C1357" s="843">
        <v>7.4899999999999999E-4</v>
      </c>
      <c r="D1357" s="843">
        <v>4.6798399999999993E-3</v>
      </c>
      <c r="E1357" s="869">
        <v>6.8300000000000001E-4</v>
      </c>
      <c r="F1357" s="845">
        <v>4.6499999999999996E-3</v>
      </c>
      <c r="G1357" s="825">
        <v>6.6000000000000005E-5</v>
      </c>
      <c r="H1357" s="914">
        <v>2.2400000000000002E-6</v>
      </c>
      <c r="I1357" s="821">
        <v>0</v>
      </c>
      <c r="J1357" s="944">
        <v>2.76E-5</v>
      </c>
      <c r="K1357" s="800">
        <v>0</v>
      </c>
      <c r="L1357" s="822">
        <v>0</v>
      </c>
      <c r="M1357" s="849">
        <v>36.51</v>
      </c>
      <c r="N1357" s="946">
        <v>227.459</v>
      </c>
      <c r="O1357" s="846">
        <v>33.299999999999997</v>
      </c>
      <c r="P1357" s="848">
        <v>226</v>
      </c>
      <c r="Q1357" s="856">
        <v>3.21</v>
      </c>
      <c r="R1357" s="858">
        <v>0.109</v>
      </c>
      <c r="S1357" s="821">
        <v>0</v>
      </c>
      <c r="T1357" s="893">
        <v>1.35</v>
      </c>
      <c r="U1357" s="821">
        <v>0</v>
      </c>
      <c r="V1357" s="822">
        <v>0</v>
      </c>
      <c r="W1357" s="878">
        <v>0.6</v>
      </c>
    </row>
    <row r="1358" spans="2:23" hidden="1" outlineLevel="2" x14ac:dyDescent="0.15">
      <c r="B1358" s="949" t="s">
        <v>1384</v>
      </c>
      <c r="C1358" s="843">
        <v>4.6480000000000002E-4</v>
      </c>
      <c r="D1358" s="843">
        <v>2.8984900000000001E-3</v>
      </c>
      <c r="E1358" s="869">
        <v>4.2400000000000001E-4</v>
      </c>
      <c r="F1358" s="845">
        <v>2.8800000000000002E-3</v>
      </c>
      <c r="G1358" s="825">
        <v>4.0800000000000002E-5</v>
      </c>
      <c r="H1358" s="914">
        <v>1.39E-6</v>
      </c>
      <c r="I1358" s="821">
        <v>0</v>
      </c>
      <c r="J1358" s="944">
        <v>1.7099999999999999E-5</v>
      </c>
      <c r="K1358" s="800">
        <v>0</v>
      </c>
      <c r="L1358" s="822">
        <v>0</v>
      </c>
      <c r="M1358" s="849">
        <v>67.100000000000009</v>
      </c>
      <c r="N1358" s="946">
        <v>418.67</v>
      </c>
      <c r="O1358" s="846">
        <v>61.2</v>
      </c>
      <c r="P1358" s="848">
        <v>416</v>
      </c>
      <c r="Q1358" s="856">
        <v>5.9</v>
      </c>
      <c r="R1358" s="858">
        <v>0.2</v>
      </c>
      <c r="S1358" s="821">
        <v>0</v>
      </c>
      <c r="T1358" s="893">
        <v>2.4700000000000002</v>
      </c>
      <c r="U1358" s="821">
        <v>0</v>
      </c>
      <c r="V1358" s="822">
        <v>0</v>
      </c>
      <c r="W1358" s="878">
        <v>0.6</v>
      </c>
    </row>
    <row r="1359" spans="2:23" hidden="1" outlineLevel="2" x14ac:dyDescent="0.15">
      <c r="B1359" s="949"/>
      <c r="C1359" s="843"/>
      <c r="D1359" s="843"/>
      <c r="E1359" s="869"/>
      <c r="F1359" s="845"/>
      <c r="G1359" s="825"/>
      <c r="H1359" s="914"/>
      <c r="I1359" s="821"/>
      <c r="J1359" s="944"/>
      <c r="K1359" s="800"/>
      <c r="L1359" s="822"/>
      <c r="M1359" s="849"/>
      <c r="N1359" s="946"/>
      <c r="O1359" s="846"/>
      <c r="P1359" s="848"/>
      <c r="Q1359" s="856"/>
      <c r="R1359" s="858"/>
      <c r="S1359" s="821"/>
      <c r="T1359" s="893"/>
      <c r="U1359" s="821"/>
      <c r="V1359" s="822"/>
      <c r="W1359" s="878"/>
    </row>
    <row r="1360" spans="2:23" hidden="1" outlineLevel="2" x14ac:dyDescent="0.15">
      <c r="B1360" s="949" t="s">
        <v>1361</v>
      </c>
      <c r="C1360" s="843">
        <v>1.9E-2</v>
      </c>
      <c r="D1360" s="843">
        <v>0.11799999999999999</v>
      </c>
      <c r="E1360" s="869">
        <v>1.9E-2</v>
      </c>
      <c r="F1360" s="845">
        <v>0.11799999999999999</v>
      </c>
      <c r="G1360" s="849">
        <v>0</v>
      </c>
      <c r="H1360" s="851">
        <v>0</v>
      </c>
      <c r="I1360" s="849">
        <v>0</v>
      </c>
      <c r="J1360" s="894">
        <v>0</v>
      </c>
      <c r="K1360" s="865">
        <v>0</v>
      </c>
      <c r="L1360" s="894">
        <v>0</v>
      </c>
      <c r="M1360" s="849"/>
      <c r="N1360" s="946"/>
      <c r="O1360" s="846"/>
      <c r="P1360" s="848"/>
      <c r="Q1360" s="856"/>
      <c r="R1360" s="858"/>
      <c r="S1360" s="821"/>
      <c r="T1360" s="893"/>
      <c r="U1360" s="821"/>
      <c r="V1360" s="822"/>
      <c r="W1360" s="878">
        <v>0.2</v>
      </c>
    </row>
    <row r="1361" spans="2:40" hidden="1" outlineLevel="2" x14ac:dyDescent="0.15">
      <c r="B1361" s="801"/>
      <c r="C1361" s="823"/>
      <c r="D1361" s="823"/>
      <c r="E1361" s="801"/>
      <c r="F1361" s="842"/>
      <c r="G1361" s="823"/>
      <c r="H1361" s="842"/>
      <c r="I1361" s="823"/>
      <c r="J1361" s="824"/>
      <c r="K1361" s="801"/>
      <c r="L1361" s="824"/>
      <c r="M1361" s="823"/>
      <c r="N1361" s="824"/>
      <c r="O1361" s="823"/>
      <c r="P1361" s="842"/>
      <c r="Q1361" s="823"/>
      <c r="R1361" s="842"/>
      <c r="S1361" s="823"/>
      <c r="T1361" s="824"/>
      <c r="U1361" s="823"/>
      <c r="V1361" s="824"/>
      <c r="W1361" s="824"/>
    </row>
    <row r="1362" spans="2:40" hidden="1" outlineLevel="2" x14ac:dyDescent="0.15">
      <c r="V1362" s="13"/>
    </row>
    <row r="1363" spans="2:40" hidden="1" outlineLevel="2" x14ac:dyDescent="0.15">
      <c r="B1363" s="1475" t="s">
        <v>1385</v>
      </c>
      <c r="C1363" s="1876" t="s">
        <v>765</v>
      </c>
      <c r="D1363" s="1878"/>
      <c r="E1363" s="1876" t="s">
        <v>2545</v>
      </c>
      <c r="F1363" s="1877"/>
      <c r="G1363" s="1877"/>
      <c r="H1363" s="1877"/>
      <c r="I1363" s="1877"/>
      <c r="J1363" s="1878"/>
      <c r="K1363" s="1877" t="s">
        <v>773</v>
      </c>
      <c r="L1363" s="1878"/>
      <c r="M1363" s="1876" t="s">
        <v>765</v>
      </c>
      <c r="N1363" s="1878"/>
      <c r="O1363" s="1876" t="s">
        <v>1282</v>
      </c>
      <c r="P1363" s="1877"/>
      <c r="Q1363" s="1877"/>
      <c r="R1363" s="1877"/>
      <c r="S1363" s="1877"/>
      <c r="T1363" s="1878"/>
      <c r="U1363" s="1877" t="s">
        <v>773</v>
      </c>
      <c r="V1363" s="1878"/>
      <c r="W1363" s="898"/>
    </row>
    <row r="1364" spans="2:40" hidden="1" outlineLevel="2" x14ac:dyDescent="0.15">
      <c r="B1364" s="899"/>
      <c r="C1364" s="1885" t="s">
        <v>1308</v>
      </c>
      <c r="D1364" s="1886"/>
      <c r="E1364" s="1879" t="s">
        <v>14</v>
      </c>
      <c r="F1364" s="1887"/>
      <c r="G1364" s="1887" t="s">
        <v>695</v>
      </c>
      <c r="H1364" s="1887"/>
      <c r="I1364" s="1887" t="s">
        <v>27</v>
      </c>
      <c r="J1364" s="1880"/>
      <c r="K1364" s="1879" t="s">
        <v>1310</v>
      </c>
      <c r="L1364" s="1880"/>
      <c r="M1364" s="1885" t="s">
        <v>1281</v>
      </c>
      <c r="N1364" s="1886"/>
      <c r="O1364" s="1879" t="s">
        <v>14</v>
      </c>
      <c r="P1364" s="1887"/>
      <c r="Q1364" s="1887" t="s">
        <v>695</v>
      </c>
      <c r="R1364" s="1887"/>
      <c r="S1364" s="1887" t="s">
        <v>27</v>
      </c>
      <c r="T1364" s="1880"/>
      <c r="U1364" s="1879" t="s">
        <v>1364</v>
      </c>
      <c r="V1364" s="1880"/>
      <c r="W1364" s="834"/>
    </row>
    <row r="1365" spans="2:40" hidden="1" outlineLevel="2" x14ac:dyDescent="0.15">
      <c r="B1365" s="948" t="s">
        <v>1386</v>
      </c>
      <c r="C1365" s="1561" t="s">
        <v>768</v>
      </c>
      <c r="D1365" s="897" t="s">
        <v>24</v>
      </c>
      <c r="E1365" s="1561" t="s">
        <v>768</v>
      </c>
      <c r="F1365" s="1507" t="s">
        <v>24</v>
      </c>
      <c r="G1365" s="1561" t="s">
        <v>768</v>
      </c>
      <c r="H1365" s="1507" t="s">
        <v>24</v>
      </c>
      <c r="I1365" s="1561" t="s">
        <v>768</v>
      </c>
      <c r="J1365" s="1508" t="s">
        <v>24</v>
      </c>
      <c r="K1365" s="1561" t="s">
        <v>768</v>
      </c>
      <c r="L1365" s="897" t="s">
        <v>24</v>
      </c>
      <c r="M1365" s="1561" t="s">
        <v>768</v>
      </c>
      <c r="N1365" s="897" t="s">
        <v>24</v>
      </c>
      <c r="O1365" s="1561" t="s">
        <v>768</v>
      </c>
      <c r="P1365" s="1507" t="s">
        <v>24</v>
      </c>
      <c r="Q1365" s="1561" t="s">
        <v>768</v>
      </c>
      <c r="R1365" s="1507" t="s">
        <v>24</v>
      </c>
      <c r="S1365" s="1561" t="s">
        <v>768</v>
      </c>
      <c r="T1365" s="1508" t="s">
        <v>24</v>
      </c>
      <c r="U1365" s="1561" t="s">
        <v>768</v>
      </c>
      <c r="V1365" s="897" t="s">
        <v>24</v>
      </c>
      <c r="W1365" s="1563" t="s">
        <v>723</v>
      </c>
    </row>
    <row r="1366" spans="2:40" hidden="1" outlineLevel="2" x14ac:dyDescent="0.15">
      <c r="B1366" s="808" t="s">
        <v>1388</v>
      </c>
      <c r="C1366" s="882">
        <v>2.9617020568900001E-2</v>
      </c>
      <c r="D1366" s="882">
        <v>0.180940559369</v>
      </c>
      <c r="E1366" s="868">
        <v>2.7405583939399999E-2</v>
      </c>
      <c r="F1366" s="844">
        <v>0.17968218602200001</v>
      </c>
      <c r="G1366" s="831">
        <v>8.8457465180999999E-5</v>
      </c>
      <c r="H1366" s="913">
        <v>2.8762656330000001E-6</v>
      </c>
      <c r="I1366" s="826">
        <v>0</v>
      </c>
      <c r="J1366" s="943">
        <v>3.9814318990000003E-6</v>
      </c>
      <c r="K1366" s="799">
        <v>0</v>
      </c>
      <c r="L1366" s="827">
        <v>0</v>
      </c>
      <c r="M1366" s="941">
        <v>69.496338765100006</v>
      </c>
      <c r="N1366" s="945">
        <v>424.57702255800001</v>
      </c>
      <c r="O1366" s="940">
        <v>64.307202713899997</v>
      </c>
      <c r="P1366" s="847">
        <v>421.62424950000002</v>
      </c>
      <c r="Q1366" s="912">
        <v>0.207565442047</v>
      </c>
      <c r="R1366" s="857">
        <v>6.7491573069999996E-3</v>
      </c>
      <c r="S1366" s="826">
        <v>0</v>
      </c>
      <c r="T1366" s="947">
        <v>9.3424299499999999E-3</v>
      </c>
      <c r="U1366" s="826">
        <v>0</v>
      </c>
      <c r="V1366" s="827">
        <v>0</v>
      </c>
      <c r="W1366" s="884">
        <v>0.6</v>
      </c>
    </row>
    <row r="1367" spans="2:40" hidden="1" outlineLevel="2" x14ac:dyDescent="0.15">
      <c r="B1367" s="949" t="s">
        <v>1389</v>
      </c>
      <c r="C1367" s="843">
        <v>4.7449136941499999E-2</v>
      </c>
      <c r="D1367" s="843">
        <v>0.265858064452</v>
      </c>
      <c r="E1367" s="869">
        <v>4.3871573148300001E-2</v>
      </c>
      <c r="F1367" s="845">
        <v>0.264063302547</v>
      </c>
      <c r="G1367" s="825">
        <v>1.4310255172900001E-4</v>
      </c>
      <c r="H1367" s="914">
        <v>4.2151139730000003E-6</v>
      </c>
      <c r="I1367" s="821">
        <v>0</v>
      </c>
      <c r="J1367" s="944">
        <v>5.6690740110000003E-6</v>
      </c>
      <c r="K1367" s="800">
        <v>0</v>
      </c>
      <c r="L1367" s="822">
        <v>0</v>
      </c>
      <c r="M1367" s="849">
        <v>61.250098014099997</v>
      </c>
      <c r="N1367" s="946">
        <v>343.18500936300001</v>
      </c>
      <c r="O1367" s="846">
        <v>56.631971171099998</v>
      </c>
      <c r="P1367" s="848">
        <v>340.86822660000001</v>
      </c>
      <c r="Q1367" s="856">
        <v>0.18472507371999999</v>
      </c>
      <c r="R1367" s="858">
        <v>5.4411135923999997E-3</v>
      </c>
      <c r="S1367" s="821">
        <v>0</v>
      </c>
      <c r="T1367" s="893">
        <v>7.3179695400000001E-3</v>
      </c>
      <c r="U1367" s="821">
        <v>0</v>
      </c>
      <c r="V1367" s="822">
        <v>0</v>
      </c>
      <c r="W1367" s="878">
        <v>0.6</v>
      </c>
    </row>
    <row r="1368" spans="2:40" hidden="1" outlineLevel="2" x14ac:dyDescent="0.15">
      <c r="B1368" s="949" t="s">
        <v>1390</v>
      </c>
      <c r="C1368" s="843">
        <v>3.2954476275300001E-2</v>
      </c>
      <c r="D1368" s="843">
        <v>0.20893177855</v>
      </c>
      <c r="E1368" s="869">
        <v>3.0504800382699999E-2</v>
      </c>
      <c r="F1368" s="845">
        <v>0.207461593985</v>
      </c>
      <c r="G1368" s="825">
        <v>9.7987035705000001E-5</v>
      </c>
      <c r="H1368" s="914">
        <v>3.3247050320000002E-6</v>
      </c>
      <c r="I1368" s="821">
        <v>0</v>
      </c>
      <c r="J1368" s="944">
        <v>4.6545870449999998E-6</v>
      </c>
      <c r="K1368" s="800">
        <v>0</v>
      </c>
      <c r="L1368" s="822">
        <v>0</v>
      </c>
      <c r="M1368" s="849">
        <v>56.978289480100003</v>
      </c>
      <c r="N1368" s="946">
        <v>361.24304511299999</v>
      </c>
      <c r="O1368" s="846">
        <v>52.7427998617</v>
      </c>
      <c r="P1368" s="848">
        <v>358.70109600000001</v>
      </c>
      <c r="Q1368" s="856">
        <v>0.16941958473400001</v>
      </c>
      <c r="R1368" s="858">
        <v>5.7484149999999998E-3</v>
      </c>
      <c r="S1368" s="821">
        <v>0</v>
      </c>
      <c r="T1368" s="893">
        <v>8.0477810000000004E-3</v>
      </c>
      <c r="U1368" s="821">
        <v>0</v>
      </c>
      <c r="V1368" s="822">
        <v>0</v>
      </c>
      <c r="W1368" s="878">
        <v>0.6</v>
      </c>
    </row>
    <row r="1369" spans="2:40" hidden="1" outlineLevel="2" x14ac:dyDescent="0.15">
      <c r="B1369" s="949"/>
      <c r="C1369" s="843"/>
      <c r="D1369" s="843"/>
      <c r="E1369" s="869"/>
      <c r="F1369" s="845"/>
      <c r="G1369" s="825"/>
      <c r="H1369" s="914"/>
      <c r="I1369" s="821"/>
      <c r="J1369" s="944"/>
      <c r="K1369" s="800"/>
      <c r="L1369" s="822"/>
      <c r="M1369" s="849"/>
      <c r="N1369" s="946"/>
      <c r="O1369" s="846"/>
      <c r="P1369" s="848"/>
      <c r="Q1369" s="856"/>
      <c r="R1369" s="858"/>
      <c r="S1369" s="821"/>
      <c r="T1369" s="893"/>
      <c r="U1369" s="821"/>
      <c r="V1369" s="822"/>
      <c r="W1369" s="878"/>
    </row>
    <row r="1370" spans="2:40" hidden="1" outlineLevel="2" x14ac:dyDescent="0.15">
      <c r="B1370" s="949" t="s">
        <v>1391</v>
      </c>
      <c r="C1370" s="843">
        <v>1.41450967902E-2</v>
      </c>
      <c r="D1370" s="843">
        <v>8.89559007426E-2</v>
      </c>
      <c r="E1370" s="869">
        <v>1.3092574678200001E-2</v>
      </c>
      <c r="F1370" s="845">
        <v>8.8331520918300002E-2</v>
      </c>
      <c r="G1370" s="825">
        <v>4.2100884478000003E-5</v>
      </c>
      <c r="H1370" s="914">
        <v>1.4152240370000001E-6</v>
      </c>
      <c r="I1370" s="821">
        <v>0</v>
      </c>
      <c r="J1370" s="944">
        <v>1.9765074609999999E-6</v>
      </c>
      <c r="K1370" s="800">
        <v>0</v>
      </c>
      <c r="L1370" s="822">
        <v>0</v>
      </c>
      <c r="M1370" s="849">
        <v>27.823405386200001</v>
      </c>
      <c r="N1370" s="946">
        <v>174.97625676000001</v>
      </c>
      <c r="O1370" s="846">
        <v>25.753094392000001</v>
      </c>
      <c r="P1370" s="848">
        <v>173.74810164600001</v>
      </c>
      <c r="Q1370" s="856">
        <v>8.2812439769000004E-2</v>
      </c>
      <c r="R1370" s="858">
        <v>2.7837456810799999E-3</v>
      </c>
      <c r="S1370" s="821">
        <v>0</v>
      </c>
      <c r="T1370" s="893">
        <v>3.8877901760799999E-3</v>
      </c>
      <c r="U1370" s="821">
        <v>0</v>
      </c>
      <c r="V1370" s="822">
        <v>0</v>
      </c>
      <c r="W1370" s="878">
        <v>0.6</v>
      </c>
    </row>
    <row r="1371" spans="2:40" hidden="1" outlineLevel="2" x14ac:dyDescent="0.15">
      <c r="B1371" s="801"/>
      <c r="C1371" s="823"/>
      <c r="D1371" s="823"/>
      <c r="E1371" s="801"/>
      <c r="F1371" s="842"/>
      <c r="G1371" s="823"/>
      <c r="H1371" s="842"/>
      <c r="I1371" s="823"/>
      <c r="J1371" s="824"/>
      <c r="K1371" s="801"/>
      <c r="L1371" s="824"/>
      <c r="M1371" s="823"/>
      <c r="N1371" s="824"/>
      <c r="O1371" s="823"/>
      <c r="P1371" s="842"/>
      <c r="Q1371" s="823"/>
      <c r="R1371" s="842"/>
      <c r="S1371" s="823"/>
      <c r="T1371" s="824"/>
      <c r="U1371" s="823"/>
      <c r="V1371" s="824"/>
      <c r="W1371" s="824"/>
    </row>
    <row r="1372" spans="2:40" hidden="1" outlineLevel="2" x14ac:dyDescent="0.15"/>
    <row r="1373" spans="2:40" hidden="1" outlineLevel="2" x14ac:dyDescent="0.15">
      <c r="B1373" s="1475" t="s">
        <v>1387</v>
      </c>
      <c r="C1373" s="1876" t="s">
        <v>765</v>
      </c>
      <c r="D1373" s="1878"/>
      <c r="E1373" s="1876" t="s">
        <v>1327</v>
      </c>
      <c r="F1373" s="1877"/>
      <c r="G1373" s="1877"/>
      <c r="H1373" s="1877"/>
      <c r="I1373" s="1877"/>
      <c r="J1373" s="1878"/>
      <c r="K1373" s="1877" t="s">
        <v>773</v>
      </c>
      <c r="L1373" s="1878"/>
      <c r="M1373" s="1876" t="s">
        <v>765</v>
      </c>
      <c r="N1373" s="1878"/>
      <c r="O1373" s="1876" t="s">
        <v>1282</v>
      </c>
      <c r="P1373" s="1877"/>
      <c r="Q1373" s="1877"/>
      <c r="R1373" s="1877"/>
      <c r="S1373" s="1877"/>
      <c r="T1373" s="1878"/>
      <c r="U1373" s="1877" t="s">
        <v>773</v>
      </c>
      <c r="V1373" s="1878"/>
      <c r="W1373" s="898"/>
      <c r="X1373" s="4"/>
      <c r="Y1373" s="4"/>
      <c r="Z1373" s="4"/>
      <c r="AA1373" s="4"/>
      <c r="AB1373" s="4"/>
      <c r="AC1373" s="4"/>
      <c r="AD1373" s="4"/>
      <c r="AE1373" s="4"/>
      <c r="AF1373" s="4"/>
      <c r="AG1373" s="4"/>
      <c r="AH1373" s="4"/>
      <c r="AI1373" s="4"/>
      <c r="AJ1373" s="4"/>
      <c r="AK1373" s="4"/>
      <c r="AL1373" s="4"/>
      <c r="AM1373" s="4"/>
    </row>
    <row r="1374" spans="2:40" hidden="1" outlineLevel="2" x14ac:dyDescent="0.15">
      <c r="B1374" s="899"/>
      <c r="C1374" s="1885" t="s">
        <v>1308</v>
      </c>
      <c r="D1374" s="1886"/>
      <c r="E1374" s="1879" t="s">
        <v>14</v>
      </c>
      <c r="F1374" s="1887"/>
      <c r="G1374" s="1887" t="s">
        <v>695</v>
      </c>
      <c r="H1374" s="1887"/>
      <c r="I1374" s="1887" t="s">
        <v>27</v>
      </c>
      <c r="J1374" s="1880"/>
      <c r="K1374" s="1879" t="s">
        <v>1310</v>
      </c>
      <c r="L1374" s="1880"/>
      <c r="M1374" s="1885" t="s">
        <v>2546</v>
      </c>
      <c r="N1374" s="1886"/>
      <c r="O1374" s="1879" t="s">
        <v>14</v>
      </c>
      <c r="P1374" s="1887"/>
      <c r="Q1374" s="1887" t="s">
        <v>695</v>
      </c>
      <c r="R1374" s="1887"/>
      <c r="S1374" s="1887" t="s">
        <v>27</v>
      </c>
      <c r="T1374" s="1880"/>
      <c r="U1374" s="1879" t="s">
        <v>1364</v>
      </c>
      <c r="V1374" s="1880"/>
      <c r="W1374" s="834"/>
      <c r="X1374" s="4"/>
      <c r="AC1374" s="4"/>
      <c r="AD1374" s="4"/>
      <c r="AE1374" s="4"/>
      <c r="AF1374" s="4"/>
      <c r="AG1374" s="4"/>
      <c r="AH1374" s="4"/>
      <c r="AI1374" s="4"/>
      <c r="AJ1374" s="4"/>
      <c r="AK1374" s="4"/>
      <c r="AL1374" s="4"/>
      <c r="AM1374" s="4"/>
      <c r="AN1374" s="4"/>
    </row>
    <row r="1375" spans="2:40" hidden="1" outlineLevel="2" x14ac:dyDescent="0.15">
      <c r="B1375" s="948" t="s">
        <v>1386</v>
      </c>
      <c r="C1375" s="1561" t="s">
        <v>768</v>
      </c>
      <c r="D1375" s="897" t="s">
        <v>24</v>
      </c>
      <c r="E1375" s="1561" t="s">
        <v>768</v>
      </c>
      <c r="F1375" s="1507" t="s">
        <v>24</v>
      </c>
      <c r="G1375" s="1561" t="s">
        <v>768</v>
      </c>
      <c r="H1375" s="1507" t="s">
        <v>24</v>
      </c>
      <c r="I1375" s="1561" t="s">
        <v>768</v>
      </c>
      <c r="J1375" s="1508" t="s">
        <v>24</v>
      </c>
      <c r="K1375" s="1561" t="s">
        <v>768</v>
      </c>
      <c r="L1375" s="897" t="s">
        <v>24</v>
      </c>
      <c r="M1375" s="1561" t="s">
        <v>768</v>
      </c>
      <c r="N1375" s="897" t="s">
        <v>24</v>
      </c>
      <c r="O1375" s="1561" t="s">
        <v>768</v>
      </c>
      <c r="P1375" s="1507" t="s">
        <v>24</v>
      </c>
      <c r="Q1375" s="1561" t="s">
        <v>768</v>
      </c>
      <c r="R1375" s="1507" t="s">
        <v>24</v>
      </c>
      <c r="S1375" s="1561" t="s">
        <v>768</v>
      </c>
      <c r="T1375" s="1508" t="s">
        <v>24</v>
      </c>
      <c r="U1375" s="1561" t="s">
        <v>768</v>
      </c>
      <c r="V1375" s="897" t="s">
        <v>24</v>
      </c>
      <c r="W1375" s="1563" t="s">
        <v>723</v>
      </c>
      <c r="X1375" s="4"/>
      <c r="AC1375" s="4"/>
      <c r="AD1375" s="4"/>
      <c r="AE1375" s="4"/>
      <c r="AJ1375" s="4"/>
      <c r="AK1375" s="4"/>
      <c r="AL1375" s="4"/>
      <c r="AM1375" s="4"/>
      <c r="AN1375" s="4"/>
    </row>
    <row r="1376" spans="2:40" hidden="1" outlineLevel="2" x14ac:dyDescent="0.15">
      <c r="B1376" s="808" t="s">
        <v>1396</v>
      </c>
      <c r="C1376" s="882">
        <v>1.9798999999999997E-2</v>
      </c>
      <c r="D1376" s="882">
        <v>7.6037899999999992E-2</v>
      </c>
      <c r="E1376" s="868">
        <v>1.7399999999999999E-2</v>
      </c>
      <c r="F1376" s="844">
        <v>7.5399999999999995E-2</v>
      </c>
      <c r="G1376" s="831">
        <v>1.5299999999999999E-3</v>
      </c>
      <c r="H1376" s="913">
        <v>3.3899999999999997E-5</v>
      </c>
      <c r="I1376" s="826">
        <v>8.6899999999999998E-4</v>
      </c>
      <c r="J1376" s="943">
        <v>6.0400000000000004E-4</v>
      </c>
      <c r="K1376" s="911">
        <v>-4.3899999999999998E-3</v>
      </c>
      <c r="L1376" s="947">
        <v>4.3899999999999998E-3</v>
      </c>
      <c r="M1376" s="941">
        <v>4.1070000000000002</v>
      </c>
      <c r="N1376" s="945">
        <v>15.73204</v>
      </c>
      <c r="O1376" s="940">
        <v>3.61</v>
      </c>
      <c r="P1376" s="847">
        <v>15.6</v>
      </c>
      <c r="Q1376" s="912">
        <v>0.317</v>
      </c>
      <c r="R1376" s="857">
        <v>7.0400000000000003E-3</v>
      </c>
      <c r="S1376" s="912">
        <v>0.18</v>
      </c>
      <c r="T1376" s="947">
        <v>0.125</v>
      </c>
      <c r="U1376" s="882">
        <v>-0.90800000000000003</v>
      </c>
      <c r="V1376" s="933">
        <v>0.90800000000000003</v>
      </c>
      <c r="W1376" s="884">
        <v>0.7</v>
      </c>
    </row>
    <row r="1377" spans="2:23" hidden="1" outlineLevel="2" x14ac:dyDescent="0.15">
      <c r="B1377" s="949" t="s">
        <v>1392</v>
      </c>
      <c r="C1377" s="843">
        <v>1.4452999999999999E-2</v>
      </c>
      <c r="D1377" s="843">
        <v>5.5467799999999998E-2</v>
      </c>
      <c r="E1377" s="869">
        <v>1.2699999999999999E-2</v>
      </c>
      <c r="F1377" s="845">
        <v>5.5E-2</v>
      </c>
      <c r="G1377" s="825">
        <v>1.1199999999999999E-3</v>
      </c>
      <c r="H1377" s="914">
        <v>2.48E-5</v>
      </c>
      <c r="I1377" s="821">
        <v>6.3299999999999999E-4</v>
      </c>
      <c r="J1377" s="944">
        <v>4.4299999999999998E-4</v>
      </c>
      <c r="K1377" s="871">
        <v>-3.2000000000000002E-3</v>
      </c>
      <c r="L1377" s="893">
        <v>3.2000000000000002E-3</v>
      </c>
      <c r="M1377" s="849">
        <v>4.79</v>
      </c>
      <c r="N1377" s="946">
        <v>18.354220000000002</v>
      </c>
      <c r="O1377" s="846">
        <v>4.21</v>
      </c>
      <c r="P1377" s="848">
        <v>18.2</v>
      </c>
      <c r="Q1377" s="856">
        <v>0.37</v>
      </c>
      <c r="R1377" s="858">
        <v>8.2199999999999999E-3</v>
      </c>
      <c r="S1377" s="856">
        <v>0.21</v>
      </c>
      <c r="T1377" s="893">
        <v>0.14599999999999999</v>
      </c>
      <c r="U1377" s="843">
        <v>-1.06</v>
      </c>
      <c r="V1377" s="874">
        <v>1.06</v>
      </c>
      <c r="W1377" s="878">
        <v>0.7</v>
      </c>
    </row>
    <row r="1378" spans="2:23" hidden="1" outlineLevel="2" x14ac:dyDescent="0.15">
      <c r="B1378" s="949" t="s">
        <v>1393</v>
      </c>
      <c r="C1378" s="843">
        <v>1.1024000000000001E-2</v>
      </c>
      <c r="D1378" s="843">
        <v>4.2255899999999999E-2</v>
      </c>
      <c r="E1378" s="869">
        <v>9.6900000000000007E-3</v>
      </c>
      <c r="F1378" s="845">
        <v>4.19E-2</v>
      </c>
      <c r="G1378" s="825">
        <v>8.52E-4</v>
      </c>
      <c r="H1378" s="914">
        <v>1.8899999999999999E-5</v>
      </c>
      <c r="I1378" s="821">
        <v>4.8200000000000001E-4</v>
      </c>
      <c r="J1378" s="944">
        <v>3.3700000000000001E-4</v>
      </c>
      <c r="K1378" s="871">
        <v>-2.4399999999999999E-3</v>
      </c>
      <c r="L1378" s="893">
        <v>2.4399999999999999E-3</v>
      </c>
      <c r="M1378" s="849">
        <v>5.4729999999999999</v>
      </c>
      <c r="N1378" s="946">
        <v>20.976400000000002</v>
      </c>
      <c r="O1378" s="846">
        <v>4.8099999999999996</v>
      </c>
      <c r="P1378" s="848">
        <v>20.8</v>
      </c>
      <c r="Q1378" s="856">
        <v>0.42299999999999999</v>
      </c>
      <c r="R1378" s="858">
        <v>9.4000000000000004E-3</v>
      </c>
      <c r="S1378" s="856">
        <v>0.24</v>
      </c>
      <c r="T1378" s="893">
        <v>0.16700000000000001</v>
      </c>
      <c r="U1378" s="843">
        <v>-1.21</v>
      </c>
      <c r="V1378" s="874">
        <v>1.21</v>
      </c>
      <c r="W1378" s="878">
        <v>0.7</v>
      </c>
    </row>
    <row r="1379" spans="2:23" hidden="1" outlineLevel="2" x14ac:dyDescent="0.15">
      <c r="B1379" s="949" t="s">
        <v>1394</v>
      </c>
      <c r="C1379" s="843">
        <v>1.0308000000000001E-2</v>
      </c>
      <c r="D1379" s="843">
        <v>3.9532700000000004E-2</v>
      </c>
      <c r="E1379" s="869">
        <v>9.0600000000000003E-3</v>
      </c>
      <c r="F1379" s="845">
        <v>3.9199999999999999E-2</v>
      </c>
      <c r="G1379" s="825">
        <v>7.9500000000000003E-4</v>
      </c>
      <c r="H1379" s="914">
        <v>1.77E-5</v>
      </c>
      <c r="I1379" s="821">
        <v>4.5300000000000001E-4</v>
      </c>
      <c r="J1379" s="944">
        <v>3.1500000000000001E-4</v>
      </c>
      <c r="K1379" s="871">
        <v>-2.2799999999999999E-3</v>
      </c>
      <c r="L1379" s="893">
        <v>2.2799999999999999E-3</v>
      </c>
      <c r="M1379" s="849">
        <v>7.9740000000000002</v>
      </c>
      <c r="N1379" s="946">
        <v>30.557700000000001</v>
      </c>
      <c r="O1379" s="846">
        <v>7.01</v>
      </c>
      <c r="P1379" s="848">
        <v>30.3</v>
      </c>
      <c r="Q1379" s="856">
        <v>0.61499999999999999</v>
      </c>
      <c r="R1379" s="858">
        <v>1.37E-2</v>
      </c>
      <c r="S1379" s="856">
        <v>0.34899999999999998</v>
      </c>
      <c r="T1379" s="893">
        <v>0.24399999999999999</v>
      </c>
      <c r="U1379" s="843">
        <v>-1.76</v>
      </c>
      <c r="V1379" s="874">
        <v>1.76</v>
      </c>
      <c r="W1379" s="878">
        <v>0.7</v>
      </c>
    </row>
    <row r="1380" spans="2:23" hidden="1" outlineLevel="2" x14ac:dyDescent="0.15">
      <c r="B1380" s="949" t="s">
        <v>1395</v>
      </c>
      <c r="C1380" s="843">
        <v>1.0740000000000001E-2</v>
      </c>
      <c r="D1380" s="843">
        <v>4.1247400000000004E-2</v>
      </c>
      <c r="E1380" s="869">
        <v>9.4400000000000005E-3</v>
      </c>
      <c r="F1380" s="845">
        <v>4.0899999999999999E-2</v>
      </c>
      <c r="G1380" s="825">
        <v>8.2799999999999996E-4</v>
      </c>
      <c r="H1380" s="914">
        <v>1.84E-5</v>
      </c>
      <c r="I1380" s="821">
        <v>4.7199999999999998E-4</v>
      </c>
      <c r="J1380" s="944">
        <v>3.2899999999999997E-4</v>
      </c>
      <c r="K1380" s="871">
        <v>-2.3800000000000002E-3</v>
      </c>
      <c r="L1380" s="893">
        <v>2.3800000000000002E-3</v>
      </c>
      <c r="M1380" s="849">
        <v>13.081999999999999</v>
      </c>
      <c r="N1380" s="946">
        <v>50.0214</v>
      </c>
      <c r="O1380" s="846">
        <v>11.5</v>
      </c>
      <c r="P1380" s="848">
        <v>49.6</v>
      </c>
      <c r="Q1380" s="856">
        <v>1.01</v>
      </c>
      <c r="R1380" s="858">
        <v>2.24E-2</v>
      </c>
      <c r="S1380" s="856">
        <v>0.57199999999999995</v>
      </c>
      <c r="T1380" s="893">
        <v>0.39900000000000002</v>
      </c>
      <c r="U1380" s="843">
        <v>-2.89</v>
      </c>
      <c r="V1380" s="874">
        <v>2.89</v>
      </c>
      <c r="W1380" s="878">
        <v>0.7</v>
      </c>
    </row>
    <row r="1381" spans="2:23" hidden="1" outlineLevel="2" x14ac:dyDescent="0.15">
      <c r="B1381" s="949" t="s">
        <v>1397</v>
      </c>
      <c r="C1381" s="843">
        <v>5.5729999999999998E-3</v>
      </c>
      <c r="D1381" s="843">
        <v>2.1379570000000001E-2</v>
      </c>
      <c r="E1381" s="869">
        <v>4.8999999999999998E-3</v>
      </c>
      <c r="F1381" s="845">
        <v>2.12E-2</v>
      </c>
      <c r="G1381" s="825">
        <v>4.2900000000000002E-4</v>
      </c>
      <c r="H1381" s="914">
        <v>9.5699999999999999E-6</v>
      </c>
      <c r="I1381" s="821">
        <v>2.4399999999999999E-4</v>
      </c>
      <c r="J1381" s="944">
        <v>1.7000000000000001E-4</v>
      </c>
      <c r="K1381" s="871">
        <v>-1.23E-3</v>
      </c>
      <c r="L1381" s="893">
        <v>1.23E-3</v>
      </c>
      <c r="M1381" s="849">
        <v>6.1549999999999994</v>
      </c>
      <c r="N1381" s="946">
        <v>23.598599999999998</v>
      </c>
      <c r="O1381" s="846">
        <v>5.41</v>
      </c>
      <c r="P1381" s="848">
        <v>23.4</v>
      </c>
      <c r="Q1381" s="856">
        <v>0.47499999999999998</v>
      </c>
      <c r="R1381" s="858">
        <v>1.06E-2</v>
      </c>
      <c r="S1381" s="856">
        <v>0.27</v>
      </c>
      <c r="T1381" s="893">
        <v>0.188</v>
      </c>
      <c r="U1381" s="843">
        <v>-1.36</v>
      </c>
      <c r="V1381" s="874">
        <v>1.36</v>
      </c>
      <c r="W1381" s="878">
        <v>0.7</v>
      </c>
    </row>
    <row r="1382" spans="2:23" hidden="1" outlineLevel="2" x14ac:dyDescent="0.15">
      <c r="B1382" s="949" t="s">
        <v>1398</v>
      </c>
      <c r="C1382" s="843">
        <v>7.4289999999999998E-3</v>
      </c>
      <c r="D1382" s="843">
        <v>2.8539800000000001E-2</v>
      </c>
      <c r="E1382" s="869">
        <v>6.5300000000000002E-3</v>
      </c>
      <c r="F1382" s="845">
        <v>2.8299999999999999E-2</v>
      </c>
      <c r="G1382" s="825">
        <v>5.7300000000000005E-4</v>
      </c>
      <c r="H1382" s="914">
        <v>1.2799999999999999E-5</v>
      </c>
      <c r="I1382" s="821">
        <v>3.2600000000000001E-4</v>
      </c>
      <c r="J1382" s="944">
        <v>2.2699999999999999E-4</v>
      </c>
      <c r="K1382" s="871">
        <v>-1.64E-3</v>
      </c>
      <c r="L1382" s="893">
        <v>1.64E-3</v>
      </c>
      <c r="M1382" s="849">
        <v>9.4309999999999992</v>
      </c>
      <c r="N1382" s="946">
        <v>36.204199999999993</v>
      </c>
      <c r="O1382" s="846">
        <v>8.2899999999999991</v>
      </c>
      <c r="P1382" s="848">
        <v>35.9</v>
      </c>
      <c r="Q1382" s="856">
        <v>0.72799999999999998</v>
      </c>
      <c r="R1382" s="858">
        <v>1.6199999999999999E-2</v>
      </c>
      <c r="S1382" s="856">
        <v>0.41299999999999998</v>
      </c>
      <c r="T1382" s="893">
        <v>0.28799999999999998</v>
      </c>
      <c r="U1382" s="843">
        <v>-2.09</v>
      </c>
      <c r="V1382" s="874">
        <v>2.09</v>
      </c>
      <c r="W1382" s="878">
        <v>0.7</v>
      </c>
    </row>
    <row r="1383" spans="2:23" hidden="1" outlineLevel="2" x14ac:dyDescent="0.15">
      <c r="B1383" s="949" t="s">
        <v>1399</v>
      </c>
      <c r="C1383" s="843">
        <v>1.5580999999999999E-2</v>
      </c>
      <c r="D1383" s="843">
        <v>5.96007E-2</v>
      </c>
      <c r="E1383" s="869">
        <v>1.37E-2</v>
      </c>
      <c r="F1383" s="845">
        <v>5.91E-2</v>
      </c>
      <c r="G1383" s="825">
        <v>1.1999999999999999E-3</v>
      </c>
      <c r="H1383" s="914">
        <v>2.6699999999999998E-5</v>
      </c>
      <c r="I1383" s="821">
        <v>6.8099999999999996E-4</v>
      </c>
      <c r="J1383" s="944">
        <v>4.7399999999999997E-4</v>
      </c>
      <c r="K1383" s="871">
        <v>-3.4399999999999999E-3</v>
      </c>
      <c r="L1383" s="893">
        <v>3.4399999999999999E-3</v>
      </c>
      <c r="M1383" s="849">
        <v>18.657</v>
      </c>
      <c r="N1383" s="946">
        <v>71.501999999999995</v>
      </c>
      <c r="O1383" s="846">
        <v>16.399999999999999</v>
      </c>
      <c r="P1383" s="848">
        <v>70.900000000000006</v>
      </c>
      <c r="Q1383" s="856">
        <v>1.44</v>
      </c>
      <c r="R1383" s="858">
        <v>3.2000000000000001E-2</v>
      </c>
      <c r="S1383" s="856">
        <v>0.81699999999999995</v>
      </c>
      <c r="T1383" s="893">
        <v>0.56999999999999995</v>
      </c>
      <c r="U1383" s="843">
        <v>-4.13</v>
      </c>
      <c r="V1383" s="874">
        <v>4.13</v>
      </c>
      <c r="W1383" s="878">
        <v>0.7</v>
      </c>
    </row>
    <row r="1384" spans="2:23" hidden="1" outlineLevel="2" x14ac:dyDescent="0.15">
      <c r="B1384" s="949" t="s">
        <v>1400</v>
      </c>
      <c r="C1384" s="843">
        <v>8.4419999999999999E-3</v>
      </c>
      <c r="D1384" s="843">
        <v>3.2372499999999998E-2</v>
      </c>
      <c r="E1384" s="869">
        <v>7.4200000000000004E-3</v>
      </c>
      <c r="F1384" s="845">
        <v>3.2099999999999997E-2</v>
      </c>
      <c r="G1384" s="825">
        <v>6.5099999999999999E-4</v>
      </c>
      <c r="H1384" s="914">
        <v>1.45E-5</v>
      </c>
      <c r="I1384" s="821">
        <v>3.7100000000000002E-4</v>
      </c>
      <c r="J1384" s="944">
        <v>2.5799999999999998E-4</v>
      </c>
      <c r="K1384" s="871">
        <v>-1.8699999999999999E-3</v>
      </c>
      <c r="L1384" s="893">
        <v>1.8699999999999999E-3</v>
      </c>
      <c r="M1384" s="849">
        <v>18.657</v>
      </c>
      <c r="N1384" s="946">
        <v>71.501999999999995</v>
      </c>
      <c r="O1384" s="846">
        <v>16.399999999999999</v>
      </c>
      <c r="P1384" s="848">
        <v>70.900000000000006</v>
      </c>
      <c r="Q1384" s="856">
        <v>1.44</v>
      </c>
      <c r="R1384" s="858">
        <v>3.2000000000000001E-2</v>
      </c>
      <c r="S1384" s="856">
        <v>0.81699999999999995</v>
      </c>
      <c r="T1384" s="893">
        <v>0.56999999999999995</v>
      </c>
      <c r="U1384" s="843">
        <v>-4.13</v>
      </c>
      <c r="V1384" s="874">
        <v>4.13</v>
      </c>
      <c r="W1384" s="878">
        <v>0.7</v>
      </c>
    </row>
    <row r="1385" spans="2:23" hidden="1" outlineLevel="2" x14ac:dyDescent="0.15">
      <c r="B1385" s="801"/>
      <c r="C1385" s="823"/>
      <c r="D1385" s="823"/>
      <c r="E1385" s="801"/>
      <c r="F1385" s="842"/>
      <c r="G1385" s="823"/>
      <c r="H1385" s="842"/>
      <c r="I1385" s="823"/>
      <c r="J1385" s="824"/>
      <c r="K1385" s="801"/>
      <c r="L1385" s="824"/>
      <c r="M1385" s="823"/>
      <c r="N1385" s="824"/>
      <c r="O1385" s="823"/>
      <c r="P1385" s="842"/>
      <c r="Q1385" s="823"/>
      <c r="R1385" s="842"/>
      <c r="S1385" s="823"/>
      <c r="T1385" s="824"/>
      <c r="U1385" s="823"/>
      <c r="V1385" s="824"/>
      <c r="W1385" s="824"/>
    </row>
    <row r="1386" spans="2:23" hidden="1" outlineLevel="2" x14ac:dyDescent="0.15"/>
    <row r="1387" spans="2:23" hidden="1" outlineLevel="2" x14ac:dyDescent="0.15">
      <c r="B1387" s="1475" t="s">
        <v>1401</v>
      </c>
      <c r="C1387" s="901"/>
      <c r="D1387" s="887"/>
      <c r="E1387" s="887"/>
    </row>
    <row r="1388" spans="2:23" hidden="1" outlineLevel="2" x14ac:dyDescent="0.15">
      <c r="B1388" s="834"/>
      <c r="C1388" s="1888" t="s">
        <v>1308</v>
      </c>
      <c r="D1388" s="1886"/>
      <c r="E1388" s="891"/>
    </row>
    <row r="1389" spans="2:23" hidden="1" outlineLevel="2" x14ac:dyDescent="0.15">
      <c r="B1389" s="1568" t="s">
        <v>1402</v>
      </c>
      <c r="C1389" s="1570" t="s">
        <v>768</v>
      </c>
      <c r="D1389" s="896" t="s">
        <v>24</v>
      </c>
      <c r="E1389" s="1571" t="s">
        <v>723</v>
      </c>
    </row>
    <row r="1390" spans="2:23" hidden="1" outlineLevel="2" x14ac:dyDescent="0.15">
      <c r="B1390" s="806" t="s">
        <v>154</v>
      </c>
      <c r="C1390" s="950">
        <v>3.1460024723788927E-3</v>
      </c>
      <c r="D1390" s="950">
        <v>2.9825581395348841E-2</v>
      </c>
      <c r="E1390" s="807">
        <v>0.1</v>
      </c>
    </row>
    <row r="1391" spans="2:23" hidden="1" outlineLevel="2" x14ac:dyDescent="0.15">
      <c r="B1391" s="806" t="s">
        <v>155</v>
      </c>
      <c r="C1391" s="950">
        <v>3.0797708413814423E-3</v>
      </c>
      <c r="D1391" s="950">
        <v>2.9197674418604654E-2</v>
      </c>
      <c r="E1391" s="807">
        <v>0.1</v>
      </c>
    </row>
    <row r="1392" spans="2:23" hidden="1" outlineLevel="2" x14ac:dyDescent="0.15">
      <c r="B1392" s="806" t="s">
        <v>156</v>
      </c>
      <c r="C1392" s="950">
        <v>4.5037509078266246E-3</v>
      </c>
      <c r="D1392" s="950">
        <v>4.2697674418604649E-2</v>
      </c>
      <c r="E1392" s="807">
        <v>0.1</v>
      </c>
    </row>
    <row r="1393" spans="1:256" hidden="1" outlineLevel="2" x14ac:dyDescent="0.15">
      <c r="B1393" s="806" t="s">
        <v>1403</v>
      </c>
      <c r="C1393" s="950">
        <v>3.8083187823533958E-3</v>
      </c>
      <c r="D1393" s="950">
        <v>3.6104651162790706E-2</v>
      </c>
      <c r="E1393" s="807">
        <v>0.1</v>
      </c>
    </row>
    <row r="1394" spans="1:256" hidden="1" outlineLevel="2" x14ac:dyDescent="0.15">
      <c r="B1394" s="806" t="s">
        <v>157</v>
      </c>
      <c r="C1394" s="950">
        <v>3.9738978598470231E-3</v>
      </c>
      <c r="D1394" s="950">
        <v>3.7674418604651164E-2</v>
      </c>
      <c r="E1394" s="807">
        <v>0.1</v>
      </c>
    </row>
    <row r="1395" spans="1:256" hidden="1" outlineLevel="2" x14ac:dyDescent="0.15">
      <c r="B1395" s="806" t="s">
        <v>1404</v>
      </c>
      <c r="C1395" s="950">
        <v>4.0070136753457466E-3</v>
      </c>
      <c r="D1395" s="950">
        <v>3.7988372093023255E-2</v>
      </c>
      <c r="E1395" s="807">
        <v>0.1</v>
      </c>
    </row>
    <row r="1396" spans="1:256" hidden="1" outlineLevel="2" x14ac:dyDescent="0.15">
      <c r="B1396" s="806" t="s">
        <v>1405</v>
      </c>
      <c r="C1396" s="950">
        <v>3.5765080738623199E-3</v>
      </c>
      <c r="D1396" s="950">
        <v>3.3906976744186051E-2</v>
      </c>
      <c r="E1396" s="807">
        <v>0.1</v>
      </c>
    </row>
    <row r="1397" spans="1:256" hidden="1" outlineLevel="2" x14ac:dyDescent="0.15">
      <c r="B1397" s="806"/>
      <c r="C1397" s="950"/>
      <c r="D1397" s="950"/>
      <c r="E1397" s="807"/>
    </row>
    <row r="1398" spans="1:256" hidden="1" outlineLevel="2" x14ac:dyDescent="0.15">
      <c r="B1398" s="806" t="s">
        <v>1406</v>
      </c>
      <c r="C1398" s="1523">
        <v>0.53700000000000003</v>
      </c>
      <c r="D1398" s="1523">
        <v>1.54</v>
      </c>
      <c r="E1398" s="807">
        <v>0.2</v>
      </c>
    </row>
    <row r="1399" spans="1:256" hidden="1" outlineLevel="2" x14ac:dyDescent="0.15">
      <c r="B1399" s="806" t="s">
        <v>1407</v>
      </c>
      <c r="C1399" s="1523">
        <v>8.9200000000000002E-2</v>
      </c>
      <c r="D1399" s="1523">
        <v>2.5499999999999998</v>
      </c>
      <c r="E1399" s="807">
        <v>0.2</v>
      </c>
    </row>
    <row r="1400" spans="1:256" hidden="1" outlineLevel="2" x14ac:dyDescent="0.15">
      <c r="B1400" s="802"/>
      <c r="C1400" s="823"/>
      <c r="D1400" s="951"/>
      <c r="E1400" s="803"/>
    </row>
    <row r="1401" spans="1:256" hidden="1" outlineLevel="2" x14ac:dyDescent="0.15">
      <c r="B1401" s="13"/>
      <c r="C1401" s="13"/>
      <c r="D1401" s="1088"/>
      <c r="E1401" s="1089"/>
    </row>
    <row r="1402" spans="1:256" ht="15" customHeight="1" x14ac:dyDescent="0.15"/>
    <row r="1403" spans="1:256" s="26" customFormat="1" ht="20" customHeight="1" x14ac:dyDescent="0.15">
      <c r="A1403" s="13"/>
      <c r="B1403" s="1871" t="s">
        <v>1408</v>
      </c>
      <c r="C1403" s="1872"/>
      <c r="D1403" s="1872"/>
      <c r="E1403" s="1872"/>
      <c r="F1403" s="1872"/>
      <c r="G1403" s="1872"/>
      <c r="H1403" s="1872"/>
      <c r="I1403" s="1872"/>
      <c r="J1403" s="1873"/>
      <c r="K1403" s="28"/>
      <c r="L1403" s="28"/>
      <c r="M1403" s="28"/>
      <c r="N1403" s="28"/>
      <c r="O1403" s="28"/>
      <c r="P1403" s="28"/>
      <c r="Q1403" s="28"/>
      <c r="R1403" s="28"/>
      <c r="S1403" s="28"/>
      <c r="T1403" s="28"/>
      <c r="U1403" s="28"/>
      <c r="V1403" s="28"/>
      <c r="W1403" s="29"/>
      <c r="X1403" s="29"/>
      <c r="Y1403" s="29"/>
      <c r="Z1403" s="29"/>
      <c r="AA1403" s="29"/>
      <c r="AB1403" s="29"/>
      <c r="AC1403" s="29"/>
      <c r="AD1403" s="29"/>
      <c r="AE1403" s="29"/>
      <c r="AF1403" s="29"/>
      <c r="AG1403" s="29"/>
      <c r="AH1403" s="29"/>
      <c r="AI1403" s="29"/>
      <c r="AJ1403" s="29"/>
      <c r="AK1403" s="29"/>
      <c r="AL1403" s="29"/>
      <c r="AM1403" s="29"/>
      <c r="AN1403" s="29"/>
      <c r="AO1403" s="29"/>
      <c r="AP1403" s="29"/>
      <c r="AQ1403" s="29"/>
      <c r="AR1403" s="29"/>
      <c r="AS1403" s="29"/>
      <c r="AT1403" s="29"/>
      <c r="AU1403" s="29"/>
      <c r="AV1403" s="29"/>
      <c r="AW1403" s="29"/>
      <c r="AX1403" s="29"/>
      <c r="AY1403" s="29"/>
      <c r="AZ1403" s="29"/>
      <c r="BA1403" s="29"/>
      <c r="BB1403" s="29"/>
      <c r="BC1403" s="29"/>
      <c r="BD1403" s="29"/>
      <c r="BE1403" s="29"/>
      <c r="BF1403" s="29"/>
      <c r="BG1403" s="29"/>
      <c r="BH1403" s="29"/>
      <c r="BI1403" s="29"/>
      <c r="BJ1403" s="29"/>
      <c r="BK1403" s="29"/>
      <c r="BL1403" s="29"/>
      <c r="BM1403" s="29"/>
      <c r="BN1403" s="29"/>
      <c r="BO1403" s="29"/>
      <c r="BP1403" s="29"/>
      <c r="BQ1403" s="29"/>
      <c r="BR1403" s="29"/>
      <c r="BS1403" s="29"/>
      <c r="BT1403" s="29"/>
      <c r="BU1403" s="29"/>
      <c r="BV1403" s="29"/>
      <c r="BW1403" s="29"/>
      <c r="BX1403" s="29"/>
      <c r="BY1403" s="29"/>
      <c r="BZ1403" s="29"/>
      <c r="CA1403" s="29"/>
      <c r="CB1403" s="29"/>
      <c r="CC1403" s="29"/>
      <c r="CD1403" s="29"/>
      <c r="CE1403" s="29"/>
      <c r="CF1403" s="29"/>
      <c r="CG1403" s="29"/>
      <c r="CH1403" s="29"/>
      <c r="CI1403" s="29"/>
      <c r="CJ1403" s="29"/>
      <c r="CK1403" s="29"/>
      <c r="CL1403" s="29"/>
      <c r="CM1403" s="29"/>
      <c r="CN1403" s="29"/>
      <c r="CO1403" s="29"/>
      <c r="CP1403" s="29"/>
      <c r="CQ1403" s="29"/>
      <c r="CR1403" s="29"/>
      <c r="CS1403" s="29"/>
      <c r="CT1403" s="29"/>
      <c r="CU1403" s="29"/>
      <c r="CV1403" s="29"/>
      <c r="CW1403" s="29"/>
      <c r="CX1403" s="29"/>
      <c r="CY1403" s="29"/>
      <c r="CZ1403" s="29"/>
      <c r="DA1403" s="29"/>
      <c r="DB1403" s="29"/>
      <c r="DC1403" s="29"/>
      <c r="DD1403" s="29"/>
      <c r="DE1403" s="29"/>
      <c r="DF1403" s="29"/>
      <c r="DG1403" s="29"/>
      <c r="DH1403" s="29"/>
      <c r="DI1403" s="29"/>
      <c r="DJ1403" s="29"/>
      <c r="DK1403" s="29"/>
      <c r="DL1403" s="29"/>
      <c r="DM1403" s="29"/>
      <c r="DN1403" s="29"/>
      <c r="DO1403" s="29"/>
      <c r="DP1403" s="29"/>
      <c r="DQ1403" s="29"/>
      <c r="DR1403" s="29"/>
      <c r="DS1403" s="29"/>
      <c r="DT1403" s="29"/>
      <c r="DU1403" s="29"/>
      <c r="DV1403" s="29"/>
      <c r="DW1403" s="29"/>
      <c r="DX1403" s="29"/>
      <c r="DY1403" s="29"/>
      <c r="DZ1403" s="29"/>
      <c r="EA1403" s="29"/>
      <c r="EB1403" s="29"/>
      <c r="EC1403" s="29"/>
      <c r="ED1403" s="29"/>
      <c r="EE1403" s="29"/>
      <c r="EF1403" s="29"/>
      <c r="EG1403" s="29"/>
      <c r="EH1403" s="29"/>
      <c r="EI1403" s="29"/>
      <c r="EJ1403" s="29"/>
      <c r="EK1403" s="29"/>
      <c r="EL1403" s="29"/>
      <c r="EM1403" s="29"/>
      <c r="EN1403" s="29"/>
      <c r="EO1403" s="29"/>
      <c r="EP1403" s="29"/>
      <c r="EQ1403" s="29"/>
      <c r="ER1403" s="29"/>
      <c r="ES1403" s="29"/>
      <c r="ET1403" s="29"/>
      <c r="EU1403" s="29"/>
      <c r="EV1403" s="29"/>
      <c r="EW1403" s="29"/>
      <c r="EX1403" s="29"/>
      <c r="EY1403" s="29"/>
      <c r="EZ1403" s="29"/>
      <c r="FA1403" s="29"/>
      <c r="FB1403" s="29"/>
      <c r="FC1403" s="29"/>
      <c r="FD1403" s="29"/>
      <c r="FE1403" s="29"/>
      <c r="FF1403" s="29"/>
      <c r="FG1403" s="29"/>
      <c r="FH1403" s="29"/>
      <c r="FI1403" s="29"/>
      <c r="FJ1403" s="29"/>
      <c r="FK1403" s="29"/>
      <c r="FL1403" s="29"/>
      <c r="FM1403" s="29"/>
      <c r="FN1403" s="29"/>
      <c r="FO1403" s="29"/>
      <c r="FP1403" s="29"/>
      <c r="FQ1403" s="29"/>
      <c r="FR1403" s="29"/>
      <c r="FS1403" s="29"/>
      <c r="FT1403" s="29"/>
      <c r="FU1403" s="29"/>
      <c r="FV1403" s="29"/>
      <c r="FW1403" s="29"/>
      <c r="FX1403" s="29"/>
      <c r="FY1403" s="29"/>
      <c r="FZ1403" s="29"/>
      <c r="GA1403" s="29"/>
      <c r="GB1403" s="29"/>
      <c r="GC1403" s="13"/>
      <c r="GD1403" s="13"/>
      <c r="GE1403" s="13"/>
      <c r="GF1403" s="13"/>
      <c r="GG1403" s="13"/>
      <c r="GH1403" s="13"/>
      <c r="GI1403" s="13"/>
      <c r="GJ1403" s="13"/>
      <c r="GK1403" s="13"/>
      <c r="GL1403" s="13"/>
      <c r="GM1403" s="13"/>
      <c r="GN1403" s="13"/>
      <c r="GO1403" s="13"/>
      <c r="GP1403" s="13"/>
      <c r="GQ1403" s="13"/>
      <c r="GR1403" s="13"/>
      <c r="GS1403" s="13"/>
      <c r="GT1403" s="13"/>
      <c r="GU1403" s="13"/>
      <c r="GV1403" s="13"/>
      <c r="GW1403" s="13"/>
      <c r="GX1403" s="13"/>
      <c r="GY1403" s="13"/>
      <c r="GZ1403" s="13"/>
      <c r="HA1403" s="13"/>
      <c r="HB1403" s="13"/>
      <c r="HC1403" s="13"/>
      <c r="HD1403" s="13"/>
      <c r="HE1403" s="13"/>
      <c r="HF1403" s="13"/>
      <c r="HG1403" s="13"/>
      <c r="HH1403" s="13"/>
      <c r="HI1403" s="13"/>
      <c r="HJ1403" s="13"/>
      <c r="HK1403" s="13"/>
      <c r="HL1403" s="13"/>
      <c r="HM1403" s="13"/>
      <c r="HN1403" s="13"/>
      <c r="HO1403" s="13"/>
      <c r="HP1403" s="13"/>
      <c r="HQ1403" s="13"/>
      <c r="HR1403" s="13"/>
      <c r="HS1403" s="13"/>
      <c r="HT1403" s="13"/>
      <c r="HU1403" s="13"/>
      <c r="HV1403" s="13"/>
      <c r="HW1403" s="13"/>
      <c r="HX1403" s="13"/>
      <c r="HY1403" s="13"/>
      <c r="HZ1403" s="13"/>
      <c r="IA1403" s="13"/>
      <c r="IB1403" s="13"/>
      <c r="IC1403" s="13"/>
      <c r="ID1403" s="13"/>
      <c r="IE1403" s="13"/>
      <c r="IF1403" s="13"/>
      <c r="IG1403" s="13"/>
      <c r="IH1403" s="13"/>
      <c r="II1403" s="13"/>
      <c r="IJ1403" s="13"/>
      <c r="IK1403" s="13"/>
      <c r="IL1403" s="13"/>
      <c r="IM1403" s="13"/>
      <c r="IN1403" s="13"/>
      <c r="IO1403" s="13"/>
      <c r="IP1403" s="13"/>
      <c r="IQ1403" s="13"/>
      <c r="IR1403" s="13"/>
      <c r="IS1403" s="13"/>
      <c r="IT1403" s="13"/>
      <c r="IU1403" s="13"/>
      <c r="IV1403" s="13"/>
    </row>
    <row r="1404" spans="1:256" outlineLevel="1" x14ac:dyDescent="0.15"/>
    <row r="1405" spans="1:256" outlineLevel="1" x14ac:dyDescent="0.15">
      <c r="B1405" s="1883" t="str">
        <f>$B1163</f>
        <v>adjustment factor for CO2 for transport services</v>
      </c>
      <c r="C1405" s="1884"/>
    </row>
    <row r="1406" spans="1:256" outlineLevel="1" x14ac:dyDescent="0.15">
      <c r="B1406" s="1533" t="str">
        <f>$B1164</f>
        <v>adjustment factor  (except electricity)</v>
      </c>
      <c r="C1406" s="1534">
        <f>$C1164</f>
        <v>0.03</v>
      </c>
    </row>
    <row r="1407" spans="1:256" outlineLevel="1" x14ac:dyDescent="0.15"/>
    <row r="1408" spans="1:256" s="26" customFormat="1" ht="15.75" customHeight="1" outlineLevel="1" x14ac:dyDescent="0.15">
      <c r="A1408" s="13"/>
      <c r="B1408" s="1868" t="s">
        <v>1409</v>
      </c>
      <c r="C1408" s="1869"/>
      <c r="D1408" s="1869"/>
      <c r="E1408" s="1869"/>
      <c r="F1408" s="1869"/>
      <c r="G1408" s="1869"/>
      <c r="H1408" s="1869"/>
      <c r="I1408" s="1869"/>
      <c r="J1408" s="1870"/>
      <c r="K1408" s="28"/>
      <c r="L1408" s="28"/>
      <c r="M1408" s="28"/>
      <c r="N1408" s="28"/>
      <c r="O1408" s="28"/>
      <c r="P1408" s="28"/>
      <c r="Q1408" s="28"/>
      <c r="R1408" s="28"/>
      <c r="S1408" s="28"/>
      <c r="T1408" s="28"/>
      <c r="U1408" s="28"/>
      <c r="V1408" s="28"/>
      <c r="W1408" s="29"/>
      <c r="X1408" s="29"/>
      <c r="Y1408" s="29"/>
      <c r="Z1408" s="29"/>
      <c r="AA1408" s="29"/>
      <c r="AB1408" s="29"/>
      <c r="AC1408" s="29"/>
      <c r="AD1408" s="29"/>
      <c r="AE1408" s="29"/>
      <c r="AF1408" s="29"/>
      <c r="AG1408" s="29"/>
      <c r="AH1408" s="29"/>
      <c r="AI1408" s="29"/>
      <c r="AJ1408" s="29"/>
      <c r="AK1408" s="29"/>
      <c r="AL1408" s="29"/>
      <c r="AM1408" s="29"/>
      <c r="AN1408" s="29"/>
      <c r="AO1408" s="29"/>
      <c r="AP1408" s="29"/>
      <c r="AQ1408" s="29"/>
      <c r="AR1408" s="29"/>
      <c r="AS1408" s="29"/>
      <c r="AT1408" s="29"/>
      <c r="AU1408" s="29"/>
      <c r="AV1408" s="29"/>
      <c r="AW1408" s="29"/>
      <c r="AX1408" s="29"/>
      <c r="AY1408" s="29"/>
      <c r="AZ1408" s="29"/>
      <c r="BA1408" s="29"/>
      <c r="BB1408" s="29"/>
      <c r="BC1408" s="29"/>
      <c r="BD1408" s="29"/>
      <c r="BE1408" s="29"/>
      <c r="BF1408" s="29"/>
      <c r="BG1408" s="29"/>
      <c r="BH1408" s="29"/>
      <c r="BI1408" s="29"/>
      <c r="BJ1408" s="29"/>
      <c r="BK1408" s="29"/>
      <c r="BL1408" s="29"/>
      <c r="BM1408" s="29"/>
      <c r="BN1408" s="29"/>
      <c r="BO1408" s="29"/>
      <c r="BP1408" s="29"/>
      <c r="BQ1408" s="29"/>
      <c r="BR1408" s="29"/>
      <c r="BS1408" s="29"/>
      <c r="BT1408" s="29"/>
      <c r="BU1408" s="29"/>
      <c r="BV1408" s="29"/>
      <c r="BW1408" s="29"/>
      <c r="BX1408" s="29"/>
      <c r="BY1408" s="29"/>
      <c r="BZ1408" s="29"/>
      <c r="CA1408" s="29"/>
      <c r="CB1408" s="29"/>
      <c r="CC1408" s="29"/>
      <c r="CD1408" s="29"/>
      <c r="CE1408" s="29"/>
      <c r="CF1408" s="29"/>
      <c r="CG1408" s="29"/>
      <c r="CH1408" s="29"/>
      <c r="CI1408" s="29"/>
      <c r="CJ1408" s="29"/>
      <c r="CK1408" s="29"/>
      <c r="CL1408" s="29"/>
      <c r="CM1408" s="29"/>
      <c r="CN1408" s="29"/>
      <c r="CO1408" s="29"/>
      <c r="CP1408" s="29"/>
      <c r="CQ1408" s="29"/>
      <c r="CR1408" s="29"/>
      <c r="CS1408" s="29"/>
      <c r="CT1408" s="29"/>
      <c r="CU1408" s="29"/>
      <c r="CV1408" s="29"/>
      <c r="CW1408" s="29"/>
      <c r="CX1408" s="29"/>
      <c r="CY1408" s="29"/>
      <c r="CZ1408" s="29"/>
      <c r="DA1408" s="29"/>
      <c r="DB1408" s="29"/>
      <c r="DC1408" s="29"/>
      <c r="DD1408" s="29"/>
      <c r="DE1408" s="29"/>
      <c r="DF1408" s="29"/>
      <c r="DG1408" s="29"/>
      <c r="DH1408" s="29"/>
      <c r="DI1408" s="29"/>
      <c r="DJ1408" s="29"/>
      <c r="DK1408" s="29"/>
      <c r="DL1408" s="29"/>
      <c r="DM1408" s="29"/>
      <c r="DN1408" s="29"/>
      <c r="DO1408" s="29"/>
      <c r="DP1408" s="29"/>
      <c r="DQ1408" s="29"/>
      <c r="DR1408" s="29"/>
      <c r="DS1408" s="29"/>
      <c r="DT1408" s="29"/>
      <c r="DU1408" s="29"/>
      <c r="DV1408" s="29"/>
      <c r="DW1408" s="29"/>
      <c r="DX1408" s="29"/>
      <c r="DY1408" s="29"/>
      <c r="DZ1408" s="29"/>
      <c r="EA1408" s="29"/>
      <c r="EB1408" s="29"/>
      <c r="EC1408" s="29"/>
      <c r="ED1408" s="29"/>
      <c r="EE1408" s="29"/>
      <c r="EF1408" s="29"/>
      <c r="EG1408" s="29"/>
      <c r="EH1408" s="29"/>
      <c r="EI1408" s="29"/>
      <c r="EJ1408" s="29"/>
      <c r="EK1408" s="29"/>
      <c r="EL1408" s="29"/>
      <c r="EM1408" s="29"/>
      <c r="EN1408" s="29"/>
      <c r="EO1408" s="29"/>
      <c r="EP1408" s="29"/>
      <c r="EQ1408" s="29"/>
      <c r="ER1408" s="29"/>
      <c r="ES1408" s="29"/>
      <c r="ET1408" s="29"/>
      <c r="EU1408" s="29"/>
      <c r="EV1408" s="29"/>
      <c r="EW1408" s="29"/>
      <c r="EX1408" s="29"/>
      <c r="EY1408" s="29"/>
      <c r="EZ1408" s="29"/>
      <c r="FA1408" s="29"/>
      <c r="FB1408" s="29"/>
      <c r="FC1408" s="29"/>
      <c r="FD1408" s="29"/>
      <c r="FE1408" s="29"/>
      <c r="FF1408" s="29"/>
      <c r="FG1408" s="29"/>
      <c r="FH1408" s="29"/>
      <c r="FI1408" s="29"/>
      <c r="FJ1408" s="29"/>
      <c r="FK1408" s="29"/>
      <c r="FL1408" s="29"/>
      <c r="FM1408" s="29"/>
      <c r="FN1408" s="29"/>
      <c r="FO1408" s="29"/>
      <c r="FP1408" s="29"/>
      <c r="FQ1408" s="29"/>
      <c r="FR1408" s="29"/>
      <c r="FS1408" s="29"/>
      <c r="FT1408" s="29"/>
      <c r="FU1408" s="29"/>
      <c r="FV1408" s="29"/>
      <c r="FW1408" s="29"/>
      <c r="FX1408" s="29"/>
      <c r="FY1408" s="29"/>
      <c r="FZ1408" s="29"/>
      <c r="GA1408" s="29"/>
      <c r="GB1408" s="29"/>
      <c r="GC1408" s="13"/>
      <c r="GD1408" s="13"/>
      <c r="GE1408" s="13"/>
      <c r="GF1408" s="13"/>
      <c r="GG1408" s="13"/>
      <c r="GH1408" s="13"/>
      <c r="GI1408" s="13"/>
      <c r="GJ1408" s="13"/>
      <c r="GK1408" s="13"/>
      <c r="GL1408" s="13"/>
      <c r="GM1408" s="13"/>
      <c r="GN1408" s="13"/>
      <c r="GO1408" s="13"/>
      <c r="GP1408" s="13"/>
      <c r="GQ1408" s="13"/>
      <c r="GR1408" s="13"/>
      <c r="GS1408" s="13"/>
      <c r="GT1408" s="13"/>
      <c r="GU1408" s="13"/>
      <c r="GV1408" s="13"/>
      <c r="GW1408" s="13"/>
      <c r="GX1408" s="13"/>
      <c r="GY1408" s="13"/>
      <c r="GZ1408" s="13"/>
      <c r="HA1408" s="13"/>
      <c r="HB1408" s="13"/>
      <c r="HC1408" s="13"/>
      <c r="HD1408" s="13"/>
      <c r="HE1408" s="13"/>
      <c r="HF1408" s="13"/>
      <c r="HG1408" s="13"/>
      <c r="HH1408" s="13"/>
      <c r="HI1408" s="13"/>
      <c r="HJ1408" s="13"/>
      <c r="HK1408" s="13"/>
      <c r="HL1408" s="13"/>
      <c r="HM1408" s="13"/>
      <c r="HN1408" s="13"/>
      <c r="HO1408" s="13"/>
      <c r="HP1408" s="13"/>
      <c r="HQ1408" s="13"/>
      <c r="HR1408" s="13"/>
      <c r="HS1408" s="13"/>
      <c r="HT1408" s="13"/>
      <c r="HU1408" s="13"/>
      <c r="HV1408" s="13"/>
      <c r="HW1408" s="13"/>
      <c r="HX1408" s="13"/>
      <c r="HY1408" s="13"/>
      <c r="HZ1408" s="13"/>
      <c r="IA1408" s="13"/>
      <c r="IB1408" s="13"/>
      <c r="IC1408" s="13"/>
      <c r="ID1408" s="13"/>
      <c r="IE1408" s="13"/>
      <c r="IF1408" s="13"/>
      <c r="IG1408" s="13"/>
      <c r="IH1408" s="13"/>
      <c r="II1408" s="13"/>
      <c r="IJ1408" s="13"/>
      <c r="IK1408" s="13"/>
      <c r="IL1408" s="13"/>
      <c r="IM1408" s="13"/>
      <c r="IN1408" s="13"/>
      <c r="IO1408" s="13"/>
      <c r="IP1408" s="13"/>
      <c r="IQ1408" s="13"/>
      <c r="IR1408" s="13"/>
      <c r="IS1408" s="13"/>
      <c r="IT1408" s="13"/>
      <c r="IU1408" s="13"/>
      <c r="IV1408" s="13"/>
    </row>
    <row r="1409" spans="1:22" outlineLevel="2" x14ac:dyDescent="0.15">
      <c r="S1409" s="13"/>
      <c r="T1409" s="13"/>
      <c r="U1409" s="13"/>
      <c r="V1409" s="13"/>
    </row>
    <row r="1410" spans="1:22" outlineLevel="2" x14ac:dyDescent="0.15">
      <c r="B1410" s="1475" t="s">
        <v>3227</v>
      </c>
      <c r="C1410" s="1876" t="s">
        <v>765</v>
      </c>
      <c r="D1410" s="1877"/>
      <c r="E1410" s="1878"/>
      <c r="F1410" s="1876" t="s">
        <v>1282</v>
      </c>
      <c r="G1410" s="1877"/>
      <c r="H1410" s="1877"/>
      <c r="I1410" s="1877"/>
      <c r="J1410" s="1877"/>
      <c r="K1410" s="1877"/>
      <c r="L1410" s="1877"/>
      <c r="M1410" s="1877"/>
      <c r="N1410" s="1878"/>
      <c r="O1410" s="1876" t="s">
        <v>773</v>
      </c>
      <c r="P1410" s="1877"/>
      <c r="Q1410" s="1878"/>
      <c r="R1410" s="797"/>
      <c r="S1410" s="13"/>
      <c r="T1410" s="13"/>
      <c r="U1410" s="13"/>
      <c r="V1410" s="13"/>
    </row>
    <row r="1411" spans="1:22" outlineLevel="2" x14ac:dyDescent="0.15">
      <c r="B1411" s="834"/>
      <c r="C1411" s="1885" t="s">
        <v>1281</v>
      </c>
      <c r="D1411" s="1888"/>
      <c r="E1411" s="1886"/>
      <c r="F1411" s="1885" t="s">
        <v>14</v>
      </c>
      <c r="G1411" s="1888"/>
      <c r="H1411" s="1886"/>
      <c r="I1411" s="1885" t="s">
        <v>695</v>
      </c>
      <c r="J1411" s="1888"/>
      <c r="K1411" s="1886"/>
      <c r="L1411" s="1885" t="s">
        <v>27</v>
      </c>
      <c r="M1411" s="1888"/>
      <c r="N1411" s="1886"/>
      <c r="O1411" s="1885" t="s">
        <v>1364</v>
      </c>
      <c r="P1411" s="1888"/>
      <c r="Q1411" s="1886"/>
      <c r="R1411" s="899"/>
      <c r="S1411" s="13"/>
      <c r="T1411" s="13"/>
      <c r="U1411" s="13"/>
      <c r="V1411" s="13"/>
    </row>
    <row r="1412" spans="1:22" s="698" customFormat="1" ht="12.75" customHeight="1" outlineLevel="2" x14ac:dyDescent="0.15">
      <c r="A1412" s="13"/>
      <c r="B1412" s="1568" t="s">
        <v>1277</v>
      </c>
      <c r="C1412" s="1569" t="s">
        <v>1279</v>
      </c>
      <c r="D1412" s="1570" t="s">
        <v>768</v>
      </c>
      <c r="E1412" s="1524" t="s">
        <v>24</v>
      </c>
      <c r="F1412" s="1569" t="s">
        <v>1279</v>
      </c>
      <c r="G1412" s="1570" t="s">
        <v>768</v>
      </c>
      <c r="H1412" s="1524" t="s">
        <v>24</v>
      </c>
      <c r="I1412" s="1569" t="s">
        <v>1279</v>
      </c>
      <c r="J1412" s="1570" t="s">
        <v>768</v>
      </c>
      <c r="K1412" s="1524" t="s">
        <v>24</v>
      </c>
      <c r="L1412" s="1569" t="s">
        <v>1279</v>
      </c>
      <c r="M1412" s="1570" t="s">
        <v>768</v>
      </c>
      <c r="N1412" s="1524" t="s">
        <v>24</v>
      </c>
      <c r="O1412" s="1569" t="s">
        <v>1279</v>
      </c>
      <c r="P1412" s="1570" t="s">
        <v>768</v>
      </c>
      <c r="Q1412" s="1524" t="s">
        <v>24</v>
      </c>
      <c r="R1412" s="1568" t="s">
        <v>723</v>
      </c>
    </row>
    <row r="1413" spans="1:22" outlineLevel="2" x14ac:dyDescent="0.15">
      <c r="B1413" s="800" t="s">
        <v>1410</v>
      </c>
      <c r="C1413" s="868">
        <v>0.04</v>
      </c>
      <c r="D1413" s="882">
        <v>3.6940000000000001E-2</v>
      </c>
      <c r="E1413" s="882">
        <v>0.15664400000000001</v>
      </c>
      <c r="F1413" s="868">
        <v>0.04</v>
      </c>
      <c r="G1413" s="882">
        <v>3.27E-2</v>
      </c>
      <c r="H1413" s="844">
        <v>0.155</v>
      </c>
      <c r="I1413" s="826">
        <v>0</v>
      </c>
      <c r="J1413" s="831">
        <v>3.0999999999999999E-3</v>
      </c>
      <c r="K1413" s="913">
        <v>3.7399999999999998E-4</v>
      </c>
      <c r="L1413" s="826">
        <v>0</v>
      </c>
      <c r="M1413" s="910">
        <v>1.14E-3</v>
      </c>
      <c r="N1413" s="910">
        <v>1.2700000000000001E-3</v>
      </c>
      <c r="O1413" s="799">
        <v>0</v>
      </c>
      <c r="P1413" s="910">
        <v>-8.1700000000000002E-3</v>
      </c>
      <c r="Q1413" s="915">
        <v>8.1700000000000002E-3</v>
      </c>
      <c r="R1413" s="878">
        <v>0.2</v>
      </c>
      <c r="S1413" s="13"/>
      <c r="T1413" s="13"/>
      <c r="U1413" s="13"/>
      <c r="V1413" s="13"/>
    </row>
    <row r="1414" spans="1:22" outlineLevel="2" x14ac:dyDescent="0.15">
      <c r="B1414" s="800" t="s">
        <v>1411</v>
      </c>
      <c r="C1414" s="869">
        <v>0.04</v>
      </c>
      <c r="D1414" s="843">
        <v>4.4390000000000006E-2</v>
      </c>
      <c r="E1414" s="843">
        <v>0.18797900000000001</v>
      </c>
      <c r="F1414" s="869">
        <v>0.04</v>
      </c>
      <c r="G1414" s="843">
        <v>3.9300000000000002E-2</v>
      </c>
      <c r="H1414" s="845">
        <v>0.186</v>
      </c>
      <c r="I1414" s="821">
        <v>0</v>
      </c>
      <c r="J1414" s="825">
        <v>3.7200000000000002E-3</v>
      </c>
      <c r="K1414" s="914">
        <v>4.4900000000000002E-4</v>
      </c>
      <c r="L1414" s="821">
        <v>0</v>
      </c>
      <c r="M1414" s="861">
        <v>1.3699999999999999E-3</v>
      </c>
      <c r="N1414" s="861">
        <v>1.5299999999999999E-3</v>
      </c>
      <c r="O1414" s="800">
        <v>0</v>
      </c>
      <c r="P1414" s="861">
        <v>-9.8099999999999993E-3</v>
      </c>
      <c r="Q1414" s="892">
        <v>9.8099999999999993E-3</v>
      </c>
      <c r="R1414" s="878">
        <v>0.2</v>
      </c>
      <c r="S1414" s="13"/>
      <c r="T1414" s="13"/>
      <c r="U1414" s="13"/>
      <c r="V1414" s="13"/>
    </row>
    <row r="1415" spans="1:22" outlineLevel="2" x14ac:dyDescent="0.15">
      <c r="B1415" s="800" t="s">
        <v>1412</v>
      </c>
      <c r="C1415" s="869">
        <v>0.04</v>
      </c>
      <c r="D1415" s="843">
        <v>5.6590000000000001E-2</v>
      </c>
      <c r="E1415" s="843">
        <v>0.23952199999999998</v>
      </c>
      <c r="F1415" s="869">
        <v>0.04</v>
      </c>
      <c r="G1415" s="843">
        <v>5.0099999999999999E-2</v>
      </c>
      <c r="H1415" s="845">
        <v>0.23699999999999999</v>
      </c>
      <c r="I1415" s="821">
        <v>0</v>
      </c>
      <c r="J1415" s="825">
        <v>4.7400000000000003E-3</v>
      </c>
      <c r="K1415" s="914">
        <v>5.7200000000000003E-4</v>
      </c>
      <c r="L1415" s="821">
        <v>0</v>
      </c>
      <c r="M1415" s="861">
        <v>1.75E-3</v>
      </c>
      <c r="N1415" s="861">
        <v>1.9499999999999999E-3</v>
      </c>
      <c r="O1415" s="800">
        <v>0</v>
      </c>
      <c r="P1415" s="861">
        <v>-1.2500000000000001E-2</v>
      </c>
      <c r="Q1415" s="892">
        <v>1.2500000000000001E-2</v>
      </c>
      <c r="R1415" s="878">
        <v>0.2</v>
      </c>
      <c r="S1415" s="13"/>
      <c r="T1415" s="13"/>
      <c r="U1415" s="13"/>
      <c r="V1415" s="13"/>
    </row>
    <row r="1416" spans="1:22" outlineLevel="2" x14ac:dyDescent="0.15">
      <c r="B1416" s="800"/>
      <c r="C1416" s="869"/>
      <c r="D1416" s="843"/>
      <c r="E1416" s="843"/>
      <c r="F1416" s="869"/>
      <c r="G1416" s="843"/>
      <c r="H1416" s="845"/>
      <c r="I1416" s="821"/>
      <c r="J1416" s="825"/>
      <c r="K1416" s="914"/>
      <c r="L1416" s="821"/>
      <c r="M1416" s="861"/>
      <c r="N1416" s="861"/>
      <c r="O1416" s="800"/>
      <c r="P1416" s="861"/>
      <c r="Q1416" s="892"/>
      <c r="R1416" s="878"/>
      <c r="S1416" s="13"/>
      <c r="T1416" s="13"/>
      <c r="U1416" s="13"/>
      <c r="V1416" s="13"/>
    </row>
    <row r="1417" spans="1:22" outlineLevel="2" x14ac:dyDescent="0.15">
      <c r="B1417" s="800" t="s">
        <v>1416</v>
      </c>
      <c r="C1417" s="869">
        <v>0.04</v>
      </c>
      <c r="D1417" s="843">
        <v>3.8589999999999999E-2</v>
      </c>
      <c r="E1417" s="843">
        <v>0.15238599999999999</v>
      </c>
      <c r="F1417" s="869">
        <v>0.04</v>
      </c>
      <c r="G1417" s="843">
        <v>3.4000000000000002E-2</v>
      </c>
      <c r="H1417" s="845">
        <v>0.151</v>
      </c>
      <c r="I1417" s="821">
        <v>0</v>
      </c>
      <c r="J1417" s="825">
        <v>3.0500000000000002E-3</v>
      </c>
      <c r="K1417" s="914">
        <v>1.66E-4</v>
      </c>
      <c r="L1417" s="821">
        <v>0</v>
      </c>
      <c r="M1417" s="861">
        <v>1.5399999999999999E-3</v>
      </c>
      <c r="N1417" s="861">
        <v>1.2199999999999999E-3</v>
      </c>
      <c r="O1417" s="800">
        <v>0</v>
      </c>
      <c r="P1417" s="861">
        <v>-8.5299999999999994E-3</v>
      </c>
      <c r="Q1417" s="892">
        <v>8.5299999999999994E-3</v>
      </c>
      <c r="R1417" s="878">
        <v>0.2</v>
      </c>
      <c r="S1417" s="13"/>
      <c r="T1417" s="13"/>
      <c r="U1417" s="13"/>
      <c r="V1417" s="13"/>
    </row>
    <row r="1418" spans="1:22" outlineLevel="2" x14ac:dyDescent="0.15">
      <c r="B1418" s="800" t="s">
        <v>1417</v>
      </c>
      <c r="C1418" s="869">
        <v>0.04</v>
      </c>
      <c r="D1418" s="843">
        <v>4.5289999999999997E-2</v>
      </c>
      <c r="E1418" s="843">
        <v>0.17861999999999997</v>
      </c>
      <c r="F1418" s="869">
        <v>0.04</v>
      </c>
      <c r="G1418" s="843">
        <v>3.9899999999999998E-2</v>
      </c>
      <c r="H1418" s="845">
        <v>0.17699999999999999</v>
      </c>
      <c r="I1418" s="821">
        <v>0</v>
      </c>
      <c r="J1418" s="825">
        <v>3.5799999999999998E-3</v>
      </c>
      <c r="K1418" s="914">
        <v>1.9000000000000001E-4</v>
      </c>
      <c r="L1418" s="821">
        <v>0</v>
      </c>
      <c r="M1418" s="861">
        <v>1.81E-3</v>
      </c>
      <c r="N1418" s="861">
        <v>1.4300000000000001E-3</v>
      </c>
      <c r="O1418" s="800">
        <v>0</v>
      </c>
      <c r="P1418" s="861">
        <v>-0.01</v>
      </c>
      <c r="Q1418" s="892">
        <v>0.01</v>
      </c>
      <c r="R1418" s="878">
        <v>0.2</v>
      </c>
      <c r="S1418" s="13"/>
      <c r="T1418" s="13"/>
      <c r="U1418" s="13"/>
      <c r="V1418" s="13"/>
    </row>
    <row r="1419" spans="1:22" outlineLevel="2" x14ac:dyDescent="0.15">
      <c r="B1419" s="800" t="s">
        <v>1418</v>
      </c>
      <c r="C1419" s="869">
        <v>0.04</v>
      </c>
      <c r="D1419" s="843">
        <v>6.0780000000000001E-2</v>
      </c>
      <c r="E1419" s="843">
        <v>0.24429299999999998</v>
      </c>
      <c r="F1419" s="869">
        <v>0.04</v>
      </c>
      <c r="G1419" s="843">
        <v>5.3600000000000002E-2</v>
      </c>
      <c r="H1419" s="845">
        <v>0.24199999999999999</v>
      </c>
      <c r="I1419" s="821">
        <v>0</v>
      </c>
      <c r="J1419" s="825">
        <v>4.8700000000000002E-3</v>
      </c>
      <c r="K1419" s="914">
        <v>3.3300000000000002E-4</v>
      </c>
      <c r="L1419" s="821">
        <v>0</v>
      </c>
      <c r="M1419" s="861">
        <v>2.31E-3</v>
      </c>
      <c r="N1419" s="861">
        <v>1.9599999999999999E-3</v>
      </c>
      <c r="O1419" s="800">
        <v>0</v>
      </c>
      <c r="P1419" s="861">
        <v>-1.34E-2</v>
      </c>
      <c r="Q1419" s="892">
        <v>1.34E-2</v>
      </c>
      <c r="R1419" s="878">
        <v>0.2</v>
      </c>
      <c r="S1419" s="13"/>
      <c r="T1419" s="13"/>
      <c r="U1419" s="13"/>
      <c r="V1419" s="13"/>
    </row>
    <row r="1420" spans="1:22" outlineLevel="2" x14ac:dyDescent="0.15">
      <c r="B1420" s="800"/>
      <c r="C1420" s="869"/>
      <c r="D1420" s="843"/>
      <c r="E1420" s="843"/>
      <c r="F1420" s="869"/>
      <c r="G1420" s="843"/>
      <c r="H1420" s="845"/>
      <c r="I1420" s="821"/>
      <c r="J1420" s="825"/>
      <c r="K1420" s="914"/>
      <c r="L1420" s="821"/>
      <c r="M1420" s="861"/>
      <c r="N1420" s="861"/>
      <c r="O1420" s="800"/>
      <c r="P1420" s="861"/>
      <c r="Q1420" s="892"/>
      <c r="R1420" s="878"/>
      <c r="S1420" s="13"/>
      <c r="T1420" s="13"/>
      <c r="U1420" s="13"/>
      <c r="V1420" s="13"/>
    </row>
    <row r="1421" spans="1:22" outlineLevel="2" x14ac:dyDescent="0.15">
      <c r="B1421" s="800" t="s">
        <v>1419</v>
      </c>
      <c r="C1421" s="869">
        <v>0.04</v>
      </c>
      <c r="D1421" s="843">
        <v>4.181E-2</v>
      </c>
      <c r="E1421" s="843">
        <v>0.17686299999999999</v>
      </c>
      <c r="F1421" s="869">
        <v>0.04</v>
      </c>
      <c r="G1421" s="843">
        <v>3.6999999999999998E-2</v>
      </c>
      <c r="H1421" s="845">
        <v>0.17499999999999999</v>
      </c>
      <c r="I1421" s="821">
        <v>0</v>
      </c>
      <c r="J1421" s="825">
        <v>3.5100000000000001E-3</v>
      </c>
      <c r="K1421" s="914">
        <v>4.2299999999999998E-4</v>
      </c>
      <c r="L1421" s="821">
        <v>0</v>
      </c>
      <c r="M1421" s="861">
        <v>1.2999999999999999E-3</v>
      </c>
      <c r="N1421" s="861">
        <v>1.4400000000000001E-3</v>
      </c>
      <c r="O1421" s="800">
        <v>0</v>
      </c>
      <c r="P1421" s="861">
        <v>-9.2399999999999999E-3</v>
      </c>
      <c r="Q1421" s="892">
        <v>9.2399999999999999E-3</v>
      </c>
      <c r="R1421" s="878">
        <v>0.2</v>
      </c>
      <c r="S1421" s="13"/>
      <c r="T1421" s="13"/>
      <c r="U1421" s="13"/>
      <c r="V1421" s="13"/>
    </row>
    <row r="1422" spans="1:22" outlineLevel="2" x14ac:dyDescent="0.15">
      <c r="B1422" s="800" t="s">
        <v>1420</v>
      </c>
      <c r="C1422" s="869">
        <v>0.04</v>
      </c>
      <c r="D1422" s="843">
        <v>4.3570000000000005E-2</v>
      </c>
      <c r="E1422" s="843">
        <v>0.16740470000000002</v>
      </c>
      <c r="F1422" s="869">
        <v>0.04</v>
      </c>
      <c r="G1422" s="843">
        <v>3.8300000000000001E-2</v>
      </c>
      <c r="H1422" s="845">
        <v>0.16600000000000001</v>
      </c>
      <c r="I1422" s="821">
        <v>0</v>
      </c>
      <c r="J1422" s="825">
        <v>3.3600000000000001E-3</v>
      </c>
      <c r="K1422" s="914">
        <v>7.47E-5</v>
      </c>
      <c r="L1422" s="821">
        <v>0</v>
      </c>
      <c r="M1422" s="861">
        <v>1.91E-3</v>
      </c>
      <c r="N1422" s="861">
        <v>1.33E-3</v>
      </c>
      <c r="O1422" s="800">
        <v>0</v>
      </c>
      <c r="P1422" s="861">
        <v>-9.6399999999999993E-3</v>
      </c>
      <c r="Q1422" s="892">
        <v>9.6399999999999993E-3</v>
      </c>
      <c r="R1422" s="878">
        <v>0.2</v>
      </c>
      <c r="S1422" s="13"/>
      <c r="T1422" s="13"/>
      <c r="U1422" s="13"/>
      <c r="V1422" s="13"/>
    </row>
    <row r="1423" spans="1:22" outlineLevel="2" x14ac:dyDescent="0.15">
      <c r="B1423" s="800" t="s">
        <v>1421</v>
      </c>
      <c r="C1423" s="869">
        <v>0.04</v>
      </c>
      <c r="D1423" s="843">
        <v>4.3020000000000003E-2</v>
      </c>
      <c r="E1423" s="843">
        <v>0.170545</v>
      </c>
      <c r="F1423" s="869">
        <v>0.04</v>
      </c>
      <c r="G1423" s="843">
        <v>3.7900000000000003E-2</v>
      </c>
      <c r="H1423" s="845">
        <v>0.16900000000000001</v>
      </c>
      <c r="I1423" s="821">
        <v>0</v>
      </c>
      <c r="J1423" s="825">
        <v>3.4099999999999998E-3</v>
      </c>
      <c r="K1423" s="914">
        <v>1.85E-4</v>
      </c>
      <c r="L1423" s="821">
        <v>0</v>
      </c>
      <c r="M1423" s="861">
        <v>1.7099999999999999E-3</v>
      </c>
      <c r="N1423" s="861">
        <v>1.3600000000000001E-3</v>
      </c>
      <c r="O1423" s="800">
        <v>0</v>
      </c>
      <c r="P1423" s="861">
        <v>-9.5099999999999994E-3</v>
      </c>
      <c r="Q1423" s="892">
        <v>9.5099999999999994E-3</v>
      </c>
      <c r="R1423" s="878">
        <v>0.2</v>
      </c>
      <c r="S1423" s="13"/>
      <c r="T1423" s="13"/>
      <c r="U1423" s="13"/>
      <c r="V1423" s="13"/>
    </row>
    <row r="1424" spans="1:22" outlineLevel="2" x14ac:dyDescent="0.15">
      <c r="B1424" s="1658" t="s">
        <v>3157</v>
      </c>
      <c r="C1424" s="869">
        <v>0.04</v>
      </c>
      <c r="D1424" s="843">
        <v>4.3020000000000003E-2</v>
      </c>
      <c r="E1424" s="1661">
        <v>0.16500000000000001</v>
      </c>
      <c r="F1424" s="869">
        <v>0.04</v>
      </c>
      <c r="G1424" s="843">
        <v>3.7900000000000003E-2</v>
      </c>
      <c r="H1424" s="1662">
        <v>0.16300000000000001</v>
      </c>
      <c r="I1424" s="821"/>
      <c r="J1424" s="825">
        <v>3.4099999999999998E-3</v>
      </c>
      <c r="K1424" s="1663">
        <v>3.3799999999999998E-4</v>
      </c>
      <c r="L1424" s="821"/>
      <c r="M1424" s="861">
        <v>1.7099999999999999E-3</v>
      </c>
      <c r="N1424" s="1664">
        <v>1.32E-3</v>
      </c>
      <c r="O1424" s="800">
        <v>0</v>
      </c>
      <c r="P1424" s="861">
        <v>-9.5099999999999994E-3</v>
      </c>
      <c r="Q1424" s="892">
        <v>9.5099999999999994E-3</v>
      </c>
      <c r="R1424" s="878">
        <v>0.2</v>
      </c>
      <c r="S1424" s="13"/>
      <c r="T1424" s="13"/>
      <c r="U1424" s="13"/>
      <c r="V1424" s="13"/>
    </row>
    <row r="1425" spans="2:22" outlineLevel="2" x14ac:dyDescent="0.15">
      <c r="B1425" s="800"/>
      <c r="C1425" s="869"/>
      <c r="D1425" s="843"/>
      <c r="E1425" s="843"/>
      <c r="F1425" s="869"/>
      <c r="G1425" s="843"/>
      <c r="H1425" s="845"/>
      <c r="I1425" s="821"/>
      <c r="J1425" s="825"/>
      <c r="K1425" s="914"/>
      <c r="L1425" s="821"/>
      <c r="M1425" s="861"/>
      <c r="N1425" s="861"/>
      <c r="O1425" s="800"/>
      <c r="P1425" s="861"/>
      <c r="Q1425" s="892"/>
      <c r="R1425" s="878"/>
      <c r="S1425" s="13"/>
      <c r="T1425" s="13"/>
      <c r="U1425" s="13"/>
      <c r="V1425" s="13"/>
    </row>
    <row r="1426" spans="2:22" outlineLevel="2" x14ac:dyDescent="0.15">
      <c r="B1426" s="801"/>
      <c r="C1426" s="870"/>
      <c r="D1426" s="859"/>
      <c r="E1426" s="859"/>
      <c r="F1426" s="870"/>
      <c r="G1426" s="859"/>
      <c r="H1426" s="860"/>
      <c r="I1426" s="823"/>
      <c r="J1426" s="916"/>
      <c r="K1426" s="917"/>
      <c r="L1426" s="823"/>
      <c r="M1426" s="863"/>
      <c r="N1426" s="863"/>
      <c r="O1426" s="801"/>
      <c r="P1426" s="863"/>
      <c r="Q1426" s="918"/>
      <c r="R1426" s="967"/>
      <c r="S1426" s="13"/>
      <c r="T1426" s="13"/>
      <c r="U1426" s="13"/>
      <c r="V1426" s="13"/>
    </row>
    <row r="1427" spans="2:22" outlineLevel="2" x14ac:dyDescent="0.15"/>
    <row r="1428" spans="2:22" outlineLevel="2" x14ac:dyDescent="0.15">
      <c r="B1428" s="1475" t="s">
        <v>3250</v>
      </c>
      <c r="C1428" s="1876" t="s">
        <v>765</v>
      </c>
      <c r="D1428" s="1877"/>
      <c r="E1428" s="1878"/>
      <c r="F1428" s="1876" t="s">
        <v>1282</v>
      </c>
      <c r="G1428" s="1877"/>
      <c r="H1428" s="1877"/>
      <c r="I1428" s="1877"/>
      <c r="J1428" s="1877"/>
      <c r="K1428" s="1877"/>
      <c r="L1428" s="1877"/>
      <c r="M1428" s="1877"/>
      <c r="N1428" s="1878"/>
      <c r="O1428" s="1876" t="s">
        <v>773</v>
      </c>
      <c r="P1428" s="1877"/>
      <c r="Q1428" s="1878"/>
      <c r="R1428" s="797"/>
      <c r="S1428" s="13"/>
      <c r="T1428" s="13"/>
      <c r="U1428" s="13"/>
      <c r="V1428" s="13"/>
    </row>
    <row r="1429" spans="2:22" outlineLevel="2" x14ac:dyDescent="0.15">
      <c r="B1429" s="834"/>
      <c r="C1429" s="1885" t="s">
        <v>1281</v>
      </c>
      <c r="D1429" s="1888"/>
      <c r="E1429" s="1886"/>
      <c r="F1429" s="1885" t="s">
        <v>14</v>
      </c>
      <c r="G1429" s="1888"/>
      <c r="H1429" s="1886"/>
      <c r="I1429" s="1885" t="s">
        <v>695</v>
      </c>
      <c r="J1429" s="1888"/>
      <c r="K1429" s="1886"/>
      <c r="L1429" s="1885" t="s">
        <v>27</v>
      </c>
      <c r="M1429" s="1888"/>
      <c r="N1429" s="1886"/>
      <c r="O1429" s="1885" t="s">
        <v>1364</v>
      </c>
      <c r="P1429" s="1888"/>
      <c r="Q1429" s="1886"/>
      <c r="R1429" s="899"/>
      <c r="S1429" s="13"/>
      <c r="T1429" s="13"/>
      <c r="U1429" s="13"/>
      <c r="V1429" s="13"/>
    </row>
    <row r="1430" spans="2:22" outlineLevel="2" x14ac:dyDescent="0.15">
      <c r="B1430" s="1568" t="s">
        <v>1277</v>
      </c>
      <c r="C1430" s="1569" t="s">
        <v>1279</v>
      </c>
      <c r="D1430" s="1570" t="s">
        <v>768</v>
      </c>
      <c r="E1430" s="1524" t="s">
        <v>24</v>
      </c>
      <c r="F1430" s="1569" t="s">
        <v>1279</v>
      </c>
      <c r="G1430" s="1570" t="s">
        <v>768</v>
      </c>
      <c r="H1430" s="1524" t="s">
        <v>24</v>
      </c>
      <c r="I1430" s="1569" t="s">
        <v>1279</v>
      </c>
      <c r="J1430" s="1570" t="s">
        <v>768</v>
      </c>
      <c r="K1430" s="1524" t="s">
        <v>24</v>
      </c>
      <c r="L1430" s="1569" t="s">
        <v>1279</v>
      </c>
      <c r="M1430" s="1570" t="s">
        <v>768</v>
      </c>
      <c r="N1430" s="1524" t="s">
        <v>24</v>
      </c>
      <c r="O1430" s="1569" t="s">
        <v>1279</v>
      </c>
      <c r="P1430" s="1570" t="s">
        <v>768</v>
      </c>
      <c r="Q1430" s="1524" t="s">
        <v>24</v>
      </c>
      <c r="R1430" s="1568" t="s">
        <v>723</v>
      </c>
      <c r="S1430" s="13"/>
      <c r="T1430" s="13"/>
      <c r="U1430" s="13"/>
      <c r="V1430" s="13"/>
    </row>
    <row r="1431" spans="2:22" outlineLevel="2" x14ac:dyDescent="0.15">
      <c r="B1431" s="800" t="s">
        <v>1413</v>
      </c>
      <c r="C1431" s="868">
        <v>0.04</v>
      </c>
      <c r="D1431" s="882">
        <v>3.925E-2</v>
      </c>
      <c r="E1431" s="882">
        <v>0.1502675</v>
      </c>
      <c r="F1431" s="868">
        <v>0.04</v>
      </c>
      <c r="G1431" s="882">
        <v>3.4500000000000003E-2</v>
      </c>
      <c r="H1431" s="844">
        <v>0.14899999999999999</v>
      </c>
      <c r="I1431" s="826">
        <v>0</v>
      </c>
      <c r="J1431" s="831">
        <v>3.0300000000000001E-3</v>
      </c>
      <c r="K1431" s="913">
        <v>6.7500000000000001E-5</v>
      </c>
      <c r="L1431" s="826">
        <v>0</v>
      </c>
      <c r="M1431" s="910">
        <v>1.72E-3</v>
      </c>
      <c r="N1431" s="910">
        <v>1.1999999999999999E-3</v>
      </c>
      <c r="O1431" s="799">
        <v>0</v>
      </c>
      <c r="P1431" s="910">
        <v>-8.6999999999999994E-3</v>
      </c>
      <c r="Q1431" s="915">
        <v>8.6999999999999994E-3</v>
      </c>
      <c r="R1431" s="829">
        <v>0.2</v>
      </c>
      <c r="S1431" s="13"/>
      <c r="T1431" s="13"/>
      <c r="U1431" s="13"/>
      <c r="V1431" s="13"/>
    </row>
    <row r="1432" spans="2:22" outlineLevel="2" x14ac:dyDescent="0.15">
      <c r="B1432" s="800" t="s">
        <v>1414</v>
      </c>
      <c r="C1432" s="869">
        <v>0.04</v>
      </c>
      <c r="D1432" s="843">
        <v>4.5620000000000001E-2</v>
      </c>
      <c r="E1432" s="843">
        <v>0.17546829999999999</v>
      </c>
      <c r="F1432" s="869">
        <v>0.04</v>
      </c>
      <c r="G1432" s="843">
        <v>4.0099999999999997E-2</v>
      </c>
      <c r="H1432" s="845">
        <v>0.17399999999999999</v>
      </c>
      <c r="I1432" s="821">
        <v>0</v>
      </c>
      <c r="J1432" s="825">
        <v>3.5200000000000001E-3</v>
      </c>
      <c r="K1432" s="914">
        <v>7.8300000000000006E-5</v>
      </c>
      <c r="L1432" s="821">
        <v>0</v>
      </c>
      <c r="M1432" s="861">
        <v>2E-3</v>
      </c>
      <c r="N1432" s="861">
        <v>1.39E-3</v>
      </c>
      <c r="O1432" s="800">
        <v>0</v>
      </c>
      <c r="P1432" s="861">
        <v>-1.01E-2</v>
      </c>
      <c r="Q1432" s="892">
        <v>1.01E-2</v>
      </c>
      <c r="R1432" s="829">
        <v>0.2</v>
      </c>
      <c r="S1432" s="13"/>
      <c r="T1432" s="13"/>
      <c r="U1432" s="13"/>
      <c r="V1432" s="13"/>
    </row>
    <row r="1433" spans="2:22" outlineLevel="2" x14ac:dyDescent="0.15">
      <c r="B1433" s="800" t="s">
        <v>1415</v>
      </c>
      <c r="C1433" s="869">
        <v>0.04</v>
      </c>
      <c r="D1433" s="843">
        <v>6.4630000000000007E-2</v>
      </c>
      <c r="E1433" s="843">
        <v>0.248081</v>
      </c>
      <c r="F1433" s="869">
        <v>0.04</v>
      </c>
      <c r="G1433" s="843">
        <v>5.6800000000000003E-2</v>
      </c>
      <c r="H1433" s="845">
        <v>0.246</v>
      </c>
      <c r="I1433" s="821">
        <v>0</v>
      </c>
      <c r="J1433" s="825">
        <v>4.9899999999999996E-3</v>
      </c>
      <c r="K1433" s="914">
        <v>1.11E-4</v>
      </c>
      <c r="L1433" s="821">
        <v>0</v>
      </c>
      <c r="M1433" s="861">
        <v>2.8400000000000001E-3</v>
      </c>
      <c r="N1433" s="861">
        <v>1.97E-3</v>
      </c>
      <c r="O1433" s="800">
        <v>0</v>
      </c>
      <c r="P1433" s="861">
        <v>-1.43E-2</v>
      </c>
      <c r="Q1433" s="892">
        <v>1.43E-2</v>
      </c>
      <c r="R1433" s="829">
        <v>0.2</v>
      </c>
      <c r="S1433" s="13"/>
      <c r="T1433" s="13"/>
      <c r="U1433" s="13"/>
      <c r="V1433" s="13"/>
    </row>
    <row r="1434" spans="2:22" outlineLevel="2" x14ac:dyDescent="0.15">
      <c r="B1434" s="800"/>
      <c r="C1434" s="869"/>
      <c r="D1434" s="843"/>
      <c r="E1434" s="843"/>
      <c r="F1434" s="869"/>
      <c r="G1434" s="843"/>
      <c r="H1434" s="845"/>
      <c r="I1434" s="821"/>
      <c r="J1434" s="825"/>
      <c r="K1434" s="914"/>
      <c r="L1434" s="821"/>
      <c r="M1434" s="861"/>
      <c r="N1434" s="861"/>
      <c r="O1434" s="800"/>
      <c r="P1434" s="861"/>
      <c r="Q1434" s="892"/>
      <c r="R1434" s="829"/>
      <c r="S1434" s="13"/>
      <c r="T1434" s="13"/>
      <c r="U1434" s="13"/>
      <c r="V1434" s="13"/>
    </row>
    <row r="1435" spans="2:22" outlineLevel="2" x14ac:dyDescent="0.15">
      <c r="B1435" s="800" t="s">
        <v>1416</v>
      </c>
      <c r="C1435" s="869">
        <v>0.04</v>
      </c>
      <c r="D1435" s="843">
        <v>3.8589999999999999E-2</v>
      </c>
      <c r="E1435" s="843">
        <v>0.15238599999999999</v>
      </c>
      <c r="F1435" s="869">
        <v>0.04</v>
      </c>
      <c r="G1435" s="843">
        <v>3.4000000000000002E-2</v>
      </c>
      <c r="H1435" s="845">
        <v>0.151</v>
      </c>
      <c r="I1435" s="821">
        <v>0</v>
      </c>
      <c r="J1435" s="825">
        <v>3.0500000000000002E-3</v>
      </c>
      <c r="K1435" s="914">
        <v>1.66E-4</v>
      </c>
      <c r="L1435" s="821">
        <v>0</v>
      </c>
      <c r="M1435" s="861">
        <v>1.5399999999999999E-3</v>
      </c>
      <c r="N1435" s="861">
        <v>1.2199999999999999E-3</v>
      </c>
      <c r="O1435" s="800">
        <v>0</v>
      </c>
      <c r="P1435" s="861">
        <v>-8.5299999999999994E-3</v>
      </c>
      <c r="Q1435" s="892">
        <v>8.5299999999999994E-3</v>
      </c>
      <c r="R1435" s="829">
        <v>0.2</v>
      </c>
      <c r="S1435" s="13"/>
      <c r="T1435" s="13"/>
      <c r="U1435" s="13"/>
      <c r="V1435" s="13"/>
    </row>
    <row r="1436" spans="2:22" outlineLevel="2" x14ac:dyDescent="0.15">
      <c r="B1436" s="800" t="s">
        <v>1417</v>
      </c>
      <c r="C1436" s="869">
        <v>0.04</v>
      </c>
      <c r="D1436" s="843">
        <v>4.5289999999999997E-2</v>
      </c>
      <c r="E1436" s="843">
        <v>0.17861999999999997</v>
      </c>
      <c r="F1436" s="869">
        <v>0.04</v>
      </c>
      <c r="G1436" s="843">
        <v>3.9899999999999998E-2</v>
      </c>
      <c r="H1436" s="845">
        <v>0.17699999999999999</v>
      </c>
      <c r="I1436" s="821">
        <v>0</v>
      </c>
      <c r="J1436" s="825">
        <v>3.5799999999999998E-3</v>
      </c>
      <c r="K1436" s="914">
        <v>1.9000000000000001E-4</v>
      </c>
      <c r="L1436" s="821">
        <v>0</v>
      </c>
      <c r="M1436" s="861">
        <v>1.81E-3</v>
      </c>
      <c r="N1436" s="861">
        <v>1.4300000000000001E-3</v>
      </c>
      <c r="O1436" s="800">
        <v>0</v>
      </c>
      <c r="P1436" s="861">
        <v>-0.01</v>
      </c>
      <c r="Q1436" s="892">
        <v>0.01</v>
      </c>
      <c r="R1436" s="829">
        <v>0.2</v>
      </c>
      <c r="S1436" s="13"/>
      <c r="T1436" s="13"/>
      <c r="U1436" s="13"/>
      <c r="V1436" s="13"/>
    </row>
    <row r="1437" spans="2:22" outlineLevel="2" x14ac:dyDescent="0.15">
      <c r="B1437" s="800" t="s">
        <v>1418</v>
      </c>
      <c r="C1437" s="869">
        <v>0.04</v>
      </c>
      <c r="D1437" s="843">
        <v>6.0780000000000001E-2</v>
      </c>
      <c r="E1437" s="843">
        <v>0.24429299999999998</v>
      </c>
      <c r="F1437" s="869">
        <v>0.04</v>
      </c>
      <c r="G1437" s="843">
        <v>5.3600000000000002E-2</v>
      </c>
      <c r="H1437" s="845">
        <v>0.24199999999999999</v>
      </c>
      <c r="I1437" s="821">
        <v>0</v>
      </c>
      <c r="J1437" s="825">
        <v>4.8700000000000002E-3</v>
      </c>
      <c r="K1437" s="914">
        <v>3.3300000000000002E-4</v>
      </c>
      <c r="L1437" s="821">
        <v>0</v>
      </c>
      <c r="M1437" s="861">
        <v>2.31E-3</v>
      </c>
      <c r="N1437" s="861">
        <v>1.9599999999999999E-3</v>
      </c>
      <c r="O1437" s="800">
        <v>0</v>
      </c>
      <c r="P1437" s="861">
        <v>-1.34E-2</v>
      </c>
      <c r="Q1437" s="892">
        <v>1.34E-2</v>
      </c>
      <c r="R1437" s="829">
        <v>0.2</v>
      </c>
      <c r="S1437" s="13"/>
      <c r="T1437" s="13"/>
      <c r="U1437" s="13"/>
      <c r="V1437" s="13"/>
    </row>
    <row r="1438" spans="2:22" outlineLevel="2" x14ac:dyDescent="0.15">
      <c r="B1438" s="800"/>
      <c r="C1438" s="869"/>
      <c r="D1438" s="843"/>
      <c r="E1438" s="843"/>
      <c r="F1438" s="869"/>
      <c r="G1438" s="843"/>
      <c r="H1438" s="845"/>
      <c r="I1438" s="821"/>
      <c r="J1438" s="825"/>
      <c r="K1438" s="914"/>
      <c r="L1438" s="821"/>
      <c r="M1438" s="861"/>
      <c r="N1438" s="861"/>
      <c r="O1438" s="800"/>
      <c r="P1438" s="861"/>
      <c r="Q1438" s="892"/>
      <c r="R1438" s="829"/>
      <c r="S1438" s="13"/>
      <c r="T1438" s="13"/>
      <c r="U1438" s="13"/>
      <c r="V1438" s="13"/>
    </row>
    <row r="1439" spans="2:22" outlineLevel="2" x14ac:dyDescent="0.15">
      <c r="B1439" s="800" t="s">
        <v>1419</v>
      </c>
      <c r="C1439" s="869">
        <v>0.04</v>
      </c>
      <c r="D1439" s="843">
        <v>4.181E-2</v>
      </c>
      <c r="E1439" s="843">
        <v>0.17686299999999999</v>
      </c>
      <c r="F1439" s="869">
        <v>0.04</v>
      </c>
      <c r="G1439" s="843">
        <v>3.6999999999999998E-2</v>
      </c>
      <c r="H1439" s="845">
        <v>0.17499999999999999</v>
      </c>
      <c r="I1439" s="821">
        <v>0</v>
      </c>
      <c r="J1439" s="825">
        <v>3.5100000000000001E-3</v>
      </c>
      <c r="K1439" s="914">
        <v>4.2299999999999998E-4</v>
      </c>
      <c r="L1439" s="821">
        <v>0</v>
      </c>
      <c r="M1439" s="861">
        <v>1.2999999999999999E-3</v>
      </c>
      <c r="N1439" s="861">
        <v>1.4400000000000001E-3</v>
      </c>
      <c r="O1439" s="800">
        <v>0</v>
      </c>
      <c r="P1439" s="861">
        <v>-9.2399999999999999E-3</v>
      </c>
      <c r="Q1439" s="892">
        <v>9.2399999999999999E-3</v>
      </c>
      <c r="R1439" s="829">
        <v>0.2</v>
      </c>
      <c r="S1439" s="13"/>
      <c r="T1439" s="13"/>
      <c r="U1439" s="13"/>
      <c r="V1439" s="13"/>
    </row>
    <row r="1440" spans="2:22" outlineLevel="2" x14ac:dyDescent="0.15">
      <c r="B1440" s="800" t="s">
        <v>1422</v>
      </c>
      <c r="C1440" s="869">
        <v>0.04</v>
      </c>
      <c r="D1440" s="843">
        <v>4.3570000000000005E-2</v>
      </c>
      <c r="E1440" s="843">
        <v>0.16740470000000002</v>
      </c>
      <c r="F1440" s="869">
        <v>0.04</v>
      </c>
      <c r="G1440" s="843">
        <v>3.8300000000000001E-2</v>
      </c>
      <c r="H1440" s="845">
        <v>0.16600000000000001</v>
      </c>
      <c r="I1440" s="821">
        <v>0</v>
      </c>
      <c r="J1440" s="825">
        <v>3.3600000000000001E-3</v>
      </c>
      <c r="K1440" s="914">
        <v>7.47E-5</v>
      </c>
      <c r="L1440" s="821">
        <v>0</v>
      </c>
      <c r="M1440" s="861">
        <v>1.91E-3</v>
      </c>
      <c r="N1440" s="861">
        <v>1.33E-3</v>
      </c>
      <c r="O1440" s="800">
        <v>0</v>
      </c>
      <c r="P1440" s="861">
        <v>-9.6399999999999993E-3</v>
      </c>
      <c r="Q1440" s="892">
        <v>9.6399999999999993E-3</v>
      </c>
      <c r="R1440" s="829">
        <v>0.2</v>
      </c>
      <c r="S1440" s="13"/>
      <c r="T1440" s="13"/>
      <c r="U1440" s="13"/>
      <c r="V1440" s="13"/>
    </row>
    <row r="1441" spans="2:22" outlineLevel="2" x14ac:dyDescent="0.15">
      <c r="B1441" s="800" t="s">
        <v>1421</v>
      </c>
      <c r="C1441" s="869">
        <v>0.04</v>
      </c>
      <c r="D1441" s="843">
        <v>4.3020000000000003E-2</v>
      </c>
      <c r="E1441" s="843">
        <v>0.170545</v>
      </c>
      <c r="F1441" s="869">
        <v>0.04</v>
      </c>
      <c r="G1441" s="843">
        <v>3.7900000000000003E-2</v>
      </c>
      <c r="H1441" s="845">
        <v>0.16900000000000001</v>
      </c>
      <c r="I1441" s="821">
        <v>0</v>
      </c>
      <c r="J1441" s="825">
        <v>3.4099999999999998E-3</v>
      </c>
      <c r="K1441" s="914">
        <v>1.85E-4</v>
      </c>
      <c r="L1441" s="821">
        <v>0</v>
      </c>
      <c r="M1441" s="861">
        <v>1.7099999999999999E-3</v>
      </c>
      <c r="N1441" s="861">
        <v>1.3600000000000001E-3</v>
      </c>
      <c r="O1441" s="800">
        <v>0</v>
      </c>
      <c r="P1441" s="861">
        <v>-9.5099999999999994E-3</v>
      </c>
      <c r="Q1441" s="892">
        <v>9.5099999999999994E-3</v>
      </c>
      <c r="R1441" s="829">
        <v>0.2</v>
      </c>
      <c r="S1441" s="13"/>
      <c r="T1441" s="13"/>
      <c r="U1441" s="13"/>
      <c r="V1441" s="13"/>
    </row>
    <row r="1442" spans="2:22" outlineLevel="2" x14ac:dyDescent="0.15">
      <c r="B1442" s="800"/>
      <c r="C1442" s="869"/>
      <c r="D1442" s="843"/>
      <c r="E1442" s="843"/>
      <c r="F1442" s="869"/>
      <c r="G1442" s="843"/>
      <c r="H1442" s="845"/>
      <c r="I1442" s="821"/>
      <c r="J1442" s="825"/>
      <c r="K1442" s="914"/>
      <c r="L1442" s="821"/>
      <c r="M1442" s="861"/>
      <c r="N1442" s="861"/>
      <c r="O1442" s="800"/>
      <c r="P1442" s="861"/>
      <c r="Q1442" s="892"/>
      <c r="R1442" s="829"/>
      <c r="S1442" s="13"/>
      <c r="T1442" s="13"/>
      <c r="U1442" s="13"/>
      <c r="V1442" s="13"/>
    </row>
    <row r="1443" spans="2:22" outlineLevel="2" x14ac:dyDescent="0.15">
      <c r="B1443" s="1658" t="s">
        <v>3157</v>
      </c>
      <c r="C1443" s="869">
        <v>0.04</v>
      </c>
      <c r="D1443" s="843">
        <v>4.3020000000000003E-2</v>
      </c>
      <c r="E1443" s="1661">
        <v>0.16500000000000001</v>
      </c>
      <c r="F1443" s="869">
        <v>0.04</v>
      </c>
      <c r="G1443" s="843">
        <v>3.7999999999999999E-2</v>
      </c>
      <c r="H1443" s="1662">
        <v>0.16300000000000001</v>
      </c>
      <c r="I1443" s="821"/>
      <c r="J1443" s="825">
        <v>3.4099999999999998E-3</v>
      </c>
      <c r="K1443" s="1663">
        <v>3.3799999999999998E-4</v>
      </c>
      <c r="L1443" s="821">
        <v>0</v>
      </c>
      <c r="M1443" s="861">
        <v>1.7099999999999999E-3</v>
      </c>
      <c r="N1443" s="1664">
        <v>1.32E-3</v>
      </c>
      <c r="O1443" s="800"/>
      <c r="P1443" s="861"/>
      <c r="Q1443" s="892"/>
      <c r="R1443" s="829"/>
      <c r="S1443" s="13"/>
      <c r="T1443" s="13"/>
      <c r="U1443" s="13"/>
      <c r="V1443" s="13"/>
    </row>
    <row r="1444" spans="2:22" outlineLevel="2" x14ac:dyDescent="0.15">
      <c r="B1444" s="1658" t="s">
        <v>3233</v>
      </c>
      <c r="C1444" s="869">
        <v>0.04</v>
      </c>
      <c r="D1444" s="1689">
        <v>5.0599999999999999E-2</v>
      </c>
      <c r="E1444" s="1666">
        <v>0.17899999999999999</v>
      </c>
      <c r="F1444" s="869">
        <v>0.04</v>
      </c>
      <c r="G1444" s="1689">
        <v>4.2599999999999999E-2</v>
      </c>
      <c r="H1444" s="1667">
        <v>0.17799999999999999</v>
      </c>
      <c r="I1444" s="993"/>
      <c r="J1444" s="1690">
        <v>7.3000000000000001E-3</v>
      </c>
      <c r="K1444" s="1668">
        <v>7.4799999999999997E-4</v>
      </c>
      <c r="L1444" s="993"/>
      <c r="M1444" s="1664">
        <v>7.4899999999999999E-4</v>
      </c>
      <c r="N1444" s="1664">
        <v>7.4100000000000001E-4</v>
      </c>
      <c r="O1444" s="800"/>
      <c r="P1444" s="861"/>
      <c r="Q1444" s="892"/>
      <c r="R1444" s="829"/>
      <c r="S1444" s="13"/>
      <c r="T1444" s="13"/>
      <c r="U1444" s="13"/>
      <c r="V1444" s="13"/>
    </row>
    <row r="1445" spans="2:22" outlineLevel="2" x14ac:dyDescent="0.15">
      <c r="B1445" s="1658" t="s">
        <v>3234</v>
      </c>
      <c r="C1445" s="869">
        <v>0.04</v>
      </c>
      <c r="D1445" s="1661">
        <v>2.6800000000000001E-2</v>
      </c>
      <c r="E1445" s="1661">
        <v>0.154</v>
      </c>
      <c r="F1445" s="869">
        <v>0.04</v>
      </c>
      <c r="G1445" s="1661">
        <v>1.9800000000000002E-2</v>
      </c>
      <c r="H1445" s="1662">
        <v>0.152</v>
      </c>
      <c r="I1445" s="821"/>
      <c r="J1445" s="1687">
        <v>6.0699999999999999E-3</v>
      </c>
      <c r="K1445" s="1663">
        <v>1.73E-5</v>
      </c>
      <c r="L1445" s="821"/>
      <c r="M1445" s="1664">
        <v>9.9400000000000009E-4</v>
      </c>
      <c r="N1445" s="1664">
        <v>1.8E-3</v>
      </c>
      <c r="O1445" s="800"/>
      <c r="P1445" s="861"/>
      <c r="Q1445" s="892"/>
      <c r="R1445" s="829"/>
      <c r="S1445" s="13"/>
      <c r="T1445" s="13"/>
      <c r="U1445" s="13"/>
      <c r="V1445" s="13"/>
    </row>
    <row r="1446" spans="2:22" outlineLevel="2" x14ac:dyDescent="0.15">
      <c r="B1446" s="1658" t="s">
        <v>3229</v>
      </c>
      <c r="C1446" s="869">
        <v>0.04</v>
      </c>
      <c r="D1446" s="1661">
        <v>1.54E-2</v>
      </c>
      <c r="E1446" s="1661">
        <v>0.19</v>
      </c>
      <c r="F1446" s="869">
        <v>0.04</v>
      </c>
      <c r="G1446" s="1661">
        <v>1.11E-2</v>
      </c>
      <c r="H1446" s="1662">
        <v>0.188</v>
      </c>
      <c r="I1446" s="821"/>
      <c r="J1446" s="1687">
        <v>4.3299999999999996E-3</v>
      </c>
      <c r="K1446" s="1663">
        <v>6.8900000000000005E-4</v>
      </c>
      <c r="L1446" s="821"/>
      <c r="M1446" s="1664">
        <v>0</v>
      </c>
      <c r="N1446" s="1664">
        <v>8.1599999999999999E-4</v>
      </c>
      <c r="O1446" s="800"/>
      <c r="P1446" s="861"/>
      <c r="Q1446" s="892"/>
      <c r="R1446" s="829"/>
      <c r="S1446" s="13"/>
      <c r="T1446" s="13"/>
      <c r="U1446" s="13"/>
      <c r="V1446" s="13"/>
    </row>
    <row r="1447" spans="2:22" outlineLevel="2" x14ac:dyDescent="0.15">
      <c r="B1447" s="1658" t="s">
        <v>3230</v>
      </c>
      <c r="C1447" s="869">
        <v>0.04</v>
      </c>
      <c r="D1447" s="1661">
        <v>6.4199999999999993E-2</v>
      </c>
      <c r="E1447" s="1661">
        <v>0.27400000000000002</v>
      </c>
      <c r="F1447" s="869">
        <v>0.04</v>
      </c>
      <c r="G1447" s="1661">
        <v>4.6699999999999998E-2</v>
      </c>
      <c r="H1447" s="1662">
        <v>0.27300000000000002</v>
      </c>
      <c r="I1447" s="821"/>
      <c r="J1447" s="1687">
        <v>3.16E-3</v>
      </c>
      <c r="K1447" s="1687">
        <v>5.2800000000000004E-4</v>
      </c>
      <c r="L1447" s="821"/>
      <c r="M1447" s="1664">
        <v>1.43E-2</v>
      </c>
      <c r="N1447" s="1664">
        <v>3.4900000000000003E-4</v>
      </c>
      <c r="O1447" s="800"/>
      <c r="P1447" s="861"/>
      <c r="Q1447" s="892"/>
      <c r="R1447" s="829"/>
      <c r="S1447" s="13"/>
      <c r="T1447" s="13"/>
      <c r="U1447" s="13"/>
      <c r="V1447" s="13"/>
    </row>
    <row r="1448" spans="2:22" outlineLevel="2" x14ac:dyDescent="0.15">
      <c r="B1448" s="1658" t="s">
        <v>3228</v>
      </c>
      <c r="C1448" s="869">
        <v>0.04</v>
      </c>
      <c r="D1448" s="1661">
        <v>3.2199999999999999E-2</v>
      </c>
      <c r="E1448" s="1661">
        <v>0.158</v>
      </c>
      <c r="F1448" s="869">
        <v>0.04</v>
      </c>
      <c r="G1448" s="1661">
        <v>1.8700000000000001E-2</v>
      </c>
      <c r="H1448" s="1662">
        <v>0.157</v>
      </c>
      <c r="I1448" s="821">
        <v>0</v>
      </c>
      <c r="J1448" s="1687">
        <v>1.34E-2</v>
      </c>
      <c r="K1448" s="1663">
        <v>9.5E-4</v>
      </c>
      <c r="L1448" s="821">
        <v>0</v>
      </c>
      <c r="M1448" s="1664">
        <v>9.4300000000000002E-5</v>
      </c>
      <c r="N1448" s="1664">
        <v>2.6200000000000003E-4</v>
      </c>
      <c r="O1448" s="800"/>
      <c r="P1448" s="861"/>
      <c r="Q1448" s="892"/>
      <c r="R1448" s="829"/>
      <c r="S1448" s="13"/>
      <c r="T1448" s="13"/>
      <c r="U1448" s="13"/>
      <c r="V1448" s="13"/>
    </row>
    <row r="1449" spans="2:22" outlineLevel="2" x14ac:dyDescent="0.15">
      <c r="B1449" s="1658" t="s">
        <v>3286</v>
      </c>
      <c r="C1449" s="869">
        <v>0.04</v>
      </c>
      <c r="D1449" s="843">
        <v>4.181E-2</v>
      </c>
      <c r="E1449" s="1661">
        <v>0.106</v>
      </c>
      <c r="F1449" s="869"/>
      <c r="G1449" s="1661"/>
      <c r="H1449" s="1662">
        <v>0.106</v>
      </c>
      <c r="I1449" s="821"/>
      <c r="J1449" s="1687"/>
      <c r="K1449" s="1663"/>
      <c r="L1449" s="821"/>
      <c r="M1449" s="1664"/>
      <c r="N1449" s="1664">
        <v>6.2399999999999999E-5</v>
      </c>
      <c r="O1449" s="800"/>
      <c r="P1449" s="861"/>
      <c r="Q1449" s="892"/>
      <c r="R1449" s="829"/>
      <c r="S1449" s="13"/>
      <c r="T1449" s="13"/>
      <c r="U1449" s="13"/>
      <c r="V1449" s="13"/>
    </row>
    <row r="1450" spans="2:22" outlineLevel="2" x14ac:dyDescent="0.15">
      <c r="B1450" s="1691" t="s">
        <v>3160</v>
      </c>
      <c r="C1450" s="868">
        <v>0.04</v>
      </c>
      <c r="D1450" s="882">
        <v>4.3020000000000003E-2</v>
      </c>
      <c r="E1450" s="1699">
        <v>0.23599999999999999</v>
      </c>
      <c r="F1450" s="868">
        <v>0.04</v>
      </c>
      <c r="G1450" s="882">
        <v>3.7999999999999999E-2</v>
      </c>
      <c r="H1450" s="1700">
        <v>0.23100000000000001</v>
      </c>
      <c r="I1450" s="826"/>
      <c r="J1450" s="831">
        <v>3.4099999999999998E-3</v>
      </c>
      <c r="K1450" s="1701">
        <v>1.25E-3</v>
      </c>
      <c r="L1450" s="826">
        <v>0</v>
      </c>
      <c r="M1450" s="910">
        <v>1.7099999999999999E-3</v>
      </c>
      <c r="N1450" s="1702">
        <v>3.7599999999999999E-3</v>
      </c>
      <c r="O1450" s="800"/>
      <c r="P1450" s="861"/>
      <c r="Q1450" s="892"/>
      <c r="R1450" s="829"/>
      <c r="S1450" s="13"/>
      <c r="T1450" s="13"/>
      <c r="U1450" s="13"/>
      <c r="V1450" s="13"/>
    </row>
    <row r="1451" spans="2:22" outlineLevel="2" x14ac:dyDescent="0.15">
      <c r="B1451" s="1658" t="s">
        <v>3235</v>
      </c>
      <c r="C1451" s="869">
        <v>0.04</v>
      </c>
      <c r="D1451" s="1689">
        <v>5.0599999999999999E-2</v>
      </c>
      <c r="E1451" s="1666">
        <v>0.26076935595</v>
      </c>
      <c r="F1451" s="869">
        <v>0.04</v>
      </c>
      <c r="G1451" s="1689">
        <v>4.2599999999999999E-2</v>
      </c>
      <c r="H1451" s="1667">
        <v>0.256947604</v>
      </c>
      <c r="I1451" s="993"/>
      <c r="J1451" s="1690">
        <v>7.3000000000000001E-3</v>
      </c>
      <c r="K1451" s="1668">
        <v>2.0582220000000002E-3</v>
      </c>
      <c r="L1451" s="993"/>
      <c r="M1451" s="1664">
        <v>7.4899999999999999E-4</v>
      </c>
      <c r="N1451" s="1664">
        <v>1.7635299499999999E-3</v>
      </c>
      <c r="O1451" s="800"/>
      <c r="P1451" s="861"/>
      <c r="Q1451" s="892"/>
      <c r="R1451" s="829"/>
      <c r="S1451" s="13"/>
      <c r="T1451" s="13"/>
      <c r="U1451" s="13"/>
      <c r="V1451" s="13"/>
    </row>
    <row r="1452" spans="2:22" outlineLevel="2" x14ac:dyDescent="0.15">
      <c r="B1452" s="1658" t="s">
        <v>3236</v>
      </c>
      <c r="C1452" s="869">
        <v>0.04</v>
      </c>
      <c r="D1452" s="1661">
        <v>2.6800000000000001E-2</v>
      </c>
      <c r="E1452" s="1661">
        <v>0.21011159160000001</v>
      </c>
      <c r="F1452" s="869">
        <v>0.04</v>
      </c>
      <c r="G1452" s="1661">
        <v>1.9800000000000002E-2</v>
      </c>
      <c r="H1452" s="1662">
        <v>0.20297604299999999</v>
      </c>
      <c r="I1452" s="821"/>
      <c r="J1452" s="1687">
        <v>6.0699999999999999E-3</v>
      </c>
      <c r="K1452" s="1663">
        <v>9.8288099999999998E-5</v>
      </c>
      <c r="L1452" s="821"/>
      <c r="M1452" s="1664">
        <v>9.9400000000000009E-4</v>
      </c>
      <c r="N1452" s="1664">
        <v>7.0372604999999998E-3</v>
      </c>
      <c r="O1452" s="800"/>
      <c r="P1452" s="861"/>
      <c r="Q1452" s="892"/>
      <c r="R1452" s="829"/>
      <c r="S1452" s="13"/>
      <c r="T1452" s="13"/>
      <c r="U1452" s="13"/>
      <c r="V1452" s="13"/>
    </row>
    <row r="1453" spans="2:22" outlineLevel="2" x14ac:dyDescent="0.15">
      <c r="B1453" s="1658" t="s">
        <v>3237</v>
      </c>
      <c r="C1453" s="869">
        <v>0.04</v>
      </c>
      <c r="D1453" s="1661">
        <v>1.54E-2</v>
      </c>
      <c r="E1453" s="1661">
        <v>0.24141979084999998</v>
      </c>
      <c r="F1453" s="869">
        <v>0.04</v>
      </c>
      <c r="G1453" s="1661">
        <v>1.11E-2</v>
      </c>
      <c r="H1453" s="1662">
        <v>0.23742264099999999</v>
      </c>
      <c r="I1453" s="821"/>
      <c r="J1453" s="1687">
        <v>4.3299999999999996E-3</v>
      </c>
      <c r="K1453" s="1663">
        <v>2.1274979999999998E-3</v>
      </c>
      <c r="L1453" s="821"/>
      <c r="M1453" s="1664">
        <v>0</v>
      </c>
      <c r="N1453" s="1664">
        <v>1.86965185E-3</v>
      </c>
      <c r="O1453" s="800"/>
      <c r="P1453" s="861"/>
      <c r="Q1453" s="892"/>
      <c r="R1453" s="829"/>
      <c r="S1453" s="13"/>
      <c r="T1453" s="13"/>
      <c r="U1453" s="13"/>
      <c r="V1453" s="13"/>
    </row>
    <row r="1454" spans="2:22" outlineLevel="2" x14ac:dyDescent="0.15">
      <c r="B1454" s="1658" t="s">
        <v>3238</v>
      </c>
      <c r="C1454" s="869">
        <v>0.04</v>
      </c>
      <c r="D1454" s="1661">
        <v>6.4199999999999993E-2</v>
      </c>
      <c r="E1454" s="1661">
        <v>0.38811975544999999</v>
      </c>
      <c r="F1454" s="869">
        <v>0.04</v>
      </c>
      <c r="G1454" s="1661">
        <v>4.6699999999999998E-2</v>
      </c>
      <c r="H1454" s="1662">
        <v>0.38567246799999999</v>
      </c>
      <c r="I1454" s="821"/>
      <c r="J1454" s="1687">
        <v>3.16E-3</v>
      </c>
      <c r="K1454" s="1687">
        <v>1.5128099999999998E-3</v>
      </c>
      <c r="L1454" s="821"/>
      <c r="M1454" s="1664">
        <v>1.43E-2</v>
      </c>
      <c r="N1454" s="1664">
        <v>9.3447745000000001E-4</v>
      </c>
      <c r="O1454" s="800"/>
      <c r="P1454" s="861"/>
      <c r="Q1454" s="892"/>
      <c r="R1454" s="829"/>
      <c r="S1454" s="13"/>
      <c r="T1454" s="13"/>
      <c r="U1454" s="13"/>
      <c r="V1454" s="13"/>
    </row>
    <row r="1455" spans="2:22" outlineLevel="2" x14ac:dyDescent="0.15">
      <c r="B1455" s="1658" t="s">
        <v>3239</v>
      </c>
      <c r="C1455" s="869">
        <v>0.04</v>
      </c>
      <c r="D1455" s="1661">
        <v>3.2199999999999999E-2</v>
      </c>
      <c r="E1455" s="1661">
        <v>0.20003043705000001</v>
      </c>
      <c r="F1455" s="869">
        <v>0.04</v>
      </c>
      <c r="G1455" s="1661">
        <v>1.8700000000000001E-2</v>
      </c>
      <c r="H1455" s="1662">
        <v>0.19837376700000001</v>
      </c>
      <c r="I1455" s="821">
        <v>0</v>
      </c>
      <c r="J1455" s="1687">
        <v>1.34E-2</v>
      </c>
      <c r="K1455" s="1663">
        <v>9.8092799999999983E-4</v>
      </c>
      <c r="L1455" s="821">
        <v>0</v>
      </c>
      <c r="M1455" s="1664">
        <v>9.4300000000000002E-5</v>
      </c>
      <c r="N1455" s="1664">
        <v>6.7574205000000003E-4</v>
      </c>
      <c r="O1455" s="800"/>
      <c r="P1455" s="861"/>
      <c r="Q1455" s="892"/>
      <c r="R1455" s="829"/>
      <c r="S1455" s="13"/>
      <c r="T1455" s="13"/>
      <c r="U1455" s="13"/>
      <c r="V1455" s="13"/>
    </row>
    <row r="1456" spans="2:22" outlineLevel="2" x14ac:dyDescent="0.15">
      <c r="B1456" s="1658" t="s">
        <v>3287</v>
      </c>
      <c r="C1456" s="869">
        <v>0.04</v>
      </c>
      <c r="D1456" s="843">
        <v>4.181E-2</v>
      </c>
      <c r="E1456" s="1661">
        <v>0.10199999999999999</v>
      </c>
      <c r="F1456" s="869"/>
      <c r="G1456" s="1661"/>
      <c r="H1456" s="1662">
        <v>0.10199999999999999</v>
      </c>
      <c r="I1456" s="821"/>
      <c r="J1456" s="1687"/>
      <c r="K1456" s="1663"/>
      <c r="L1456" s="821"/>
      <c r="M1456" s="1664"/>
      <c r="N1456" s="1664">
        <v>5.9500000000000003E-5</v>
      </c>
      <c r="O1456" s="800"/>
      <c r="P1456" s="861"/>
      <c r="Q1456" s="892"/>
      <c r="R1456" s="829"/>
      <c r="S1456" s="13"/>
      <c r="T1456" s="13"/>
      <c r="U1456" s="13"/>
      <c r="V1456" s="13"/>
    </row>
    <row r="1457" spans="2:22" outlineLevel="2" x14ac:dyDescent="0.15">
      <c r="B1457" s="1691" t="s">
        <v>3252</v>
      </c>
      <c r="C1457" s="868">
        <v>0.04</v>
      </c>
      <c r="D1457" s="882">
        <v>4.3020000000000003E-2</v>
      </c>
      <c r="E1457" s="1699">
        <v>0.13700000000000001</v>
      </c>
      <c r="F1457" s="868">
        <v>0.04</v>
      </c>
      <c r="G1457" s="882">
        <v>3.7999999999999999E-2</v>
      </c>
      <c r="H1457" s="1700">
        <v>0.13700000000000001</v>
      </c>
      <c r="I1457" s="826"/>
      <c r="J1457" s="831">
        <v>3.4099999999999998E-3</v>
      </c>
      <c r="K1457" s="1701">
        <v>9.5500000000000004E-5</v>
      </c>
      <c r="L1457" s="826">
        <v>0</v>
      </c>
      <c r="M1457" s="910">
        <v>1.7099999999999999E-3</v>
      </c>
      <c r="N1457" s="1702">
        <v>6.4599999999999998E-4</v>
      </c>
      <c r="O1457" s="800"/>
      <c r="P1457" s="861"/>
      <c r="Q1457" s="892"/>
      <c r="R1457" s="829"/>
      <c r="S1457" s="13"/>
      <c r="T1457" s="13"/>
      <c r="U1457" s="13"/>
      <c r="V1457" s="13"/>
    </row>
    <row r="1458" spans="2:22" outlineLevel="2" x14ac:dyDescent="0.15">
      <c r="B1458" s="1691" t="s">
        <v>3240</v>
      </c>
      <c r="C1458" s="868">
        <v>0.04</v>
      </c>
      <c r="D1458" s="1692">
        <v>5.0599999999999999E-2</v>
      </c>
      <c r="E1458" s="1693">
        <v>0.13984592605000001</v>
      </c>
      <c r="F1458" s="868">
        <v>0.04</v>
      </c>
      <c r="G1458" s="1692">
        <v>4.2599999999999999E-2</v>
      </c>
      <c r="H1458" s="1694">
        <v>0.13926549199999999</v>
      </c>
      <c r="I1458" s="991"/>
      <c r="J1458" s="1695">
        <v>7.3000000000000001E-3</v>
      </c>
      <c r="K1458" s="1696">
        <v>2.2310010000000001E-4</v>
      </c>
      <c r="L1458" s="991"/>
      <c r="M1458" s="1697">
        <v>7.4899999999999999E-4</v>
      </c>
      <c r="N1458" s="1697">
        <v>3.5733395000000004E-4</v>
      </c>
      <c r="O1458" s="800"/>
      <c r="P1458" s="861"/>
      <c r="Q1458" s="892"/>
      <c r="R1458" s="829"/>
      <c r="S1458" s="13"/>
      <c r="T1458" s="13"/>
      <c r="U1458" s="13"/>
      <c r="V1458" s="13"/>
    </row>
    <row r="1459" spans="2:22" outlineLevel="2" x14ac:dyDescent="0.15">
      <c r="B1459" s="1658" t="s">
        <v>3241</v>
      </c>
      <c r="C1459" s="869">
        <v>0.04</v>
      </c>
      <c r="D1459" s="1661">
        <v>2.6800000000000001E-2</v>
      </c>
      <c r="E1459" s="1661">
        <v>0.13633856879999998</v>
      </c>
      <c r="F1459" s="869">
        <v>0.04</v>
      </c>
      <c r="G1459" s="1661">
        <v>1.9800000000000002E-2</v>
      </c>
      <c r="H1459" s="1662">
        <v>0.13550025299999999</v>
      </c>
      <c r="I1459" s="821"/>
      <c r="J1459" s="1687">
        <v>6.0699999999999999E-3</v>
      </c>
      <c r="K1459" s="1663">
        <v>3.8599500000000002E-6</v>
      </c>
      <c r="L1459" s="821"/>
      <c r="M1459" s="1664">
        <v>9.9400000000000009E-4</v>
      </c>
      <c r="N1459" s="1664">
        <v>8.3445585000000008E-4</v>
      </c>
      <c r="O1459" s="800"/>
      <c r="P1459" s="861"/>
      <c r="Q1459" s="892"/>
      <c r="R1459" s="829"/>
      <c r="S1459" s="13"/>
      <c r="T1459" s="13"/>
      <c r="U1459" s="13"/>
      <c r="V1459" s="13"/>
    </row>
    <row r="1460" spans="2:22" outlineLevel="2" x14ac:dyDescent="0.15">
      <c r="B1460" s="1658" t="s">
        <v>3242</v>
      </c>
      <c r="C1460" s="869">
        <v>0.04</v>
      </c>
      <c r="D1460" s="1661">
        <v>1.54E-2</v>
      </c>
      <c r="E1460" s="1661">
        <v>0.13954897275</v>
      </c>
      <c r="F1460" s="869">
        <v>0.04</v>
      </c>
      <c r="G1460" s="1661">
        <v>1.11E-2</v>
      </c>
      <c r="H1460" s="1662">
        <v>0.139049113</v>
      </c>
      <c r="I1460" s="821"/>
      <c r="J1460" s="1687">
        <v>4.3299999999999996E-3</v>
      </c>
      <c r="K1460" s="1663">
        <v>9.8768999999999989E-5</v>
      </c>
      <c r="L1460" s="821"/>
      <c r="M1460" s="1664">
        <v>0</v>
      </c>
      <c r="N1460" s="1664">
        <v>4.0109075000000004E-4</v>
      </c>
      <c r="O1460" s="800"/>
      <c r="P1460" s="861"/>
      <c r="Q1460" s="892"/>
      <c r="R1460" s="829"/>
      <c r="S1460" s="13"/>
      <c r="T1460" s="13"/>
      <c r="U1460" s="13"/>
      <c r="V1460" s="13"/>
    </row>
    <row r="1461" spans="2:22" outlineLevel="2" x14ac:dyDescent="0.15">
      <c r="B1461" s="1658" t="s">
        <v>3243</v>
      </c>
      <c r="C1461" s="869">
        <v>0.04</v>
      </c>
      <c r="D1461" s="1661">
        <v>6.4199999999999993E-2</v>
      </c>
      <c r="E1461" s="1661">
        <v>0.22030097208499999</v>
      </c>
      <c r="F1461" s="869">
        <v>0.04</v>
      </c>
      <c r="G1461" s="1661">
        <v>4.6699999999999998E-2</v>
      </c>
      <c r="H1461" s="1662">
        <v>0.22016047399999999</v>
      </c>
      <c r="I1461" s="821"/>
      <c r="J1461" s="1687">
        <v>3.16E-3</v>
      </c>
      <c r="K1461" s="1687">
        <v>8.0695800000000001E-5</v>
      </c>
      <c r="L1461" s="821"/>
      <c r="M1461" s="1664">
        <v>1.43E-2</v>
      </c>
      <c r="N1461" s="1664">
        <v>5.9802285000000001E-5</v>
      </c>
      <c r="O1461" s="800"/>
      <c r="P1461" s="861"/>
      <c r="Q1461" s="892"/>
      <c r="R1461" s="829"/>
      <c r="S1461" s="13"/>
      <c r="T1461" s="13"/>
      <c r="U1461" s="13"/>
      <c r="V1461" s="13"/>
    </row>
    <row r="1462" spans="2:22" outlineLevel="2" x14ac:dyDescent="0.15">
      <c r="B1462" s="1658" t="s">
        <v>3244</v>
      </c>
      <c r="C1462" s="869">
        <v>0.04</v>
      </c>
      <c r="D1462" s="1661">
        <v>3.2199999999999999E-2</v>
      </c>
      <c r="E1462" s="1661">
        <v>0.13248345662</v>
      </c>
      <c r="F1462" s="869">
        <v>0.04</v>
      </c>
      <c r="G1462" s="1661">
        <v>1.8700000000000001E-2</v>
      </c>
      <c r="H1462" s="1662">
        <v>0.13161656399999999</v>
      </c>
      <c r="I1462" s="821">
        <v>0</v>
      </c>
      <c r="J1462" s="1687">
        <v>1.34E-2</v>
      </c>
      <c r="K1462" s="1663">
        <v>7.6727700000000002E-4</v>
      </c>
      <c r="L1462" s="821">
        <v>0</v>
      </c>
      <c r="M1462" s="1664">
        <v>9.4300000000000002E-5</v>
      </c>
      <c r="N1462" s="1664">
        <v>9.961561999999999E-5</v>
      </c>
      <c r="O1462" s="800"/>
      <c r="P1462" s="861"/>
      <c r="Q1462" s="892"/>
      <c r="R1462" s="829"/>
      <c r="S1462" s="13"/>
      <c r="T1462" s="13"/>
      <c r="U1462" s="13"/>
      <c r="V1462" s="13"/>
    </row>
    <row r="1463" spans="2:22" outlineLevel="2" x14ac:dyDescent="0.15">
      <c r="B1463" s="1658" t="s">
        <v>3288</v>
      </c>
      <c r="C1463" s="869">
        <v>0.04</v>
      </c>
      <c r="D1463" s="843">
        <v>4.181E-2</v>
      </c>
      <c r="E1463" s="1661">
        <v>9.8799999999999999E-2</v>
      </c>
      <c r="F1463" s="869"/>
      <c r="G1463" s="1661"/>
      <c r="H1463" s="1662">
        <v>9.8699999999999996E-2</v>
      </c>
      <c r="I1463" s="821"/>
      <c r="J1463" s="1687"/>
      <c r="K1463" s="1663"/>
      <c r="L1463" s="821"/>
      <c r="M1463" s="1664"/>
      <c r="N1463" s="1664">
        <v>7.08E-5</v>
      </c>
      <c r="O1463" s="800"/>
      <c r="P1463" s="861"/>
      <c r="Q1463" s="892"/>
      <c r="R1463" s="829"/>
      <c r="S1463" s="13"/>
      <c r="T1463" s="13"/>
      <c r="U1463" s="13"/>
      <c r="V1463" s="13"/>
    </row>
    <row r="1464" spans="2:22" outlineLevel="2" x14ac:dyDescent="0.15">
      <c r="B1464" s="1691" t="s">
        <v>3170</v>
      </c>
      <c r="C1464" s="868">
        <v>0.04</v>
      </c>
      <c r="D1464" s="882">
        <v>4.3020000000000003E-2</v>
      </c>
      <c r="E1464" s="1699">
        <v>0.161</v>
      </c>
      <c r="F1464" s="868">
        <v>0.04</v>
      </c>
      <c r="G1464" s="882">
        <v>3.7999999999999999E-2</v>
      </c>
      <c r="H1464" s="1700">
        <v>0.16</v>
      </c>
      <c r="I1464" s="826"/>
      <c r="J1464" s="831">
        <v>3.4099999999999998E-3</v>
      </c>
      <c r="K1464" s="1701">
        <v>1.0399999999999999E-4</v>
      </c>
      <c r="L1464" s="826">
        <v>0</v>
      </c>
      <c r="M1464" s="910">
        <v>1.7099999999999999E-3</v>
      </c>
      <c r="N1464" s="1702">
        <v>7.45E-4</v>
      </c>
      <c r="O1464" s="800"/>
      <c r="P1464" s="861"/>
      <c r="Q1464" s="892"/>
      <c r="R1464" s="829"/>
      <c r="S1464" s="13"/>
      <c r="T1464" s="13"/>
      <c r="U1464" s="13"/>
      <c r="V1464" s="13"/>
    </row>
    <row r="1465" spans="2:22" s="1698" customFormat="1" outlineLevel="2" x14ac:dyDescent="0.15">
      <c r="B1465" s="1691" t="s">
        <v>3245</v>
      </c>
      <c r="C1465" s="868">
        <v>0.04</v>
      </c>
      <c r="D1465" s="1692">
        <v>5.0599999999999999E-2</v>
      </c>
      <c r="E1465" s="1693">
        <v>0.15811138794999999</v>
      </c>
      <c r="F1465" s="868">
        <v>0.04</v>
      </c>
      <c r="G1465" s="1692">
        <v>4.2599999999999999E-2</v>
      </c>
      <c r="H1465" s="1694">
        <v>0.157635784</v>
      </c>
      <c r="I1465" s="991"/>
      <c r="J1465" s="1695">
        <v>7.3000000000000001E-3</v>
      </c>
      <c r="K1465" s="1696">
        <v>2.035788E-4</v>
      </c>
      <c r="L1465" s="991"/>
      <c r="M1465" s="1697">
        <v>7.4899999999999999E-4</v>
      </c>
      <c r="N1465" s="1697">
        <v>2.7202515000000001E-4</v>
      </c>
      <c r="O1465" s="1463"/>
      <c r="P1465" s="910"/>
      <c r="Q1465" s="915">
        <v>0</v>
      </c>
      <c r="R1465" s="828"/>
    </row>
    <row r="1466" spans="2:22" outlineLevel="2" x14ac:dyDescent="0.15">
      <c r="B1466" s="1658" t="s">
        <v>3246</v>
      </c>
      <c r="C1466" s="869">
        <v>0.04</v>
      </c>
      <c r="D1466" s="1661">
        <v>2.6800000000000001E-2</v>
      </c>
      <c r="E1466" s="1661">
        <v>0.15781038086999999</v>
      </c>
      <c r="F1466" s="869">
        <v>0.04</v>
      </c>
      <c r="G1466" s="1661">
        <v>1.9800000000000002E-2</v>
      </c>
      <c r="H1466" s="1662">
        <v>0.15673633300000001</v>
      </c>
      <c r="I1466" s="821"/>
      <c r="J1466" s="1687">
        <v>6.0699999999999999E-3</v>
      </c>
      <c r="K1466" s="1663">
        <v>3.2809199999999999E-6</v>
      </c>
      <c r="L1466" s="821"/>
      <c r="M1466" s="1664">
        <v>9.9400000000000009E-4</v>
      </c>
      <c r="N1466" s="1664">
        <v>1.07076695E-3</v>
      </c>
      <c r="O1466" s="800"/>
      <c r="P1466" s="861"/>
      <c r="Q1466" s="892"/>
      <c r="R1466" s="829"/>
      <c r="S1466" s="13"/>
      <c r="T1466" s="13"/>
      <c r="U1466" s="13"/>
      <c r="V1466" s="13"/>
    </row>
    <row r="1467" spans="2:22" outlineLevel="2" x14ac:dyDescent="0.15">
      <c r="B1467" s="1658" t="s">
        <v>3247</v>
      </c>
      <c r="C1467" s="869">
        <v>0.04</v>
      </c>
      <c r="D1467" s="1661">
        <v>1.54E-2</v>
      </c>
      <c r="E1467" s="1661">
        <v>0.20515568240000001</v>
      </c>
      <c r="F1467" s="869">
        <v>0.04</v>
      </c>
      <c r="G1467" s="1661">
        <v>1.11E-2</v>
      </c>
      <c r="H1467" s="1662">
        <v>0.204800653</v>
      </c>
      <c r="I1467" s="821"/>
      <c r="J1467" s="1687">
        <v>4.3299999999999996E-3</v>
      </c>
      <c r="K1467" s="1663">
        <v>3.78138E-5</v>
      </c>
      <c r="L1467" s="821"/>
      <c r="M1467" s="1664">
        <v>0</v>
      </c>
      <c r="N1467" s="1664">
        <v>3.1721560000000002E-4</v>
      </c>
      <c r="O1467" s="800"/>
      <c r="P1467" s="861"/>
      <c r="Q1467" s="892"/>
      <c r="R1467" s="829"/>
      <c r="S1467" s="13"/>
      <c r="T1467" s="13"/>
      <c r="U1467" s="13"/>
      <c r="V1467" s="13"/>
    </row>
    <row r="1468" spans="2:22" outlineLevel="2" x14ac:dyDescent="0.15">
      <c r="B1468" s="1658" t="s">
        <v>3248</v>
      </c>
      <c r="C1468" s="869">
        <v>0.04</v>
      </c>
      <c r="D1468" s="1661">
        <v>6.4199999999999993E-2</v>
      </c>
      <c r="E1468" s="1661">
        <v>0.23235472042500002</v>
      </c>
      <c r="F1468" s="869">
        <v>0.04</v>
      </c>
      <c r="G1468" s="1661">
        <v>4.6699999999999998E-2</v>
      </c>
      <c r="H1468" s="1662">
        <v>0.23203443100000001</v>
      </c>
      <c r="I1468" s="821"/>
      <c r="J1468" s="1687">
        <v>3.16E-3</v>
      </c>
      <c r="K1468" s="1687">
        <v>1.5239999999999999E-4</v>
      </c>
      <c r="L1468" s="821"/>
      <c r="M1468" s="1664">
        <v>1.43E-2</v>
      </c>
      <c r="N1468" s="1664">
        <v>1.6788942500000001E-4</v>
      </c>
      <c r="O1468" s="800"/>
      <c r="P1468" s="861"/>
      <c r="Q1468" s="892"/>
      <c r="R1468" s="829"/>
      <c r="S1468" s="13"/>
      <c r="T1468" s="13"/>
      <c r="U1468" s="13"/>
      <c r="V1468" s="13"/>
    </row>
    <row r="1469" spans="2:22" outlineLevel="2" x14ac:dyDescent="0.15">
      <c r="B1469" s="1658" t="s">
        <v>3249</v>
      </c>
      <c r="C1469" s="869">
        <v>0.04</v>
      </c>
      <c r="D1469" s="1661">
        <v>3.2199999999999999E-2</v>
      </c>
      <c r="E1469" s="1661">
        <v>0.15036368424500002</v>
      </c>
      <c r="F1469" s="869">
        <v>0.04</v>
      </c>
      <c r="G1469" s="1661">
        <v>1.8700000000000001E-2</v>
      </c>
      <c r="H1469" s="1662">
        <v>0.14913881800000001</v>
      </c>
      <c r="I1469" s="821">
        <v>0</v>
      </c>
      <c r="J1469" s="1687">
        <v>1.34E-2</v>
      </c>
      <c r="K1469" s="1663">
        <v>1.161072E-3</v>
      </c>
      <c r="L1469" s="821">
        <v>0</v>
      </c>
      <c r="M1469" s="1664">
        <v>9.4300000000000002E-5</v>
      </c>
      <c r="N1469" s="1664">
        <v>6.3794245000000003E-5</v>
      </c>
      <c r="O1469" s="800"/>
      <c r="P1469" s="861"/>
      <c r="Q1469" s="892"/>
      <c r="R1469" s="829"/>
      <c r="S1469" s="13"/>
      <c r="T1469" s="13"/>
      <c r="U1469" s="13"/>
      <c r="V1469" s="13"/>
    </row>
    <row r="1470" spans="2:22" ht="14" outlineLevel="2" x14ac:dyDescent="0.15">
      <c r="B1470" s="1658" t="s">
        <v>3289</v>
      </c>
      <c r="C1470" s="869">
        <v>0.04</v>
      </c>
      <c r="D1470" s="843">
        <v>4.181E-2</v>
      </c>
      <c r="E1470" s="1661">
        <v>0.21099999999999999</v>
      </c>
      <c r="F1470" s="869"/>
      <c r="G1470" s="1661"/>
      <c r="H1470" s="1662">
        <v>0.21</v>
      </c>
      <c r="I1470" s="821"/>
      <c r="J1470" s="1687"/>
      <c r="K1470" s="1663"/>
      <c r="L1470" s="821"/>
      <c r="M1470" s="1710">
        <v>1.07E-3</v>
      </c>
      <c r="N1470" s="1664"/>
      <c r="O1470" s="800"/>
      <c r="P1470" s="861"/>
      <c r="Q1470" s="892"/>
      <c r="R1470" s="829"/>
      <c r="S1470" s="13"/>
      <c r="T1470" s="13"/>
      <c r="U1470" s="13"/>
      <c r="V1470" s="13"/>
    </row>
    <row r="1471" spans="2:22" outlineLevel="2" x14ac:dyDescent="0.15">
      <c r="B1471" s="1658"/>
      <c r="C1471" s="869"/>
      <c r="D1471" s="1661"/>
      <c r="E1471" s="1661"/>
      <c r="F1471" s="869"/>
      <c r="G1471" s="1661"/>
      <c r="H1471" s="1662"/>
      <c r="I1471" s="821"/>
      <c r="J1471" s="1687"/>
      <c r="K1471" s="1663"/>
      <c r="L1471" s="821"/>
      <c r="M1471" s="1664"/>
      <c r="N1471" s="1664"/>
      <c r="O1471" s="800"/>
      <c r="P1471" s="861"/>
      <c r="Q1471" s="892"/>
      <c r="R1471" s="829"/>
      <c r="S1471" s="13"/>
      <c r="T1471" s="13"/>
      <c r="U1471" s="13"/>
      <c r="V1471" s="13"/>
    </row>
    <row r="1472" spans="2:22" outlineLevel="2" x14ac:dyDescent="0.15">
      <c r="B1472" s="1658"/>
      <c r="C1472" s="869"/>
      <c r="D1472" s="1661"/>
      <c r="E1472" s="1661"/>
      <c r="F1472" s="869"/>
      <c r="G1472" s="1661"/>
      <c r="H1472" s="1662"/>
      <c r="I1472" s="821"/>
      <c r="J1472" s="1687"/>
      <c r="K1472" s="1663"/>
      <c r="L1472" s="821"/>
      <c r="M1472" s="1664"/>
      <c r="N1472" s="1664"/>
      <c r="O1472" s="800"/>
      <c r="P1472" s="861"/>
      <c r="Q1472" s="892"/>
      <c r="R1472" s="829"/>
      <c r="S1472" s="13"/>
      <c r="T1472" s="13"/>
      <c r="U1472" s="13"/>
      <c r="V1472" s="13"/>
    </row>
    <row r="1473" spans="2:22" outlineLevel="2" x14ac:dyDescent="0.15">
      <c r="B1473" s="1658"/>
      <c r="C1473" s="869"/>
      <c r="D1473" s="843"/>
      <c r="E1473" s="1661"/>
      <c r="F1473" s="869"/>
      <c r="G1473" s="843"/>
      <c r="H1473" s="1662"/>
      <c r="I1473" s="821"/>
      <c r="J1473" s="825"/>
      <c r="K1473" s="1663"/>
      <c r="L1473" s="821"/>
      <c r="M1473" s="861"/>
      <c r="N1473" s="1664"/>
      <c r="O1473" s="800"/>
      <c r="P1473" s="861"/>
      <c r="Q1473" s="892"/>
      <c r="R1473" s="829"/>
      <c r="S1473" s="13"/>
      <c r="T1473" s="13"/>
      <c r="U1473" s="13"/>
      <c r="V1473" s="13"/>
    </row>
    <row r="1474" spans="2:22" outlineLevel="2" x14ac:dyDescent="0.15">
      <c r="B1474" s="800"/>
      <c r="C1474" s="869"/>
      <c r="D1474" s="843"/>
      <c r="E1474" s="843"/>
      <c r="F1474" s="869"/>
      <c r="G1474" s="843"/>
      <c r="H1474" s="845"/>
      <c r="I1474" s="821"/>
      <c r="J1474" s="825"/>
      <c r="K1474" s="914"/>
      <c r="L1474" s="821"/>
      <c r="M1474" s="861"/>
      <c r="N1474" s="861"/>
      <c r="O1474" s="800"/>
      <c r="P1474" s="861"/>
      <c r="Q1474" s="892"/>
      <c r="R1474" s="829"/>
      <c r="S1474" s="13"/>
      <c r="T1474" s="13"/>
      <c r="U1474" s="13"/>
      <c r="V1474" s="13"/>
    </row>
    <row r="1475" spans="2:22" outlineLevel="2" x14ac:dyDescent="0.15">
      <c r="B1475" s="800"/>
      <c r="C1475" s="869"/>
      <c r="D1475" s="843"/>
      <c r="E1475" s="843"/>
      <c r="F1475" s="869"/>
      <c r="G1475" s="843"/>
      <c r="H1475" s="845"/>
      <c r="I1475" s="821"/>
      <c r="J1475" s="825"/>
      <c r="K1475" s="914"/>
      <c r="L1475" s="821"/>
      <c r="M1475" s="861"/>
      <c r="N1475" s="861"/>
      <c r="O1475" s="800"/>
      <c r="P1475" s="861"/>
      <c r="Q1475" s="892"/>
      <c r="R1475" s="829"/>
      <c r="S1475" s="13"/>
      <c r="T1475" s="13"/>
      <c r="U1475" s="13"/>
      <c r="V1475" s="13"/>
    </row>
    <row r="1476" spans="2:22" outlineLevel="2" x14ac:dyDescent="0.15">
      <c r="B1476" s="801"/>
      <c r="C1476" s="870"/>
      <c r="D1476" s="859"/>
      <c r="E1476" s="859"/>
      <c r="F1476" s="870"/>
      <c r="G1476" s="859"/>
      <c r="H1476" s="860"/>
      <c r="I1476" s="823"/>
      <c r="J1476" s="916"/>
      <c r="K1476" s="917"/>
      <c r="L1476" s="823"/>
      <c r="M1476" s="863"/>
      <c r="N1476" s="863"/>
      <c r="O1476" s="801"/>
      <c r="P1476" s="863"/>
      <c r="Q1476" s="918"/>
      <c r="R1476" s="968"/>
      <c r="S1476" s="13"/>
      <c r="T1476" s="13"/>
      <c r="U1476" s="13"/>
      <c r="V1476" s="13"/>
    </row>
    <row r="1477" spans="2:22" outlineLevel="2" x14ac:dyDescent="0.15">
      <c r="S1477" s="13"/>
      <c r="T1477" s="13"/>
      <c r="U1477" s="13"/>
      <c r="V1477" s="13"/>
    </row>
    <row r="1478" spans="2:22" outlineLevel="2" x14ac:dyDescent="0.15">
      <c r="B1478" s="1489" t="s">
        <v>1423</v>
      </c>
      <c r="C1478" s="840"/>
      <c r="D1478" s="832"/>
      <c r="E1478" s="969"/>
      <c r="F1478" s="969"/>
      <c r="G1478" s="970"/>
      <c r="H1478" s="797"/>
    </row>
    <row r="1479" spans="2:22" outlineLevel="2" x14ac:dyDescent="0.15">
      <c r="B1479" s="965"/>
      <c r="C1479" s="1565" t="s">
        <v>1424</v>
      </c>
      <c r="D1479" s="989" t="s">
        <v>1426</v>
      </c>
      <c r="E1479" s="1888" t="s">
        <v>1281</v>
      </c>
      <c r="F1479" s="1888"/>
      <c r="G1479" s="1886"/>
      <c r="H1479" s="899"/>
    </row>
    <row r="1480" spans="2:22" outlineLevel="2" x14ac:dyDescent="0.15">
      <c r="B1480" s="1565" t="s">
        <v>1428</v>
      </c>
      <c r="C1480" s="1569" t="s">
        <v>1425</v>
      </c>
      <c r="D1480" s="1568" t="s">
        <v>1427</v>
      </c>
      <c r="E1480" s="1566" t="s">
        <v>1279</v>
      </c>
      <c r="F1480" s="1566" t="s">
        <v>768</v>
      </c>
      <c r="G1480" s="963" t="s">
        <v>24</v>
      </c>
      <c r="H1480" s="1573" t="s">
        <v>723</v>
      </c>
    </row>
    <row r="1481" spans="2:22" outlineLevel="2" x14ac:dyDescent="0.15">
      <c r="B1481" s="799" t="s">
        <v>1429</v>
      </c>
      <c r="C1481" s="877">
        <v>20</v>
      </c>
      <c r="D1481" s="979">
        <v>210</v>
      </c>
      <c r="E1481" s="976">
        <f>C1441</f>
        <v>0.04</v>
      </c>
      <c r="F1481" s="976">
        <v>2.1975765614538123E-2</v>
      </c>
      <c r="G1481" s="977">
        <v>0.15411772404018367</v>
      </c>
      <c r="H1481" s="805">
        <v>0.15582284331872945</v>
      </c>
    </row>
    <row r="1482" spans="2:22" outlineLevel="2" x14ac:dyDescent="0.15">
      <c r="B1482" s="800" t="s">
        <v>1430</v>
      </c>
      <c r="C1482" s="981">
        <v>15</v>
      </c>
      <c r="D1482" s="812">
        <v>210</v>
      </c>
      <c r="E1482" s="971">
        <v>4.0257816972106009E-2</v>
      </c>
      <c r="F1482" s="971">
        <v>2.6968397212166026E-2</v>
      </c>
      <c r="G1482" s="972">
        <v>0.18873109737315166</v>
      </c>
      <c r="H1482" s="807">
        <v>0.14718499744408464</v>
      </c>
    </row>
    <row r="1483" spans="2:22" outlineLevel="2" x14ac:dyDescent="0.15">
      <c r="B1483" s="800" t="s">
        <v>1431</v>
      </c>
      <c r="C1483" s="981">
        <v>12</v>
      </c>
      <c r="D1483" s="812">
        <v>210</v>
      </c>
      <c r="E1483" s="971">
        <v>4.0257816972106009E-2</v>
      </c>
      <c r="F1483" s="971">
        <v>3.5724346305220547E-2</v>
      </c>
      <c r="G1483" s="972">
        <v>0.24946225377811615</v>
      </c>
      <c r="H1483" s="807">
        <v>0.13711031579802554</v>
      </c>
    </row>
    <row r="1484" spans="2:22" outlineLevel="2" x14ac:dyDescent="0.15">
      <c r="B1484" s="800" t="s">
        <v>1432</v>
      </c>
      <c r="C1484" s="981">
        <v>8.5</v>
      </c>
      <c r="D1484" s="812">
        <v>210</v>
      </c>
      <c r="E1484" s="971">
        <v>4.0257816972106009E-2</v>
      </c>
      <c r="F1484" s="971">
        <v>3.9296780935742605E-2</v>
      </c>
      <c r="G1484" s="972">
        <v>0.27440847915592781</v>
      </c>
      <c r="H1484" s="807">
        <v>0.13412035286792282</v>
      </c>
    </row>
    <row r="1485" spans="2:22" outlineLevel="2" x14ac:dyDescent="0.15">
      <c r="B1485" s="1658" t="s">
        <v>3160</v>
      </c>
      <c r="C1485" s="981"/>
      <c r="D1485" s="812"/>
      <c r="E1485" s="971">
        <v>4.0257816972106009E-2</v>
      </c>
      <c r="F1485" s="971">
        <v>3.9296780935742605E-2</v>
      </c>
      <c r="G1485" s="1671">
        <v>0.23599999999999999</v>
      </c>
      <c r="H1485" s="807"/>
    </row>
    <row r="1486" spans="2:22" outlineLevel="2" x14ac:dyDescent="0.15">
      <c r="B1486" s="1658" t="s">
        <v>3170</v>
      </c>
      <c r="C1486" s="981"/>
      <c r="D1486" s="812"/>
      <c r="E1486" s="868">
        <v>0.04</v>
      </c>
      <c r="F1486" s="882">
        <v>4.3020000000000003E-2</v>
      </c>
      <c r="G1486" s="1699">
        <v>0.161</v>
      </c>
      <c r="H1486" s="807"/>
    </row>
    <row r="1487" spans="2:22" outlineLevel="2" x14ac:dyDescent="0.15">
      <c r="B1487" s="1691" t="s">
        <v>3252</v>
      </c>
      <c r="C1487" s="981"/>
      <c r="D1487" s="812"/>
      <c r="E1487" s="868">
        <v>0.04</v>
      </c>
      <c r="F1487" s="882">
        <v>4.3020000000000003E-2</v>
      </c>
      <c r="G1487" s="1699">
        <v>0.13700000000000001</v>
      </c>
      <c r="H1487" s="807"/>
    </row>
    <row r="1488" spans="2:22" outlineLevel="2" x14ac:dyDescent="0.15">
      <c r="B1488" s="1658" t="s">
        <v>3157</v>
      </c>
      <c r="C1488" s="981"/>
      <c r="D1488" s="812"/>
      <c r="E1488" s="869">
        <v>0.04</v>
      </c>
      <c r="F1488" s="843">
        <v>4.3020000000000003E-2</v>
      </c>
      <c r="G1488" s="1661">
        <v>0.16500000000000001</v>
      </c>
      <c r="H1488" s="807"/>
    </row>
    <row r="1489" spans="2:8" outlineLevel="2" x14ac:dyDescent="0.15">
      <c r="B1489" s="800" t="s">
        <v>1433</v>
      </c>
      <c r="C1489" s="981">
        <v>15</v>
      </c>
      <c r="D1489" s="812">
        <v>210</v>
      </c>
      <c r="E1489" s="971">
        <v>4.0257816972106009E-2</v>
      </c>
      <c r="F1489" s="971">
        <v>2.6968397212166026E-2</v>
      </c>
      <c r="G1489" s="972">
        <v>0.18873109737315166</v>
      </c>
      <c r="H1489" s="807">
        <v>0.14718499744408464</v>
      </c>
    </row>
    <row r="1490" spans="2:8" outlineLevel="2" x14ac:dyDescent="0.15">
      <c r="B1490" s="800"/>
      <c r="C1490" s="981"/>
      <c r="D1490" s="812"/>
      <c r="E1490" s="971"/>
      <c r="F1490" s="971"/>
      <c r="G1490" s="972"/>
      <c r="H1490" s="895"/>
    </row>
    <row r="1491" spans="2:8" outlineLevel="2" x14ac:dyDescent="0.15">
      <c r="B1491" s="800"/>
      <c r="C1491" s="981"/>
      <c r="D1491" s="812"/>
      <c r="E1491" s="971"/>
      <c r="F1491" s="971"/>
      <c r="G1491" s="972"/>
      <c r="H1491" s="895"/>
    </row>
    <row r="1492" spans="2:8" outlineLevel="2" x14ac:dyDescent="0.15">
      <c r="B1492" s="800" t="s">
        <v>1434</v>
      </c>
      <c r="C1492" s="981">
        <v>20</v>
      </c>
      <c r="D1492" s="812">
        <v>220</v>
      </c>
      <c r="E1492" s="971">
        <v>3.7352264954619123E-2</v>
      </c>
      <c r="F1492" s="971">
        <v>3.3023583055108018E-2</v>
      </c>
      <c r="G1492" s="972">
        <v>0.20145409128466218</v>
      </c>
      <c r="H1492" s="895">
        <v>0.3</v>
      </c>
    </row>
    <row r="1493" spans="2:8" outlineLevel="2" x14ac:dyDescent="0.15">
      <c r="B1493" s="800" t="s">
        <v>1435</v>
      </c>
      <c r="C1493" s="981">
        <v>12</v>
      </c>
      <c r="D1493" s="812">
        <v>220</v>
      </c>
      <c r="E1493" s="971">
        <v>3.7352264954619123E-2</v>
      </c>
      <c r="F1493" s="971">
        <v>5.3538798763445195E-2</v>
      </c>
      <c r="G1493" s="972">
        <v>0.32545870496327822</v>
      </c>
      <c r="H1493" s="895">
        <v>0.3</v>
      </c>
    </row>
    <row r="1494" spans="2:8" outlineLevel="2" x14ac:dyDescent="0.15">
      <c r="B1494" s="800" t="s">
        <v>1436</v>
      </c>
      <c r="C1494" s="981">
        <v>8.5</v>
      </c>
      <c r="D1494" s="812">
        <v>220</v>
      </c>
      <c r="E1494" s="971">
        <v>3.7352264954619123E-2</v>
      </c>
      <c r="F1494" s="971">
        <v>5.8892678639789704E-2</v>
      </c>
      <c r="G1494" s="972">
        <v>0.35800457545960612</v>
      </c>
      <c r="H1494" s="895">
        <v>0.3</v>
      </c>
    </row>
    <row r="1495" spans="2:8" outlineLevel="2" x14ac:dyDescent="0.15">
      <c r="B1495" s="800" t="s">
        <v>2547</v>
      </c>
      <c r="C1495" s="981">
        <v>15</v>
      </c>
      <c r="D1495" s="812">
        <v>220</v>
      </c>
      <c r="E1495" s="971">
        <v>3.7352264954619123E-2</v>
      </c>
      <c r="F1495" s="971">
        <v>4.0484679970521381E-2</v>
      </c>
      <c r="G1495" s="972">
        <v>0.2466307339420214</v>
      </c>
      <c r="H1495" s="895">
        <v>0.3</v>
      </c>
    </row>
    <row r="1496" spans="2:8" outlineLevel="2" x14ac:dyDescent="0.15">
      <c r="B1496" s="800"/>
      <c r="C1496" s="981"/>
      <c r="D1496" s="812"/>
      <c r="E1496" s="971"/>
      <c r="F1496" s="971"/>
      <c r="G1496" s="972"/>
      <c r="H1496" s="895"/>
    </row>
    <row r="1497" spans="2:8" outlineLevel="2" x14ac:dyDescent="0.15">
      <c r="B1497" s="800" t="s">
        <v>1438</v>
      </c>
      <c r="C1497" s="981">
        <v>20</v>
      </c>
      <c r="D1497" s="812">
        <v>210</v>
      </c>
      <c r="E1497" s="971">
        <v>4.0257816972106009E-2</v>
      </c>
      <c r="F1497" s="971">
        <v>4.498661761041698E-2</v>
      </c>
      <c r="G1497" s="972">
        <v>0.22063642333763042</v>
      </c>
      <c r="H1497" s="895">
        <v>0.15582284331872945</v>
      </c>
    </row>
    <row r="1498" spans="2:8" outlineLevel="2" x14ac:dyDescent="0.15">
      <c r="B1498" s="800" t="s">
        <v>1439</v>
      </c>
      <c r="C1498" s="981">
        <v>12</v>
      </c>
      <c r="D1498" s="812">
        <v>210</v>
      </c>
      <c r="E1498" s="971">
        <v>4.0257816972106009E-2</v>
      </c>
      <c r="F1498" s="971">
        <v>7.4746480475661667E-2</v>
      </c>
      <c r="G1498" s="972">
        <v>0.36532095489464678</v>
      </c>
      <c r="H1498" s="895">
        <v>0.13711031579802554</v>
      </c>
    </row>
    <row r="1499" spans="2:8" outlineLevel="2" x14ac:dyDescent="0.15">
      <c r="B1499" s="800" t="s">
        <v>1437</v>
      </c>
      <c r="C1499" s="981">
        <v>8.5</v>
      </c>
      <c r="D1499" s="812">
        <v>210</v>
      </c>
      <c r="E1499" s="971">
        <v>4.0257816972106009E-2</v>
      </c>
      <c r="F1499" s="971">
        <v>8.222112852322784E-2</v>
      </c>
      <c r="G1499" s="972">
        <v>0.40185305038411151</v>
      </c>
      <c r="H1499" s="895">
        <v>0.13412035286792282</v>
      </c>
    </row>
    <row r="1500" spans="2:8" outlineLevel="2" x14ac:dyDescent="0.15">
      <c r="B1500" s="800" t="s">
        <v>158</v>
      </c>
      <c r="C1500" s="981">
        <v>15</v>
      </c>
      <c r="D1500" s="812">
        <v>210</v>
      </c>
      <c r="E1500" s="971">
        <v>4.0257816972106009E-2</v>
      </c>
      <c r="F1500" s="971">
        <v>5.5806566159217051E-2</v>
      </c>
      <c r="G1500" s="972">
        <v>0.27327354503910567</v>
      </c>
      <c r="H1500" s="895">
        <v>0.14718499744408464</v>
      </c>
    </row>
    <row r="1501" spans="2:8" outlineLevel="2" x14ac:dyDescent="0.15">
      <c r="B1501" s="801"/>
      <c r="C1501" s="802"/>
      <c r="D1501" s="824"/>
      <c r="E1501" s="973"/>
      <c r="F1501" s="973"/>
      <c r="G1501" s="974"/>
      <c r="H1501" s="954"/>
    </row>
    <row r="1502" spans="2:8" outlineLevel="2" x14ac:dyDescent="0.15"/>
    <row r="1503" spans="2:8" outlineLevel="2" x14ac:dyDescent="0.15">
      <c r="B1503" s="1489" t="s">
        <v>1423</v>
      </c>
      <c r="C1503" s="988"/>
      <c r="D1503" s="969"/>
      <c r="E1503" s="970"/>
      <c r="F1503" s="797"/>
    </row>
    <row r="1504" spans="2:8" outlineLevel="2" x14ac:dyDescent="0.15">
      <c r="B1504" s="965"/>
      <c r="C1504" s="1888" t="s">
        <v>1281</v>
      </c>
      <c r="D1504" s="1888"/>
      <c r="E1504" s="1886"/>
      <c r="F1504" s="899"/>
    </row>
    <row r="1505" spans="2:7" outlineLevel="2" x14ac:dyDescent="0.15">
      <c r="B1505" s="880" t="s">
        <v>1440</v>
      </c>
      <c r="C1505" s="1566" t="s">
        <v>1279</v>
      </c>
      <c r="D1505" s="1566" t="s">
        <v>768</v>
      </c>
      <c r="E1505" s="1567" t="s">
        <v>24</v>
      </c>
      <c r="F1505" s="1573" t="s">
        <v>723</v>
      </c>
    </row>
    <row r="1506" spans="2:7" outlineLevel="2" x14ac:dyDescent="0.15">
      <c r="B1506" s="804" t="s">
        <v>1442</v>
      </c>
      <c r="C1506" s="976">
        <v>4.0257816972106009E-2</v>
      </c>
      <c r="D1506" s="976">
        <v>3.9296780935742605E-2</v>
      </c>
      <c r="E1506" s="976">
        <v>0.27440847915592781</v>
      </c>
      <c r="F1506" s="805">
        <v>0.13412035286792282</v>
      </c>
    </row>
    <row r="1507" spans="2:7" outlineLevel="2" x14ac:dyDescent="0.15">
      <c r="B1507" s="806" t="s">
        <v>1441</v>
      </c>
      <c r="C1507" s="971">
        <v>4.0257816972106009E-2</v>
      </c>
      <c r="D1507" s="971">
        <v>3.5724346305220547E-2</v>
      </c>
      <c r="E1507" s="971">
        <v>0.24946225377811615</v>
      </c>
      <c r="F1507" s="807">
        <v>0.13711031579802554</v>
      </c>
    </row>
    <row r="1508" spans="2:7" outlineLevel="2" x14ac:dyDescent="0.15">
      <c r="B1508" s="806" t="s">
        <v>1450</v>
      </c>
      <c r="C1508" s="971">
        <v>4.0257816972106009E-2</v>
      </c>
      <c r="D1508" s="971">
        <v>2.6968397212166026E-2</v>
      </c>
      <c r="E1508" s="971">
        <v>0.18873109737315166</v>
      </c>
      <c r="F1508" s="807">
        <v>0.14718499744408464</v>
      </c>
      <c r="G1508" s="712"/>
    </row>
    <row r="1509" spans="2:7" outlineLevel="2" x14ac:dyDescent="0.15">
      <c r="B1509" s="806" t="s">
        <v>1443</v>
      </c>
      <c r="C1509" s="971">
        <v>4.0257816972106009E-2</v>
      </c>
      <c r="D1509" s="971">
        <v>2.1975765614538123E-2</v>
      </c>
      <c r="E1509" s="971">
        <v>0.15411772404018367</v>
      </c>
      <c r="F1509" s="807">
        <v>0.15582284331872945</v>
      </c>
    </row>
    <row r="1510" spans="2:7" outlineLevel="2" x14ac:dyDescent="0.15">
      <c r="B1510" s="1688" t="s">
        <v>3170</v>
      </c>
      <c r="C1510" s="971">
        <v>4.0257816972106009E-2</v>
      </c>
      <c r="D1510" s="971">
        <v>3.9296780935742605E-2</v>
      </c>
      <c r="E1510" s="1671">
        <v>0.56399999999999995</v>
      </c>
      <c r="F1510" s="807"/>
    </row>
    <row r="1511" spans="2:7" outlineLevel="2" x14ac:dyDescent="0.15">
      <c r="B1511" s="800"/>
      <c r="C1511" s="971"/>
      <c r="D1511" s="971"/>
      <c r="E1511" s="971"/>
      <c r="F1511" s="807"/>
    </row>
    <row r="1512" spans="2:7" outlineLevel="2" x14ac:dyDescent="0.15">
      <c r="B1512" s="1658" t="s">
        <v>3160</v>
      </c>
      <c r="C1512" s="1675">
        <v>0.04</v>
      </c>
      <c r="D1512" s="1675">
        <v>2.6968397212166026E-2</v>
      </c>
      <c r="E1512" s="1671">
        <v>0.23599999999999999</v>
      </c>
      <c r="F1512" s="807"/>
    </row>
    <row r="1513" spans="2:7" outlineLevel="2" x14ac:dyDescent="0.15">
      <c r="B1513" s="806"/>
      <c r="C1513" s="971"/>
      <c r="D1513" s="971"/>
      <c r="E1513" s="971"/>
      <c r="F1513" s="807"/>
    </row>
    <row r="1514" spans="2:7" outlineLevel="2" x14ac:dyDescent="0.15">
      <c r="B1514" s="806" t="s">
        <v>1444</v>
      </c>
      <c r="C1514" s="971">
        <v>3.735226495461913E-2</v>
      </c>
      <c r="D1514" s="971">
        <v>6.4781946503768686E-2</v>
      </c>
      <c r="E1514" s="971">
        <v>0.39380503300556668</v>
      </c>
      <c r="F1514" s="807">
        <v>0.3</v>
      </c>
    </row>
    <row r="1515" spans="2:7" outlineLevel="2" x14ac:dyDescent="0.15">
      <c r="B1515" s="806" t="s">
        <v>1435</v>
      </c>
      <c r="C1515" s="971">
        <v>3.735226495461913E-2</v>
      </c>
      <c r="D1515" s="971">
        <v>5.8892678639789704E-2</v>
      </c>
      <c r="E1515" s="971">
        <v>0.35800457545960612</v>
      </c>
      <c r="F1515" s="807">
        <v>0.3</v>
      </c>
    </row>
    <row r="1516" spans="2:7" outlineLevel="2" x14ac:dyDescent="0.15">
      <c r="B1516" s="806" t="s">
        <v>1445</v>
      </c>
      <c r="C1516" s="971">
        <v>3.7352264954619123E-2</v>
      </c>
      <c r="D1516" s="971">
        <v>5.3538798763445188E-2</v>
      </c>
      <c r="E1516" s="971">
        <v>0.32545870496327822</v>
      </c>
      <c r="F1516" s="807">
        <v>0.3</v>
      </c>
    </row>
    <row r="1517" spans="2:7" outlineLevel="2" x14ac:dyDescent="0.15">
      <c r="B1517" s="806" t="s">
        <v>1446</v>
      </c>
      <c r="C1517" s="971">
        <v>3.7352264954619116E-2</v>
      </c>
      <c r="D1517" s="971">
        <v>3.3023583055108018E-2</v>
      </c>
      <c r="E1517" s="971">
        <v>0.20145409128466218</v>
      </c>
      <c r="F1517" s="807">
        <v>0.3</v>
      </c>
    </row>
    <row r="1518" spans="2:7" outlineLevel="2" x14ac:dyDescent="0.15">
      <c r="B1518" s="806"/>
      <c r="C1518" s="971"/>
      <c r="D1518" s="971"/>
      <c r="E1518" s="971"/>
      <c r="F1518" s="807"/>
    </row>
    <row r="1519" spans="2:7" outlineLevel="2" x14ac:dyDescent="0.15">
      <c r="B1519" s="806" t="s">
        <v>1447</v>
      </c>
      <c r="C1519" s="971">
        <v>4.0257816972106009E-2</v>
      </c>
      <c r="D1519" s="971">
        <v>8.222112852322784E-2</v>
      </c>
      <c r="E1519" s="971">
        <v>0.40185305038411151</v>
      </c>
      <c r="F1519" s="807">
        <v>0.13412035286792282</v>
      </c>
    </row>
    <row r="1520" spans="2:7" outlineLevel="2" x14ac:dyDescent="0.15">
      <c r="B1520" s="806" t="s">
        <v>1448</v>
      </c>
      <c r="C1520" s="971">
        <v>4.0257816972106009E-2</v>
      </c>
      <c r="D1520" s="971">
        <v>7.4746480475661667E-2</v>
      </c>
      <c r="E1520" s="971">
        <v>0.36532095489464678</v>
      </c>
      <c r="F1520" s="807">
        <v>0.13711031579802554</v>
      </c>
    </row>
    <row r="1521" spans="1:18" outlineLevel="2" x14ac:dyDescent="0.15">
      <c r="B1521" s="806" t="s">
        <v>1449</v>
      </c>
      <c r="C1521" s="971">
        <v>4.0257816972106009E-2</v>
      </c>
      <c r="D1521" s="971">
        <v>4.498661761041698E-2</v>
      </c>
      <c r="E1521" s="971">
        <v>0.22063642333763042</v>
      </c>
      <c r="F1521" s="807">
        <v>0.14718499744408464</v>
      </c>
    </row>
    <row r="1522" spans="1:18" outlineLevel="2" x14ac:dyDescent="0.15">
      <c r="B1522" s="806" t="s">
        <v>1451</v>
      </c>
      <c r="C1522" s="971">
        <v>4.0257816972106009E-2</v>
      </c>
      <c r="D1522" s="971">
        <v>5.5806566159217051E-2</v>
      </c>
      <c r="E1522" s="971">
        <v>0.27327354503910567</v>
      </c>
      <c r="F1522" s="807">
        <v>0.15582284331872945</v>
      </c>
    </row>
    <row r="1523" spans="1:18" outlineLevel="2" x14ac:dyDescent="0.15">
      <c r="B1523" s="802"/>
      <c r="C1523" s="973"/>
      <c r="D1523" s="973"/>
      <c r="E1523" s="974"/>
      <c r="F1523" s="803"/>
    </row>
    <row r="1524" spans="1:18" outlineLevel="2" x14ac:dyDescent="0.15"/>
    <row r="1525" spans="1:18" outlineLevel="2" x14ac:dyDescent="0.15">
      <c r="B1525" s="1489" t="s">
        <v>1452</v>
      </c>
      <c r="C1525" s="1876" t="s">
        <v>765</v>
      </c>
      <c r="D1525" s="1877"/>
      <c r="E1525" s="1878"/>
      <c r="F1525" s="1876" t="s">
        <v>1282</v>
      </c>
      <c r="G1525" s="1877"/>
      <c r="H1525" s="1877"/>
      <c r="I1525" s="1877"/>
      <c r="J1525" s="1877"/>
      <c r="K1525" s="1877"/>
      <c r="L1525" s="1877"/>
      <c r="M1525" s="1877"/>
      <c r="N1525" s="1878"/>
      <c r="O1525" s="1876" t="s">
        <v>773</v>
      </c>
      <c r="P1525" s="1877"/>
      <c r="Q1525" s="1878"/>
      <c r="R1525" s="797"/>
    </row>
    <row r="1526" spans="1:18" s="698" customFormat="1" ht="12.75" customHeight="1" outlineLevel="2" x14ac:dyDescent="0.15">
      <c r="A1526" s="13"/>
      <c r="B1526" s="965"/>
      <c r="C1526" s="1885" t="s">
        <v>1281</v>
      </c>
      <c r="D1526" s="1888"/>
      <c r="E1526" s="1886"/>
      <c r="F1526" s="1879" t="s">
        <v>14</v>
      </c>
      <c r="G1526" s="1887"/>
      <c r="H1526" s="1880"/>
      <c r="I1526" s="1879" t="s">
        <v>695</v>
      </c>
      <c r="J1526" s="1887"/>
      <c r="K1526" s="1880"/>
      <c r="L1526" s="1879" t="s">
        <v>27</v>
      </c>
      <c r="M1526" s="1887"/>
      <c r="N1526" s="1880"/>
      <c r="O1526" s="1879" t="s">
        <v>1281</v>
      </c>
      <c r="P1526" s="1887"/>
      <c r="Q1526" s="1880"/>
      <c r="R1526" s="899"/>
    </row>
    <row r="1527" spans="1:18" s="698" customFormat="1" ht="12.75" customHeight="1" outlineLevel="2" x14ac:dyDescent="0.15">
      <c r="A1527" s="13"/>
      <c r="B1527" s="1569" t="s">
        <v>1453</v>
      </c>
      <c r="C1527" s="1569" t="s">
        <v>1279</v>
      </c>
      <c r="D1527" s="1570" t="s">
        <v>768</v>
      </c>
      <c r="E1527" s="1571" t="s">
        <v>24</v>
      </c>
      <c r="F1527" s="1569" t="s">
        <v>1279</v>
      </c>
      <c r="G1527" s="1570" t="s">
        <v>768</v>
      </c>
      <c r="H1527" s="1571" t="s">
        <v>24</v>
      </c>
      <c r="I1527" s="1569" t="s">
        <v>1279</v>
      </c>
      <c r="J1527" s="1570" t="s">
        <v>768</v>
      </c>
      <c r="K1527" s="1571" t="s">
        <v>24</v>
      </c>
      <c r="L1527" s="1569" t="s">
        <v>1279</v>
      </c>
      <c r="M1527" s="1570" t="s">
        <v>768</v>
      </c>
      <c r="N1527" s="1571" t="s">
        <v>24</v>
      </c>
      <c r="O1527" s="1569" t="s">
        <v>1279</v>
      </c>
      <c r="P1527" s="1570" t="s">
        <v>768</v>
      </c>
      <c r="Q1527" s="1571" t="s">
        <v>24</v>
      </c>
      <c r="R1527" s="1568" t="s">
        <v>723</v>
      </c>
    </row>
    <row r="1528" spans="1:18" s="698" customFormat="1" ht="12.75" customHeight="1" outlineLevel="2" x14ac:dyDescent="0.15">
      <c r="A1528" s="13"/>
      <c r="B1528" s="990" t="s">
        <v>1460</v>
      </c>
      <c r="C1528" s="990">
        <v>0</v>
      </c>
      <c r="D1528" s="1003">
        <v>0.29520000000000002</v>
      </c>
      <c r="E1528" s="1004">
        <v>1.1499919999999999</v>
      </c>
      <c r="F1528" s="991">
        <v>0</v>
      </c>
      <c r="G1528" s="1003">
        <v>0.25700000000000001</v>
      </c>
      <c r="H1528" s="1006">
        <v>1.1399999999999999</v>
      </c>
      <c r="I1528" s="991">
        <v>0</v>
      </c>
      <c r="J1528" s="999">
        <v>2.58E-2</v>
      </c>
      <c r="K1528" s="1008">
        <v>6.4199999999999999E-4</v>
      </c>
      <c r="L1528" s="991">
        <v>0</v>
      </c>
      <c r="M1528" s="1010">
        <v>1.24E-2</v>
      </c>
      <c r="N1528" s="1010">
        <v>9.3500000000000007E-3</v>
      </c>
      <c r="O1528" s="990">
        <v>0</v>
      </c>
      <c r="P1528" s="999">
        <v>-6.2700000000000006E-2</v>
      </c>
      <c r="Q1528" s="1000">
        <v>6.2700000000000006E-2</v>
      </c>
      <c r="R1528" s="992">
        <v>0.6</v>
      </c>
    </row>
    <row r="1529" spans="1:18" s="698" customFormat="1" ht="12.75" customHeight="1" outlineLevel="2" x14ac:dyDescent="0.15">
      <c r="A1529" s="13"/>
      <c r="B1529" s="920" t="s">
        <v>1461</v>
      </c>
      <c r="C1529" s="920">
        <v>0</v>
      </c>
      <c r="D1529" s="921">
        <v>0.33610000000000001</v>
      </c>
      <c r="E1529" s="1005">
        <v>1.3220240000000001</v>
      </c>
      <c r="F1529" s="993">
        <v>0</v>
      </c>
      <c r="G1529" s="921">
        <v>0.28899999999999998</v>
      </c>
      <c r="H1529" s="1007">
        <v>1.31</v>
      </c>
      <c r="I1529" s="993">
        <v>0</v>
      </c>
      <c r="J1529" s="1001">
        <v>3.3700000000000001E-2</v>
      </c>
      <c r="K1529" s="1009">
        <v>9.2400000000000002E-4</v>
      </c>
      <c r="L1529" s="993">
        <v>0</v>
      </c>
      <c r="M1529" s="1011">
        <v>1.34E-2</v>
      </c>
      <c r="N1529" s="1011">
        <v>1.11E-2</v>
      </c>
      <c r="O1529" s="920">
        <v>0</v>
      </c>
      <c r="P1529" s="1001">
        <v>-6.7500000000000004E-2</v>
      </c>
      <c r="Q1529" s="1002">
        <v>6.7500000000000004E-2</v>
      </c>
      <c r="R1529" s="994">
        <v>0.6</v>
      </c>
    </row>
    <row r="1530" spans="1:18" s="698" customFormat="1" ht="12.75" customHeight="1" outlineLevel="2" x14ac:dyDescent="0.15">
      <c r="A1530" s="13"/>
      <c r="B1530" s="920" t="s">
        <v>1462</v>
      </c>
      <c r="C1530" s="920">
        <v>0</v>
      </c>
      <c r="D1530" s="921">
        <v>0.34869999999999995</v>
      </c>
      <c r="E1530" s="1005">
        <v>1.3830200000000001</v>
      </c>
      <c r="F1530" s="993">
        <v>0</v>
      </c>
      <c r="G1530" s="921">
        <v>0.29699999999999999</v>
      </c>
      <c r="H1530" s="1007">
        <v>1.37</v>
      </c>
      <c r="I1530" s="993">
        <v>0</v>
      </c>
      <c r="J1530" s="1001">
        <v>3.85E-2</v>
      </c>
      <c r="K1530" s="1009">
        <v>1.1199999999999999E-3</v>
      </c>
      <c r="L1530" s="993">
        <v>0</v>
      </c>
      <c r="M1530" s="1011">
        <v>1.32E-2</v>
      </c>
      <c r="N1530" s="1011">
        <v>1.1900000000000001E-2</v>
      </c>
      <c r="O1530" s="920">
        <v>0</v>
      </c>
      <c r="P1530" s="1001">
        <v>-6.6799999999999998E-2</v>
      </c>
      <c r="Q1530" s="1002">
        <v>6.6799999999999998E-2</v>
      </c>
      <c r="R1530" s="994">
        <v>0.6</v>
      </c>
    </row>
    <row r="1531" spans="1:18" s="698" customFormat="1" ht="12.75" customHeight="1" outlineLevel="2" x14ac:dyDescent="0.15">
      <c r="A1531" s="13"/>
      <c r="B1531" s="1665" t="s">
        <v>3158</v>
      </c>
      <c r="C1531" s="920"/>
      <c r="D1531" s="921">
        <v>0.33610000000000001</v>
      </c>
      <c r="E1531" s="1666">
        <v>0.71</v>
      </c>
      <c r="F1531" s="993"/>
      <c r="G1531" s="921">
        <v>0.28899999999999998</v>
      </c>
      <c r="H1531" s="1667">
        <v>0.70299999999999996</v>
      </c>
      <c r="I1531" s="993"/>
      <c r="J1531" s="1001">
        <v>3.3700000000000001E-2</v>
      </c>
      <c r="K1531" s="1668">
        <v>2.5400000000000002E-3</v>
      </c>
      <c r="L1531" s="993"/>
      <c r="M1531" s="1011">
        <v>1.34E-2</v>
      </c>
      <c r="N1531" s="1669">
        <v>4.3E-3</v>
      </c>
      <c r="O1531" s="920"/>
      <c r="P1531" s="1001"/>
      <c r="Q1531" s="1002"/>
      <c r="R1531" s="994"/>
    </row>
    <row r="1532" spans="1:18" s="698" customFormat="1" ht="12.75" customHeight="1" outlineLevel="2" x14ac:dyDescent="0.15">
      <c r="A1532" s="13"/>
      <c r="B1532" s="1665" t="s">
        <v>3159</v>
      </c>
      <c r="C1532" s="920"/>
      <c r="D1532" s="921">
        <v>0.33610000000000001</v>
      </c>
      <c r="E1532" s="1666">
        <v>1.06</v>
      </c>
      <c r="F1532" s="993"/>
      <c r="G1532" s="921">
        <v>0.28899999999999998</v>
      </c>
      <c r="H1532" s="1667">
        <v>1.05</v>
      </c>
      <c r="I1532" s="993"/>
      <c r="J1532" s="1001">
        <v>3.3700000000000001E-2</v>
      </c>
      <c r="K1532" s="1668">
        <v>7.43E-3</v>
      </c>
      <c r="L1532" s="993"/>
      <c r="M1532" s="1011">
        <v>1.34E-2</v>
      </c>
      <c r="N1532" s="1669">
        <v>4.1200000000000004E-3</v>
      </c>
      <c r="O1532" s="920"/>
      <c r="P1532" s="1001"/>
      <c r="Q1532" s="1002"/>
      <c r="R1532" s="994"/>
    </row>
    <row r="1533" spans="1:18" s="698" customFormat="1" ht="12.75" customHeight="1" outlineLevel="2" x14ac:dyDescent="0.15">
      <c r="A1533" s="13"/>
      <c r="B1533" s="1665" t="s">
        <v>3164</v>
      </c>
      <c r="C1533" s="920"/>
      <c r="D1533" s="921">
        <v>0.33610000000000001</v>
      </c>
      <c r="E1533" s="1666">
        <v>0.67300000000000004</v>
      </c>
      <c r="F1533" s="993"/>
      <c r="G1533" s="921">
        <v>0.28899999999999998</v>
      </c>
      <c r="H1533" s="1667">
        <v>0.66600000000000004</v>
      </c>
      <c r="I1533" s="993"/>
      <c r="J1533" s="1001">
        <v>3.3700000000000001E-2</v>
      </c>
      <c r="K1533" s="1668">
        <v>1.4300000000000001E-3</v>
      </c>
      <c r="L1533" s="993"/>
      <c r="M1533" s="1011">
        <v>1.34E-2</v>
      </c>
      <c r="N1533" s="1669">
        <v>4.8399999999999997E-3</v>
      </c>
      <c r="O1533" s="920"/>
      <c r="P1533" s="1001"/>
      <c r="Q1533" s="1002"/>
      <c r="R1533" s="994"/>
    </row>
    <row r="1534" spans="1:18" s="698" customFormat="1" ht="12.75" customHeight="1" outlineLevel="2" x14ac:dyDescent="0.15">
      <c r="A1534" s="13"/>
      <c r="B1534" s="1665" t="s">
        <v>3165</v>
      </c>
      <c r="C1534" s="920"/>
      <c r="D1534" s="921">
        <v>0.33610000000000001</v>
      </c>
      <c r="E1534" s="1666">
        <v>0.56399999999999995</v>
      </c>
      <c r="F1534" s="993"/>
      <c r="G1534" s="921">
        <v>0.28899999999999998</v>
      </c>
      <c r="H1534" s="1667">
        <v>0.55900000000000005</v>
      </c>
      <c r="I1534" s="993"/>
      <c r="J1534" s="1001">
        <v>3.3700000000000001E-2</v>
      </c>
      <c r="K1534" s="1668">
        <v>8.0500000000000005E-4</v>
      </c>
      <c r="L1534" s="993"/>
      <c r="M1534" s="1011">
        <v>1.34E-2</v>
      </c>
      <c r="N1534" s="1669">
        <v>5.2999999999999998E-4</v>
      </c>
      <c r="O1534" s="920"/>
      <c r="P1534" s="1001"/>
      <c r="Q1534" s="1002"/>
      <c r="R1534" s="994"/>
    </row>
    <row r="1535" spans="1:18" s="698" customFormat="1" ht="12.75" customHeight="1" outlineLevel="2" x14ac:dyDescent="0.15">
      <c r="A1535" s="13"/>
      <c r="B1535" s="1665" t="s">
        <v>3166</v>
      </c>
      <c r="C1535" s="920"/>
      <c r="D1535" s="921">
        <v>0.33610000000000001</v>
      </c>
      <c r="E1535" s="1666">
        <v>0.69299999999999995</v>
      </c>
      <c r="F1535" s="993"/>
      <c r="G1535" s="921">
        <v>0.28899999999999998</v>
      </c>
      <c r="H1535" s="1667">
        <v>0.68700000000000006</v>
      </c>
      <c r="I1535" s="993"/>
      <c r="J1535" s="1001">
        <v>3.3700000000000001E-2</v>
      </c>
      <c r="K1535" s="1668">
        <v>1.08E-3</v>
      </c>
      <c r="L1535" s="993"/>
      <c r="M1535" s="1011">
        <v>1.34E-2</v>
      </c>
      <c r="N1535" s="1669">
        <v>4.4799999999999996E-3</v>
      </c>
      <c r="O1535" s="920"/>
      <c r="P1535" s="1001"/>
      <c r="Q1535" s="1002"/>
      <c r="R1535" s="994"/>
    </row>
    <row r="1536" spans="1:18" s="698" customFormat="1" ht="12.75" customHeight="1" outlineLevel="2" x14ac:dyDescent="0.15">
      <c r="A1536" s="13"/>
      <c r="B1536" s="1665" t="s">
        <v>3167</v>
      </c>
      <c r="C1536" s="920"/>
      <c r="D1536" s="921">
        <v>0.33610000000000001</v>
      </c>
      <c r="E1536" s="1666">
        <v>1.1000000000000001</v>
      </c>
      <c r="F1536" s="993"/>
      <c r="G1536" s="921">
        <v>0.28899999999999998</v>
      </c>
      <c r="H1536" s="1667">
        <v>1.07</v>
      </c>
      <c r="I1536" s="993"/>
      <c r="J1536" s="1001">
        <v>3.3700000000000001E-2</v>
      </c>
      <c r="K1536" s="1668">
        <v>3.64E-3</v>
      </c>
      <c r="L1536" s="993"/>
      <c r="M1536" s="1011">
        <v>1.34E-2</v>
      </c>
      <c r="N1536" s="1669"/>
      <c r="O1536" s="920"/>
      <c r="P1536" s="1001"/>
      <c r="Q1536" s="1002"/>
      <c r="R1536" s="994"/>
    </row>
    <row r="1537" spans="1:19" s="698" customFormat="1" ht="12.75" customHeight="1" outlineLevel="2" x14ac:dyDescent="0.15">
      <c r="A1537" s="13"/>
      <c r="B1537" s="1665" t="s">
        <v>3290</v>
      </c>
      <c r="C1537" s="920"/>
      <c r="D1537" s="921">
        <v>0.33610000000000001</v>
      </c>
      <c r="E1537" s="1666">
        <v>0.67100000000000004</v>
      </c>
      <c r="F1537" s="993"/>
      <c r="G1537" s="921">
        <v>0.28899999999999998</v>
      </c>
      <c r="H1537" s="1667">
        <v>0.66500000000000004</v>
      </c>
      <c r="I1537" s="993"/>
      <c r="J1537" s="1001">
        <v>3.3700000000000001E-2</v>
      </c>
      <c r="K1537" s="1668">
        <v>8.7399999999999999E-4</v>
      </c>
      <c r="L1537" s="993"/>
      <c r="M1537" s="1011">
        <v>1.34E-2</v>
      </c>
      <c r="N1537" s="1669">
        <v>4.9100000000000003E-3</v>
      </c>
      <c r="O1537" s="920"/>
      <c r="P1537" s="1001"/>
      <c r="Q1537" s="1002"/>
      <c r="R1537" s="994"/>
    </row>
    <row r="1538" spans="1:19" s="698" customFormat="1" ht="12.75" customHeight="1" outlineLevel="2" x14ac:dyDescent="0.15">
      <c r="A1538" s="13"/>
      <c r="B1538" s="1665" t="s">
        <v>3291</v>
      </c>
      <c r="C1538" s="920"/>
      <c r="D1538" s="921">
        <v>0.33610000000000001</v>
      </c>
      <c r="E1538" s="1666">
        <v>0.80700000000000005</v>
      </c>
      <c r="F1538" s="993"/>
      <c r="G1538" s="921">
        <v>0.28899999999999998</v>
      </c>
      <c r="H1538" s="1667">
        <v>0.77100000000000002</v>
      </c>
      <c r="I1538" s="993"/>
      <c r="J1538" s="1001">
        <v>3.3700000000000001E-2</v>
      </c>
      <c r="K1538" s="1668">
        <v>3.6400000000000002E-2</v>
      </c>
      <c r="L1538" s="993"/>
      <c r="M1538" s="1011">
        <v>1.34E-2</v>
      </c>
      <c r="N1538" s="1669"/>
      <c r="O1538" s="920"/>
      <c r="P1538" s="1001"/>
      <c r="Q1538" s="1002"/>
      <c r="R1538" s="994"/>
    </row>
    <row r="1539" spans="1:19" s="698" customFormat="1" ht="12.75" customHeight="1" outlineLevel="2" x14ac:dyDescent="0.15">
      <c r="A1539" s="13"/>
      <c r="B1539" s="1665" t="s">
        <v>3292</v>
      </c>
      <c r="C1539" s="920"/>
      <c r="D1539" s="921">
        <v>0.33610000000000001</v>
      </c>
      <c r="E1539" s="1666">
        <v>0.56399999999999995</v>
      </c>
      <c r="F1539" s="993"/>
      <c r="G1539" s="921">
        <v>0.28899999999999998</v>
      </c>
      <c r="H1539" s="1667">
        <v>0.55900000000000005</v>
      </c>
      <c r="I1539" s="993"/>
      <c r="J1539" s="1001">
        <v>3.3700000000000001E-2</v>
      </c>
      <c r="K1539" s="1668">
        <v>8.0500000000000005E-4</v>
      </c>
      <c r="L1539" s="993"/>
      <c r="M1539" s="1011">
        <v>1.34E-2</v>
      </c>
      <c r="N1539" s="1669">
        <v>4.0899999999999999E-3</v>
      </c>
      <c r="O1539" s="920"/>
      <c r="P1539" s="1001"/>
      <c r="Q1539" s="1002"/>
      <c r="R1539" s="994"/>
    </row>
    <row r="1540" spans="1:19" s="698" customFormat="1" ht="12.75" customHeight="1" outlineLevel="2" x14ac:dyDescent="0.15">
      <c r="A1540" s="13"/>
      <c r="B1540" s="1665"/>
      <c r="C1540" s="920"/>
      <c r="D1540" s="921"/>
      <c r="E1540" s="1666"/>
      <c r="F1540" s="993"/>
      <c r="G1540" s="921"/>
      <c r="H1540" s="1667"/>
      <c r="I1540" s="993"/>
      <c r="J1540" s="1001"/>
      <c r="K1540" s="1668"/>
      <c r="L1540" s="993"/>
      <c r="M1540" s="1011"/>
      <c r="N1540" s="1669"/>
      <c r="O1540" s="920"/>
      <c r="P1540" s="1001"/>
      <c r="Q1540" s="1002"/>
      <c r="R1540" s="994"/>
    </row>
    <row r="1541" spans="1:19" s="698" customFormat="1" ht="12.75" customHeight="1" outlineLevel="2" x14ac:dyDescent="0.15">
      <c r="A1541" s="13"/>
      <c r="B1541" s="1665"/>
      <c r="C1541" s="920"/>
      <c r="D1541" s="921"/>
      <c r="E1541" s="1666"/>
      <c r="F1541" s="993"/>
      <c r="G1541" s="921"/>
      <c r="H1541" s="1667"/>
      <c r="I1541" s="993"/>
      <c r="J1541" s="1001"/>
      <c r="K1541" s="1668"/>
      <c r="L1541" s="993"/>
      <c r="M1541" s="1011"/>
      <c r="N1541" s="1669"/>
      <c r="O1541" s="920"/>
      <c r="P1541" s="1001"/>
      <c r="Q1541" s="1002"/>
      <c r="R1541" s="994"/>
    </row>
    <row r="1542" spans="1:19" s="698" customFormat="1" ht="12.75" customHeight="1" outlineLevel="2" x14ac:dyDescent="0.15">
      <c r="A1542" s="13"/>
      <c r="B1542" s="995"/>
      <c r="C1542" s="995"/>
      <c r="D1542" s="996"/>
      <c r="E1542" s="997"/>
      <c r="F1542" s="996"/>
      <c r="G1542" s="996"/>
      <c r="H1542" s="998"/>
      <c r="I1542" s="996"/>
      <c r="J1542" s="996"/>
      <c r="K1542" s="998"/>
      <c r="L1542" s="996"/>
      <c r="M1542" s="996"/>
      <c r="N1542" s="996"/>
      <c r="O1542" s="995"/>
      <c r="P1542" s="996"/>
      <c r="Q1542" s="997"/>
      <c r="R1542" s="997"/>
    </row>
    <row r="1543" spans="1:19" s="698" customFormat="1" ht="12.75" customHeight="1" outlineLevel="2" x14ac:dyDescent="0.15">
      <c r="A1543" s="13"/>
    </row>
    <row r="1544" spans="1:19" s="698" customFormat="1" ht="12.75" customHeight="1" outlineLevel="2" x14ac:dyDescent="0.15">
      <c r="A1544" s="13"/>
      <c r="B1544" s="1489" t="s">
        <v>1458</v>
      </c>
      <c r="C1544" s="1876" t="s">
        <v>765</v>
      </c>
      <c r="D1544" s="1877"/>
      <c r="E1544" s="1878"/>
      <c r="F1544" s="1876" t="s">
        <v>1282</v>
      </c>
      <c r="G1544" s="1877"/>
      <c r="H1544" s="1877"/>
      <c r="I1544" s="1877"/>
      <c r="J1544" s="1877"/>
      <c r="K1544" s="1877"/>
      <c r="L1544" s="1877"/>
      <c r="M1544" s="1877"/>
      <c r="N1544" s="1878"/>
      <c r="O1544" s="1876" t="s">
        <v>773</v>
      </c>
      <c r="P1544" s="1877"/>
      <c r="Q1544" s="1878"/>
      <c r="R1544" s="797"/>
      <c r="S1544" s="832"/>
    </row>
    <row r="1545" spans="1:19" ht="13.25" customHeight="1" outlineLevel="2" x14ac:dyDescent="0.15">
      <c r="B1545" s="965"/>
      <c r="C1545" s="1885" t="s">
        <v>1457</v>
      </c>
      <c r="D1545" s="1888"/>
      <c r="E1545" s="1886"/>
      <c r="F1545" s="1885" t="s">
        <v>14</v>
      </c>
      <c r="G1545" s="1888"/>
      <c r="H1545" s="1886"/>
      <c r="I1545" s="1885" t="s">
        <v>695</v>
      </c>
      <c r="J1545" s="1888"/>
      <c r="K1545" s="1886"/>
      <c r="L1545" s="1885" t="s">
        <v>27</v>
      </c>
      <c r="M1545" s="1888"/>
      <c r="N1545" s="1886"/>
      <c r="O1545" s="1885" t="s">
        <v>1457</v>
      </c>
      <c r="P1545" s="1888"/>
      <c r="Q1545" s="1886"/>
      <c r="R1545" s="899"/>
      <c r="S1545" s="1892" t="s">
        <v>1454</v>
      </c>
    </row>
    <row r="1546" spans="1:19" outlineLevel="2" x14ac:dyDescent="0.15">
      <c r="B1546" s="1569" t="s">
        <v>1453</v>
      </c>
      <c r="C1546" s="1569" t="s">
        <v>1279</v>
      </c>
      <c r="D1546" s="1570" t="s">
        <v>768</v>
      </c>
      <c r="E1546" s="1524" t="s">
        <v>24</v>
      </c>
      <c r="F1546" s="1569" t="s">
        <v>1279</v>
      </c>
      <c r="G1546" s="1570" t="s">
        <v>768</v>
      </c>
      <c r="H1546" s="1524" t="s">
        <v>24</v>
      </c>
      <c r="I1546" s="1569" t="s">
        <v>1279</v>
      </c>
      <c r="J1546" s="1570" t="s">
        <v>768</v>
      </c>
      <c r="K1546" s="1524" t="s">
        <v>24</v>
      </c>
      <c r="L1546" s="1569" t="s">
        <v>1279</v>
      </c>
      <c r="M1546" s="1570" t="s">
        <v>768</v>
      </c>
      <c r="N1546" s="1524" t="s">
        <v>24</v>
      </c>
      <c r="O1546" s="1569" t="s">
        <v>1279</v>
      </c>
      <c r="P1546" s="1570" t="s">
        <v>768</v>
      </c>
      <c r="Q1546" s="1571" t="s">
        <v>24</v>
      </c>
      <c r="R1546" s="1568" t="s">
        <v>723</v>
      </c>
      <c r="S1546" s="1864"/>
    </row>
    <row r="1547" spans="1:19" outlineLevel="2" x14ac:dyDescent="0.15">
      <c r="B1547" s="990" t="s">
        <v>1460</v>
      </c>
      <c r="C1547" s="990">
        <v>0</v>
      </c>
      <c r="D1547" s="1003">
        <v>3.721E-2</v>
      </c>
      <c r="E1547" s="1004">
        <v>0.14426099999999997</v>
      </c>
      <c r="F1547" s="991">
        <v>0</v>
      </c>
      <c r="G1547" s="1003">
        <v>3.2399999999999998E-2</v>
      </c>
      <c r="H1547" s="1006">
        <v>0.14299999999999999</v>
      </c>
      <c r="I1547" s="991">
        <v>0</v>
      </c>
      <c r="J1547" s="999">
        <v>3.2499999999999999E-3</v>
      </c>
      <c r="K1547" s="1008">
        <v>8.1000000000000004E-5</v>
      </c>
      <c r="L1547" s="991">
        <v>0</v>
      </c>
      <c r="M1547" s="1010">
        <v>1.56E-3</v>
      </c>
      <c r="N1547" s="1010">
        <v>1.1800000000000001E-3</v>
      </c>
      <c r="O1547" s="990">
        <v>0</v>
      </c>
      <c r="P1547" s="999">
        <v>-7.9000000000000008E-3</v>
      </c>
      <c r="Q1547" s="1000">
        <v>7.9000000000000008E-3</v>
      </c>
      <c r="R1547" s="992">
        <v>0.6</v>
      </c>
      <c r="S1547" s="810">
        <v>8.5</v>
      </c>
    </row>
    <row r="1548" spans="1:19" outlineLevel="2" x14ac:dyDescent="0.15">
      <c r="B1548" s="920" t="s">
        <v>1461</v>
      </c>
      <c r="C1548" s="920">
        <v>0</v>
      </c>
      <c r="D1548" s="921">
        <v>3.3820000000000003E-2</v>
      </c>
      <c r="E1548" s="1005">
        <v>0.13321300000000003</v>
      </c>
      <c r="F1548" s="993">
        <v>0</v>
      </c>
      <c r="G1548" s="921">
        <v>2.9100000000000001E-2</v>
      </c>
      <c r="H1548" s="1007">
        <v>0.13200000000000001</v>
      </c>
      <c r="I1548" s="993">
        <v>0</v>
      </c>
      <c r="J1548" s="1001">
        <v>3.3800000000000002E-3</v>
      </c>
      <c r="K1548" s="1009">
        <v>9.2999999999999997E-5</v>
      </c>
      <c r="L1548" s="993">
        <v>0</v>
      </c>
      <c r="M1548" s="1011">
        <v>1.34E-3</v>
      </c>
      <c r="N1548" s="1011">
        <v>1.1199999999999999E-3</v>
      </c>
      <c r="O1548" s="920">
        <v>0</v>
      </c>
      <c r="P1548" s="1001">
        <v>-6.7799999999999996E-3</v>
      </c>
      <c r="Q1548" s="1002">
        <v>6.7799999999999996E-3</v>
      </c>
      <c r="R1548" s="994">
        <v>0.6</v>
      </c>
      <c r="S1548" s="1012">
        <v>12</v>
      </c>
    </row>
    <row r="1549" spans="1:19" outlineLevel="2" x14ac:dyDescent="0.15">
      <c r="B1549" s="920" t="s">
        <v>1462</v>
      </c>
      <c r="C1549" s="920">
        <v>0</v>
      </c>
      <c r="D1549" s="921">
        <v>3.1E-2</v>
      </c>
      <c r="E1549" s="1005">
        <v>0.12315960000000001</v>
      </c>
      <c r="F1549" s="993">
        <v>0</v>
      </c>
      <c r="G1549" s="921">
        <v>2.64E-2</v>
      </c>
      <c r="H1549" s="1007">
        <v>0.122</v>
      </c>
      <c r="I1549" s="993">
        <v>0</v>
      </c>
      <c r="J1549" s="1001">
        <v>3.4199999999999999E-3</v>
      </c>
      <c r="K1549" s="1009">
        <v>9.9599999999999995E-5</v>
      </c>
      <c r="L1549" s="993">
        <v>0</v>
      </c>
      <c r="M1549" s="1011">
        <v>1.1800000000000001E-3</v>
      </c>
      <c r="N1549" s="1011">
        <v>1.06E-3</v>
      </c>
      <c r="O1549" s="920">
        <v>0</v>
      </c>
      <c r="P1549" s="1001">
        <v>-5.94E-3</v>
      </c>
      <c r="Q1549" s="1002">
        <v>5.94E-3</v>
      </c>
      <c r="R1549" s="994">
        <v>0.6</v>
      </c>
      <c r="S1549" s="1012">
        <v>20</v>
      </c>
    </row>
    <row r="1550" spans="1:19" outlineLevel="2" x14ac:dyDescent="0.15">
      <c r="B1550" s="1665" t="s">
        <v>3158</v>
      </c>
      <c r="C1550" s="920"/>
      <c r="D1550" s="921">
        <v>3.3820000000000003E-2</v>
      </c>
      <c r="E1550" s="1666">
        <f>+E1531/10</f>
        <v>7.0999999999999994E-2</v>
      </c>
      <c r="F1550" s="993"/>
      <c r="G1550" s="921">
        <v>2.9100000000000001E-2</v>
      </c>
      <c r="H1550" s="1667">
        <f>+H1531/10</f>
        <v>7.0300000000000001E-2</v>
      </c>
      <c r="I1550" s="993"/>
      <c r="J1550" s="1001">
        <v>3.3800000000000002E-3</v>
      </c>
      <c r="K1550" s="1668">
        <f>+K1531/10</f>
        <v>2.5399999999999999E-4</v>
      </c>
      <c r="L1550" s="993"/>
      <c r="M1550" s="1011">
        <v>1.34E-3</v>
      </c>
      <c r="N1550" s="1669">
        <f>+N1531/10</f>
        <v>4.2999999999999999E-4</v>
      </c>
      <c r="O1550" s="920"/>
      <c r="P1550" s="1001"/>
      <c r="Q1550" s="1002"/>
      <c r="R1550" s="994"/>
      <c r="S1550" s="1012"/>
    </row>
    <row r="1551" spans="1:19" outlineLevel="2" x14ac:dyDescent="0.15">
      <c r="B1551" s="1665" t="s">
        <v>3159</v>
      </c>
      <c r="C1551" s="920"/>
      <c r="D1551" s="921">
        <v>3.3820000000000003E-2</v>
      </c>
      <c r="E1551" s="1666">
        <f t="shared" ref="E1551:E1558" si="8">+E1532/10</f>
        <v>0.10600000000000001</v>
      </c>
      <c r="F1551" s="993"/>
      <c r="G1551" s="921">
        <v>2.9100000000000001E-2</v>
      </c>
      <c r="H1551" s="1667">
        <f t="shared" ref="H1551:H1558" si="9">+H1532/10</f>
        <v>0.10500000000000001</v>
      </c>
      <c r="I1551" s="993"/>
      <c r="J1551" s="1001">
        <v>3.3800000000000002E-3</v>
      </c>
      <c r="K1551" s="1668">
        <f t="shared" ref="K1551:K1558" si="10">+K1532/10</f>
        <v>7.4299999999999995E-4</v>
      </c>
      <c r="L1551" s="993"/>
      <c r="M1551" s="1011">
        <v>1.34E-3</v>
      </c>
      <c r="N1551" s="1669">
        <f t="shared" ref="N1551:N1558" si="11">+N1532/10</f>
        <v>4.1200000000000004E-4</v>
      </c>
      <c r="O1551" s="920"/>
      <c r="P1551" s="1001"/>
      <c r="Q1551" s="1002"/>
      <c r="R1551" s="994"/>
      <c r="S1551" s="1012"/>
    </row>
    <row r="1552" spans="1:19" outlineLevel="2" x14ac:dyDescent="0.15">
      <c r="B1552" s="1665" t="s">
        <v>3164</v>
      </c>
      <c r="C1552" s="920"/>
      <c r="D1552" s="921">
        <v>3.3820000000000003E-2</v>
      </c>
      <c r="E1552" s="1666">
        <f t="shared" si="8"/>
        <v>6.7299999999999999E-2</v>
      </c>
      <c r="F1552" s="993"/>
      <c r="G1552" s="921">
        <v>2.9100000000000001E-2</v>
      </c>
      <c r="H1552" s="1667">
        <f t="shared" si="9"/>
        <v>6.6600000000000006E-2</v>
      </c>
      <c r="I1552" s="993"/>
      <c r="J1552" s="1001">
        <v>3.3800000000000002E-3</v>
      </c>
      <c r="K1552" s="1668">
        <f t="shared" si="10"/>
        <v>1.4300000000000001E-4</v>
      </c>
      <c r="L1552" s="993"/>
      <c r="M1552" s="1011">
        <v>1.34E-3</v>
      </c>
      <c r="N1552" s="1669">
        <f t="shared" si="11"/>
        <v>4.8399999999999995E-4</v>
      </c>
      <c r="O1552" s="920"/>
      <c r="P1552" s="1001"/>
      <c r="Q1552" s="1002"/>
      <c r="R1552" s="994"/>
      <c r="S1552" s="1012"/>
    </row>
    <row r="1553" spans="2:49" outlineLevel="2" x14ac:dyDescent="0.15">
      <c r="B1553" s="1665" t="s">
        <v>3165</v>
      </c>
      <c r="C1553" s="920"/>
      <c r="D1553" s="921">
        <v>3.3820000000000003E-2</v>
      </c>
      <c r="E1553" s="1666">
        <f t="shared" si="8"/>
        <v>5.6399999999999992E-2</v>
      </c>
      <c r="F1553" s="993"/>
      <c r="G1553" s="921">
        <v>2.9100000000000001E-2</v>
      </c>
      <c r="H1553" s="1667">
        <f t="shared" si="9"/>
        <v>5.5900000000000005E-2</v>
      </c>
      <c r="I1553" s="993"/>
      <c r="J1553" s="1001">
        <v>3.3800000000000002E-3</v>
      </c>
      <c r="K1553" s="1668">
        <f t="shared" si="10"/>
        <v>8.0500000000000005E-5</v>
      </c>
      <c r="L1553" s="993"/>
      <c r="M1553" s="1011">
        <v>1.34E-3</v>
      </c>
      <c r="N1553" s="1669">
        <f t="shared" si="11"/>
        <v>5.3000000000000001E-5</v>
      </c>
      <c r="O1553" s="920"/>
      <c r="P1553" s="1001"/>
      <c r="Q1553" s="1002"/>
      <c r="R1553" s="994"/>
      <c r="S1553" s="1012"/>
    </row>
    <row r="1554" spans="2:49" outlineLevel="2" x14ac:dyDescent="0.15">
      <c r="B1554" s="1665" t="s">
        <v>3166</v>
      </c>
      <c r="C1554" s="920"/>
      <c r="D1554" s="921">
        <v>3.3820000000000003E-2</v>
      </c>
      <c r="E1554" s="1666">
        <f t="shared" si="8"/>
        <v>6.93E-2</v>
      </c>
      <c r="F1554" s="993"/>
      <c r="G1554" s="921">
        <v>2.9100000000000001E-2</v>
      </c>
      <c r="H1554" s="1667">
        <f t="shared" si="9"/>
        <v>6.8700000000000011E-2</v>
      </c>
      <c r="I1554" s="993"/>
      <c r="J1554" s="1001">
        <v>3.3800000000000002E-3</v>
      </c>
      <c r="K1554" s="1668">
        <f t="shared" si="10"/>
        <v>1.08E-4</v>
      </c>
      <c r="L1554" s="993"/>
      <c r="M1554" s="1011">
        <v>1.34E-3</v>
      </c>
      <c r="N1554" s="1669">
        <f t="shared" si="11"/>
        <v>4.4799999999999994E-4</v>
      </c>
      <c r="O1554" s="920"/>
      <c r="P1554" s="1001"/>
      <c r="Q1554" s="1002"/>
      <c r="R1554" s="994"/>
      <c r="S1554" s="1012"/>
    </row>
    <row r="1555" spans="2:49" outlineLevel="2" x14ac:dyDescent="0.15">
      <c r="B1555" s="1665" t="s">
        <v>3167</v>
      </c>
      <c r="C1555" s="920"/>
      <c r="D1555" s="921">
        <v>3.3820000000000003E-2</v>
      </c>
      <c r="E1555" s="1666">
        <f t="shared" si="8"/>
        <v>0.11000000000000001</v>
      </c>
      <c r="F1555" s="993"/>
      <c r="G1555" s="921">
        <v>2.9100000000000001E-2</v>
      </c>
      <c r="H1555" s="1667">
        <f t="shared" si="9"/>
        <v>0.10700000000000001</v>
      </c>
      <c r="I1555" s="993"/>
      <c r="J1555" s="1001">
        <v>3.3800000000000002E-3</v>
      </c>
      <c r="K1555" s="1668">
        <f t="shared" si="10"/>
        <v>3.6400000000000001E-4</v>
      </c>
      <c r="L1555" s="993"/>
      <c r="M1555" s="1011">
        <v>1.34E-3</v>
      </c>
      <c r="N1555" s="1669">
        <f t="shared" si="11"/>
        <v>0</v>
      </c>
      <c r="O1555" s="920"/>
      <c r="P1555" s="1001"/>
      <c r="Q1555" s="1002"/>
      <c r="R1555" s="994"/>
      <c r="S1555" s="1012"/>
    </row>
    <row r="1556" spans="2:49" outlineLevel="2" x14ac:dyDescent="0.15">
      <c r="B1556" s="1665" t="s">
        <v>3290</v>
      </c>
      <c r="C1556" s="920"/>
      <c r="D1556" s="921">
        <v>3.3820000000000003E-2</v>
      </c>
      <c r="E1556" s="1666">
        <f t="shared" si="8"/>
        <v>6.7100000000000007E-2</v>
      </c>
      <c r="F1556" s="993"/>
      <c r="G1556" s="921">
        <v>2.9100000000000001E-2</v>
      </c>
      <c r="H1556" s="1667">
        <f t="shared" si="9"/>
        <v>6.6500000000000004E-2</v>
      </c>
      <c r="I1556" s="993"/>
      <c r="J1556" s="1001">
        <v>3.3800000000000002E-3</v>
      </c>
      <c r="K1556" s="1668">
        <f t="shared" si="10"/>
        <v>8.7399999999999997E-5</v>
      </c>
      <c r="L1556" s="993"/>
      <c r="M1556" s="1011">
        <v>1.34E-3</v>
      </c>
      <c r="N1556" s="1669">
        <f t="shared" si="11"/>
        <v>4.9100000000000001E-4</v>
      </c>
      <c r="O1556" s="920"/>
      <c r="P1556" s="1001"/>
      <c r="Q1556" s="1002"/>
      <c r="R1556" s="994"/>
      <c r="S1556" s="1012"/>
    </row>
    <row r="1557" spans="2:49" outlineLevel="2" x14ac:dyDescent="0.15">
      <c r="B1557" s="1665" t="s">
        <v>3291</v>
      </c>
      <c r="C1557" s="920"/>
      <c r="D1557" s="921">
        <v>3.3820000000000003E-2</v>
      </c>
      <c r="E1557" s="1666">
        <f t="shared" si="8"/>
        <v>8.0700000000000008E-2</v>
      </c>
      <c r="F1557" s="993"/>
      <c r="G1557" s="921">
        <v>2.9100000000000001E-2</v>
      </c>
      <c r="H1557" s="1667">
        <f t="shared" si="9"/>
        <v>7.7100000000000002E-2</v>
      </c>
      <c r="I1557" s="993"/>
      <c r="J1557" s="1001">
        <v>3.3800000000000002E-3</v>
      </c>
      <c r="K1557" s="1668">
        <f t="shared" si="10"/>
        <v>3.64E-3</v>
      </c>
      <c r="L1557" s="993"/>
      <c r="M1557" s="1011">
        <v>1.34E-3</v>
      </c>
      <c r="N1557" s="1669">
        <f t="shared" si="11"/>
        <v>0</v>
      </c>
      <c r="O1557" s="920"/>
      <c r="P1557" s="1001"/>
      <c r="Q1557" s="1002"/>
      <c r="R1557" s="994"/>
      <c r="S1557" s="1012"/>
    </row>
    <row r="1558" spans="2:49" outlineLevel="2" x14ac:dyDescent="0.15">
      <c r="B1558" s="1665" t="s">
        <v>3292</v>
      </c>
      <c r="C1558" s="920"/>
      <c r="D1558" s="921">
        <v>3.3820000000000003E-2</v>
      </c>
      <c r="E1558" s="1666">
        <f t="shared" si="8"/>
        <v>5.6399999999999992E-2</v>
      </c>
      <c r="F1558" s="993"/>
      <c r="G1558" s="921">
        <v>2.9100000000000001E-2</v>
      </c>
      <c r="H1558" s="1667">
        <f t="shared" si="9"/>
        <v>5.5900000000000005E-2</v>
      </c>
      <c r="I1558" s="993"/>
      <c r="J1558" s="1001">
        <v>3.3800000000000002E-3</v>
      </c>
      <c r="K1558" s="1668">
        <f t="shared" si="10"/>
        <v>8.0500000000000005E-5</v>
      </c>
      <c r="L1558" s="993"/>
      <c r="M1558" s="1011">
        <v>1.34E-3</v>
      </c>
      <c r="N1558" s="1669">
        <f t="shared" si="11"/>
        <v>4.0899999999999997E-4</v>
      </c>
      <c r="O1558" s="920"/>
      <c r="P1558" s="1001"/>
      <c r="Q1558" s="1002"/>
      <c r="R1558" s="994"/>
      <c r="S1558" s="1012"/>
    </row>
    <row r="1559" spans="2:49" outlineLevel="2" x14ac:dyDescent="0.15">
      <c r="B1559" s="920"/>
      <c r="C1559" s="920"/>
      <c r="D1559" s="1001"/>
      <c r="E1559" s="993"/>
      <c r="F1559" s="993"/>
      <c r="G1559" s="921"/>
      <c r="H1559" s="1007"/>
      <c r="I1559" s="993"/>
      <c r="J1559" s="1001"/>
      <c r="K1559" s="1009"/>
      <c r="L1559" s="993"/>
      <c r="M1559" s="1011"/>
      <c r="N1559" s="1011"/>
      <c r="O1559" s="920"/>
      <c r="P1559" s="1001"/>
      <c r="Q1559" s="1002"/>
      <c r="R1559" s="994"/>
      <c r="S1559" s="1012"/>
    </row>
    <row r="1560" spans="2:49" outlineLevel="2" x14ac:dyDescent="0.15">
      <c r="B1560" s="920"/>
      <c r="C1560" s="920"/>
      <c r="D1560" s="921"/>
      <c r="E1560" s="1005"/>
      <c r="F1560" s="993"/>
      <c r="G1560" s="921"/>
      <c r="H1560" s="1007"/>
      <c r="I1560" s="993"/>
      <c r="J1560" s="1001"/>
      <c r="K1560" s="1009"/>
      <c r="L1560" s="993"/>
      <c r="M1560" s="1011"/>
      <c r="N1560" s="1011"/>
      <c r="O1560" s="920"/>
      <c r="P1560" s="1001"/>
      <c r="Q1560" s="1002"/>
      <c r="R1560" s="994"/>
      <c r="S1560" s="1012"/>
    </row>
    <row r="1561" spans="2:49" outlineLevel="2" x14ac:dyDescent="0.15">
      <c r="B1561" s="995"/>
      <c r="C1561" s="995"/>
      <c r="D1561" s="996"/>
      <c r="E1561" s="997"/>
      <c r="F1561" s="996"/>
      <c r="G1561" s="996"/>
      <c r="H1561" s="998"/>
      <c r="I1561" s="996"/>
      <c r="J1561" s="996"/>
      <c r="K1561" s="998"/>
      <c r="L1561" s="996"/>
      <c r="M1561" s="996"/>
      <c r="N1561" s="996"/>
      <c r="O1561" s="995"/>
      <c r="P1561" s="996"/>
      <c r="Q1561" s="997"/>
      <c r="R1561" s="997"/>
      <c r="S1561" s="966"/>
    </row>
    <row r="1562" spans="2:49" outlineLevel="2" x14ac:dyDescent="0.15"/>
    <row r="1563" spans="2:49" outlineLevel="2" x14ac:dyDescent="0.15">
      <c r="B1563" s="1489" t="s">
        <v>1459</v>
      </c>
      <c r="C1563" s="1876" t="s">
        <v>765</v>
      </c>
      <c r="D1563" s="1877"/>
      <c r="E1563" s="1878"/>
      <c r="F1563" s="1876" t="s">
        <v>1282</v>
      </c>
      <c r="G1563" s="1877"/>
      <c r="H1563" s="1877"/>
      <c r="I1563" s="1877"/>
      <c r="J1563" s="1877"/>
      <c r="K1563" s="1877"/>
      <c r="L1563" s="1877"/>
      <c r="M1563" s="1877"/>
      <c r="N1563" s="1878"/>
      <c r="O1563" s="1876" t="s">
        <v>773</v>
      </c>
      <c r="P1563" s="1877"/>
      <c r="Q1563" s="1878"/>
      <c r="R1563" s="1876" t="s">
        <v>765</v>
      </c>
      <c r="S1563" s="1877"/>
      <c r="T1563" s="1878"/>
      <c r="U1563" s="1876" t="s">
        <v>1456</v>
      </c>
      <c r="V1563" s="1877"/>
      <c r="W1563" s="1877"/>
      <c r="X1563" s="1877"/>
      <c r="Y1563" s="1877"/>
      <c r="Z1563" s="1877"/>
      <c r="AA1563" s="1877"/>
      <c r="AB1563" s="1877"/>
      <c r="AC1563" s="1878"/>
      <c r="AD1563" s="1876" t="s">
        <v>773</v>
      </c>
      <c r="AE1563" s="1877"/>
      <c r="AF1563" s="1878"/>
      <c r="AG1563" s="797"/>
      <c r="AH1563" s="4"/>
      <c r="AI1563" s="4"/>
      <c r="AJ1563" s="4"/>
      <c r="AK1563" s="4"/>
      <c r="AL1563" s="4"/>
      <c r="AM1563" s="4"/>
      <c r="AN1563" s="4"/>
      <c r="AO1563" s="4"/>
      <c r="AP1563" s="4"/>
      <c r="AQ1563" s="4"/>
      <c r="AR1563" s="4"/>
      <c r="AS1563" s="4"/>
      <c r="AT1563" s="4"/>
      <c r="AU1563" s="4"/>
      <c r="AV1563" s="4"/>
      <c r="AW1563" s="4"/>
    </row>
    <row r="1564" spans="2:49" outlineLevel="2" x14ac:dyDescent="0.15">
      <c r="B1564" s="965"/>
      <c r="C1564" s="1885" t="s">
        <v>1281</v>
      </c>
      <c r="D1564" s="1888"/>
      <c r="E1564" s="1886"/>
      <c r="F1564" s="1885" t="s">
        <v>14</v>
      </c>
      <c r="G1564" s="1888"/>
      <c r="H1564" s="1886"/>
      <c r="I1564" s="1885" t="s">
        <v>695</v>
      </c>
      <c r="J1564" s="1888"/>
      <c r="K1564" s="1886"/>
      <c r="L1564" s="1885" t="s">
        <v>27</v>
      </c>
      <c r="M1564" s="1888"/>
      <c r="N1564" s="1886"/>
      <c r="O1564" s="1885" t="s">
        <v>1281</v>
      </c>
      <c r="P1564" s="1888"/>
      <c r="Q1564" s="1886"/>
      <c r="R1564" s="1885" t="s">
        <v>1455</v>
      </c>
      <c r="S1564" s="1888"/>
      <c r="T1564" s="1886"/>
      <c r="U1564" s="1885" t="s">
        <v>14</v>
      </c>
      <c r="V1564" s="1888"/>
      <c r="W1564" s="1886"/>
      <c r="X1564" s="1885" t="s">
        <v>695</v>
      </c>
      <c r="Y1564" s="1888"/>
      <c r="Z1564" s="1886"/>
      <c r="AA1564" s="1885" t="s">
        <v>27</v>
      </c>
      <c r="AB1564" s="1888"/>
      <c r="AC1564" s="1886"/>
      <c r="AD1564" s="1885" t="s">
        <v>1455</v>
      </c>
      <c r="AE1564" s="1888"/>
      <c r="AF1564" s="1886"/>
      <c r="AG1564" s="899"/>
      <c r="AH1564" s="4"/>
      <c r="AI1564" s="4"/>
      <c r="AJ1564" s="4"/>
      <c r="AK1564" s="4"/>
      <c r="AL1564" s="4"/>
      <c r="AM1564" s="4"/>
      <c r="AN1564" s="4"/>
      <c r="AO1564" s="4"/>
      <c r="AP1564" s="4"/>
      <c r="AQ1564" s="4"/>
      <c r="AR1564" s="4"/>
      <c r="AS1564" s="4"/>
      <c r="AT1564" s="4"/>
      <c r="AU1564" s="4"/>
      <c r="AV1564" s="4"/>
      <c r="AW1564" s="4"/>
    </row>
    <row r="1565" spans="2:49" outlineLevel="2" x14ac:dyDescent="0.15">
      <c r="B1565" s="1569" t="s">
        <v>1277</v>
      </c>
      <c r="C1565" s="1569" t="s">
        <v>1279</v>
      </c>
      <c r="D1565" s="1570" t="s">
        <v>768</v>
      </c>
      <c r="E1565" s="896" t="s">
        <v>24</v>
      </c>
      <c r="F1565" s="1569" t="s">
        <v>1279</v>
      </c>
      <c r="G1565" s="1570" t="s">
        <v>768</v>
      </c>
      <c r="H1565" s="896" t="s">
        <v>24</v>
      </c>
      <c r="I1565" s="1569" t="s">
        <v>1279</v>
      </c>
      <c r="J1565" s="1570" t="s">
        <v>768</v>
      </c>
      <c r="K1565" s="896" t="s">
        <v>24</v>
      </c>
      <c r="L1565" s="1569" t="s">
        <v>1279</v>
      </c>
      <c r="M1565" s="1570" t="s">
        <v>768</v>
      </c>
      <c r="N1565" s="896" t="s">
        <v>24</v>
      </c>
      <c r="O1565" s="1569" t="s">
        <v>1279</v>
      </c>
      <c r="P1565" s="1570" t="s">
        <v>768</v>
      </c>
      <c r="Q1565" s="1571" t="s">
        <v>24</v>
      </c>
      <c r="R1565" s="1569" t="s">
        <v>1279</v>
      </c>
      <c r="S1565" s="1570" t="s">
        <v>768</v>
      </c>
      <c r="T1565" s="1571" t="s">
        <v>24</v>
      </c>
      <c r="U1565" s="1569" t="s">
        <v>1279</v>
      </c>
      <c r="V1565" s="1570" t="s">
        <v>768</v>
      </c>
      <c r="W1565" s="1571" t="s">
        <v>24</v>
      </c>
      <c r="X1565" s="1569" t="s">
        <v>1279</v>
      </c>
      <c r="Y1565" s="1570" t="s">
        <v>768</v>
      </c>
      <c r="Z1565" s="1571" t="s">
        <v>24</v>
      </c>
      <c r="AA1565" s="1569" t="s">
        <v>1279</v>
      </c>
      <c r="AB1565" s="1570" t="s">
        <v>768</v>
      </c>
      <c r="AC1565" s="1571" t="s">
        <v>24</v>
      </c>
      <c r="AD1565" s="1569" t="s">
        <v>1279</v>
      </c>
      <c r="AE1565" s="1570" t="s">
        <v>768</v>
      </c>
      <c r="AF1565" s="1571" t="s">
        <v>24</v>
      </c>
      <c r="AG1565" s="1568" t="s">
        <v>723</v>
      </c>
      <c r="AH1565" s="4"/>
      <c r="AI1565" s="4"/>
      <c r="AJ1565" s="4"/>
      <c r="AK1565" s="4"/>
      <c r="AL1565" s="4"/>
      <c r="AM1565" s="4"/>
      <c r="AN1565" s="4"/>
      <c r="AO1565" s="4"/>
      <c r="AP1565" s="4"/>
      <c r="AQ1565" s="4"/>
      <c r="AR1565" s="4"/>
      <c r="AS1565" s="4"/>
      <c r="AT1565" s="4"/>
      <c r="AU1565" s="4"/>
      <c r="AV1565" s="4"/>
      <c r="AW1565" s="4"/>
    </row>
    <row r="1566" spans="2:49" outlineLevel="2" x14ac:dyDescent="0.15">
      <c r="B1566" s="869" t="s">
        <v>1463</v>
      </c>
      <c r="C1566" s="1013">
        <v>3.6700000000000003E-2</v>
      </c>
      <c r="D1566" s="1003">
        <v>3.1981000000000002E-2</v>
      </c>
      <c r="E1566" s="1004">
        <v>0.13542399999999999</v>
      </c>
      <c r="F1566" s="1003">
        <v>3.6700000000000003E-2</v>
      </c>
      <c r="G1566" s="1003">
        <v>2.8299999999999999E-2</v>
      </c>
      <c r="H1566" s="1006">
        <v>0.13400000000000001</v>
      </c>
      <c r="I1566" s="991">
        <v>0</v>
      </c>
      <c r="J1566" s="999">
        <v>2.6900000000000001E-3</v>
      </c>
      <c r="K1566" s="1008">
        <v>3.2400000000000001E-4</v>
      </c>
      <c r="L1566" s="991">
        <v>0</v>
      </c>
      <c r="M1566" s="1010">
        <v>9.9099999999999991E-4</v>
      </c>
      <c r="N1566" s="1010">
        <v>1.1000000000000001E-3</v>
      </c>
      <c r="O1566" s="990">
        <v>0</v>
      </c>
      <c r="P1566" s="999">
        <v>-7.0699999999999999E-3</v>
      </c>
      <c r="Q1566" s="1000">
        <v>7.0699999999999999E-3</v>
      </c>
      <c r="R1566" s="1013">
        <v>7.3499999999999996E-2</v>
      </c>
      <c r="S1566" s="1003">
        <v>6.4049999999999996E-2</v>
      </c>
      <c r="T1566" s="1004">
        <v>0.27084799999999998</v>
      </c>
      <c r="U1566" s="1003">
        <v>7.3499999999999996E-2</v>
      </c>
      <c r="V1566" s="1003">
        <v>5.67E-2</v>
      </c>
      <c r="W1566" s="1006">
        <v>0.26800000000000002</v>
      </c>
      <c r="X1566" s="991">
        <v>0</v>
      </c>
      <c r="Y1566" s="999">
        <v>5.3699999999999998E-3</v>
      </c>
      <c r="Z1566" s="1008">
        <v>6.4800000000000003E-4</v>
      </c>
      <c r="AA1566" s="991">
        <v>0</v>
      </c>
      <c r="AB1566" s="1010">
        <v>1.98E-3</v>
      </c>
      <c r="AC1566" s="1010">
        <v>2.2000000000000001E-3</v>
      </c>
      <c r="AD1566" s="990">
        <v>0</v>
      </c>
      <c r="AE1566" s="999">
        <v>-1.41E-2</v>
      </c>
      <c r="AF1566" s="1000">
        <v>1.41E-2</v>
      </c>
      <c r="AG1566" s="805">
        <v>0.6</v>
      </c>
      <c r="AH1566" s="4"/>
      <c r="AI1566" s="4"/>
      <c r="AJ1566" s="4"/>
      <c r="AK1566" s="4"/>
      <c r="AL1566" s="4"/>
      <c r="AM1566" s="4"/>
      <c r="AN1566" s="4"/>
      <c r="AO1566" s="4"/>
      <c r="AP1566" s="4"/>
      <c r="AQ1566" s="4"/>
      <c r="AR1566" s="4"/>
      <c r="AS1566" s="4"/>
      <c r="AT1566" s="4"/>
      <c r="AU1566" s="4"/>
      <c r="AV1566" s="4"/>
      <c r="AW1566" s="4"/>
    </row>
    <row r="1567" spans="2:49" outlineLevel="2" x14ac:dyDescent="0.15">
      <c r="B1567" s="869" t="s">
        <v>1464</v>
      </c>
      <c r="C1567" s="1014">
        <v>3.6700000000000003E-2</v>
      </c>
      <c r="D1567" s="921">
        <v>3.841E-2</v>
      </c>
      <c r="E1567" s="1005">
        <v>0.16270899999999999</v>
      </c>
      <c r="F1567" s="921">
        <v>3.6700000000000003E-2</v>
      </c>
      <c r="G1567" s="921">
        <v>3.4000000000000002E-2</v>
      </c>
      <c r="H1567" s="1007">
        <v>0.161</v>
      </c>
      <c r="I1567" s="993">
        <v>0</v>
      </c>
      <c r="J1567" s="1001">
        <v>3.2200000000000002E-3</v>
      </c>
      <c r="K1567" s="1009">
        <v>3.8900000000000002E-4</v>
      </c>
      <c r="L1567" s="993">
        <v>0</v>
      </c>
      <c r="M1567" s="1011">
        <v>1.1900000000000001E-3</v>
      </c>
      <c r="N1567" s="1011">
        <v>1.32E-3</v>
      </c>
      <c r="O1567" s="920">
        <v>0</v>
      </c>
      <c r="P1567" s="1001">
        <v>-8.4899999999999993E-3</v>
      </c>
      <c r="Q1567" s="1002">
        <v>8.4899999999999993E-3</v>
      </c>
      <c r="R1567" s="1014">
        <v>7.3499999999999996E-2</v>
      </c>
      <c r="S1567" s="921">
        <v>7.6830000000000009E-2</v>
      </c>
      <c r="T1567" s="1005">
        <v>0.32541799999999999</v>
      </c>
      <c r="U1567" s="993">
        <v>7.3499999999999996E-2</v>
      </c>
      <c r="V1567" s="921">
        <v>6.8000000000000005E-2</v>
      </c>
      <c r="W1567" s="1007">
        <v>0.32200000000000001</v>
      </c>
      <c r="X1567" s="993">
        <v>0</v>
      </c>
      <c r="Y1567" s="1001">
        <v>6.45E-3</v>
      </c>
      <c r="Z1567" s="1009">
        <v>7.7800000000000005E-4</v>
      </c>
      <c r="AA1567" s="993">
        <v>0</v>
      </c>
      <c r="AB1567" s="1011">
        <v>2.3800000000000002E-3</v>
      </c>
      <c r="AC1567" s="1011">
        <v>2.64E-3</v>
      </c>
      <c r="AD1567" s="920">
        <v>0</v>
      </c>
      <c r="AE1567" s="1001">
        <v>-1.7000000000000001E-2</v>
      </c>
      <c r="AF1567" s="1002">
        <v>1.7000000000000001E-2</v>
      </c>
      <c r="AG1567" s="807">
        <v>0.6</v>
      </c>
      <c r="AH1567" s="4"/>
      <c r="AI1567" s="4"/>
      <c r="AJ1567" s="4"/>
      <c r="AK1567" s="4"/>
      <c r="AL1567" s="4"/>
      <c r="AM1567" s="4"/>
      <c r="AN1567" s="4"/>
      <c r="AO1567" s="4"/>
      <c r="AP1567" s="4"/>
      <c r="AQ1567" s="4"/>
      <c r="AR1567" s="4"/>
      <c r="AS1567" s="4"/>
      <c r="AT1567" s="4"/>
      <c r="AU1567" s="4"/>
      <c r="AV1567" s="4"/>
      <c r="AW1567" s="4"/>
    </row>
    <row r="1568" spans="2:49" outlineLevel="2" x14ac:dyDescent="0.15">
      <c r="B1568" s="1670" t="s">
        <v>3231</v>
      </c>
      <c r="C1568" s="1013">
        <v>3.6700000000000003E-2</v>
      </c>
      <c r="D1568" s="1003">
        <v>3.1981000000000002E-2</v>
      </c>
      <c r="E1568" s="1666">
        <v>6.1600000000000002E-2</v>
      </c>
      <c r="F1568" s="1003">
        <v>3.6700000000000003E-2</v>
      </c>
      <c r="G1568" s="1003">
        <v>2.8299999999999999E-2</v>
      </c>
      <c r="H1568" s="1667">
        <v>5.8599999999999999E-2</v>
      </c>
      <c r="I1568" s="993"/>
      <c r="J1568" s="999">
        <v>2.6900000000000001E-3</v>
      </c>
      <c r="K1568" s="1668">
        <v>2.66E-3</v>
      </c>
      <c r="L1568" s="993"/>
      <c r="M1568" s="1010">
        <v>9.9099999999999991E-4</v>
      </c>
      <c r="N1568" s="1669">
        <v>2.6400000000000002E-4</v>
      </c>
      <c r="O1568" s="920"/>
      <c r="P1568" s="1001"/>
      <c r="Q1568" s="1002"/>
      <c r="R1568" s="1014"/>
      <c r="S1568" s="921"/>
      <c r="T1568" s="1005"/>
      <c r="U1568" s="993"/>
      <c r="V1568" s="921"/>
      <c r="W1568" s="1007"/>
      <c r="X1568" s="993"/>
      <c r="Y1568" s="1001"/>
      <c r="Z1568" s="1009"/>
      <c r="AA1568" s="993"/>
      <c r="AB1568" s="1011"/>
      <c r="AC1568" s="1011"/>
      <c r="AD1568" s="920"/>
      <c r="AE1568" s="1001"/>
      <c r="AF1568" s="1002"/>
      <c r="AG1568" s="807"/>
      <c r="AH1568" s="4"/>
      <c r="AI1568" s="4"/>
      <c r="AJ1568" s="4"/>
      <c r="AK1568" s="4"/>
      <c r="AL1568" s="4"/>
      <c r="AM1568" s="4"/>
      <c r="AN1568" s="4"/>
      <c r="AO1568" s="4"/>
      <c r="AP1568" s="4"/>
      <c r="AQ1568" s="4"/>
      <c r="AR1568" s="4"/>
      <c r="AS1568" s="4"/>
      <c r="AT1568" s="4"/>
      <c r="AU1568" s="4"/>
      <c r="AV1568" s="4"/>
      <c r="AW1568" s="4"/>
    </row>
    <row r="1569" spans="1:256" outlineLevel="2" x14ac:dyDescent="0.15">
      <c r="B1569" s="1670" t="s">
        <v>3232</v>
      </c>
      <c r="C1569" s="1013">
        <v>3.6700000000000003E-2</v>
      </c>
      <c r="D1569" s="1003">
        <v>3.1981000000000002E-2</v>
      </c>
      <c r="E1569" s="1666">
        <v>6.1600000000000002E-2</v>
      </c>
      <c r="F1569" s="1003">
        <v>3.6700000000000003E-2</v>
      </c>
      <c r="G1569" s="1003">
        <v>2.8299999999999999E-2</v>
      </c>
      <c r="H1569" s="1667">
        <v>5.8599999999999999E-2</v>
      </c>
      <c r="I1569" s="993"/>
      <c r="J1569" s="999">
        <v>2.6900000000000001E-3</v>
      </c>
      <c r="K1569" s="1668">
        <v>2.66E-3</v>
      </c>
      <c r="L1569" s="993"/>
      <c r="M1569" s="1010">
        <v>9.9099999999999991E-4</v>
      </c>
      <c r="N1569" s="1669">
        <v>2.6400000000000002E-4</v>
      </c>
      <c r="O1569" s="920"/>
      <c r="P1569" s="1001"/>
      <c r="Q1569" s="1002"/>
      <c r="R1569" s="1014"/>
      <c r="S1569" s="921"/>
      <c r="T1569" s="1005"/>
      <c r="U1569" s="993"/>
      <c r="V1569" s="921"/>
      <c r="W1569" s="1007"/>
      <c r="X1569" s="993"/>
      <c r="Y1569" s="1001"/>
      <c r="Z1569" s="1009"/>
      <c r="AA1569" s="993"/>
      <c r="AB1569" s="1011"/>
      <c r="AC1569" s="1011"/>
      <c r="AD1569" s="920"/>
      <c r="AE1569" s="1001"/>
      <c r="AF1569" s="1002"/>
      <c r="AG1569" s="807"/>
      <c r="AH1569" s="4"/>
      <c r="AI1569" s="4"/>
      <c r="AJ1569" s="4"/>
      <c r="AK1569" s="4"/>
      <c r="AL1569" s="4"/>
      <c r="AM1569" s="4"/>
      <c r="AN1569" s="4"/>
      <c r="AO1569" s="4"/>
      <c r="AP1569" s="4"/>
      <c r="AQ1569" s="4"/>
      <c r="AR1569" s="4"/>
      <c r="AS1569" s="4"/>
      <c r="AT1569" s="4"/>
      <c r="AU1569" s="4"/>
      <c r="AV1569" s="4"/>
      <c r="AW1569" s="4"/>
    </row>
    <row r="1570" spans="1:256" outlineLevel="2" x14ac:dyDescent="0.15">
      <c r="B1570" s="1670" t="s">
        <v>3293</v>
      </c>
      <c r="C1570" s="1013">
        <v>3.6700000000000003E-2</v>
      </c>
      <c r="D1570" s="1003">
        <v>3.1981000000000002E-2</v>
      </c>
      <c r="E1570" s="1666">
        <v>6.1600000000000002E-2</v>
      </c>
      <c r="F1570" s="1003">
        <v>3.6700000000000003E-2</v>
      </c>
      <c r="G1570" s="1003">
        <v>2.8299999999999999E-2</v>
      </c>
      <c r="H1570" s="1667">
        <v>5.8599999999999999E-2</v>
      </c>
      <c r="I1570" s="993"/>
      <c r="J1570" s="999">
        <v>2.6900000000000001E-3</v>
      </c>
      <c r="K1570" s="1668">
        <v>2.66E-3</v>
      </c>
      <c r="L1570" s="993"/>
      <c r="M1570" s="1010">
        <v>9.9099999999999991E-4</v>
      </c>
      <c r="N1570" s="1669">
        <v>2.6400000000000002E-4</v>
      </c>
      <c r="O1570" s="920"/>
      <c r="P1570" s="1001"/>
      <c r="Q1570" s="1002"/>
      <c r="R1570" s="1014"/>
      <c r="S1570" s="921"/>
      <c r="T1570" s="1005"/>
      <c r="U1570" s="993"/>
      <c r="V1570" s="921"/>
      <c r="W1570" s="1007"/>
      <c r="X1570" s="993"/>
      <c r="Y1570" s="1001"/>
      <c r="Z1570" s="1009"/>
      <c r="AA1570" s="993"/>
      <c r="AB1570" s="1011"/>
      <c r="AC1570" s="1011"/>
      <c r="AD1570" s="920"/>
      <c r="AE1570" s="1001"/>
      <c r="AF1570" s="1002"/>
      <c r="AG1570" s="807"/>
      <c r="AH1570" s="4"/>
      <c r="AI1570" s="4"/>
      <c r="AJ1570" s="4"/>
      <c r="AK1570" s="4"/>
      <c r="AL1570" s="4"/>
      <c r="AM1570" s="4"/>
      <c r="AN1570" s="4"/>
      <c r="AO1570" s="4"/>
      <c r="AP1570" s="4"/>
      <c r="AQ1570" s="4"/>
      <c r="AR1570" s="4"/>
      <c r="AS1570" s="4"/>
      <c r="AT1570" s="4"/>
      <c r="AU1570" s="4"/>
      <c r="AV1570" s="4"/>
      <c r="AW1570" s="4"/>
    </row>
    <row r="1571" spans="1:256" outlineLevel="2" x14ac:dyDescent="0.15">
      <c r="B1571" s="1670"/>
      <c r="C1571" s="1014"/>
      <c r="D1571" s="1014"/>
      <c r="E1571" s="1666"/>
      <c r="F1571" s="921"/>
      <c r="G1571" s="1014"/>
      <c r="H1571" s="1667"/>
      <c r="I1571" s="993"/>
      <c r="J1571" s="1014"/>
      <c r="K1571" s="1668"/>
      <c r="L1571" s="993"/>
      <c r="M1571" s="1014"/>
      <c r="N1571" s="1669"/>
      <c r="O1571" s="920"/>
      <c r="P1571" s="1001"/>
      <c r="Q1571" s="1002"/>
      <c r="R1571" s="1014"/>
      <c r="S1571" s="921"/>
      <c r="T1571" s="1005"/>
      <c r="U1571" s="993"/>
      <c r="V1571" s="921"/>
      <c r="W1571" s="1007"/>
      <c r="X1571" s="993"/>
      <c r="Y1571" s="1001"/>
      <c r="Z1571" s="1009"/>
      <c r="AA1571" s="993"/>
      <c r="AB1571" s="1011"/>
      <c r="AC1571" s="1011"/>
      <c r="AD1571" s="920"/>
      <c r="AE1571" s="1001"/>
      <c r="AF1571" s="1002"/>
      <c r="AG1571" s="807"/>
      <c r="AH1571" s="4"/>
      <c r="AI1571" s="4"/>
      <c r="AJ1571" s="4"/>
      <c r="AK1571" s="4"/>
      <c r="AL1571" s="4"/>
      <c r="AM1571" s="4"/>
      <c r="AN1571" s="4"/>
      <c r="AO1571" s="4"/>
      <c r="AP1571" s="4"/>
      <c r="AQ1571" s="4"/>
      <c r="AR1571" s="4"/>
      <c r="AS1571" s="4"/>
      <c r="AT1571" s="4"/>
      <c r="AU1571" s="4"/>
      <c r="AV1571" s="4"/>
      <c r="AW1571" s="4"/>
    </row>
    <row r="1572" spans="1:256" outlineLevel="2" x14ac:dyDescent="0.15">
      <c r="B1572" s="1670"/>
      <c r="C1572" s="1014"/>
      <c r="D1572" s="1014"/>
      <c r="E1572" s="1666"/>
      <c r="F1572" s="921"/>
      <c r="G1572" s="1014"/>
      <c r="H1572" s="1667"/>
      <c r="I1572" s="993"/>
      <c r="J1572" s="1014"/>
      <c r="K1572" s="1668"/>
      <c r="L1572" s="993"/>
      <c r="M1572" s="1014"/>
      <c r="N1572" s="1669"/>
      <c r="O1572" s="920"/>
      <c r="P1572" s="1001"/>
      <c r="Q1572" s="1002"/>
      <c r="R1572" s="1014"/>
      <c r="S1572" s="921"/>
      <c r="T1572" s="1005"/>
      <c r="U1572" s="993"/>
      <c r="V1572" s="921"/>
      <c r="W1572" s="1007"/>
      <c r="X1572" s="993"/>
      <c r="Y1572" s="1001"/>
      <c r="Z1572" s="1009"/>
      <c r="AA1572" s="993"/>
      <c r="AB1572" s="1011"/>
      <c r="AC1572" s="1011"/>
      <c r="AD1572" s="920"/>
      <c r="AE1572" s="1001"/>
      <c r="AF1572" s="1002"/>
      <c r="AG1572" s="807"/>
      <c r="AH1572" s="4"/>
      <c r="AI1572" s="4"/>
      <c r="AJ1572" s="4"/>
      <c r="AK1572" s="4"/>
      <c r="AL1572" s="4"/>
      <c r="AM1572" s="4"/>
      <c r="AN1572" s="4"/>
      <c r="AO1572" s="4"/>
      <c r="AP1572" s="4"/>
      <c r="AQ1572" s="4"/>
      <c r="AR1572" s="4"/>
      <c r="AS1572" s="4"/>
      <c r="AT1572" s="4"/>
      <c r="AU1572" s="4"/>
      <c r="AV1572" s="4"/>
      <c r="AW1572" s="4"/>
    </row>
    <row r="1573" spans="1:256" outlineLevel="2" x14ac:dyDescent="0.15">
      <c r="B1573" s="1670"/>
      <c r="C1573" s="1014"/>
      <c r="D1573" s="1014"/>
      <c r="E1573" s="1666"/>
      <c r="F1573" s="921"/>
      <c r="G1573" s="1014"/>
      <c r="H1573" s="1667"/>
      <c r="I1573" s="993"/>
      <c r="J1573" s="1014"/>
      <c r="K1573" s="1668"/>
      <c r="L1573" s="993"/>
      <c r="M1573" s="1014"/>
      <c r="N1573" s="1669"/>
      <c r="O1573" s="920"/>
      <c r="P1573" s="1001"/>
      <c r="Q1573" s="1002"/>
      <c r="R1573" s="1014"/>
      <c r="S1573" s="921"/>
      <c r="T1573" s="1005"/>
      <c r="U1573" s="993"/>
      <c r="V1573" s="921"/>
      <c r="W1573" s="1007"/>
      <c r="X1573" s="993"/>
      <c r="Y1573" s="1001"/>
      <c r="Z1573" s="1009"/>
      <c r="AA1573" s="993"/>
      <c r="AB1573" s="1011"/>
      <c r="AC1573" s="1011"/>
      <c r="AD1573" s="920"/>
      <c r="AE1573" s="1001"/>
      <c r="AF1573" s="1002"/>
      <c r="AG1573" s="807"/>
      <c r="AH1573" s="4"/>
      <c r="AI1573" s="4"/>
      <c r="AJ1573" s="4"/>
      <c r="AK1573" s="4"/>
      <c r="AL1573" s="4"/>
      <c r="AM1573" s="4"/>
      <c r="AN1573" s="4"/>
      <c r="AO1573" s="4"/>
      <c r="AP1573" s="4"/>
      <c r="AQ1573" s="4"/>
      <c r="AR1573" s="4"/>
      <c r="AS1573" s="4"/>
      <c r="AT1573" s="4"/>
      <c r="AU1573" s="4"/>
      <c r="AV1573" s="4"/>
      <c r="AW1573" s="4"/>
    </row>
    <row r="1574" spans="1:256" outlineLevel="2" x14ac:dyDescent="0.15">
      <c r="B1574" s="1670"/>
      <c r="C1574" s="1014"/>
      <c r="D1574" s="1014"/>
      <c r="E1574" s="1666"/>
      <c r="F1574" s="921"/>
      <c r="G1574" s="1014"/>
      <c r="H1574" s="1667"/>
      <c r="I1574" s="993"/>
      <c r="J1574" s="1014"/>
      <c r="K1574" s="1668"/>
      <c r="L1574" s="993"/>
      <c r="M1574" s="1014"/>
      <c r="N1574" s="1669"/>
      <c r="O1574" s="920"/>
      <c r="P1574" s="1001"/>
      <c r="Q1574" s="1002"/>
      <c r="R1574" s="1014"/>
      <c r="S1574" s="921"/>
      <c r="T1574" s="1005"/>
      <c r="U1574" s="993"/>
      <c r="V1574" s="921"/>
      <c r="W1574" s="1007"/>
      <c r="X1574" s="993"/>
      <c r="Y1574" s="1001"/>
      <c r="Z1574" s="1009"/>
      <c r="AA1574" s="993"/>
      <c r="AB1574" s="1011"/>
      <c r="AC1574" s="1011"/>
      <c r="AD1574" s="920"/>
      <c r="AE1574" s="1001"/>
      <c r="AF1574" s="1002"/>
      <c r="AG1574" s="807"/>
      <c r="AH1574" s="4"/>
      <c r="AI1574" s="4"/>
      <c r="AJ1574" s="4"/>
      <c r="AK1574" s="4"/>
      <c r="AL1574" s="4"/>
      <c r="AM1574" s="4"/>
      <c r="AN1574" s="4"/>
      <c r="AO1574" s="4"/>
      <c r="AP1574" s="4"/>
      <c r="AQ1574" s="4"/>
      <c r="AR1574" s="4"/>
      <c r="AS1574" s="4"/>
      <c r="AT1574" s="4"/>
      <c r="AU1574" s="4"/>
      <c r="AV1574" s="4"/>
      <c r="AW1574" s="4"/>
    </row>
    <row r="1575" spans="1:256" outlineLevel="2" x14ac:dyDescent="0.15">
      <c r="B1575" s="1670" t="s">
        <v>3294</v>
      </c>
      <c r="C1575" s="1013">
        <v>3.6700000000000003E-2</v>
      </c>
      <c r="D1575" s="1003">
        <v>3.1981000000000002E-2</v>
      </c>
      <c r="E1575" s="1666">
        <v>0.11899999999999999</v>
      </c>
      <c r="F1575" s="921">
        <v>3.6700000000000003E-2</v>
      </c>
      <c r="G1575" s="921">
        <v>3.4000000000000002E-2</v>
      </c>
      <c r="H1575" s="1667">
        <v>0.11600000000000001</v>
      </c>
      <c r="I1575" s="993"/>
      <c r="J1575" s="1001">
        <v>3.2200000000000002E-3</v>
      </c>
      <c r="K1575" s="1668">
        <v>2.3500000000000001E-3</v>
      </c>
      <c r="L1575" s="993"/>
      <c r="M1575" s="1011">
        <v>1.1900000000000001E-3</v>
      </c>
      <c r="N1575" s="1669">
        <v>5.2999999999999998E-4</v>
      </c>
      <c r="O1575" s="920"/>
      <c r="P1575" s="1001"/>
      <c r="Q1575" s="1002"/>
      <c r="R1575" s="1014"/>
      <c r="S1575" s="921"/>
      <c r="T1575" s="1005"/>
      <c r="U1575" s="993"/>
      <c r="V1575" s="921"/>
      <c r="W1575" s="1007"/>
      <c r="X1575" s="993"/>
      <c r="Y1575" s="1001"/>
      <c r="Z1575" s="1009"/>
      <c r="AA1575" s="993"/>
      <c r="AB1575" s="1011"/>
      <c r="AC1575" s="1011"/>
      <c r="AD1575" s="920"/>
      <c r="AE1575" s="1001"/>
      <c r="AF1575" s="1002"/>
      <c r="AG1575" s="807"/>
      <c r="AH1575" s="4"/>
      <c r="AI1575" s="4"/>
      <c r="AJ1575" s="4"/>
      <c r="AK1575" s="4"/>
      <c r="AL1575" s="4"/>
      <c r="AM1575" s="4"/>
      <c r="AN1575" s="4"/>
      <c r="AO1575" s="4"/>
      <c r="AP1575" s="4"/>
      <c r="AQ1575" s="4"/>
      <c r="AR1575" s="4"/>
      <c r="AS1575" s="4"/>
      <c r="AT1575" s="4"/>
      <c r="AU1575" s="4"/>
      <c r="AV1575" s="4"/>
      <c r="AW1575" s="4"/>
    </row>
    <row r="1576" spans="1:256" outlineLevel="2" x14ac:dyDescent="0.15">
      <c r="B1576" s="1670" t="s">
        <v>3295</v>
      </c>
      <c r="C1576" s="1013">
        <v>3.6700000000000003E-2</v>
      </c>
      <c r="D1576" s="1003">
        <v>3.1981000000000002E-2</v>
      </c>
      <c r="E1576" s="1666">
        <v>8.9300000000000004E-2</v>
      </c>
      <c r="F1576" s="921">
        <v>3.6700000000000003E-2</v>
      </c>
      <c r="G1576" s="921">
        <v>3.4000000000000002E-2</v>
      </c>
      <c r="H1576" s="1667">
        <v>8.6400000000000005E-2</v>
      </c>
      <c r="I1576" s="993"/>
      <c r="J1576" s="1001">
        <v>3.2200000000000002E-3</v>
      </c>
      <c r="K1576" s="1668">
        <v>2.3800000000000002E-3</v>
      </c>
      <c r="L1576" s="993"/>
      <c r="M1576" s="1011">
        <v>1.1900000000000001E-3</v>
      </c>
      <c r="N1576" s="1669">
        <v>5.2999999999999998E-4</v>
      </c>
      <c r="O1576" s="920"/>
      <c r="P1576" s="1001"/>
      <c r="Q1576" s="1002"/>
      <c r="R1576" s="1014"/>
      <c r="S1576" s="921"/>
      <c r="T1576" s="1005"/>
      <c r="U1576" s="993"/>
      <c r="V1576" s="921"/>
      <c r="W1576" s="1007"/>
      <c r="X1576" s="993"/>
      <c r="Y1576" s="1001"/>
      <c r="Z1576" s="1009"/>
      <c r="AA1576" s="993"/>
      <c r="AB1576" s="1011"/>
      <c r="AC1576" s="1011"/>
      <c r="AD1576" s="920"/>
      <c r="AE1576" s="1001"/>
      <c r="AF1576" s="1002"/>
      <c r="AG1576" s="807"/>
      <c r="AH1576" s="4"/>
      <c r="AI1576" s="4"/>
      <c r="AJ1576" s="4"/>
      <c r="AK1576" s="4"/>
      <c r="AL1576" s="4"/>
      <c r="AM1576" s="4"/>
      <c r="AN1576" s="4"/>
      <c r="AO1576" s="4"/>
      <c r="AP1576" s="4"/>
      <c r="AQ1576" s="4"/>
      <c r="AR1576" s="4"/>
      <c r="AS1576" s="4"/>
      <c r="AT1576" s="4"/>
      <c r="AU1576" s="4"/>
      <c r="AV1576" s="4"/>
      <c r="AW1576" s="4"/>
    </row>
    <row r="1577" spans="1:256" outlineLevel="2" x14ac:dyDescent="0.15">
      <c r="B1577" s="1670" t="s">
        <v>3296</v>
      </c>
      <c r="C1577" s="1013">
        <v>3.6700000000000003E-2</v>
      </c>
      <c r="D1577" s="1003">
        <v>3.1981000000000002E-2</v>
      </c>
      <c r="E1577" s="1666">
        <v>9.5799999999999996E-2</v>
      </c>
      <c r="F1577" s="921">
        <v>3.6700000000000003E-2</v>
      </c>
      <c r="G1577" s="921">
        <v>3.4000000000000002E-2</v>
      </c>
      <c r="H1577" s="1667">
        <v>9.1999999999999998E-2</v>
      </c>
      <c r="I1577" s="993"/>
      <c r="J1577" s="1001">
        <v>3.2200000000000002E-3</v>
      </c>
      <c r="K1577" s="1668">
        <v>2.9399999999999999E-3</v>
      </c>
      <c r="L1577" s="993"/>
      <c r="M1577" s="1011">
        <v>1.1900000000000001E-3</v>
      </c>
      <c r="N1577" s="1669">
        <v>5.2999999999999998E-4</v>
      </c>
      <c r="O1577" s="920"/>
      <c r="P1577" s="1001"/>
      <c r="Q1577" s="1002"/>
      <c r="R1577" s="1014"/>
      <c r="S1577" s="921"/>
      <c r="T1577" s="1005"/>
      <c r="U1577" s="993"/>
      <c r="V1577" s="921"/>
      <c r="W1577" s="1007"/>
      <c r="X1577" s="993"/>
      <c r="Y1577" s="1001"/>
      <c r="Z1577" s="1009"/>
      <c r="AA1577" s="993"/>
      <c r="AB1577" s="1011"/>
      <c r="AC1577" s="1011"/>
      <c r="AD1577" s="920"/>
      <c r="AE1577" s="1001"/>
      <c r="AF1577" s="1002"/>
      <c r="AG1577" s="807"/>
      <c r="AH1577" s="4"/>
      <c r="AI1577" s="4"/>
      <c r="AJ1577" s="4"/>
      <c r="AK1577" s="4"/>
      <c r="AL1577" s="4"/>
      <c r="AM1577" s="4"/>
      <c r="AN1577" s="4"/>
      <c r="AO1577" s="4"/>
      <c r="AP1577" s="4"/>
      <c r="AQ1577" s="4"/>
      <c r="AR1577" s="4"/>
      <c r="AS1577" s="4"/>
      <c r="AT1577" s="4"/>
      <c r="AU1577" s="4"/>
      <c r="AV1577" s="4"/>
      <c r="AW1577" s="4"/>
    </row>
    <row r="1578" spans="1:256" outlineLevel="2" x14ac:dyDescent="0.15">
      <c r="B1578" s="1670" t="s">
        <v>3297</v>
      </c>
      <c r="C1578" s="1013">
        <v>3.6700000000000003E-2</v>
      </c>
      <c r="D1578" s="1003">
        <v>3.1981000000000002E-2</v>
      </c>
      <c r="E1578" s="1666">
        <v>9.4600000000000004E-2</v>
      </c>
      <c r="F1578" s="921">
        <v>3.6700000000000003E-2</v>
      </c>
      <c r="G1578" s="921">
        <v>3.4000000000000002E-2</v>
      </c>
      <c r="H1578" s="1667">
        <v>9.1200000000000003E-2</v>
      </c>
      <c r="I1578" s="993"/>
      <c r="J1578" s="1014"/>
      <c r="K1578" s="1668">
        <v>2.9399999999999999E-3</v>
      </c>
      <c r="L1578" s="993"/>
      <c r="M1578" s="1011">
        <v>1.1900000000000001E-3</v>
      </c>
      <c r="N1578" s="1669">
        <v>5.2999999999999998E-4</v>
      </c>
      <c r="O1578" s="920"/>
      <c r="P1578" s="1001"/>
      <c r="Q1578" s="1002"/>
      <c r="R1578" s="1014"/>
      <c r="S1578" s="921"/>
      <c r="T1578" s="1005"/>
      <c r="U1578" s="993"/>
      <c r="V1578" s="921"/>
      <c r="W1578" s="1007"/>
      <c r="X1578" s="993"/>
      <c r="Y1578" s="1001"/>
      <c r="Z1578" s="1009"/>
      <c r="AA1578" s="993"/>
      <c r="AB1578" s="1011"/>
      <c r="AC1578" s="1011"/>
      <c r="AD1578" s="920"/>
      <c r="AE1578" s="1001"/>
      <c r="AF1578" s="1002"/>
      <c r="AG1578" s="807"/>
      <c r="AH1578" s="4"/>
      <c r="AI1578" s="4"/>
      <c r="AJ1578" s="4"/>
      <c r="AK1578" s="4"/>
      <c r="AL1578" s="4"/>
      <c r="AM1578" s="4"/>
      <c r="AN1578" s="4"/>
      <c r="AO1578" s="4"/>
      <c r="AP1578" s="4"/>
      <c r="AQ1578" s="4"/>
      <c r="AR1578" s="4"/>
      <c r="AS1578" s="4"/>
      <c r="AT1578" s="4"/>
      <c r="AU1578" s="4"/>
      <c r="AV1578" s="4"/>
      <c r="AW1578" s="4"/>
    </row>
    <row r="1579" spans="1:256" outlineLevel="2" x14ac:dyDescent="0.15">
      <c r="B1579" s="870"/>
      <c r="C1579" s="1014"/>
      <c r="D1579" s="921"/>
      <c r="E1579" s="1005"/>
      <c r="F1579" s="921"/>
      <c r="G1579" s="1014"/>
      <c r="H1579" s="1007"/>
      <c r="I1579" s="993"/>
      <c r="J1579" s="1014"/>
      <c r="K1579" s="1009"/>
      <c r="L1579" s="993"/>
      <c r="M1579" s="1014"/>
      <c r="N1579" s="1011"/>
      <c r="O1579" s="920"/>
      <c r="P1579" s="1001"/>
      <c r="Q1579" s="1002"/>
      <c r="R1579" s="1014"/>
      <c r="S1579" s="921"/>
      <c r="T1579" s="1005"/>
      <c r="U1579" s="993"/>
      <c r="V1579" s="921"/>
      <c r="W1579" s="1007"/>
      <c r="X1579" s="993"/>
      <c r="Y1579" s="1001"/>
      <c r="Z1579" s="1009"/>
      <c r="AA1579" s="993"/>
      <c r="AB1579" s="1011"/>
      <c r="AC1579" s="1011"/>
      <c r="AD1579" s="920"/>
      <c r="AE1579" s="1001"/>
      <c r="AF1579" s="1002"/>
      <c r="AG1579" s="807"/>
      <c r="AH1579" s="4"/>
      <c r="AI1579" s="4"/>
      <c r="AJ1579" s="4"/>
      <c r="AK1579" s="4"/>
      <c r="AL1579" s="4"/>
      <c r="AM1579" s="4"/>
      <c r="AN1579" s="4"/>
      <c r="AO1579" s="4"/>
      <c r="AP1579" s="4"/>
      <c r="AQ1579" s="4"/>
      <c r="AR1579" s="4"/>
      <c r="AS1579" s="4"/>
      <c r="AT1579" s="4"/>
      <c r="AU1579" s="4"/>
      <c r="AV1579" s="4"/>
      <c r="AW1579" s="4"/>
    </row>
    <row r="1580" spans="1:256" outlineLevel="2" x14ac:dyDescent="0.15">
      <c r="B1580" s="870"/>
      <c r="C1580" s="995"/>
      <c r="D1580" s="996"/>
      <c r="E1580" s="997"/>
      <c r="F1580" s="996"/>
      <c r="G1580" s="996"/>
      <c r="H1580" s="998"/>
      <c r="I1580" s="996"/>
      <c r="J1580" s="996"/>
      <c r="K1580" s="998"/>
      <c r="L1580" s="996"/>
      <c r="M1580" s="996"/>
      <c r="N1580" s="996"/>
      <c r="O1580" s="995"/>
      <c r="P1580" s="996"/>
      <c r="Q1580" s="997"/>
      <c r="R1580" s="995"/>
      <c r="S1580" s="996"/>
      <c r="T1580" s="997"/>
      <c r="U1580" s="996"/>
      <c r="V1580" s="996"/>
      <c r="W1580" s="998"/>
      <c r="X1580" s="996"/>
      <c r="Y1580" s="996"/>
      <c r="Z1580" s="998"/>
      <c r="AA1580" s="996"/>
      <c r="AB1580" s="996"/>
      <c r="AC1580" s="996"/>
      <c r="AD1580" s="995"/>
      <c r="AE1580" s="996"/>
      <c r="AF1580" s="997"/>
      <c r="AG1580" s="814"/>
      <c r="AH1580" s="4"/>
      <c r="AI1580" s="4"/>
      <c r="AJ1580" s="4"/>
      <c r="AK1580" s="4"/>
      <c r="AL1580" s="4"/>
      <c r="AM1580" s="4"/>
      <c r="AN1580" s="4"/>
      <c r="AO1580" s="4"/>
      <c r="AP1580" s="4"/>
      <c r="AQ1580" s="4"/>
      <c r="AR1580" s="4"/>
      <c r="AS1580" s="4"/>
      <c r="AT1580" s="4"/>
      <c r="AU1580" s="4"/>
      <c r="AV1580" s="4"/>
      <c r="AW1580" s="4"/>
    </row>
    <row r="1581" spans="1:256" outlineLevel="2" x14ac:dyDescent="0.15"/>
    <row r="1582" spans="1:256" outlineLevel="1" x14ac:dyDescent="0.15"/>
    <row r="1583" spans="1:256" s="26" customFormat="1" ht="15.75" customHeight="1" outlineLevel="1" x14ac:dyDescent="0.15">
      <c r="A1583" s="13"/>
      <c r="B1583" s="1868" t="s">
        <v>1465</v>
      </c>
      <c r="C1583" s="1869"/>
      <c r="D1583" s="1869"/>
      <c r="E1583" s="1869"/>
      <c r="F1583" s="1869"/>
      <c r="G1583" s="1869"/>
      <c r="H1583" s="1869"/>
      <c r="I1583" s="1869"/>
      <c r="J1583" s="1870"/>
      <c r="K1583" s="28"/>
      <c r="L1583" s="28"/>
      <c r="M1583" s="28"/>
      <c r="N1583" s="28"/>
      <c r="O1583" s="28"/>
      <c r="P1583" s="28"/>
      <c r="Q1583" s="28"/>
      <c r="R1583" s="28"/>
      <c r="S1583" s="28"/>
      <c r="T1583" s="28"/>
      <c r="U1583" s="28"/>
      <c r="V1583" s="28"/>
      <c r="W1583" s="29"/>
      <c r="X1583" s="29"/>
      <c r="Y1583" s="29"/>
      <c r="Z1583" s="29"/>
      <c r="AA1583" s="29"/>
      <c r="AB1583" s="29"/>
      <c r="AC1583" s="29"/>
      <c r="AD1583" s="29"/>
      <c r="AE1583" s="29"/>
      <c r="AF1583" s="29"/>
      <c r="AG1583" s="29"/>
      <c r="AH1583" s="29"/>
      <c r="AI1583" s="29"/>
      <c r="AJ1583" s="29"/>
      <c r="AK1583" s="29"/>
      <c r="AL1583" s="29"/>
      <c r="AM1583" s="29"/>
      <c r="AN1583" s="29"/>
      <c r="AO1583" s="29"/>
      <c r="AP1583" s="29"/>
      <c r="AQ1583" s="29"/>
      <c r="AR1583" s="29"/>
      <c r="AS1583" s="29"/>
      <c r="AT1583" s="29"/>
      <c r="AU1583" s="29"/>
      <c r="AV1583" s="29"/>
      <c r="AW1583" s="29"/>
      <c r="AX1583" s="29"/>
      <c r="AY1583" s="29"/>
      <c r="AZ1583" s="29"/>
      <c r="BA1583" s="29"/>
      <c r="BB1583" s="29"/>
      <c r="BC1583" s="29"/>
      <c r="BD1583" s="29"/>
      <c r="BE1583" s="29"/>
      <c r="BF1583" s="29"/>
      <c r="BG1583" s="29"/>
      <c r="BH1583" s="29"/>
      <c r="BI1583" s="29"/>
      <c r="BJ1583" s="29"/>
      <c r="BK1583" s="29"/>
      <c r="BL1583" s="29"/>
      <c r="BM1583" s="29"/>
      <c r="BN1583" s="29"/>
      <c r="BO1583" s="29"/>
      <c r="BP1583" s="29"/>
      <c r="BQ1583" s="29"/>
      <c r="BR1583" s="29"/>
      <c r="BS1583" s="29"/>
      <c r="BT1583" s="29"/>
      <c r="BU1583" s="29"/>
      <c r="BV1583" s="29"/>
      <c r="BW1583" s="29"/>
      <c r="BX1583" s="29"/>
      <c r="BY1583" s="29"/>
      <c r="BZ1583" s="29"/>
      <c r="CA1583" s="29"/>
      <c r="CB1583" s="29"/>
      <c r="CC1583" s="29"/>
      <c r="CD1583" s="29"/>
      <c r="CE1583" s="29"/>
      <c r="CF1583" s="29"/>
      <c r="CG1583" s="29"/>
      <c r="CH1583" s="29"/>
      <c r="CI1583" s="29"/>
      <c r="CJ1583" s="29"/>
      <c r="CK1583" s="29"/>
      <c r="CL1583" s="29"/>
      <c r="CM1583" s="29"/>
      <c r="CN1583" s="29"/>
      <c r="CO1583" s="29"/>
      <c r="CP1583" s="29"/>
      <c r="CQ1583" s="29"/>
      <c r="CR1583" s="29"/>
      <c r="CS1583" s="29"/>
      <c r="CT1583" s="29"/>
      <c r="CU1583" s="29"/>
      <c r="CV1583" s="29"/>
      <c r="CW1583" s="29"/>
      <c r="CX1583" s="29"/>
      <c r="CY1583" s="29"/>
      <c r="CZ1583" s="29"/>
      <c r="DA1583" s="29"/>
      <c r="DB1583" s="29"/>
      <c r="DC1583" s="29"/>
      <c r="DD1583" s="29"/>
      <c r="DE1583" s="29"/>
      <c r="DF1583" s="29"/>
      <c r="DG1583" s="29"/>
      <c r="DH1583" s="29"/>
      <c r="DI1583" s="29"/>
      <c r="DJ1583" s="29"/>
      <c r="DK1583" s="29"/>
      <c r="DL1583" s="29"/>
      <c r="DM1583" s="29"/>
      <c r="DN1583" s="29"/>
      <c r="DO1583" s="29"/>
      <c r="DP1583" s="29"/>
      <c r="DQ1583" s="29"/>
      <c r="DR1583" s="29"/>
      <c r="DS1583" s="29"/>
      <c r="DT1583" s="29"/>
      <c r="DU1583" s="29"/>
      <c r="DV1583" s="29"/>
      <c r="DW1583" s="29"/>
      <c r="DX1583" s="29"/>
      <c r="DY1583" s="29"/>
      <c r="DZ1583" s="29"/>
      <c r="EA1583" s="29"/>
      <c r="EB1583" s="29"/>
      <c r="EC1583" s="29"/>
      <c r="ED1583" s="29"/>
      <c r="EE1583" s="29"/>
      <c r="EF1583" s="29"/>
      <c r="EG1583" s="29"/>
      <c r="EH1583" s="29"/>
      <c r="EI1583" s="29"/>
      <c r="EJ1583" s="29"/>
      <c r="EK1583" s="29"/>
      <c r="EL1583" s="29"/>
      <c r="EM1583" s="29"/>
      <c r="EN1583" s="29"/>
      <c r="EO1583" s="29"/>
      <c r="EP1583" s="29"/>
      <c r="EQ1583" s="29"/>
      <c r="ER1583" s="29"/>
      <c r="ES1583" s="29"/>
      <c r="ET1583" s="29"/>
      <c r="EU1583" s="29"/>
      <c r="EV1583" s="29"/>
      <c r="EW1583" s="29"/>
      <c r="EX1583" s="29"/>
      <c r="EY1583" s="29"/>
      <c r="EZ1583" s="29"/>
      <c r="FA1583" s="29"/>
      <c r="FB1583" s="29"/>
      <c r="FC1583" s="29"/>
      <c r="FD1583" s="29"/>
      <c r="FE1583" s="29"/>
      <c r="FF1583" s="29"/>
      <c r="FG1583" s="29"/>
      <c r="FH1583" s="29"/>
      <c r="FI1583" s="29"/>
      <c r="FJ1583" s="29"/>
      <c r="FK1583" s="29"/>
      <c r="FL1583" s="29"/>
      <c r="FM1583" s="29"/>
      <c r="FN1583" s="29"/>
      <c r="FO1583" s="29"/>
      <c r="FP1583" s="29"/>
      <c r="FQ1583" s="29"/>
      <c r="FR1583" s="29"/>
      <c r="FS1583" s="29"/>
      <c r="FT1583" s="29"/>
      <c r="FU1583" s="29"/>
      <c r="FV1583" s="29"/>
      <c r="FW1583" s="29"/>
      <c r="FX1583" s="29"/>
      <c r="FY1583" s="29"/>
      <c r="FZ1583" s="29"/>
      <c r="GA1583" s="29"/>
      <c r="GB1583" s="29"/>
      <c r="GC1583" s="13"/>
      <c r="GD1583" s="13"/>
      <c r="GE1583" s="13"/>
      <c r="GF1583" s="13"/>
      <c r="GG1583" s="13"/>
      <c r="GH1583" s="13"/>
      <c r="GI1583" s="13"/>
      <c r="GJ1583" s="13"/>
      <c r="GK1583" s="13"/>
      <c r="GL1583" s="13"/>
      <c r="GM1583" s="13"/>
      <c r="GN1583" s="13"/>
      <c r="GO1583" s="13"/>
      <c r="GP1583" s="13"/>
      <c r="GQ1583" s="13"/>
      <c r="GR1583" s="13"/>
      <c r="GS1583" s="13"/>
      <c r="GT1583" s="13"/>
      <c r="GU1583" s="13"/>
      <c r="GV1583" s="13"/>
      <c r="GW1583" s="13"/>
      <c r="GX1583" s="13"/>
      <c r="GY1583" s="13"/>
      <c r="GZ1583" s="13"/>
      <c r="HA1583" s="13"/>
      <c r="HB1583" s="13"/>
      <c r="HC1583" s="13"/>
      <c r="HD1583" s="13"/>
      <c r="HE1583" s="13"/>
      <c r="HF1583" s="13"/>
      <c r="HG1583" s="13"/>
      <c r="HH1583" s="13"/>
      <c r="HI1583" s="13"/>
      <c r="HJ1583" s="13"/>
      <c r="HK1583" s="13"/>
      <c r="HL1583" s="13"/>
      <c r="HM1583" s="13"/>
      <c r="HN1583" s="13"/>
      <c r="HO1583" s="13"/>
      <c r="HP1583" s="13"/>
      <c r="HQ1583" s="13"/>
      <c r="HR1583" s="13"/>
      <c r="HS1583" s="13"/>
      <c r="HT1583" s="13"/>
      <c r="HU1583" s="13"/>
      <c r="HV1583" s="13"/>
      <c r="HW1583" s="13"/>
      <c r="HX1583" s="13"/>
      <c r="HY1583" s="13"/>
      <c r="HZ1583" s="13"/>
      <c r="IA1583" s="13"/>
      <c r="IB1583" s="13"/>
      <c r="IC1583" s="13"/>
      <c r="ID1583" s="13"/>
      <c r="IE1583" s="13"/>
      <c r="IF1583" s="13"/>
      <c r="IG1583" s="13"/>
      <c r="IH1583" s="13"/>
      <c r="II1583" s="13"/>
      <c r="IJ1583" s="13"/>
      <c r="IK1583" s="13"/>
      <c r="IL1583" s="13"/>
      <c r="IM1583" s="13"/>
      <c r="IN1583" s="13"/>
      <c r="IO1583" s="13"/>
      <c r="IP1583" s="13"/>
      <c r="IQ1583" s="13"/>
      <c r="IR1583" s="13"/>
      <c r="IS1583" s="13"/>
      <c r="IT1583" s="13"/>
      <c r="IU1583" s="13"/>
      <c r="IV1583" s="13"/>
    </row>
    <row r="1584" spans="1:256" outlineLevel="2" x14ac:dyDescent="0.15"/>
    <row r="1585" spans="2:31" ht="27" customHeight="1" outlineLevel="2" x14ac:dyDescent="0.15">
      <c r="B1585" s="961" t="s">
        <v>1466</v>
      </c>
      <c r="C1585" s="1863" t="s">
        <v>1467</v>
      </c>
      <c r="D1585" s="1889" t="s">
        <v>1468</v>
      </c>
      <c r="E1585" s="1877"/>
      <c r="F1585" s="1878"/>
      <c r="G1585" s="1863" t="s">
        <v>1469</v>
      </c>
      <c r="H1585" s="1863" t="s">
        <v>1281</v>
      </c>
      <c r="I1585" s="1889" t="s">
        <v>1470</v>
      </c>
      <c r="J1585" s="1877"/>
      <c r="K1585" s="1878"/>
      <c r="L1585" s="1863" t="s">
        <v>1364</v>
      </c>
      <c r="M1585" s="887"/>
      <c r="W1585" s="4"/>
      <c r="X1585" s="4"/>
      <c r="Y1585" s="4"/>
      <c r="Z1585" s="4"/>
      <c r="AA1585" s="4"/>
      <c r="AB1585" s="4"/>
      <c r="AC1585" s="4"/>
      <c r="AD1585" s="4"/>
      <c r="AE1585" s="4"/>
    </row>
    <row r="1586" spans="2:31" ht="14" outlineLevel="2" x14ac:dyDescent="0.15">
      <c r="B1586" s="1569" t="s">
        <v>1307</v>
      </c>
      <c r="C1586" s="1864"/>
      <c r="D1586" s="890" t="s">
        <v>14</v>
      </c>
      <c r="E1586" s="889" t="s">
        <v>695</v>
      </c>
      <c r="F1586" s="889" t="s">
        <v>27</v>
      </c>
      <c r="G1586" s="1864"/>
      <c r="H1586" s="1864"/>
      <c r="I1586" s="890" t="s">
        <v>14</v>
      </c>
      <c r="J1586" s="889" t="s">
        <v>695</v>
      </c>
      <c r="K1586" s="889" t="s">
        <v>27</v>
      </c>
      <c r="L1586" s="1864"/>
      <c r="M1586" s="1571" t="s">
        <v>723</v>
      </c>
      <c r="W1586" s="4"/>
      <c r="X1586" s="4"/>
      <c r="Y1586" s="4"/>
      <c r="Z1586" s="4"/>
      <c r="AA1586" s="4"/>
      <c r="AB1586" s="4"/>
      <c r="AC1586" s="4"/>
      <c r="AD1586" s="4"/>
      <c r="AE1586" s="4"/>
    </row>
    <row r="1587" spans="2:31" outlineLevel="2" x14ac:dyDescent="0.15">
      <c r="B1587" s="949" t="s">
        <v>1471</v>
      </c>
      <c r="C1587" s="932">
        <v>3.6900000000000001E-3</v>
      </c>
      <c r="D1587" s="921">
        <v>3.6900000000000001E-3</v>
      </c>
      <c r="E1587" s="921">
        <v>0</v>
      </c>
      <c r="F1587" s="921">
        <v>0</v>
      </c>
      <c r="G1587" s="930">
        <v>0</v>
      </c>
      <c r="H1587" s="930">
        <v>1.0529999999999999</v>
      </c>
      <c r="I1587" s="930">
        <v>1.0529999999999999</v>
      </c>
      <c r="J1587" s="930">
        <v>0</v>
      </c>
      <c r="K1587" s="930">
        <v>0</v>
      </c>
      <c r="L1587" s="930">
        <v>0</v>
      </c>
      <c r="M1587" s="807">
        <v>0.6</v>
      </c>
      <c r="W1587" s="4"/>
      <c r="X1587" s="4"/>
      <c r="Y1587" s="4"/>
      <c r="Z1587" s="4"/>
      <c r="AA1587" s="4"/>
      <c r="AB1587" s="4"/>
      <c r="AC1587" s="4"/>
      <c r="AD1587" s="4"/>
      <c r="AE1587" s="4"/>
    </row>
    <row r="1588" spans="2:31" outlineLevel="2" x14ac:dyDescent="0.15">
      <c r="B1588" s="949" t="s">
        <v>1472</v>
      </c>
      <c r="C1588" s="930">
        <v>8.9099999999999995E-3</v>
      </c>
      <c r="D1588" s="921">
        <v>8.9099999999999995E-3</v>
      </c>
      <c r="E1588" s="921">
        <v>0</v>
      </c>
      <c r="F1588" s="921">
        <v>0</v>
      </c>
      <c r="G1588" s="930">
        <v>0</v>
      </c>
      <c r="H1588" s="930">
        <v>0.71099999999999997</v>
      </c>
      <c r="I1588" s="930">
        <v>0.71099999999999997</v>
      </c>
      <c r="J1588" s="930">
        <v>0</v>
      </c>
      <c r="K1588" s="930">
        <v>0</v>
      </c>
      <c r="L1588" s="930">
        <v>0</v>
      </c>
      <c r="M1588" s="807">
        <v>0.6</v>
      </c>
      <c r="W1588" s="4"/>
      <c r="X1588" s="4"/>
      <c r="Y1588" s="4"/>
      <c r="Z1588" s="4"/>
      <c r="AA1588" s="4"/>
      <c r="AB1588" s="4"/>
      <c r="AC1588" s="4"/>
      <c r="AD1588" s="4"/>
      <c r="AE1588" s="4"/>
    </row>
    <row r="1589" spans="2:31" outlineLevel="2" x14ac:dyDescent="0.15">
      <c r="B1589" s="949" t="s">
        <v>1473</v>
      </c>
      <c r="C1589" s="930">
        <v>7.9839999999999994E-2</v>
      </c>
      <c r="D1589" s="921">
        <v>7.7299999999999994E-2</v>
      </c>
      <c r="E1589" s="921">
        <v>1.31E-3</v>
      </c>
      <c r="F1589" s="921">
        <v>1.23E-3</v>
      </c>
      <c r="G1589" s="930">
        <v>-3.6600000000000001E-3</v>
      </c>
      <c r="H1589" s="930">
        <v>5.391</v>
      </c>
      <c r="I1589" s="930">
        <v>5.22</v>
      </c>
      <c r="J1589" s="930">
        <v>8.7900000000000006E-2</v>
      </c>
      <c r="K1589" s="930">
        <v>8.3099999999999993E-2</v>
      </c>
      <c r="L1589" s="930">
        <v>-0.247</v>
      </c>
      <c r="M1589" s="807">
        <v>0.6</v>
      </c>
      <c r="W1589" s="4"/>
      <c r="X1589" s="4"/>
      <c r="Y1589" s="4"/>
      <c r="Z1589" s="4"/>
      <c r="AA1589" s="4"/>
      <c r="AB1589" s="4"/>
      <c r="AC1589" s="4"/>
      <c r="AD1589" s="4"/>
      <c r="AE1589" s="4"/>
    </row>
    <row r="1590" spans="2:31" outlineLevel="2" x14ac:dyDescent="0.15">
      <c r="B1590" s="949" t="s">
        <v>1474</v>
      </c>
      <c r="C1590" s="930">
        <v>5.5999999999999999E-3</v>
      </c>
      <c r="D1590" s="921">
        <v>5.5999999999999999E-3</v>
      </c>
      <c r="E1590" s="921">
        <v>0</v>
      </c>
      <c r="F1590" s="921">
        <v>0</v>
      </c>
      <c r="G1590" s="930">
        <v>0</v>
      </c>
      <c r="H1590" s="930">
        <v>1.0529999999999999</v>
      </c>
      <c r="I1590" s="930">
        <v>1.0529999999999999</v>
      </c>
      <c r="J1590" s="930">
        <v>0</v>
      </c>
      <c r="K1590" s="930">
        <v>0</v>
      </c>
      <c r="L1590" s="930">
        <v>0</v>
      </c>
      <c r="M1590" s="807">
        <v>0.6</v>
      </c>
      <c r="W1590" s="4"/>
      <c r="X1590" s="4"/>
      <c r="Y1590" s="4"/>
      <c r="Z1590" s="4"/>
      <c r="AA1590" s="4"/>
      <c r="AB1590" s="4"/>
      <c r="AC1590" s="4"/>
      <c r="AD1590" s="4"/>
      <c r="AE1590" s="4"/>
    </row>
    <row r="1591" spans="2:31" outlineLevel="2" x14ac:dyDescent="0.15">
      <c r="B1591" s="949" t="s">
        <v>1475</v>
      </c>
      <c r="C1591" s="930">
        <v>5.7000000000000002E-3</v>
      </c>
      <c r="D1591" s="921">
        <v>5.7000000000000002E-3</v>
      </c>
      <c r="E1591" s="921">
        <v>0</v>
      </c>
      <c r="F1591" s="921">
        <v>0</v>
      </c>
      <c r="G1591" s="930">
        <v>0</v>
      </c>
      <c r="H1591" s="930"/>
      <c r="I1591" s="930"/>
      <c r="J1591" s="930"/>
      <c r="K1591" s="930"/>
      <c r="L1591" s="930"/>
      <c r="M1591" s="807">
        <v>0.2</v>
      </c>
      <c r="W1591" s="4"/>
      <c r="X1591" s="4"/>
      <c r="Y1591" s="4"/>
      <c r="Z1591" s="4"/>
      <c r="AA1591" s="4"/>
      <c r="AB1591" s="4"/>
      <c r="AC1591" s="4"/>
      <c r="AD1591" s="4"/>
      <c r="AE1591" s="4"/>
    </row>
    <row r="1592" spans="2:31" outlineLevel="2" x14ac:dyDescent="0.15">
      <c r="B1592" s="949" t="s">
        <v>1476</v>
      </c>
      <c r="C1592" s="930">
        <v>5.7000000000000002E-3</v>
      </c>
      <c r="D1592" s="921">
        <v>5.7000000000000002E-3</v>
      </c>
      <c r="E1592" s="921">
        <v>0</v>
      </c>
      <c r="F1592" s="921">
        <v>0</v>
      </c>
      <c r="G1592" s="930">
        <v>0</v>
      </c>
      <c r="H1592" s="930"/>
      <c r="I1592" s="930"/>
      <c r="J1592" s="930"/>
      <c r="K1592" s="930"/>
      <c r="L1592" s="930"/>
      <c r="M1592" s="807">
        <v>0.2</v>
      </c>
      <c r="W1592" s="4"/>
      <c r="X1592" s="4"/>
      <c r="Y1592" s="4"/>
      <c r="Z1592" s="4"/>
      <c r="AA1592" s="4"/>
      <c r="AB1592" s="4"/>
      <c r="AC1592" s="4"/>
      <c r="AD1592" s="4"/>
      <c r="AE1592" s="4"/>
    </row>
    <row r="1593" spans="2:31" outlineLevel="2" x14ac:dyDescent="0.15">
      <c r="B1593" s="949" t="s">
        <v>699</v>
      </c>
      <c r="C1593" s="930">
        <v>6.0000000000000001E-3</v>
      </c>
      <c r="D1593" s="921">
        <v>6.0000000000000001E-3</v>
      </c>
      <c r="E1593" s="921">
        <v>0</v>
      </c>
      <c r="F1593" s="921">
        <v>0</v>
      </c>
      <c r="G1593" s="930">
        <v>0</v>
      </c>
      <c r="H1593" s="930"/>
      <c r="I1593" s="930"/>
      <c r="J1593" s="930"/>
      <c r="K1593" s="930"/>
      <c r="L1593" s="930"/>
      <c r="M1593" s="807">
        <v>0.2</v>
      </c>
      <c r="W1593" s="4"/>
      <c r="X1593" s="4"/>
      <c r="Y1593" s="4"/>
      <c r="Z1593" s="4"/>
      <c r="AA1593" s="4"/>
      <c r="AB1593" s="4"/>
      <c r="AC1593" s="4"/>
      <c r="AD1593" s="4"/>
      <c r="AE1593" s="4"/>
    </row>
    <row r="1594" spans="2:31" outlineLevel="2" x14ac:dyDescent="0.15">
      <c r="B1594" s="949" t="s">
        <v>1477</v>
      </c>
      <c r="C1594" s="930">
        <v>6.8100000000000001E-3</v>
      </c>
      <c r="D1594" s="921">
        <v>6.8100000000000001E-3</v>
      </c>
      <c r="E1594" s="921">
        <v>0</v>
      </c>
      <c r="F1594" s="921">
        <v>0</v>
      </c>
      <c r="G1594" s="930">
        <v>0</v>
      </c>
      <c r="H1594" s="930">
        <v>0.1368</v>
      </c>
      <c r="I1594" s="930">
        <v>0.1368</v>
      </c>
      <c r="J1594" s="930">
        <v>0</v>
      </c>
      <c r="K1594" s="930">
        <v>0</v>
      </c>
      <c r="L1594" s="930">
        <v>0</v>
      </c>
      <c r="M1594" s="807">
        <v>0.6</v>
      </c>
      <c r="W1594" s="4"/>
      <c r="X1594" s="4"/>
      <c r="Y1594" s="4"/>
      <c r="Z1594" s="4"/>
      <c r="AA1594" s="4"/>
      <c r="AB1594" s="4"/>
      <c r="AC1594" s="4"/>
      <c r="AD1594" s="4"/>
      <c r="AE1594" s="4"/>
    </row>
    <row r="1595" spans="2:31" outlineLevel="2" x14ac:dyDescent="0.15">
      <c r="B1595" s="949" t="s">
        <v>1478</v>
      </c>
      <c r="C1595" s="930">
        <v>6.6400000000000001E-3</v>
      </c>
      <c r="D1595" s="921">
        <v>6.6400000000000001E-3</v>
      </c>
      <c r="E1595" s="921">
        <v>0</v>
      </c>
      <c r="F1595" s="921">
        <v>0</v>
      </c>
      <c r="G1595" s="930">
        <v>0</v>
      </c>
      <c r="H1595" s="930">
        <v>0.31</v>
      </c>
      <c r="I1595" s="930">
        <v>0.31</v>
      </c>
      <c r="J1595" s="930">
        <v>0</v>
      </c>
      <c r="K1595" s="930">
        <v>0</v>
      </c>
      <c r="L1595" s="930">
        <v>0</v>
      </c>
      <c r="M1595" s="807">
        <v>0.6</v>
      </c>
      <c r="W1595" s="4"/>
      <c r="X1595" s="4"/>
      <c r="Y1595" s="4"/>
      <c r="Z1595" s="4"/>
      <c r="AA1595" s="4"/>
      <c r="AB1595" s="4"/>
      <c r="AC1595" s="4"/>
      <c r="AD1595" s="4"/>
      <c r="AE1595" s="4"/>
    </row>
    <row r="1596" spans="2:31" outlineLevel="2" x14ac:dyDescent="0.15">
      <c r="B1596" s="949"/>
      <c r="C1596" s="930"/>
      <c r="D1596" s="921"/>
      <c r="E1596" s="921"/>
      <c r="F1596" s="921"/>
      <c r="G1596" s="930"/>
      <c r="H1596" s="930"/>
      <c r="I1596" s="930"/>
      <c r="J1596" s="930"/>
      <c r="K1596" s="930"/>
      <c r="L1596" s="930"/>
      <c r="M1596" s="807"/>
      <c r="W1596" s="4"/>
      <c r="X1596" s="4"/>
      <c r="Y1596" s="4"/>
      <c r="Z1596" s="4"/>
      <c r="AA1596" s="4"/>
      <c r="AB1596" s="4"/>
      <c r="AC1596" s="4"/>
      <c r="AD1596" s="4"/>
      <c r="AE1596" s="4"/>
    </row>
    <row r="1597" spans="2:31" outlineLevel="2" x14ac:dyDescent="0.15">
      <c r="B1597" s="949" t="s">
        <v>1479</v>
      </c>
      <c r="C1597" s="930">
        <v>0.187</v>
      </c>
      <c r="D1597" s="921">
        <v>0.187</v>
      </c>
      <c r="E1597" s="921">
        <v>0</v>
      </c>
      <c r="F1597" s="921">
        <v>0</v>
      </c>
      <c r="G1597" s="930">
        <v>0</v>
      </c>
      <c r="H1597" s="930"/>
      <c r="I1597" s="930"/>
      <c r="J1597" s="930"/>
      <c r="K1597" s="930"/>
      <c r="L1597" s="930"/>
      <c r="M1597" s="807">
        <v>0.2</v>
      </c>
      <c r="W1597" s="4"/>
      <c r="X1597" s="4"/>
      <c r="Y1597" s="4"/>
      <c r="Z1597" s="4"/>
      <c r="AA1597" s="4"/>
      <c r="AB1597" s="4"/>
      <c r="AC1597" s="4"/>
      <c r="AD1597" s="4"/>
      <c r="AE1597" s="4"/>
    </row>
    <row r="1598" spans="2:31" outlineLevel="2" x14ac:dyDescent="0.15">
      <c r="B1598" s="949" t="s">
        <v>933</v>
      </c>
      <c r="C1598" s="930">
        <v>2.35E-2</v>
      </c>
      <c r="D1598" s="921">
        <v>2.35E-2</v>
      </c>
      <c r="E1598" s="921">
        <v>0</v>
      </c>
      <c r="F1598" s="921">
        <v>0</v>
      </c>
      <c r="G1598" s="930">
        <v>0</v>
      </c>
      <c r="H1598" s="930"/>
      <c r="I1598" s="930"/>
      <c r="J1598" s="930"/>
      <c r="K1598" s="930"/>
      <c r="L1598" s="930"/>
      <c r="M1598" s="807">
        <v>0.2</v>
      </c>
      <c r="W1598" s="4"/>
      <c r="X1598" s="4"/>
      <c r="Y1598" s="4"/>
      <c r="Z1598" s="4"/>
      <c r="AA1598" s="4"/>
      <c r="AB1598" s="4"/>
      <c r="AC1598" s="4"/>
      <c r="AD1598" s="4"/>
      <c r="AE1598" s="4"/>
    </row>
    <row r="1599" spans="2:31" outlineLevel="2" x14ac:dyDescent="0.15">
      <c r="B1599" s="949" t="s">
        <v>935</v>
      </c>
      <c r="C1599" s="930">
        <v>4.8399999999999999E-2</v>
      </c>
      <c r="D1599" s="921">
        <v>4.8399999999999999E-2</v>
      </c>
      <c r="E1599" s="921">
        <v>0</v>
      </c>
      <c r="F1599" s="921">
        <v>0</v>
      </c>
      <c r="G1599" s="930">
        <v>0</v>
      </c>
      <c r="H1599" s="930"/>
      <c r="I1599" s="930"/>
      <c r="J1599" s="930"/>
      <c r="K1599" s="930"/>
      <c r="L1599" s="930"/>
      <c r="M1599" s="807">
        <v>0.2</v>
      </c>
      <c r="W1599" s="4"/>
      <c r="X1599" s="4"/>
      <c r="Y1599" s="4"/>
      <c r="Z1599" s="4"/>
      <c r="AA1599" s="4"/>
      <c r="AB1599" s="4"/>
      <c r="AC1599" s="4"/>
      <c r="AD1599" s="4"/>
      <c r="AE1599" s="4"/>
    </row>
    <row r="1600" spans="2:31" outlineLevel="2" x14ac:dyDescent="0.15">
      <c r="B1600" s="949" t="s">
        <v>951</v>
      </c>
      <c r="C1600" s="930">
        <v>0.114</v>
      </c>
      <c r="D1600" s="921">
        <v>0.114</v>
      </c>
      <c r="E1600" s="921">
        <v>0</v>
      </c>
      <c r="F1600" s="921">
        <v>0</v>
      </c>
      <c r="G1600" s="930">
        <v>0</v>
      </c>
      <c r="H1600" s="930"/>
      <c r="I1600" s="930"/>
      <c r="J1600" s="930"/>
      <c r="K1600" s="930"/>
      <c r="L1600" s="930"/>
      <c r="M1600" s="807">
        <v>0.2</v>
      </c>
      <c r="W1600" s="4"/>
      <c r="X1600" s="4"/>
      <c r="Y1600" s="4"/>
      <c r="Z1600" s="4"/>
      <c r="AA1600" s="4"/>
      <c r="AB1600" s="4"/>
      <c r="AC1600" s="4"/>
      <c r="AD1600" s="4"/>
      <c r="AE1600" s="4"/>
    </row>
    <row r="1601" spans="2:31" outlineLevel="2" x14ac:dyDescent="0.15">
      <c r="B1601" s="949" t="s">
        <v>960</v>
      </c>
      <c r="C1601" s="930">
        <v>4.5199999999999997E-2</v>
      </c>
      <c r="D1601" s="921">
        <v>4.5199999999999997E-2</v>
      </c>
      <c r="E1601" s="921">
        <v>0</v>
      </c>
      <c r="F1601" s="921">
        <v>0</v>
      </c>
      <c r="G1601" s="930">
        <v>0</v>
      </c>
      <c r="H1601" s="930"/>
      <c r="I1601" s="930"/>
      <c r="J1601" s="930"/>
      <c r="K1601" s="930"/>
      <c r="L1601" s="930"/>
      <c r="M1601" s="807">
        <v>0.2</v>
      </c>
      <c r="W1601" s="4"/>
      <c r="X1601" s="4"/>
      <c r="Y1601" s="4"/>
      <c r="Z1601" s="4"/>
      <c r="AA1601" s="4"/>
      <c r="AB1601" s="4"/>
      <c r="AC1601" s="4"/>
      <c r="AD1601" s="4"/>
      <c r="AE1601" s="4"/>
    </row>
    <row r="1602" spans="2:31" outlineLevel="2" x14ac:dyDescent="0.15">
      <c r="B1602" s="949" t="s">
        <v>927</v>
      </c>
      <c r="C1602" s="930">
        <v>6.6799999999999998E-2</v>
      </c>
      <c r="D1602" s="921">
        <v>6.6799999999999998E-2</v>
      </c>
      <c r="E1602" s="921">
        <v>0</v>
      </c>
      <c r="F1602" s="921">
        <v>0</v>
      </c>
      <c r="G1602" s="930">
        <v>0</v>
      </c>
      <c r="H1602" s="930"/>
      <c r="I1602" s="930"/>
      <c r="J1602" s="930"/>
      <c r="K1602" s="930"/>
      <c r="L1602" s="930"/>
      <c r="M1602" s="807">
        <v>0.2</v>
      </c>
      <c r="W1602" s="4"/>
      <c r="X1602" s="4"/>
      <c r="Y1602" s="4"/>
      <c r="Z1602" s="4"/>
      <c r="AA1602" s="4"/>
      <c r="AB1602" s="4"/>
      <c r="AC1602" s="4"/>
      <c r="AD1602" s="4"/>
      <c r="AE1602" s="4"/>
    </row>
    <row r="1603" spans="2:31" outlineLevel="2" x14ac:dyDescent="0.15">
      <c r="B1603" s="949" t="s">
        <v>970</v>
      </c>
      <c r="C1603" s="930">
        <v>6.6199999999999995E-2</v>
      </c>
      <c r="D1603" s="921">
        <v>6.6199999999999995E-2</v>
      </c>
      <c r="E1603" s="921">
        <v>0</v>
      </c>
      <c r="F1603" s="921">
        <v>0</v>
      </c>
      <c r="G1603" s="930">
        <v>0</v>
      </c>
      <c r="H1603" s="930"/>
      <c r="I1603" s="930"/>
      <c r="J1603" s="930"/>
      <c r="K1603" s="930"/>
      <c r="L1603" s="930"/>
      <c r="M1603" s="807">
        <v>0.2</v>
      </c>
      <c r="W1603" s="4"/>
      <c r="X1603" s="4"/>
      <c r="Y1603" s="4"/>
      <c r="Z1603" s="4"/>
      <c r="AA1603" s="4"/>
      <c r="AB1603" s="4"/>
      <c r="AC1603" s="4"/>
      <c r="AD1603" s="4"/>
      <c r="AE1603" s="4"/>
    </row>
    <row r="1604" spans="2:31" outlineLevel="2" x14ac:dyDescent="0.15">
      <c r="B1604" s="949" t="s">
        <v>976</v>
      </c>
      <c r="C1604" s="930">
        <v>3.8800000000000001E-2</v>
      </c>
      <c r="D1604" s="921">
        <v>3.8800000000000001E-2</v>
      </c>
      <c r="E1604" s="921">
        <v>0</v>
      </c>
      <c r="F1604" s="921">
        <v>0</v>
      </c>
      <c r="G1604" s="930">
        <v>0</v>
      </c>
      <c r="H1604" s="930"/>
      <c r="I1604" s="930"/>
      <c r="J1604" s="930"/>
      <c r="K1604" s="930"/>
      <c r="L1604" s="930"/>
      <c r="M1604" s="807">
        <v>0.2</v>
      </c>
      <c r="W1604" s="4"/>
      <c r="X1604" s="4"/>
      <c r="Y1604" s="4"/>
      <c r="Z1604" s="4"/>
      <c r="AA1604" s="4"/>
      <c r="AB1604" s="4"/>
      <c r="AC1604" s="4"/>
      <c r="AD1604" s="4"/>
      <c r="AE1604" s="4"/>
    </row>
    <row r="1605" spans="2:31" outlineLevel="2" x14ac:dyDescent="0.15">
      <c r="B1605" s="949" t="s">
        <v>1480</v>
      </c>
      <c r="C1605" s="930">
        <v>3.1699999999999999E-2</v>
      </c>
      <c r="D1605" s="921">
        <v>3.1699999999999999E-2</v>
      </c>
      <c r="E1605" s="921">
        <v>0</v>
      </c>
      <c r="F1605" s="921">
        <v>0</v>
      </c>
      <c r="G1605" s="930">
        <v>0</v>
      </c>
      <c r="H1605" s="930"/>
      <c r="I1605" s="930"/>
      <c r="J1605" s="930"/>
      <c r="K1605" s="930"/>
      <c r="L1605" s="930"/>
      <c r="M1605" s="807">
        <v>0.2</v>
      </c>
      <c r="W1605" s="4"/>
      <c r="X1605" s="4"/>
      <c r="Y1605" s="4"/>
      <c r="Z1605" s="4"/>
      <c r="AA1605" s="4"/>
      <c r="AB1605" s="4"/>
      <c r="AC1605" s="4"/>
      <c r="AD1605" s="4"/>
      <c r="AE1605" s="4"/>
    </row>
    <row r="1606" spans="2:31" outlineLevel="2" x14ac:dyDescent="0.15">
      <c r="B1606" s="949" t="s">
        <v>152</v>
      </c>
      <c r="C1606" s="930">
        <v>3.9699999999999999E-2</v>
      </c>
      <c r="D1606" s="921">
        <v>3.9699999999999999E-2</v>
      </c>
      <c r="E1606" s="921">
        <v>0</v>
      </c>
      <c r="F1606" s="921">
        <v>0</v>
      </c>
      <c r="G1606" s="930">
        <v>0</v>
      </c>
      <c r="H1606" s="930"/>
      <c r="I1606" s="930"/>
      <c r="J1606" s="930"/>
      <c r="K1606" s="930"/>
      <c r="L1606" s="930"/>
      <c r="M1606" s="807">
        <v>0.2</v>
      </c>
      <c r="W1606" s="4"/>
      <c r="X1606" s="4"/>
      <c r="Y1606" s="4"/>
      <c r="Z1606" s="4"/>
      <c r="AA1606" s="4"/>
      <c r="AB1606" s="4"/>
      <c r="AC1606" s="4"/>
      <c r="AD1606" s="4"/>
      <c r="AE1606" s="4"/>
    </row>
    <row r="1607" spans="2:31" outlineLevel="2" x14ac:dyDescent="0.15">
      <c r="B1607" s="949" t="s">
        <v>1030</v>
      </c>
      <c r="C1607" s="930">
        <v>7.6300000000000007E-2</v>
      </c>
      <c r="D1607" s="921">
        <v>7.6300000000000007E-2</v>
      </c>
      <c r="E1607" s="921">
        <v>0</v>
      </c>
      <c r="F1607" s="921">
        <v>0</v>
      </c>
      <c r="G1607" s="930">
        <v>0</v>
      </c>
      <c r="H1607" s="930"/>
      <c r="I1607" s="930"/>
      <c r="J1607" s="930"/>
      <c r="K1607" s="930"/>
      <c r="L1607" s="930"/>
      <c r="M1607" s="807">
        <v>0.2</v>
      </c>
      <c r="W1607" s="4"/>
      <c r="X1607" s="4"/>
      <c r="Y1607" s="4"/>
      <c r="Z1607" s="4"/>
      <c r="AA1607" s="4"/>
      <c r="AB1607" s="4"/>
      <c r="AC1607" s="4"/>
      <c r="AD1607" s="4"/>
      <c r="AE1607" s="4"/>
    </row>
    <row r="1608" spans="2:31" outlineLevel="2" x14ac:dyDescent="0.15">
      <c r="B1608" s="949" t="s">
        <v>1000</v>
      </c>
      <c r="C1608" s="930">
        <v>0.04</v>
      </c>
      <c r="D1608" s="921">
        <v>0.04</v>
      </c>
      <c r="E1608" s="921">
        <v>0</v>
      </c>
      <c r="F1608" s="921">
        <v>0</v>
      </c>
      <c r="G1608" s="930">
        <v>0</v>
      </c>
      <c r="H1608" s="930"/>
      <c r="I1608" s="930"/>
      <c r="J1608" s="930"/>
      <c r="K1608" s="930"/>
      <c r="L1608" s="930"/>
      <c r="M1608" s="807">
        <v>0.2</v>
      </c>
      <c r="W1608" s="4"/>
      <c r="X1608" s="4"/>
      <c r="Y1608" s="4"/>
      <c r="Z1608" s="4"/>
      <c r="AA1608" s="4"/>
      <c r="AB1608" s="4"/>
      <c r="AC1608" s="4"/>
      <c r="AD1608" s="4"/>
      <c r="AE1608" s="4"/>
    </row>
    <row r="1609" spans="2:31" outlineLevel="2" x14ac:dyDescent="0.15">
      <c r="B1609" s="949" t="s">
        <v>153</v>
      </c>
      <c r="C1609" s="930">
        <v>6.1499999999999999E-2</v>
      </c>
      <c r="D1609" s="921">
        <v>6.1499999999999999E-2</v>
      </c>
      <c r="E1609" s="921">
        <v>0</v>
      </c>
      <c r="F1609" s="921">
        <v>0</v>
      </c>
      <c r="G1609" s="930">
        <v>0</v>
      </c>
      <c r="H1609" s="930"/>
      <c r="I1609" s="930"/>
      <c r="J1609" s="930"/>
      <c r="K1609" s="930"/>
      <c r="L1609" s="930"/>
      <c r="M1609" s="807">
        <v>0.2</v>
      </c>
      <c r="W1609" s="4"/>
      <c r="X1609" s="4"/>
      <c r="Y1609" s="4"/>
      <c r="Z1609" s="4"/>
      <c r="AA1609" s="4"/>
      <c r="AB1609" s="4"/>
      <c r="AC1609" s="4"/>
      <c r="AD1609" s="4"/>
      <c r="AE1609" s="4"/>
    </row>
    <row r="1610" spans="2:31" outlineLevel="2" x14ac:dyDescent="0.15">
      <c r="B1610" s="949" t="s">
        <v>956</v>
      </c>
      <c r="C1610" s="930">
        <v>5.1400000000000001E-2</v>
      </c>
      <c r="D1610" s="921">
        <v>5.1400000000000001E-2</v>
      </c>
      <c r="E1610" s="921">
        <v>0</v>
      </c>
      <c r="F1610" s="921">
        <v>0</v>
      </c>
      <c r="G1610" s="930">
        <v>0</v>
      </c>
      <c r="H1610" s="930"/>
      <c r="I1610" s="930"/>
      <c r="J1610" s="930"/>
      <c r="K1610" s="930"/>
      <c r="L1610" s="930"/>
      <c r="M1610" s="807">
        <v>0.2</v>
      </c>
      <c r="W1610" s="4"/>
      <c r="X1610" s="4"/>
      <c r="Y1610" s="4"/>
      <c r="Z1610" s="4"/>
      <c r="AA1610" s="4"/>
      <c r="AB1610" s="4"/>
      <c r="AC1610" s="4"/>
      <c r="AD1610" s="4"/>
      <c r="AE1610" s="4"/>
    </row>
    <row r="1611" spans="2:31" outlineLevel="2" x14ac:dyDescent="0.15">
      <c r="B1611" s="949" t="s">
        <v>1015</v>
      </c>
      <c r="C1611" s="930">
        <v>1.29E-2</v>
      </c>
      <c r="D1611" s="921">
        <v>1.29E-2</v>
      </c>
      <c r="E1611" s="921">
        <v>0</v>
      </c>
      <c r="F1611" s="921">
        <v>0</v>
      </c>
      <c r="G1611" s="930">
        <v>0</v>
      </c>
      <c r="H1611" s="930"/>
      <c r="I1611" s="930"/>
      <c r="J1611" s="930"/>
      <c r="K1611" s="930"/>
      <c r="L1611" s="930"/>
      <c r="M1611" s="807">
        <v>0.2</v>
      </c>
      <c r="W1611" s="4"/>
      <c r="X1611" s="4"/>
      <c r="Y1611" s="4"/>
      <c r="Z1611" s="4"/>
      <c r="AA1611" s="4"/>
      <c r="AB1611" s="4"/>
      <c r="AC1611" s="4"/>
      <c r="AD1611" s="4"/>
      <c r="AE1611" s="4"/>
    </row>
    <row r="1612" spans="2:31" outlineLevel="2" x14ac:dyDescent="0.15">
      <c r="B1612" s="949" t="s">
        <v>1016</v>
      </c>
      <c r="C1612" s="930">
        <v>3.7399999999999998E-3</v>
      </c>
      <c r="D1612" s="921">
        <v>3.7399999999999998E-3</v>
      </c>
      <c r="E1612" s="921">
        <v>0</v>
      </c>
      <c r="F1612" s="921">
        <v>0</v>
      </c>
      <c r="G1612" s="930">
        <v>0</v>
      </c>
      <c r="H1612" s="930"/>
      <c r="I1612" s="930"/>
      <c r="J1612" s="930"/>
      <c r="K1612" s="930"/>
      <c r="L1612" s="930"/>
      <c r="M1612" s="807">
        <v>0.2</v>
      </c>
      <c r="W1612" s="4"/>
      <c r="X1612" s="4"/>
      <c r="Y1612" s="4"/>
      <c r="Z1612" s="4"/>
      <c r="AA1612" s="4"/>
      <c r="AB1612" s="4"/>
      <c r="AC1612" s="4"/>
      <c r="AD1612" s="4"/>
      <c r="AE1612" s="4"/>
    </row>
    <row r="1613" spans="2:31" outlineLevel="2" x14ac:dyDescent="0.15">
      <c r="B1613" s="949" t="s">
        <v>1323</v>
      </c>
      <c r="C1613" s="930">
        <v>7.4999999999999997E-2</v>
      </c>
      <c r="D1613" s="921">
        <v>7.4999999999999997E-2</v>
      </c>
      <c r="E1613" s="921">
        <v>0</v>
      </c>
      <c r="F1613" s="921">
        <v>0</v>
      </c>
      <c r="G1613" s="930">
        <v>0</v>
      </c>
      <c r="H1613" s="930"/>
      <c r="I1613" s="930"/>
      <c r="J1613" s="930"/>
      <c r="K1613" s="930"/>
      <c r="L1613" s="930"/>
      <c r="M1613" s="807">
        <v>0.2</v>
      </c>
      <c r="W1613" s="4"/>
      <c r="X1613" s="4"/>
      <c r="Y1613" s="4"/>
      <c r="Z1613" s="4"/>
      <c r="AA1613" s="4"/>
      <c r="AB1613" s="4"/>
      <c r="AC1613" s="4"/>
      <c r="AD1613" s="4"/>
      <c r="AE1613" s="4"/>
    </row>
    <row r="1614" spans="2:31" outlineLevel="2" x14ac:dyDescent="0.15">
      <c r="B1614" s="801"/>
      <c r="C1614" s="931"/>
      <c r="D1614" s="922"/>
      <c r="E1614" s="922"/>
      <c r="F1614" s="922"/>
      <c r="G1614" s="931"/>
      <c r="H1614" s="931"/>
      <c r="I1614" s="931"/>
      <c r="J1614" s="931"/>
      <c r="K1614" s="931"/>
      <c r="L1614" s="931"/>
      <c r="M1614" s="803"/>
      <c r="W1614" s="4"/>
      <c r="X1614" s="4"/>
      <c r="Y1614" s="4"/>
      <c r="Z1614" s="4"/>
      <c r="AA1614" s="4"/>
      <c r="AB1614" s="4"/>
      <c r="AC1614" s="4"/>
      <c r="AD1614" s="4"/>
      <c r="AE1614" s="4"/>
    </row>
    <row r="1615" spans="2:31" outlineLevel="2" x14ac:dyDescent="0.15"/>
    <row r="1616" spans="2:31" outlineLevel="1" x14ac:dyDescent="0.15"/>
    <row r="1617" spans="1:256" s="26" customFormat="1" ht="15.75" customHeight="1" outlineLevel="1" x14ac:dyDescent="0.15">
      <c r="A1617" s="13"/>
      <c r="B1617" s="1868" t="s">
        <v>1494</v>
      </c>
      <c r="C1617" s="1869"/>
      <c r="D1617" s="1869"/>
      <c r="E1617" s="1869"/>
      <c r="F1617" s="1869"/>
      <c r="G1617" s="1869"/>
      <c r="H1617" s="1869"/>
      <c r="I1617" s="1869"/>
      <c r="J1617" s="1870"/>
      <c r="K1617" s="28"/>
      <c r="L1617" s="28"/>
      <c r="M1617" s="28"/>
      <c r="N1617" s="28"/>
      <c r="O1617" s="28"/>
      <c r="P1617" s="28"/>
      <c r="Q1617" s="28"/>
      <c r="R1617" s="28"/>
      <c r="S1617" s="28"/>
      <c r="T1617" s="28"/>
      <c r="U1617" s="28"/>
      <c r="V1617" s="28"/>
      <c r="W1617" s="29"/>
      <c r="X1617" s="29"/>
      <c r="Y1617" s="29"/>
      <c r="Z1617" s="29"/>
      <c r="AA1617" s="29"/>
      <c r="AB1617" s="29"/>
      <c r="AC1617" s="29"/>
      <c r="AD1617" s="29"/>
      <c r="AE1617" s="29"/>
      <c r="AF1617" s="29"/>
      <c r="AG1617" s="29"/>
      <c r="AH1617" s="29"/>
      <c r="AI1617" s="29"/>
      <c r="AJ1617" s="29"/>
      <c r="AK1617" s="29"/>
      <c r="AL1617" s="29"/>
      <c r="AM1617" s="29"/>
      <c r="AN1617" s="29"/>
      <c r="AO1617" s="29"/>
      <c r="AP1617" s="29"/>
      <c r="AQ1617" s="29"/>
      <c r="AR1617" s="29"/>
      <c r="AS1617" s="29"/>
      <c r="AT1617" s="29"/>
      <c r="AU1617" s="29"/>
      <c r="AV1617" s="29"/>
      <c r="AW1617" s="29"/>
      <c r="AX1617" s="29"/>
      <c r="AY1617" s="29"/>
      <c r="AZ1617" s="29"/>
      <c r="BA1617" s="29"/>
      <c r="BB1617" s="29"/>
      <c r="BC1617" s="29"/>
      <c r="BD1617" s="29"/>
      <c r="BE1617" s="29"/>
      <c r="BF1617" s="29"/>
      <c r="BG1617" s="29"/>
      <c r="BH1617" s="29"/>
      <c r="BI1617" s="29"/>
      <c r="BJ1617" s="29"/>
      <c r="BK1617" s="29"/>
      <c r="BL1617" s="29"/>
      <c r="BM1617" s="29"/>
      <c r="BN1617" s="29"/>
      <c r="BO1617" s="29"/>
      <c r="BP1617" s="29"/>
      <c r="BQ1617" s="29"/>
      <c r="BR1617" s="29"/>
      <c r="BS1617" s="29"/>
      <c r="BT1617" s="29"/>
      <c r="BU1617" s="29"/>
      <c r="BV1617" s="29"/>
      <c r="BW1617" s="29"/>
      <c r="BX1617" s="29"/>
      <c r="BY1617" s="29"/>
      <c r="BZ1617" s="29"/>
      <c r="CA1617" s="29"/>
      <c r="CB1617" s="29"/>
      <c r="CC1617" s="29"/>
      <c r="CD1617" s="29"/>
      <c r="CE1617" s="29"/>
      <c r="CF1617" s="29"/>
      <c r="CG1617" s="29"/>
      <c r="CH1617" s="29"/>
      <c r="CI1617" s="29"/>
      <c r="CJ1617" s="29"/>
      <c r="CK1617" s="29"/>
      <c r="CL1617" s="29"/>
      <c r="CM1617" s="29"/>
      <c r="CN1617" s="29"/>
      <c r="CO1617" s="29"/>
      <c r="CP1617" s="29"/>
      <c r="CQ1617" s="29"/>
      <c r="CR1617" s="29"/>
      <c r="CS1617" s="29"/>
      <c r="CT1617" s="29"/>
      <c r="CU1617" s="29"/>
      <c r="CV1617" s="29"/>
      <c r="CW1617" s="29"/>
      <c r="CX1617" s="29"/>
      <c r="CY1617" s="29"/>
      <c r="CZ1617" s="29"/>
      <c r="DA1617" s="29"/>
      <c r="DB1617" s="29"/>
      <c r="DC1617" s="29"/>
      <c r="DD1617" s="29"/>
      <c r="DE1617" s="29"/>
      <c r="DF1617" s="29"/>
      <c r="DG1617" s="29"/>
      <c r="DH1617" s="29"/>
      <c r="DI1617" s="29"/>
      <c r="DJ1617" s="29"/>
      <c r="DK1617" s="29"/>
      <c r="DL1617" s="29"/>
      <c r="DM1617" s="29"/>
      <c r="DN1617" s="29"/>
      <c r="DO1617" s="29"/>
      <c r="DP1617" s="29"/>
      <c r="DQ1617" s="29"/>
      <c r="DR1617" s="29"/>
      <c r="DS1617" s="29"/>
      <c r="DT1617" s="29"/>
      <c r="DU1617" s="29"/>
      <c r="DV1617" s="29"/>
      <c r="DW1617" s="29"/>
      <c r="DX1617" s="29"/>
      <c r="DY1617" s="29"/>
      <c r="DZ1617" s="29"/>
      <c r="EA1617" s="29"/>
      <c r="EB1617" s="29"/>
      <c r="EC1617" s="29"/>
      <c r="ED1617" s="29"/>
      <c r="EE1617" s="29"/>
      <c r="EF1617" s="29"/>
      <c r="EG1617" s="29"/>
      <c r="EH1617" s="29"/>
      <c r="EI1617" s="29"/>
      <c r="EJ1617" s="29"/>
      <c r="EK1617" s="29"/>
      <c r="EL1617" s="29"/>
      <c r="EM1617" s="29"/>
      <c r="EN1617" s="29"/>
      <c r="EO1617" s="29"/>
      <c r="EP1617" s="29"/>
      <c r="EQ1617" s="29"/>
      <c r="ER1617" s="29"/>
      <c r="ES1617" s="29"/>
      <c r="ET1617" s="29"/>
      <c r="EU1617" s="29"/>
      <c r="EV1617" s="29"/>
      <c r="EW1617" s="29"/>
      <c r="EX1617" s="29"/>
      <c r="EY1617" s="29"/>
      <c r="EZ1617" s="29"/>
      <c r="FA1617" s="29"/>
      <c r="FB1617" s="29"/>
      <c r="FC1617" s="29"/>
      <c r="FD1617" s="29"/>
      <c r="FE1617" s="29"/>
      <c r="FF1617" s="29"/>
      <c r="FG1617" s="29"/>
      <c r="FH1617" s="29"/>
      <c r="FI1617" s="29"/>
      <c r="FJ1617" s="29"/>
      <c r="FK1617" s="29"/>
      <c r="FL1617" s="29"/>
      <c r="FM1617" s="29"/>
      <c r="FN1617" s="29"/>
      <c r="FO1617" s="29"/>
      <c r="FP1617" s="29"/>
      <c r="FQ1617" s="29"/>
      <c r="FR1617" s="29"/>
      <c r="FS1617" s="29"/>
      <c r="FT1617" s="29"/>
      <c r="FU1617" s="29"/>
      <c r="FV1617" s="29"/>
      <c r="FW1617" s="29"/>
      <c r="FX1617" s="29"/>
      <c r="FY1617" s="29"/>
      <c r="FZ1617" s="29"/>
      <c r="GA1617" s="29"/>
      <c r="GB1617" s="29"/>
      <c r="GC1617" s="13"/>
      <c r="GD1617" s="13"/>
      <c r="GE1617" s="13"/>
      <c r="GF1617" s="13"/>
      <c r="GG1617" s="13"/>
      <c r="GH1617" s="13"/>
      <c r="GI1617" s="13"/>
      <c r="GJ1617" s="13"/>
      <c r="GK1617" s="13"/>
      <c r="GL1617" s="13"/>
      <c r="GM1617" s="13"/>
      <c r="GN1617" s="13"/>
      <c r="GO1617" s="13"/>
      <c r="GP1617" s="13"/>
      <c r="GQ1617" s="13"/>
      <c r="GR1617" s="13"/>
      <c r="GS1617" s="13"/>
      <c r="GT1617" s="13"/>
      <c r="GU1617" s="13"/>
      <c r="GV1617" s="13"/>
      <c r="GW1617" s="13"/>
      <c r="GX1617" s="13"/>
      <c r="GY1617" s="13"/>
      <c r="GZ1617" s="13"/>
      <c r="HA1617" s="13"/>
      <c r="HB1617" s="13"/>
      <c r="HC1617" s="13"/>
      <c r="HD1617" s="13"/>
      <c r="HE1617" s="13"/>
      <c r="HF1617" s="13"/>
      <c r="HG1617" s="13"/>
      <c r="HH1617" s="13"/>
      <c r="HI1617" s="13"/>
      <c r="HJ1617" s="13"/>
      <c r="HK1617" s="13"/>
      <c r="HL1617" s="13"/>
      <c r="HM1617" s="13"/>
      <c r="HN1617" s="13"/>
      <c r="HO1617" s="13"/>
      <c r="HP1617" s="13"/>
      <c r="HQ1617" s="13"/>
      <c r="HR1617" s="13"/>
      <c r="HS1617" s="13"/>
      <c r="HT1617" s="13"/>
      <c r="HU1617" s="13"/>
      <c r="HV1617" s="13"/>
      <c r="HW1617" s="13"/>
      <c r="HX1617" s="13"/>
      <c r="HY1617" s="13"/>
      <c r="HZ1617" s="13"/>
      <c r="IA1617" s="13"/>
      <c r="IB1617" s="13"/>
      <c r="IC1617" s="13"/>
      <c r="ID1617" s="13"/>
      <c r="IE1617" s="13"/>
      <c r="IF1617" s="13"/>
      <c r="IG1617" s="13"/>
      <c r="IH1617" s="13"/>
      <c r="II1617" s="13"/>
      <c r="IJ1617" s="13"/>
      <c r="IK1617" s="13"/>
      <c r="IL1617" s="13"/>
      <c r="IM1617" s="13"/>
      <c r="IN1617" s="13"/>
      <c r="IO1617" s="13"/>
      <c r="IP1617" s="13"/>
      <c r="IQ1617" s="13"/>
      <c r="IR1617" s="13"/>
      <c r="IS1617" s="13"/>
      <c r="IT1617" s="13"/>
      <c r="IU1617" s="13"/>
      <c r="IV1617" s="13"/>
    </row>
    <row r="1618" spans="1:256" outlineLevel="2" x14ac:dyDescent="0.15"/>
    <row r="1619" spans="1:256" outlineLevel="2" x14ac:dyDescent="0.15">
      <c r="B1619" s="928" t="s">
        <v>1481</v>
      </c>
      <c r="C1619" s="929">
        <f>C1285</f>
        <v>1</v>
      </c>
    </row>
    <row r="1620" spans="1:256" outlineLevel="2" x14ac:dyDescent="0.15"/>
    <row r="1621" spans="1:256" outlineLevel="2" x14ac:dyDescent="0.15">
      <c r="B1621" s="1489" t="s">
        <v>1482</v>
      </c>
      <c r="C1621" s="1876" t="s">
        <v>765</v>
      </c>
      <c r="D1621" s="1878"/>
      <c r="E1621" s="1876" t="s">
        <v>1485</v>
      </c>
      <c r="F1621" s="1877"/>
      <c r="G1621" s="1877"/>
      <c r="H1621" s="1877"/>
      <c r="I1621" s="1877"/>
      <c r="J1621" s="1878"/>
      <c r="K1621" s="1877" t="s">
        <v>773</v>
      </c>
      <c r="L1621" s="1878"/>
      <c r="M1621" s="898"/>
      <c r="N1621" s="898"/>
      <c r="W1621" s="4"/>
      <c r="X1621" s="4"/>
      <c r="Y1621" s="4"/>
      <c r="Z1621" s="4"/>
      <c r="AA1621" s="4"/>
      <c r="AB1621" s="4"/>
      <c r="AC1621" s="4"/>
      <c r="AD1621" s="4"/>
    </row>
    <row r="1622" spans="1:256" ht="12.75" customHeight="1" outlineLevel="2" x14ac:dyDescent="0.15">
      <c r="B1622" s="965"/>
      <c r="C1622" s="1885" t="s">
        <v>1457</v>
      </c>
      <c r="D1622" s="1886"/>
      <c r="E1622" s="1879" t="s">
        <v>14</v>
      </c>
      <c r="F1622" s="1887"/>
      <c r="G1622" s="1887" t="s">
        <v>695</v>
      </c>
      <c r="H1622" s="1887"/>
      <c r="I1622" s="1887" t="s">
        <v>27</v>
      </c>
      <c r="J1622" s="1880"/>
      <c r="K1622" s="1879" t="s">
        <v>1484</v>
      </c>
      <c r="L1622" s="1880"/>
      <c r="M1622" s="834"/>
      <c r="N1622" s="1892" t="s">
        <v>1483</v>
      </c>
      <c r="W1622" s="4"/>
      <c r="X1622" s="4"/>
      <c r="Y1622" s="4"/>
      <c r="Z1622" s="4"/>
      <c r="AA1622" s="4"/>
      <c r="AB1622" s="4"/>
      <c r="AC1622" s="4"/>
    </row>
    <row r="1623" spans="1:256" outlineLevel="2" x14ac:dyDescent="0.15">
      <c r="B1623" s="1569" t="s">
        <v>1440</v>
      </c>
      <c r="C1623" s="1569" t="s">
        <v>768</v>
      </c>
      <c r="D1623" s="896" t="s">
        <v>24</v>
      </c>
      <c r="E1623" s="1569" t="s">
        <v>768</v>
      </c>
      <c r="F1623" s="888" t="s">
        <v>24</v>
      </c>
      <c r="G1623" s="1569" t="s">
        <v>768</v>
      </c>
      <c r="H1623" s="888" t="s">
        <v>24</v>
      </c>
      <c r="I1623" s="1569" t="s">
        <v>768</v>
      </c>
      <c r="J1623" s="896" t="s">
        <v>24</v>
      </c>
      <c r="K1623" s="1569" t="s">
        <v>768</v>
      </c>
      <c r="L1623" s="896" t="s">
        <v>24</v>
      </c>
      <c r="M1623" s="1568" t="s">
        <v>723</v>
      </c>
      <c r="N1623" s="1864"/>
      <c r="W1623" s="4"/>
      <c r="X1623" s="4"/>
      <c r="Y1623" s="4"/>
      <c r="Z1623" s="4"/>
      <c r="AA1623" s="4"/>
      <c r="AB1623" s="4"/>
      <c r="AC1623" s="4"/>
    </row>
    <row r="1624" spans="1:256" outlineLevel="2" x14ac:dyDescent="0.15">
      <c r="B1624" s="800" t="s">
        <v>1486</v>
      </c>
      <c r="C1624" s="868">
        <v>6.5079999999999999E-2</v>
      </c>
      <c r="D1624" s="933">
        <v>0.309</v>
      </c>
      <c r="E1624" s="868">
        <v>5.8799999999999998E-2</v>
      </c>
      <c r="F1624" s="844">
        <v>0.309</v>
      </c>
      <c r="G1624" s="910">
        <v>6.28E-3</v>
      </c>
      <c r="H1624" s="850">
        <v>0</v>
      </c>
      <c r="I1624" s="941">
        <v>0</v>
      </c>
      <c r="J1624" s="942">
        <v>0</v>
      </c>
      <c r="K1624" s="941">
        <v>0</v>
      </c>
      <c r="L1624" s="942">
        <v>0</v>
      </c>
      <c r="M1624" s="829">
        <v>0.5</v>
      </c>
      <c r="N1624" s="1017">
        <f>500</f>
        <v>500</v>
      </c>
      <c r="W1624" s="4"/>
      <c r="X1624" s="4"/>
      <c r="Y1624" s="4"/>
      <c r="Z1624" s="4"/>
      <c r="AA1624" s="4"/>
      <c r="AB1624" s="4"/>
      <c r="AC1624" s="4"/>
    </row>
    <row r="1625" spans="1:256" outlineLevel="2" x14ac:dyDescent="0.15">
      <c r="B1625" s="800" t="s">
        <v>1328</v>
      </c>
      <c r="C1625" s="869">
        <v>8.6330000000000004E-2</v>
      </c>
      <c r="D1625" s="874">
        <v>0.41</v>
      </c>
      <c r="E1625" s="869">
        <v>7.8E-2</v>
      </c>
      <c r="F1625" s="845">
        <v>0.41</v>
      </c>
      <c r="G1625" s="861">
        <v>8.3300000000000006E-3</v>
      </c>
      <c r="H1625" s="851">
        <v>0</v>
      </c>
      <c r="I1625" s="849">
        <v>0</v>
      </c>
      <c r="J1625" s="894">
        <v>0</v>
      </c>
      <c r="K1625" s="849">
        <v>0</v>
      </c>
      <c r="L1625" s="894">
        <v>0</v>
      </c>
      <c r="M1625" s="829">
        <v>0.5</v>
      </c>
      <c r="N1625" s="1018">
        <v>1500</v>
      </c>
      <c r="W1625" s="4"/>
      <c r="X1625" s="4"/>
      <c r="Y1625" s="4"/>
      <c r="Z1625" s="4"/>
      <c r="AA1625" s="4"/>
      <c r="AB1625" s="4"/>
      <c r="AC1625" s="4"/>
    </row>
    <row r="1626" spans="1:256" outlineLevel="2" x14ac:dyDescent="0.15">
      <c r="B1626" s="800" t="s">
        <v>1329</v>
      </c>
      <c r="C1626" s="869">
        <v>0.11399999999999999</v>
      </c>
      <c r="D1626" s="874">
        <v>0.54200000000000004</v>
      </c>
      <c r="E1626" s="869">
        <v>0.10299999999999999</v>
      </c>
      <c r="F1626" s="845">
        <v>0.54200000000000004</v>
      </c>
      <c r="G1626" s="861">
        <v>1.0999999999999999E-2</v>
      </c>
      <c r="H1626" s="851">
        <v>0</v>
      </c>
      <c r="I1626" s="849">
        <v>0</v>
      </c>
      <c r="J1626" s="894">
        <v>0</v>
      </c>
      <c r="K1626" s="849">
        <v>0</v>
      </c>
      <c r="L1626" s="894">
        <v>0</v>
      </c>
      <c r="M1626" s="829">
        <v>0.5</v>
      </c>
      <c r="N1626" s="1018">
        <v>2500</v>
      </c>
      <c r="W1626" s="4"/>
      <c r="X1626" s="4"/>
      <c r="Y1626" s="4"/>
      <c r="Z1626" s="4"/>
      <c r="AA1626" s="4"/>
      <c r="AB1626" s="4"/>
      <c r="AC1626" s="4"/>
    </row>
    <row r="1627" spans="1:256" outlineLevel="2" x14ac:dyDescent="0.15">
      <c r="B1627" s="800" t="s">
        <v>1330</v>
      </c>
      <c r="C1627" s="869">
        <v>4.317E-2</v>
      </c>
      <c r="D1627" s="874">
        <v>0.20499999999999999</v>
      </c>
      <c r="E1627" s="869">
        <v>3.9E-2</v>
      </c>
      <c r="F1627" s="845">
        <v>0.20499999999999999</v>
      </c>
      <c r="G1627" s="861">
        <v>4.1700000000000001E-3</v>
      </c>
      <c r="H1627" s="851">
        <v>0</v>
      </c>
      <c r="I1627" s="849">
        <v>0</v>
      </c>
      <c r="J1627" s="894">
        <v>0</v>
      </c>
      <c r="K1627" s="849">
        <v>0</v>
      </c>
      <c r="L1627" s="894">
        <v>0</v>
      </c>
      <c r="M1627" s="829">
        <v>0.5</v>
      </c>
      <c r="N1627" s="1018">
        <v>500</v>
      </c>
      <c r="W1627" s="4"/>
      <c r="X1627" s="4"/>
      <c r="Y1627" s="4"/>
      <c r="Z1627" s="4"/>
      <c r="AA1627" s="4"/>
      <c r="AB1627" s="4"/>
      <c r="AC1627" s="4"/>
    </row>
    <row r="1628" spans="1:256" outlineLevel="2" x14ac:dyDescent="0.15">
      <c r="B1628" s="800" t="s">
        <v>1331</v>
      </c>
      <c r="C1628" s="869">
        <v>2.989E-2</v>
      </c>
      <c r="D1628" s="874">
        <v>0.14199999999999999</v>
      </c>
      <c r="E1628" s="869">
        <v>2.7E-2</v>
      </c>
      <c r="F1628" s="845">
        <v>0.14199999999999999</v>
      </c>
      <c r="G1628" s="861">
        <v>2.8900000000000002E-3</v>
      </c>
      <c r="H1628" s="851">
        <v>0</v>
      </c>
      <c r="I1628" s="849">
        <v>0</v>
      </c>
      <c r="J1628" s="894">
        <v>0</v>
      </c>
      <c r="K1628" s="849">
        <v>0</v>
      </c>
      <c r="L1628" s="894">
        <v>0</v>
      </c>
      <c r="M1628" s="829">
        <v>0.5</v>
      </c>
      <c r="N1628" s="1018">
        <v>1500</v>
      </c>
      <c r="W1628" s="4"/>
      <c r="X1628" s="4"/>
      <c r="Y1628" s="4"/>
      <c r="Z1628" s="4"/>
      <c r="AA1628" s="4"/>
      <c r="AB1628" s="4"/>
      <c r="AC1628" s="4"/>
    </row>
    <row r="1629" spans="1:256" outlineLevel="2" x14ac:dyDescent="0.15">
      <c r="B1629" s="800" t="s">
        <v>1332</v>
      </c>
      <c r="C1629" s="869">
        <v>1.992E-2</v>
      </c>
      <c r="D1629" s="874">
        <v>9.4600000000000004E-2</v>
      </c>
      <c r="E1629" s="869">
        <v>1.7999999999999999E-2</v>
      </c>
      <c r="F1629" s="845">
        <v>9.4600000000000004E-2</v>
      </c>
      <c r="G1629" s="861">
        <v>1.92E-3</v>
      </c>
      <c r="H1629" s="851">
        <v>0</v>
      </c>
      <c r="I1629" s="849">
        <v>0</v>
      </c>
      <c r="J1629" s="894">
        <v>0</v>
      </c>
      <c r="K1629" s="849">
        <v>0</v>
      </c>
      <c r="L1629" s="894">
        <v>0</v>
      </c>
      <c r="M1629" s="829">
        <v>0.5</v>
      </c>
      <c r="N1629" s="1018">
        <v>2500</v>
      </c>
      <c r="W1629" s="4"/>
      <c r="X1629" s="4"/>
      <c r="Y1629" s="4"/>
      <c r="Z1629" s="4"/>
      <c r="AA1629" s="4"/>
      <c r="AB1629" s="4"/>
      <c r="AC1629" s="4"/>
    </row>
    <row r="1630" spans="1:256" outlineLevel="2" x14ac:dyDescent="0.15">
      <c r="B1630" s="800" t="s">
        <v>1333</v>
      </c>
      <c r="C1630" s="869">
        <v>2.989E-2</v>
      </c>
      <c r="D1630" s="874">
        <v>0.14199999999999999</v>
      </c>
      <c r="E1630" s="869">
        <v>2.7E-2</v>
      </c>
      <c r="F1630" s="845">
        <v>0.14199999999999999</v>
      </c>
      <c r="G1630" s="861">
        <v>2.8900000000000002E-3</v>
      </c>
      <c r="H1630" s="851">
        <v>0</v>
      </c>
      <c r="I1630" s="849">
        <v>0</v>
      </c>
      <c r="J1630" s="894">
        <v>0</v>
      </c>
      <c r="K1630" s="849">
        <v>0</v>
      </c>
      <c r="L1630" s="894">
        <v>0</v>
      </c>
      <c r="M1630" s="829">
        <v>0.5</v>
      </c>
      <c r="N1630" s="1018">
        <v>500</v>
      </c>
      <c r="W1630" s="4"/>
      <c r="X1630" s="4"/>
      <c r="Y1630" s="4"/>
      <c r="Z1630" s="4"/>
      <c r="AA1630" s="4"/>
      <c r="AB1630" s="4"/>
      <c r="AC1630" s="4"/>
    </row>
    <row r="1631" spans="1:256" outlineLevel="2" x14ac:dyDescent="0.15">
      <c r="B1631" s="800" t="s">
        <v>1334</v>
      </c>
      <c r="C1631" s="869">
        <v>2.4570000000000002E-2</v>
      </c>
      <c r="D1631" s="874">
        <v>0.11700000000000001</v>
      </c>
      <c r="E1631" s="869">
        <v>2.2200000000000001E-2</v>
      </c>
      <c r="F1631" s="845">
        <v>0.11700000000000001</v>
      </c>
      <c r="G1631" s="861">
        <v>2.3700000000000001E-3</v>
      </c>
      <c r="H1631" s="851">
        <v>0</v>
      </c>
      <c r="I1631" s="849">
        <v>0</v>
      </c>
      <c r="J1631" s="894">
        <v>0</v>
      </c>
      <c r="K1631" s="849">
        <v>0</v>
      </c>
      <c r="L1631" s="894">
        <v>0</v>
      </c>
      <c r="M1631" s="829">
        <v>0.5</v>
      </c>
      <c r="N1631" s="1018">
        <v>1500</v>
      </c>
      <c r="W1631" s="4"/>
      <c r="X1631" s="4"/>
      <c r="Y1631" s="4"/>
      <c r="Z1631" s="4"/>
      <c r="AA1631" s="4"/>
      <c r="AB1631" s="4"/>
      <c r="AC1631" s="4"/>
    </row>
    <row r="1632" spans="1:256" outlineLevel="2" x14ac:dyDescent="0.15">
      <c r="B1632" s="800" t="s">
        <v>1335</v>
      </c>
      <c r="C1632" s="869">
        <v>2.2580000000000003E-2</v>
      </c>
      <c r="D1632" s="874">
        <v>0.107</v>
      </c>
      <c r="E1632" s="869">
        <v>2.0400000000000001E-2</v>
      </c>
      <c r="F1632" s="845">
        <v>0.107</v>
      </c>
      <c r="G1632" s="861">
        <v>2.1800000000000001E-3</v>
      </c>
      <c r="H1632" s="851">
        <v>0</v>
      </c>
      <c r="I1632" s="849">
        <v>0</v>
      </c>
      <c r="J1632" s="894">
        <v>0</v>
      </c>
      <c r="K1632" s="849">
        <v>0</v>
      </c>
      <c r="L1632" s="894">
        <v>0</v>
      </c>
      <c r="M1632" s="829">
        <v>0.5</v>
      </c>
      <c r="N1632" s="1018">
        <v>2500</v>
      </c>
      <c r="W1632" s="4"/>
      <c r="X1632" s="4"/>
      <c r="Y1632" s="4"/>
      <c r="Z1632" s="4"/>
      <c r="AA1632" s="4"/>
      <c r="AB1632" s="4"/>
      <c r="AC1632" s="4"/>
    </row>
    <row r="1633" spans="2:29" outlineLevel="2" x14ac:dyDescent="0.15">
      <c r="B1633" s="800" t="s">
        <v>1336</v>
      </c>
      <c r="C1633" s="869">
        <v>2.1920000000000002E-2</v>
      </c>
      <c r="D1633" s="874">
        <v>0.104</v>
      </c>
      <c r="E1633" s="869">
        <v>1.9800000000000002E-2</v>
      </c>
      <c r="F1633" s="845">
        <v>0.104</v>
      </c>
      <c r="G1633" s="861">
        <v>2.1199999999999999E-3</v>
      </c>
      <c r="H1633" s="851">
        <v>0</v>
      </c>
      <c r="I1633" s="849">
        <v>0</v>
      </c>
      <c r="J1633" s="894">
        <v>0</v>
      </c>
      <c r="K1633" s="849">
        <v>0</v>
      </c>
      <c r="L1633" s="894">
        <v>0</v>
      </c>
      <c r="M1633" s="829">
        <v>0.5</v>
      </c>
      <c r="N1633" s="1018">
        <v>3500</v>
      </c>
      <c r="W1633" s="4"/>
      <c r="X1633" s="4"/>
      <c r="Y1633" s="4"/>
      <c r="Z1633" s="4"/>
      <c r="AA1633" s="4"/>
      <c r="AB1633" s="4"/>
      <c r="AC1633" s="4"/>
    </row>
    <row r="1634" spans="2:29" outlineLevel="2" x14ac:dyDescent="0.15">
      <c r="B1634" s="800" t="s">
        <v>1337</v>
      </c>
      <c r="C1634" s="869">
        <v>2.7890000000000002E-2</v>
      </c>
      <c r="D1634" s="874">
        <v>0.13200000000000001</v>
      </c>
      <c r="E1634" s="869">
        <v>2.52E-2</v>
      </c>
      <c r="F1634" s="845">
        <v>0.13200000000000001</v>
      </c>
      <c r="G1634" s="861">
        <v>2.6900000000000001E-3</v>
      </c>
      <c r="H1634" s="851">
        <v>0</v>
      </c>
      <c r="I1634" s="849">
        <v>0</v>
      </c>
      <c r="J1634" s="894">
        <v>0</v>
      </c>
      <c r="K1634" s="849">
        <v>0</v>
      </c>
      <c r="L1634" s="894">
        <v>0</v>
      </c>
      <c r="M1634" s="829">
        <v>0.5</v>
      </c>
      <c r="N1634" s="1018">
        <v>4500</v>
      </c>
      <c r="W1634" s="4"/>
      <c r="X1634" s="4"/>
      <c r="Y1634" s="4"/>
      <c r="Z1634" s="4"/>
      <c r="AA1634" s="4"/>
      <c r="AB1634" s="4"/>
      <c r="AC1634" s="4"/>
    </row>
    <row r="1635" spans="2:29" outlineLevel="2" x14ac:dyDescent="0.15">
      <c r="B1635" s="800" t="s">
        <v>1338</v>
      </c>
      <c r="C1635" s="869">
        <v>2.7230000000000001E-2</v>
      </c>
      <c r="D1635" s="874">
        <v>0.129</v>
      </c>
      <c r="E1635" s="869">
        <v>2.46E-2</v>
      </c>
      <c r="F1635" s="845">
        <v>0.129</v>
      </c>
      <c r="G1635" s="861">
        <v>2.63E-3</v>
      </c>
      <c r="H1635" s="851">
        <v>0</v>
      </c>
      <c r="I1635" s="849">
        <v>0</v>
      </c>
      <c r="J1635" s="894">
        <v>0</v>
      </c>
      <c r="K1635" s="849">
        <v>0</v>
      </c>
      <c r="L1635" s="894">
        <v>0</v>
      </c>
      <c r="M1635" s="829">
        <v>0.5</v>
      </c>
      <c r="N1635" s="1018">
        <v>5500</v>
      </c>
      <c r="W1635" s="4"/>
      <c r="X1635" s="4"/>
      <c r="Y1635" s="4"/>
      <c r="Z1635" s="4"/>
      <c r="AA1635" s="4"/>
      <c r="AB1635" s="4"/>
      <c r="AC1635" s="4"/>
    </row>
    <row r="1636" spans="2:29" outlineLevel="2" x14ac:dyDescent="0.15">
      <c r="B1636" s="800" t="s">
        <v>1339</v>
      </c>
      <c r="C1636" s="869">
        <v>2.7890000000000002E-2</v>
      </c>
      <c r="D1636" s="874">
        <v>0.13200000000000001</v>
      </c>
      <c r="E1636" s="869">
        <v>2.52E-2</v>
      </c>
      <c r="F1636" s="845">
        <v>0.13200000000000001</v>
      </c>
      <c r="G1636" s="861">
        <v>2.6900000000000001E-3</v>
      </c>
      <c r="H1636" s="851">
        <v>0</v>
      </c>
      <c r="I1636" s="849">
        <v>0</v>
      </c>
      <c r="J1636" s="894">
        <v>0</v>
      </c>
      <c r="K1636" s="849">
        <v>0</v>
      </c>
      <c r="L1636" s="894">
        <v>0</v>
      </c>
      <c r="M1636" s="829">
        <v>0.5</v>
      </c>
      <c r="N1636" s="1018">
        <v>500</v>
      </c>
      <c r="W1636" s="4"/>
      <c r="X1636" s="4"/>
      <c r="Y1636" s="4"/>
      <c r="Z1636" s="4"/>
      <c r="AA1636" s="4"/>
      <c r="AB1636" s="4"/>
      <c r="AC1636" s="4"/>
    </row>
    <row r="1637" spans="2:29" outlineLevel="2" x14ac:dyDescent="0.15">
      <c r="B1637" s="800" t="s">
        <v>1340</v>
      </c>
      <c r="C1637" s="869">
        <v>2.0589999999999997E-2</v>
      </c>
      <c r="D1637" s="874">
        <v>9.7699999999999995E-2</v>
      </c>
      <c r="E1637" s="869">
        <v>1.8599999999999998E-2</v>
      </c>
      <c r="F1637" s="845">
        <v>9.7699999999999995E-2</v>
      </c>
      <c r="G1637" s="861">
        <v>1.99E-3</v>
      </c>
      <c r="H1637" s="851">
        <v>0</v>
      </c>
      <c r="I1637" s="849">
        <v>0</v>
      </c>
      <c r="J1637" s="894">
        <v>0</v>
      </c>
      <c r="K1637" s="849">
        <v>0</v>
      </c>
      <c r="L1637" s="894">
        <v>0</v>
      </c>
      <c r="M1637" s="829">
        <v>0.5</v>
      </c>
      <c r="N1637" s="1018">
        <v>1500</v>
      </c>
      <c r="W1637" s="4"/>
      <c r="X1637" s="4"/>
      <c r="Y1637" s="4"/>
      <c r="Z1637" s="4"/>
      <c r="AA1637" s="4"/>
      <c r="AB1637" s="4"/>
      <c r="AC1637" s="4"/>
    </row>
    <row r="1638" spans="2:29" outlineLevel="2" x14ac:dyDescent="0.15">
      <c r="B1638" s="800" t="s">
        <v>1341</v>
      </c>
      <c r="C1638" s="869">
        <v>1.992E-2</v>
      </c>
      <c r="D1638" s="874">
        <v>9.4600000000000004E-2</v>
      </c>
      <c r="E1638" s="869">
        <v>1.7999999999999999E-2</v>
      </c>
      <c r="F1638" s="845">
        <v>9.4600000000000004E-2</v>
      </c>
      <c r="G1638" s="861">
        <v>1.92E-3</v>
      </c>
      <c r="H1638" s="851">
        <v>0</v>
      </c>
      <c r="I1638" s="849">
        <v>0</v>
      </c>
      <c r="J1638" s="894">
        <v>0</v>
      </c>
      <c r="K1638" s="849">
        <v>0</v>
      </c>
      <c r="L1638" s="894">
        <v>0</v>
      </c>
      <c r="M1638" s="829">
        <v>0.5</v>
      </c>
      <c r="N1638" s="1018">
        <v>2500</v>
      </c>
      <c r="W1638" s="4"/>
      <c r="X1638" s="4"/>
      <c r="Y1638" s="4"/>
      <c r="Z1638" s="4"/>
      <c r="AA1638" s="4"/>
      <c r="AB1638" s="4"/>
      <c r="AC1638" s="4"/>
    </row>
    <row r="1639" spans="2:29" outlineLevel="2" x14ac:dyDescent="0.15">
      <c r="B1639" s="800" t="s">
        <v>1342</v>
      </c>
      <c r="C1639" s="869">
        <v>2.1920000000000002E-2</v>
      </c>
      <c r="D1639" s="874">
        <v>0.104</v>
      </c>
      <c r="E1639" s="869">
        <v>1.9800000000000002E-2</v>
      </c>
      <c r="F1639" s="845">
        <v>0.104</v>
      </c>
      <c r="G1639" s="861">
        <v>2.1199999999999999E-3</v>
      </c>
      <c r="H1639" s="851">
        <v>0</v>
      </c>
      <c r="I1639" s="849">
        <v>0</v>
      </c>
      <c r="J1639" s="894">
        <v>0</v>
      </c>
      <c r="K1639" s="849">
        <v>0</v>
      </c>
      <c r="L1639" s="894">
        <v>0</v>
      </c>
      <c r="M1639" s="829">
        <v>0.5</v>
      </c>
      <c r="N1639" s="1018">
        <v>3500</v>
      </c>
      <c r="W1639" s="4"/>
      <c r="X1639" s="4"/>
      <c r="Y1639" s="4"/>
      <c r="Z1639" s="4"/>
      <c r="AA1639" s="4"/>
      <c r="AB1639" s="4"/>
      <c r="AC1639" s="4"/>
    </row>
    <row r="1640" spans="2:29" outlineLevel="2" x14ac:dyDescent="0.15">
      <c r="B1640" s="800" t="s">
        <v>1343</v>
      </c>
      <c r="C1640" s="869">
        <v>2.9219999999999999E-2</v>
      </c>
      <c r="D1640" s="874">
        <v>0.13900000000000001</v>
      </c>
      <c r="E1640" s="869">
        <v>2.64E-2</v>
      </c>
      <c r="F1640" s="845">
        <v>0.13900000000000001</v>
      </c>
      <c r="G1640" s="861">
        <v>2.82E-3</v>
      </c>
      <c r="H1640" s="851">
        <v>0</v>
      </c>
      <c r="I1640" s="849">
        <v>0</v>
      </c>
      <c r="J1640" s="894">
        <v>0</v>
      </c>
      <c r="K1640" s="849">
        <v>0</v>
      </c>
      <c r="L1640" s="894">
        <v>0</v>
      </c>
      <c r="M1640" s="829">
        <v>0.5</v>
      </c>
      <c r="N1640" s="1018">
        <v>4500</v>
      </c>
      <c r="W1640" s="4"/>
      <c r="X1640" s="4"/>
      <c r="Y1640" s="4"/>
      <c r="Z1640" s="4"/>
      <c r="AA1640" s="4"/>
      <c r="AB1640" s="4"/>
      <c r="AC1640" s="4"/>
    </row>
    <row r="1641" spans="2:29" outlineLevel="2" x14ac:dyDescent="0.15">
      <c r="B1641" s="800" t="s">
        <v>1344</v>
      </c>
      <c r="C1641" s="869">
        <v>2.1920000000000002E-2</v>
      </c>
      <c r="D1641" s="874">
        <v>0.104</v>
      </c>
      <c r="E1641" s="869">
        <v>1.9800000000000002E-2</v>
      </c>
      <c r="F1641" s="845">
        <v>0.104</v>
      </c>
      <c r="G1641" s="861">
        <v>2.1199999999999999E-3</v>
      </c>
      <c r="H1641" s="851">
        <v>0</v>
      </c>
      <c r="I1641" s="849">
        <v>0</v>
      </c>
      <c r="J1641" s="894">
        <v>0</v>
      </c>
      <c r="K1641" s="849">
        <v>0</v>
      </c>
      <c r="L1641" s="894">
        <v>0</v>
      </c>
      <c r="M1641" s="829">
        <v>0.5</v>
      </c>
      <c r="N1641" s="1018">
        <v>5500</v>
      </c>
      <c r="W1641" s="4"/>
      <c r="X1641" s="4"/>
      <c r="Y1641" s="4"/>
      <c r="Z1641" s="4"/>
      <c r="AA1641" s="4"/>
      <c r="AB1641" s="4"/>
      <c r="AC1641" s="4"/>
    </row>
    <row r="1642" spans="2:29" outlineLevel="2" x14ac:dyDescent="0.15">
      <c r="B1642" s="800" t="s">
        <v>1345</v>
      </c>
      <c r="C1642" s="869">
        <v>2.1249999999999998E-2</v>
      </c>
      <c r="D1642" s="874">
        <v>0.10100000000000001</v>
      </c>
      <c r="E1642" s="869">
        <v>1.9199999999999998E-2</v>
      </c>
      <c r="F1642" s="845">
        <v>0.10100000000000001</v>
      </c>
      <c r="G1642" s="861">
        <v>2.0500000000000002E-3</v>
      </c>
      <c r="H1642" s="851">
        <v>0</v>
      </c>
      <c r="I1642" s="849">
        <v>0</v>
      </c>
      <c r="J1642" s="894">
        <v>0</v>
      </c>
      <c r="K1642" s="849">
        <v>0</v>
      </c>
      <c r="L1642" s="894">
        <v>0</v>
      </c>
      <c r="M1642" s="829">
        <v>0.5</v>
      </c>
      <c r="N1642" s="1018">
        <v>6500</v>
      </c>
      <c r="W1642" s="4"/>
      <c r="X1642" s="4"/>
      <c r="Y1642" s="4"/>
      <c r="Z1642" s="4"/>
      <c r="AA1642" s="4"/>
      <c r="AB1642" s="4"/>
      <c r="AC1642" s="4"/>
    </row>
    <row r="1643" spans="2:29" outlineLevel="2" x14ac:dyDescent="0.15">
      <c r="B1643" s="800" t="s">
        <v>1346</v>
      </c>
      <c r="C1643" s="869">
        <v>1.9259999999999999E-2</v>
      </c>
      <c r="D1643" s="874">
        <v>9.1399999999999995E-2</v>
      </c>
      <c r="E1643" s="869">
        <v>1.7399999999999999E-2</v>
      </c>
      <c r="F1643" s="845">
        <v>9.1399999999999995E-2</v>
      </c>
      <c r="G1643" s="861">
        <v>1.8600000000000001E-3</v>
      </c>
      <c r="H1643" s="851">
        <v>0</v>
      </c>
      <c r="I1643" s="849">
        <v>0</v>
      </c>
      <c r="J1643" s="894">
        <v>0</v>
      </c>
      <c r="K1643" s="849">
        <v>0</v>
      </c>
      <c r="L1643" s="894">
        <v>0</v>
      </c>
      <c r="M1643" s="829">
        <v>0.5</v>
      </c>
      <c r="N1643" s="1018">
        <v>7500</v>
      </c>
      <c r="W1643" s="4"/>
      <c r="X1643" s="4"/>
      <c r="Y1643" s="4"/>
      <c r="Z1643" s="4"/>
      <c r="AA1643" s="4"/>
      <c r="AB1643" s="4"/>
      <c r="AC1643" s="4"/>
    </row>
    <row r="1644" spans="2:29" outlineLevel="2" x14ac:dyDescent="0.15">
      <c r="B1644" s="800" t="s">
        <v>1347</v>
      </c>
      <c r="C1644" s="869">
        <v>2.1249999999999998E-2</v>
      </c>
      <c r="D1644" s="874">
        <v>0.10100000000000001</v>
      </c>
      <c r="E1644" s="869">
        <v>1.9199999999999998E-2</v>
      </c>
      <c r="F1644" s="845">
        <v>0.10100000000000001</v>
      </c>
      <c r="G1644" s="861">
        <v>2.0500000000000002E-3</v>
      </c>
      <c r="H1644" s="851">
        <v>0</v>
      </c>
      <c r="I1644" s="849">
        <v>0</v>
      </c>
      <c r="J1644" s="894">
        <v>0</v>
      </c>
      <c r="K1644" s="849">
        <v>0</v>
      </c>
      <c r="L1644" s="894">
        <v>0</v>
      </c>
      <c r="M1644" s="829">
        <v>0.5</v>
      </c>
      <c r="N1644" s="1018">
        <v>8500</v>
      </c>
      <c r="W1644" s="4"/>
      <c r="X1644" s="4"/>
      <c r="Y1644" s="4"/>
      <c r="Z1644" s="4"/>
      <c r="AA1644" s="4"/>
      <c r="AB1644" s="4"/>
      <c r="AC1644" s="4"/>
    </row>
    <row r="1645" spans="2:29" outlineLevel="2" x14ac:dyDescent="0.15">
      <c r="B1645" s="800" t="s">
        <v>1348</v>
      </c>
      <c r="C1645" s="869">
        <v>2.0589999999999997E-2</v>
      </c>
      <c r="D1645" s="874">
        <v>9.7699999999999995E-2</v>
      </c>
      <c r="E1645" s="869">
        <v>1.8599999999999998E-2</v>
      </c>
      <c r="F1645" s="845">
        <v>9.7699999999999995E-2</v>
      </c>
      <c r="G1645" s="861">
        <v>1.99E-3</v>
      </c>
      <c r="H1645" s="851">
        <v>0</v>
      </c>
      <c r="I1645" s="849">
        <v>0</v>
      </c>
      <c r="J1645" s="894">
        <v>0</v>
      </c>
      <c r="K1645" s="849">
        <v>0</v>
      </c>
      <c r="L1645" s="894">
        <v>0</v>
      </c>
      <c r="M1645" s="829">
        <v>0.5</v>
      </c>
      <c r="N1645" s="1018">
        <v>9500</v>
      </c>
      <c r="W1645" s="4"/>
      <c r="X1645" s="4"/>
      <c r="Y1645" s="4"/>
      <c r="Z1645" s="4"/>
      <c r="AA1645" s="4"/>
      <c r="AB1645" s="4"/>
      <c r="AC1645" s="4"/>
    </row>
    <row r="1646" spans="2:29" outlineLevel="2" x14ac:dyDescent="0.15">
      <c r="B1646" s="800" t="s">
        <v>1349</v>
      </c>
      <c r="C1646" s="869">
        <v>2.3910000000000001E-2</v>
      </c>
      <c r="D1646" s="874">
        <v>0.114</v>
      </c>
      <c r="E1646" s="869">
        <v>2.1600000000000001E-2</v>
      </c>
      <c r="F1646" s="845">
        <v>0.114</v>
      </c>
      <c r="G1646" s="861">
        <v>2.31E-3</v>
      </c>
      <c r="H1646" s="851">
        <v>0</v>
      </c>
      <c r="I1646" s="849">
        <v>0</v>
      </c>
      <c r="J1646" s="894">
        <v>0</v>
      </c>
      <c r="K1646" s="849">
        <v>0</v>
      </c>
      <c r="L1646" s="894">
        <v>0</v>
      </c>
      <c r="M1646" s="829">
        <v>0.5</v>
      </c>
      <c r="N1646" s="1018">
        <v>3500</v>
      </c>
      <c r="W1646" s="4"/>
      <c r="X1646" s="4"/>
      <c r="Y1646" s="4"/>
      <c r="Z1646" s="4"/>
      <c r="AA1646" s="4"/>
      <c r="AB1646" s="4"/>
      <c r="AC1646" s="4"/>
    </row>
    <row r="1647" spans="2:29" outlineLevel="2" x14ac:dyDescent="0.15">
      <c r="B1647" s="800" t="s">
        <v>1350</v>
      </c>
      <c r="C1647" s="869">
        <v>2.4570000000000002E-2</v>
      </c>
      <c r="D1647" s="874">
        <v>0.11700000000000001</v>
      </c>
      <c r="E1647" s="869">
        <v>2.2200000000000001E-2</v>
      </c>
      <c r="F1647" s="845">
        <v>0.11700000000000001</v>
      </c>
      <c r="G1647" s="861">
        <v>2.3700000000000001E-3</v>
      </c>
      <c r="H1647" s="851">
        <v>0</v>
      </c>
      <c r="I1647" s="849">
        <v>0</v>
      </c>
      <c r="J1647" s="894">
        <v>0</v>
      </c>
      <c r="K1647" s="849">
        <v>0</v>
      </c>
      <c r="L1647" s="894">
        <v>0</v>
      </c>
      <c r="M1647" s="829">
        <v>0.5</v>
      </c>
      <c r="N1647" s="1018">
        <v>4500</v>
      </c>
      <c r="W1647" s="4"/>
      <c r="X1647" s="4"/>
      <c r="Y1647" s="4"/>
      <c r="Z1647" s="4"/>
      <c r="AA1647" s="4"/>
      <c r="AB1647" s="4"/>
      <c r="AC1647" s="4"/>
    </row>
    <row r="1648" spans="2:29" outlineLevel="2" x14ac:dyDescent="0.15">
      <c r="B1648" s="800" t="s">
        <v>1351</v>
      </c>
      <c r="C1648" s="869">
        <v>2.1249999999999998E-2</v>
      </c>
      <c r="D1648" s="874">
        <v>0.10100000000000001</v>
      </c>
      <c r="E1648" s="869">
        <v>1.9199999999999998E-2</v>
      </c>
      <c r="F1648" s="845">
        <v>0.10100000000000001</v>
      </c>
      <c r="G1648" s="861">
        <v>2.0500000000000002E-3</v>
      </c>
      <c r="H1648" s="851">
        <v>0</v>
      </c>
      <c r="I1648" s="849">
        <v>0</v>
      </c>
      <c r="J1648" s="894">
        <v>0</v>
      </c>
      <c r="K1648" s="849">
        <v>0</v>
      </c>
      <c r="L1648" s="894">
        <v>0</v>
      </c>
      <c r="M1648" s="829">
        <v>0.5</v>
      </c>
      <c r="N1648" s="1018">
        <v>5500</v>
      </c>
      <c r="W1648" s="4"/>
      <c r="X1648" s="4"/>
      <c r="Y1648" s="4"/>
      <c r="Z1648" s="4"/>
      <c r="AA1648" s="4"/>
      <c r="AB1648" s="4"/>
      <c r="AC1648" s="4"/>
    </row>
    <row r="1649" spans="2:29" outlineLevel="2" x14ac:dyDescent="0.15">
      <c r="B1649" s="800" t="s">
        <v>1352</v>
      </c>
      <c r="C1649" s="869">
        <v>1.992E-2</v>
      </c>
      <c r="D1649" s="874">
        <v>9.4600000000000004E-2</v>
      </c>
      <c r="E1649" s="869">
        <v>1.7999999999999999E-2</v>
      </c>
      <c r="F1649" s="845">
        <v>9.4600000000000004E-2</v>
      </c>
      <c r="G1649" s="861">
        <v>1.92E-3</v>
      </c>
      <c r="H1649" s="851">
        <v>0</v>
      </c>
      <c r="I1649" s="849">
        <v>0</v>
      </c>
      <c r="J1649" s="894">
        <v>0</v>
      </c>
      <c r="K1649" s="849">
        <v>0</v>
      </c>
      <c r="L1649" s="894">
        <v>0</v>
      </c>
      <c r="M1649" s="829">
        <v>0.5</v>
      </c>
      <c r="N1649" s="1018">
        <v>6500</v>
      </c>
      <c r="W1649" s="4"/>
      <c r="X1649" s="4"/>
      <c r="Y1649" s="4"/>
      <c r="Z1649" s="4"/>
      <c r="AA1649" s="4"/>
      <c r="AB1649" s="4"/>
      <c r="AC1649" s="4"/>
    </row>
    <row r="1650" spans="2:29" outlineLevel="2" x14ac:dyDescent="0.15">
      <c r="B1650" s="800" t="s">
        <v>1353</v>
      </c>
      <c r="C1650" s="869">
        <v>1.992E-2</v>
      </c>
      <c r="D1650" s="874">
        <v>9.4600000000000004E-2</v>
      </c>
      <c r="E1650" s="869">
        <v>1.7999999999999999E-2</v>
      </c>
      <c r="F1650" s="845">
        <v>9.4600000000000004E-2</v>
      </c>
      <c r="G1650" s="861">
        <v>1.92E-3</v>
      </c>
      <c r="H1650" s="851">
        <v>0</v>
      </c>
      <c r="I1650" s="849">
        <v>0</v>
      </c>
      <c r="J1650" s="894">
        <v>0</v>
      </c>
      <c r="K1650" s="849">
        <v>0</v>
      </c>
      <c r="L1650" s="894">
        <v>0</v>
      </c>
      <c r="M1650" s="829">
        <v>0.5</v>
      </c>
      <c r="N1650" s="1018">
        <v>7500</v>
      </c>
      <c r="W1650" s="4"/>
      <c r="X1650" s="4"/>
      <c r="Y1650" s="4"/>
      <c r="Z1650" s="4"/>
      <c r="AA1650" s="4"/>
      <c r="AB1650" s="4"/>
      <c r="AC1650" s="4"/>
    </row>
    <row r="1651" spans="2:29" outlineLevel="2" x14ac:dyDescent="0.15">
      <c r="B1651" s="800" t="s">
        <v>1354</v>
      </c>
      <c r="C1651" s="869">
        <v>2.1920000000000002E-2</v>
      </c>
      <c r="D1651" s="874">
        <v>0.104</v>
      </c>
      <c r="E1651" s="869">
        <v>1.9800000000000002E-2</v>
      </c>
      <c r="F1651" s="845">
        <v>0.104</v>
      </c>
      <c r="G1651" s="861">
        <v>2.1199999999999999E-3</v>
      </c>
      <c r="H1651" s="851">
        <v>0</v>
      </c>
      <c r="I1651" s="849">
        <v>0</v>
      </c>
      <c r="J1651" s="894">
        <v>0</v>
      </c>
      <c r="K1651" s="849">
        <v>0</v>
      </c>
      <c r="L1651" s="894">
        <v>0</v>
      </c>
      <c r="M1651" s="829">
        <v>0.5</v>
      </c>
      <c r="N1651" s="1018">
        <v>8500</v>
      </c>
      <c r="W1651" s="4"/>
      <c r="X1651" s="4"/>
      <c r="Y1651" s="4"/>
      <c r="Z1651" s="4"/>
      <c r="AA1651" s="4"/>
      <c r="AB1651" s="4"/>
      <c r="AC1651" s="4"/>
    </row>
    <row r="1652" spans="2:29" outlineLevel="2" x14ac:dyDescent="0.15">
      <c r="B1652" s="800" t="s">
        <v>1355</v>
      </c>
      <c r="C1652" s="869">
        <v>2.1249999999999998E-2</v>
      </c>
      <c r="D1652" s="874">
        <v>0.10100000000000001</v>
      </c>
      <c r="E1652" s="869">
        <v>1.9199999999999998E-2</v>
      </c>
      <c r="F1652" s="845">
        <v>0.10100000000000001</v>
      </c>
      <c r="G1652" s="861">
        <v>2.0500000000000002E-3</v>
      </c>
      <c r="H1652" s="851">
        <v>0</v>
      </c>
      <c r="I1652" s="849">
        <v>0</v>
      </c>
      <c r="J1652" s="894">
        <v>0</v>
      </c>
      <c r="K1652" s="849">
        <v>0</v>
      </c>
      <c r="L1652" s="894">
        <v>0</v>
      </c>
      <c r="M1652" s="829">
        <v>0.5</v>
      </c>
      <c r="N1652" s="1018">
        <v>9500</v>
      </c>
      <c r="W1652" s="4"/>
      <c r="X1652" s="4"/>
      <c r="Y1652" s="4"/>
      <c r="Z1652" s="4"/>
      <c r="AA1652" s="4"/>
      <c r="AB1652" s="4"/>
      <c r="AC1652" s="4"/>
    </row>
    <row r="1653" spans="2:29" outlineLevel="2" x14ac:dyDescent="0.15">
      <c r="B1653" s="800" t="s">
        <v>1356</v>
      </c>
      <c r="C1653" s="869">
        <v>2.0589999999999997E-2</v>
      </c>
      <c r="D1653" s="874">
        <v>9.7699999999999995E-2</v>
      </c>
      <c r="E1653" s="869">
        <v>1.8599999999999998E-2</v>
      </c>
      <c r="F1653" s="845">
        <v>9.7699999999999995E-2</v>
      </c>
      <c r="G1653" s="861">
        <v>1.99E-3</v>
      </c>
      <c r="H1653" s="851">
        <v>0</v>
      </c>
      <c r="I1653" s="849">
        <v>0</v>
      </c>
      <c r="J1653" s="894">
        <v>0</v>
      </c>
      <c r="K1653" s="849">
        <v>0</v>
      </c>
      <c r="L1653" s="894">
        <v>0</v>
      </c>
      <c r="M1653" s="829">
        <v>0.5</v>
      </c>
      <c r="N1653" s="1018">
        <v>10500</v>
      </c>
      <c r="W1653" s="4"/>
      <c r="X1653" s="4"/>
      <c r="Y1653" s="4"/>
      <c r="Z1653" s="4"/>
      <c r="AA1653" s="4"/>
      <c r="AB1653" s="4"/>
      <c r="AC1653" s="4"/>
    </row>
    <row r="1654" spans="2:29" outlineLevel="2" x14ac:dyDescent="0.15">
      <c r="B1654" s="800" t="s">
        <v>1357</v>
      </c>
      <c r="C1654" s="869">
        <v>2.1249999999999998E-2</v>
      </c>
      <c r="D1654" s="874">
        <v>0.10100000000000001</v>
      </c>
      <c r="E1654" s="869">
        <v>1.9199999999999998E-2</v>
      </c>
      <c r="F1654" s="845">
        <v>0.10100000000000001</v>
      </c>
      <c r="G1654" s="861">
        <v>2.0500000000000002E-3</v>
      </c>
      <c r="H1654" s="851">
        <v>0</v>
      </c>
      <c r="I1654" s="849">
        <v>0</v>
      </c>
      <c r="J1654" s="894">
        <v>0</v>
      </c>
      <c r="K1654" s="849">
        <v>0</v>
      </c>
      <c r="L1654" s="894">
        <v>0</v>
      </c>
      <c r="M1654" s="829">
        <v>0.5</v>
      </c>
      <c r="N1654" s="1018">
        <v>11500</v>
      </c>
      <c r="W1654" s="4"/>
      <c r="X1654" s="4"/>
      <c r="Y1654" s="4"/>
      <c r="Z1654" s="4"/>
      <c r="AA1654" s="4"/>
      <c r="AB1654" s="4"/>
      <c r="AC1654" s="4"/>
    </row>
    <row r="1655" spans="2:29" outlineLevel="2" x14ac:dyDescent="0.15">
      <c r="B1655" s="800"/>
      <c r="C1655" s="869"/>
      <c r="D1655" s="874"/>
      <c r="E1655" s="869"/>
      <c r="F1655" s="845"/>
      <c r="G1655" s="861"/>
      <c r="H1655" s="851"/>
      <c r="I1655" s="849"/>
      <c r="J1655" s="894"/>
      <c r="K1655" s="849"/>
      <c r="L1655" s="894"/>
      <c r="M1655" s="829"/>
      <c r="N1655" s="1018"/>
      <c r="W1655" s="4"/>
      <c r="X1655" s="4"/>
      <c r="Y1655" s="4"/>
      <c r="Z1655" s="4"/>
      <c r="AA1655" s="4"/>
      <c r="AB1655" s="4"/>
      <c r="AC1655" s="4"/>
    </row>
    <row r="1656" spans="2:29" outlineLevel="2" x14ac:dyDescent="0.15">
      <c r="B1656" s="800" t="s">
        <v>1487</v>
      </c>
      <c r="C1656" s="869">
        <v>1.0603178026272296E-2</v>
      </c>
      <c r="D1656" s="874">
        <v>0.11639096805135057</v>
      </c>
      <c r="E1656" s="869"/>
      <c r="F1656" s="845"/>
      <c r="G1656" s="861"/>
      <c r="H1656" s="851"/>
      <c r="I1656" s="849"/>
      <c r="J1656" s="894"/>
      <c r="K1656" s="849"/>
      <c r="L1656" s="894"/>
      <c r="M1656" s="829">
        <v>0.2</v>
      </c>
      <c r="N1656" s="1018">
        <v>500</v>
      </c>
      <c r="W1656" s="4"/>
      <c r="X1656" s="4"/>
      <c r="Y1656" s="4"/>
      <c r="Z1656" s="4"/>
      <c r="AA1656" s="4"/>
      <c r="AB1656" s="4"/>
      <c r="AC1656" s="4"/>
    </row>
    <row r="1657" spans="2:29" outlineLevel="2" x14ac:dyDescent="0.15">
      <c r="B1657" s="800" t="s">
        <v>1488</v>
      </c>
      <c r="C1657" s="869">
        <v>2.1333669515334146E-2</v>
      </c>
      <c r="D1657" s="874">
        <v>0.23417945457719366</v>
      </c>
      <c r="E1657" s="869"/>
      <c r="F1657" s="845"/>
      <c r="G1657" s="861"/>
      <c r="H1657" s="851"/>
      <c r="I1657" s="849"/>
      <c r="J1657" s="894"/>
      <c r="K1657" s="849"/>
      <c r="L1657" s="894"/>
      <c r="M1657" s="829">
        <v>0.2</v>
      </c>
      <c r="N1657" s="1018">
        <v>500</v>
      </c>
      <c r="W1657" s="4"/>
      <c r="X1657" s="4"/>
      <c r="Y1657" s="4"/>
      <c r="Z1657" s="4"/>
      <c r="AA1657" s="4"/>
      <c r="AB1657" s="4"/>
      <c r="AC1657" s="4"/>
    </row>
    <row r="1658" spans="2:29" outlineLevel="2" x14ac:dyDescent="0.15">
      <c r="B1658" s="800" t="s">
        <v>1489</v>
      </c>
      <c r="C1658" s="869">
        <v>1.1471843211451097E-2</v>
      </c>
      <c r="D1658" s="874">
        <v>0.12592629619211679</v>
      </c>
      <c r="E1658" s="869"/>
      <c r="F1658" s="845"/>
      <c r="G1658" s="861"/>
      <c r="H1658" s="851"/>
      <c r="I1658" s="849"/>
      <c r="J1658" s="894"/>
      <c r="K1658" s="849"/>
      <c r="L1658" s="894"/>
      <c r="M1658" s="829">
        <v>0.2</v>
      </c>
      <c r="N1658" s="1018">
        <v>500</v>
      </c>
      <c r="W1658" s="4"/>
      <c r="X1658" s="4"/>
      <c r="Y1658" s="4"/>
      <c r="Z1658" s="4"/>
      <c r="AA1658" s="4"/>
      <c r="AB1658" s="4"/>
      <c r="AC1658" s="4"/>
    </row>
    <row r="1659" spans="2:29" outlineLevel="2" x14ac:dyDescent="0.15">
      <c r="B1659" s="800" t="s">
        <v>1490</v>
      </c>
      <c r="C1659" s="869">
        <v>9.2167140595201067E-3</v>
      </c>
      <c r="D1659" s="874">
        <v>0.10117176840585201</v>
      </c>
      <c r="E1659" s="869"/>
      <c r="F1659" s="845"/>
      <c r="G1659" s="861"/>
      <c r="H1659" s="851"/>
      <c r="I1659" s="849"/>
      <c r="J1659" s="894"/>
      <c r="K1659" s="849"/>
      <c r="L1659" s="894"/>
      <c r="M1659" s="829">
        <v>0.2</v>
      </c>
      <c r="N1659" s="1018">
        <v>6495</v>
      </c>
      <c r="W1659" s="4"/>
      <c r="X1659" s="4"/>
      <c r="Y1659" s="4"/>
      <c r="Z1659" s="4"/>
      <c r="AA1659" s="4"/>
      <c r="AB1659" s="4"/>
      <c r="AC1659" s="4"/>
    </row>
    <row r="1660" spans="2:29" outlineLevel="2" x14ac:dyDescent="0.15">
      <c r="B1660" s="800" t="s">
        <v>1491</v>
      </c>
      <c r="C1660" s="869">
        <v>2.1720202366264891E-2</v>
      </c>
      <c r="D1660" s="874">
        <v>0.23842242141147729</v>
      </c>
      <c r="E1660" s="869"/>
      <c r="F1660" s="845"/>
      <c r="G1660" s="861"/>
      <c r="H1660" s="851"/>
      <c r="I1660" s="849"/>
      <c r="J1660" s="894"/>
      <c r="K1660" s="849"/>
      <c r="L1660" s="894"/>
      <c r="M1660" s="829">
        <v>0.2</v>
      </c>
      <c r="N1660" s="1018">
        <v>6495</v>
      </c>
      <c r="W1660" s="4"/>
      <c r="X1660" s="4"/>
      <c r="Y1660" s="4"/>
      <c r="Z1660" s="4"/>
      <c r="AA1660" s="4"/>
      <c r="AB1660" s="4"/>
      <c r="AC1660" s="4"/>
    </row>
    <row r="1661" spans="2:29" outlineLevel="2" x14ac:dyDescent="0.15">
      <c r="B1661" s="800" t="s">
        <v>1492</v>
      </c>
      <c r="C1661" s="869">
        <v>3.2533760258612494E-2</v>
      </c>
      <c r="D1661" s="874">
        <v>0.35712272692847719</v>
      </c>
      <c r="E1661" s="869"/>
      <c r="F1661" s="845"/>
      <c r="G1661" s="861"/>
      <c r="H1661" s="851"/>
      <c r="I1661" s="849"/>
      <c r="J1661" s="894"/>
      <c r="K1661" s="849"/>
      <c r="L1661" s="894"/>
      <c r="M1661" s="829">
        <v>0.2</v>
      </c>
      <c r="N1661" s="1018">
        <v>6495</v>
      </c>
      <c r="W1661" s="4"/>
      <c r="X1661" s="4"/>
      <c r="Y1661" s="4"/>
      <c r="Z1661" s="4"/>
      <c r="AA1661" s="4"/>
      <c r="AB1661" s="4"/>
      <c r="AC1661" s="4"/>
    </row>
    <row r="1662" spans="2:29" outlineLevel="2" x14ac:dyDescent="0.15">
      <c r="B1662" s="800" t="s">
        <v>1493</v>
      </c>
      <c r="C1662" s="869">
        <v>1.1600644309394089E-2</v>
      </c>
      <c r="D1662" s="874">
        <v>0.12734014442125305</v>
      </c>
      <c r="E1662" s="869"/>
      <c r="F1662" s="845"/>
      <c r="G1662" s="861"/>
      <c r="H1662" s="851"/>
      <c r="I1662" s="849"/>
      <c r="J1662" s="894"/>
      <c r="K1662" s="849"/>
      <c r="L1662" s="894"/>
      <c r="M1662" s="829">
        <v>0.2</v>
      </c>
      <c r="N1662" s="1018">
        <v>6495</v>
      </c>
      <c r="W1662" s="4"/>
      <c r="X1662" s="4"/>
      <c r="Y1662" s="4"/>
      <c r="Z1662" s="4"/>
      <c r="AA1662" s="4"/>
      <c r="AB1662" s="4"/>
      <c r="AC1662" s="4"/>
    </row>
    <row r="1663" spans="2:29" outlineLevel="2" x14ac:dyDescent="0.15">
      <c r="B1663" s="800"/>
      <c r="C1663" s="869"/>
      <c r="D1663" s="874"/>
      <c r="E1663" s="869"/>
      <c r="F1663" s="845"/>
      <c r="G1663" s="861"/>
      <c r="H1663" s="851"/>
      <c r="I1663" s="849"/>
      <c r="J1663" s="894"/>
      <c r="K1663" s="849"/>
      <c r="L1663" s="894"/>
      <c r="M1663" s="829"/>
      <c r="N1663" s="1018"/>
      <c r="W1663" s="4"/>
      <c r="X1663" s="4"/>
      <c r="Y1663" s="4"/>
      <c r="Z1663" s="4"/>
      <c r="AA1663" s="4"/>
      <c r="AB1663" s="4"/>
      <c r="AC1663" s="4"/>
    </row>
    <row r="1664" spans="2:29" outlineLevel="2" x14ac:dyDescent="0.15">
      <c r="B1664" s="800" t="s">
        <v>1360</v>
      </c>
      <c r="C1664" s="869">
        <v>1.9300000000000001E-2</v>
      </c>
      <c r="D1664" s="874">
        <v>0.17</v>
      </c>
      <c r="E1664" s="869">
        <v>1.9300000000000001E-2</v>
      </c>
      <c r="F1664" s="845">
        <v>0.17</v>
      </c>
      <c r="G1664" s="861">
        <v>0</v>
      </c>
      <c r="H1664" s="851">
        <v>0</v>
      </c>
      <c r="I1664" s="849">
        <v>0</v>
      </c>
      <c r="J1664" s="894">
        <v>0</v>
      </c>
      <c r="K1664" s="849">
        <v>0</v>
      </c>
      <c r="L1664" s="894">
        <v>0</v>
      </c>
      <c r="M1664" s="829">
        <v>0.2</v>
      </c>
      <c r="N1664" s="1018">
        <v>1000</v>
      </c>
      <c r="W1664" s="4"/>
      <c r="X1664" s="4"/>
      <c r="Y1664" s="4"/>
      <c r="Z1664" s="4"/>
      <c r="AA1664" s="4"/>
      <c r="AB1664" s="4"/>
      <c r="AC1664" s="4"/>
    </row>
    <row r="1665" spans="1:256" outlineLevel="2" x14ac:dyDescent="0.15">
      <c r="B1665" s="800" t="s">
        <v>1361</v>
      </c>
      <c r="C1665" s="869">
        <v>1.3599999999999999E-2</v>
      </c>
      <c r="D1665" s="874">
        <v>8.6099999999999996E-2</v>
      </c>
      <c r="E1665" s="869">
        <v>1.3599999999999999E-2</v>
      </c>
      <c r="F1665" s="845">
        <v>8.6099999999999996E-2</v>
      </c>
      <c r="G1665" s="861">
        <v>0</v>
      </c>
      <c r="H1665" s="851">
        <v>0</v>
      </c>
      <c r="I1665" s="849">
        <v>0</v>
      </c>
      <c r="J1665" s="894">
        <v>0</v>
      </c>
      <c r="K1665" s="849">
        <v>0</v>
      </c>
      <c r="L1665" s="894">
        <v>0</v>
      </c>
      <c r="M1665" s="829">
        <v>0.2</v>
      </c>
      <c r="N1665" s="1018">
        <v>1200</v>
      </c>
      <c r="W1665" s="4"/>
      <c r="X1665" s="4"/>
      <c r="Y1665" s="4"/>
      <c r="Z1665" s="4"/>
      <c r="AA1665" s="4"/>
      <c r="AB1665" s="4"/>
      <c r="AC1665" s="4"/>
    </row>
    <row r="1666" spans="1:256" outlineLevel="2" x14ac:dyDescent="0.15">
      <c r="B1666" s="801"/>
      <c r="C1666" s="801"/>
      <c r="D1666" s="934"/>
      <c r="E1666" s="935"/>
      <c r="F1666" s="937"/>
      <c r="G1666" s="922"/>
      <c r="H1666" s="937"/>
      <c r="I1666" s="922"/>
      <c r="J1666" s="934"/>
      <c r="K1666" s="922"/>
      <c r="L1666" s="934"/>
      <c r="M1666" s="803"/>
      <c r="N1666" s="1019"/>
      <c r="W1666" s="4"/>
      <c r="X1666" s="4"/>
      <c r="Y1666" s="4"/>
      <c r="Z1666" s="4"/>
      <c r="AA1666" s="4"/>
      <c r="AB1666" s="4"/>
      <c r="AC1666" s="4"/>
    </row>
    <row r="1667" spans="1:256" outlineLevel="2" x14ac:dyDescent="0.15"/>
    <row r="1668" spans="1:256" outlineLevel="1" x14ac:dyDescent="0.15">
      <c r="B1668" s="13"/>
      <c r="C1668" s="13"/>
      <c r="D1668" s="13"/>
      <c r="E1668" s="13"/>
      <c r="F1668" s="13"/>
      <c r="G1668" s="13"/>
      <c r="H1668" s="13"/>
      <c r="I1668" s="13"/>
      <c r="J1668" s="13"/>
      <c r="K1668" s="13"/>
      <c r="L1668" s="13"/>
    </row>
    <row r="1669" spans="1:256" s="26" customFormat="1" ht="15.75" customHeight="1" outlineLevel="1" x14ac:dyDescent="0.15">
      <c r="A1669" s="13"/>
      <c r="B1669" s="1868" t="s">
        <v>1495</v>
      </c>
      <c r="C1669" s="1869"/>
      <c r="D1669" s="1869"/>
      <c r="E1669" s="1869"/>
      <c r="F1669" s="1869"/>
      <c r="G1669" s="1869"/>
      <c r="H1669" s="1869"/>
      <c r="I1669" s="1869"/>
      <c r="J1669" s="1870"/>
      <c r="K1669" s="28"/>
      <c r="L1669" s="28"/>
      <c r="M1669" s="28"/>
      <c r="N1669" s="28"/>
      <c r="O1669" s="28"/>
      <c r="P1669" s="28"/>
      <c r="Q1669" s="28"/>
      <c r="R1669" s="28"/>
      <c r="S1669" s="28"/>
      <c r="T1669" s="28"/>
      <c r="U1669" s="28"/>
      <c r="V1669" s="28"/>
      <c r="W1669" s="29"/>
      <c r="X1669" s="29"/>
      <c r="Y1669" s="29"/>
      <c r="Z1669" s="29"/>
      <c r="AA1669" s="29"/>
      <c r="AB1669" s="29"/>
      <c r="AC1669" s="29"/>
      <c r="AD1669" s="29"/>
      <c r="AE1669" s="29"/>
      <c r="AF1669" s="29"/>
      <c r="AG1669" s="29"/>
      <c r="AH1669" s="29"/>
      <c r="AI1669" s="29"/>
      <c r="AJ1669" s="29"/>
      <c r="AK1669" s="29"/>
      <c r="AL1669" s="29"/>
      <c r="AM1669" s="29"/>
      <c r="AN1669" s="29"/>
      <c r="AO1669" s="29"/>
      <c r="AP1669" s="29"/>
      <c r="AQ1669" s="29"/>
      <c r="AR1669" s="29"/>
      <c r="AS1669" s="29"/>
      <c r="AT1669" s="29"/>
      <c r="AU1669" s="29"/>
      <c r="AV1669" s="29"/>
      <c r="AW1669" s="29"/>
      <c r="AX1669" s="29"/>
      <c r="AY1669" s="29"/>
      <c r="AZ1669" s="29"/>
      <c r="BA1669" s="29"/>
      <c r="BB1669" s="29"/>
      <c r="BC1669" s="29"/>
      <c r="BD1669" s="29"/>
      <c r="BE1669" s="29"/>
      <c r="BF1669" s="29"/>
      <c r="BG1669" s="29"/>
      <c r="BH1669" s="29"/>
      <c r="BI1669" s="29"/>
      <c r="BJ1669" s="29"/>
      <c r="BK1669" s="29"/>
      <c r="BL1669" s="29"/>
      <c r="BM1669" s="29"/>
      <c r="BN1669" s="29"/>
      <c r="BO1669" s="29"/>
      <c r="BP1669" s="29"/>
      <c r="BQ1669" s="29"/>
      <c r="BR1669" s="29"/>
      <c r="BS1669" s="29"/>
      <c r="BT1669" s="29"/>
      <c r="BU1669" s="29"/>
      <c r="BV1669" s="29"/>
      <c r="BW1669" s="29"/>
      <c r="BX1669" s="29"/>
      <c r="BY1669" s="29"/>
      <c r="BZ1669" s="29"/>
      <c r="CA1669" s="29"/>
      <c r="CB1669" s="29"/>
      <c r="CC1669" s="29"/>
      <c r="CD1669" s="29"/>
      <c r="CE1669" s="29"/>
      <c r="CF1669" s="29"/>
      <c r="CG1669" s="29"/>
      <c r="CH1669" s="29"/>
      <c r="CI1669" s="29"/>
      <c r="CJ1669" s="29"/>
      <c r="CK1669" s="29"/>
      <c r="CL1669" s="29"/>
      <c r="CM1669" s="29"/>
      <c r="CN1669" s="29"/>
      <c r="CO1669" s="29"/>
      <c r="CP1669" s="29"/>
      <c r="CQ1669" s="29"/>
      <c r="CR1669" s="29"/>
      <c r="CS1669" s="29"/>
      <c r="CT1669" s="29"/>
      <c r="CU1669" s="29"/>
      <c r="CV1669" s="29"/>
      <c r="CW1669" s="29"/>
      <c r="CX1669" s="29"/>
      <c r="CY1669" s="29"/>
      <c r="CZ1669" s="29"/>
      <c r="DA1669" s="29"/>
      <c r="DB1669" s="29"/>
      <c r="DC1669" s="29"/>
      <c r="DD1669" s="29"/>
      <c r="DE1669" s="29"/>
      <c r="DF1669" s="29"/>
      <c r="DG1669" s="29"/>
      <c r="DH1669" s="29"/>
      <c r="DI1669" s="29"/>
      <c r="DJ1669" s="29"/>
      <c r="DK1669" s="29"/>
      <c r="DL1669" s="29"/>
      <c r="DM1669" s="29"/>
      <c r="DN1669" s="29"/>
      <c r="DO1669" s="29"/>
      <c r="DP1669" s="29"/>
      <c r="DQ1669" s="29"/>
      <c r="DR1669" s="29"/>
      <c r="DS1669" s="29"/>
      <c r="DT1669" s="29"/>
      <c r="DU1669" s="29"/>
      <c r="DV1669" s="29"/>
      <c r="DW1669" s="29"/>
      <c r="DX1669" s="29"/>
      <c r="DY1669" s="29"/>
      <c r="DZ1669" s="29"/>
      <c r="EA1669" s="29"/>
      <c r="EB1669" s="29"/>
      <c r="EC1669" s="29"/>
      <c r="ED1669" s="29"/>
      <c r="EE1669" s="29"/>
      <c r="EF1669" s="29"/>
      <c r="EG1669" s="29"/>
      <c r="EH1669" s="29"/>
      <c r="EI1669" s="29"/>
      <c r="EJ1669" s="29"/>
      <c r="EK1669" s="29"/>
      <c r="EL1669" s="29"/>
      <c r="EM1669" s="29"/>
      <c r="EN1669" s="29"/>
      <c r="EO1669" s="29"/>
      <c r="EP1669" s="29"/>
      <c r="EQ1669" s="29"/>
      <c r="ER1669" s="29"/>
      <c r="ES1669" s="29"/>
      <c r="ET1669" s="29"/>
      <c r="EU1669" s="29"/>
      <c r="EV1669" s="29"/>
      <c r="EW1669" s="29"/>
      <c r="EX1669" s="29"/>
      <c r="EY1669" s="29"/>
      <c r="EZ1669" s="29"/>
      <c r="FA1669" s="29"/>
      <c r="FB1669" s="29"/>
      <c r="FC1669" s="29"/>
      <c r="FD1669" s="29"/>
      <c r="FE1669" s="29"/>
      <c r="FF1669" s="29"/>
      <c r="FG1669" s="29"/>
      <c r="FH1669" s="29"/>
      <c r="FI1669" s="29"/>
      <c r="FJ1669" s="29"/>
      <c r="FK1669" s="29"/>
      <c r="FL1669" s="29"/>
      <c r="FM1669" s="29"/>
      <c r="FN1669" s="29"/>
      <c r="FO1669" s="29"/>
      <c r="FP1669" s="29"/>
      <c r="FQ1669" s="29"/>
      <c r="FR1669" s="29"/>
      <c r="FS1669" s="29"/>
      <c r="FT1669" s="29"/>
      <c r="FU1669" s="29"/>
      <c r="FV1669" s="29"/>
      <c r="FW1669" s="29"/>
      <c r="FX1669" s="29"/>
      <c r="FY1669" s="29"/>
      <c r="FZ1669" s="29"/>
      <c r="GA1669" s="29"/>
      <c r="GB1669" s="29"/>
      <c r="GC1669" s="13"/>
      <c r="GD1669" s="13"/>
      <c r="GE1669" s="13"/>
      <c r="GF1669" s="13"/>
      <c r="GG1669" s="13"/>
      <c r="GH1669" s="13"/>
      <c r="GI1669" s="13"/>
      <c r="GJ1669" s="13"/>
      <c r="GK1669" s="13"/>
      <c r="GL1669" s="13"/>
      <c r="GM1669" s="13"/>
      <c r="GN1669" s="13"/>
      <c r="GO1669" s="13"/>
      <c r="GP1669" s="13"/>
      <c r="GQ1669" s="13"/>
      <c r="GR1669" s="13"/>
      <c r="GS1669" s="13"/>
      <c r="GT1669" s="13"/>
      <c r="GU1669" s="13"/>
      <c r="GV1669" s="13"/>
      <c r="GW1669" s="13"/>
      <c r="GX1669" s="13"/>
      <c r="GY1669" s="13"/>
      <c r="GZ1669" s="13"/>
      <c r="HA1669" s="13"/>
      <c r="HB1669" s="13"/>
      <c r="HC1669" s="13"/>
      <c r="HD1669" s="13"/>
      <c r="HE1669" s="13"/>
      <c r="HF1669" s="13"/>
      <c r="HG1669" s="13"/>
      <c r="HH1669" s="13"/>
      <c r="HI1669" s="13"/>
      <c r="HJ1669" s="13"/>
      <c r="HK1669" s="13"/>
      <c r="HL1669" s="13"/>
      <c r="HM1669" s="13"/>
      <c r="HN1669" s="13"/>
      <c r="HO1669" s="13"/>
      <c r="HP1669" s="13"/>
      <c r="HQ1669" s="13"/>
      <c r="HR1669" s="13"/>
      <c r="HS1669" s="13"/>
      <c r="HT1669" s="13"/>
      <c r="HU1669" s="13"/>
      <c r="HV1669" s="13"/>
      <c r="HW1669" s="13"/>
      <c r="HX1669" s="13"/>
      <c r="HY1669" s="13"/>
      <c r="HZ1669" s="13"/>
      <c r="IA1669" s="13"/>
      <c r="IB1669" s="13"/>
      <c r="IC1669" s="13"/>
      <c r="ID1669" s="13"/>
      <c r="IE1669" s="13"/>
      <c r="IF1669" s="13"/>
      <c r="IG1669" s="13"/>
      <c r="IH1669" s="13"/>
      <c r="II1669" s="13"/>
      <c r="IJ1669" s="13"/>
      <c r="IK1669" s="13"/>
      <c r="IL1669" s="13"/>
      <c r="IM1669" s="13"/>
      <c r="IN1669" s="13"/>
      <c r="IO1669" s="13"/>
      <c r="IP1669" s="13"/>
      <c r="IQ1669" s="13"/>
      <c r="IR1669" s="13"/>
      <c r="IS1669" s="13"/>
      <c r="IT1669" s="13"/>
      <c r="IU1669" s="13"/>
      <c r="IV1669" s="13"/>
    </row>
    <row r="1670" spans="1:256" outlineLevel="2" x14ac:dyDescent="0.15">
      <c r="B1670" s="13"/>
      <c r="C1670" s="13"/>
      <c r="D1670" s="13"/>
      <c r="E1670" s="13"/>
      <c r="F1670" s="13"/>
      <c r="G1670" s="13"/>
      <c r="H1670" s="13"/>
      <c r="I1670" s="13"/>
      <c r="J1670" s="13"/>
      <c r="K1670" s="13"/>
      <c r="L1670" s="13"/>
    </row>
    <row r="1671" spans="1:256" outlineLevel="2" x14ac:dyDescent="0.15">
      <c r="B1671" s="1489" t="s">
        <v>1495</v>
      </c>
      <c r="C1671" s="1876" t="s">
        <v>765</v>
      </c>
      <c r="D1671" s="1878"/>
      <c r="E1671" s="1876" t="s">
        <v>1282</v>
      </c>
      <c r="F1671" s="1877"/>
      <c r="G1671" s="1877"/>
      <c r="H1671" s="1877"/>
      <c r="I1671" s="1877"/>
      <c r="J1671" s="1878"/>
      <c r="K1671" s="1877" t="s">
        <v>773</v>
      </c>
      <c r="L1671" s="1878"/>
      <c r="M1671" s="1876" t="s">
        <v>765</v>
      </c>
      <c r="N1671" s="1878"/>
      <c r="O1671" s="1876" t="s">
        <v>1496</v>
      </c>
      <c r="P1671" s="1877"/>
      <c r="Q1671" s="1877"/>
      <c r="R1671" s="1877"/>
      <c r="S1671" s="1877"/>
      <c r="T1671" s="1878"/>
      <c r="U1671" s="1877" t="s">
        <v>773</v>
      </c>
      <c r="V1671" s="1878"/>
      <c r="W1671" s="1876" t="s">
        <v>765</v>
      </c>
      <c r="X1671" s="1878"/>
      <c r="Y1671" s="1876" t="s">
        <v>1282</v>
      </c>
      <c r="Z1671" s="1877"/>
      <c r="AA1671" s="1877"/>
      <c r="AB1671" s="1877"/>
      <c r="AC1671" s="1877"/>
      <c r="AD1671" s="1878"/>
      <c r="AE1671" s="1876" t="s">
        <v>773</v>
      </c>
      <c r="AF1671" s="1878"/>
      <c r="AG1671" s="898"/>
    </row>
    <row r="1672" spans="1:256" outlineLevel="2" x14ac:dyDescent="0.15">
      <c r="B1672" s="965"/>
      <c r="C1672" s="1885" t="s">
        <v>1281</v>
      </c>
      <c r="D1672" s="1886"/>
      <c r="E1672" s="1879" t="s">
        <v>14</v>
      </c>
      <c r="F1672" s="1887"/>
      <c r="G1672" s="1887" t="s">
        <v>695</v>
      </c>
      <c r="H1672" s="1887"/>
      <c r="I1672" s="1887" t="s">
        <v>27</v>
      </c>
      <c r="J1672" s="1880"/>
      <c r="K1672" s="1879" t="s">
        <v>1281</v>
      </c>
      <c r="L1672" s="1880"/>
      <c r="M1672" s="1879" t="s">
        <v>1457</v>
      </c>
      <c r="N1672" s="1880"/>
      <c r="O1672" s="1879" t="s">
        <v>14</v>
      </c>
      <c r="P1672" s="1887"/>
      <c r="Q1672" s="1887" t="s">
        <v>695</v>
      </c>
      <c r="R1672" s="1887"/>
      <c r="S1672" s="1887" t="s">
        <v>27</v>
      </c>
      <c r="T1672" s="1880"/>
      <c r="U1672" s="1879" t="s">
        <v>1457</v>
      </c>
      <c r="V1672" s="1880"/>
      <c r="W1672" s="1879" t="s">
        <v>1281</v>
      </c>
      <c r="X1672" s="1880"/>
      <c r="Y1672" s="1879" t="s">
        <v>14</v>
      </c>
      <c r="Z1672" s="1887"/>
      <c r="AA1672" s="1887" t="s">
        <v>695</v>
      </c>
      <c r="AB1672" s="1887"/>
      <c r="AC1672" s="1887" t="s">
        <v>27</v>
      </c>
      <c r="AD1672" s="1880"/>
      <c r="AE1672" s="1879" t="s">
        <v>1281</v>
      </c>
      <c r="AF1672" s="1880"/>
      <c r="AG1672" s="834"/>
    </row>
    <row r="1673" spans="1:256" outlineLevel="2" x14ac:dyDescent="0.15">
      <c r="B1673" s="1569" t="s">
        <v>1386</v>
      </c>
      <c r="C1673" s="1569" t="s">
        <v>768</v>
      </c>
      <c r="D1673" s="896" t="s">
        <v>24</v>
      </c>
      <c r="E1673" s="1569" t="s">
        <v>768</v>
      </c>
      <c r="F1673" s="888" t="s">
        <v>24</v>
      </c>
      <c r="G1673" s="1569" t="s">
        <v>768</v>
      </c>
      <c r="H1673" s="888" t="s">
        <v>24</v>
      </c>
      <c r="I1673" s="1569" t="s">
        <v>768</v>
      </c>
      <c r="J1673" s="896" t="s">
        <v>24</v>
      </c>
      <c r="K1673" s="1569" t="s">
        <v>768</v>
      </c>
      <c r="L1673" s="896" t="s">
        <v>24</v>
      </c>
      <c r="M1673" s="1569" t="s">
        <v>768</v>
      </c>
      <c r="N1673" s="896" t="s">
        <v>24</v>
      </c>
      <c r="O1673" s="1569" t="s">
        <v>768</v>
      </c>
      <c r="P1673" s="888" t="s">
        <v>24</v>
      </c>
      <c r="Q1673" s="1569" t="s">
        <v>768</v>
      </c>
      <c r="R1673" s="888" t="s">
        <v>24</v>
      </c>
      <c r="S1673" s="1569" t="s">
        <v>768</v>
      </c>
      <c r="T1673" s="896" t="s">
        <v>24</v>
      </c>
      <c r="U1673" s="1569" t="s">
        <v>768</v>
      </c>
      <c r="V1673" s="896" t="s">
        <v>24</v>
      </c>
      <c r="W1673" s="1569" t="s">
        <v>768</v>
      </c>
      <c r="X1673" s="896" t="s">
        <v>24</v>
      </c>
      <c r="Y1673" s="1569" t="s">
        <v>768</v>
      </c>
      <c r="Z1673" s="888" t="s">
        <v>24</v>
      </c>
      <c r="AA1673" s="1569" t="s">
        <v>768</v>
      </c>
      <c r="AB1673" s="888" t="s">
        <v>24</v>
      </c>
      <c r="AC1673" s="1569" t="s">
        <v>768</v>
      </c>
      <c r="AD1673" s="896" t="s">
        <v>24</v>
      </c>
      <c r="AE1673" s="1569" t="s">
        <v>768</v>
      </c>
      <c r="AF1673" s="896" t="s">
        <v>24</v>
      </c>
      <c r="AG1673" s="1568" t="s">
        <v>723</v>
      </c>
    </row>
    <row r="1674" spans="1:256" outlineLevel="2" x14ac:dyDescent="0.15">
      <c r="B1674" s="799" t="s">
        <v>1501</v>
      </c>
      <c r="C1674" s="864">
        <v>70.739999999999995</v>
      </c>
      <c r="D1674" s="942">
        <v>425.68299999999999</v>
      </c>
      <c r="E1674" s="864">
        <v>64.5</v>
      </c>
      <c r="F1674" s="850">
        <v>423</v>
      </c>
      <c r="G1674" s="882">
        <v>6.24</v>
      </c>
      <c r="H1674" s="1021">
        <v>0.20300000000000001</v>
      </c>
      <c r="I1674" s="1015">
        <v>0</v>
      </c>
      <c r="J1674" s="1020">
        <v>2.48</v>
      </c>
      <c r="K1674" s="882">
        <v>0</v>
      </c>
      <c r="L1674" s="933">
        <v>0</v>
      </c>
      <c r="M1674" s="868">
        <v>0.13930000000000001</v>
      </c>
      <c r="N1674" s="933">
        <v>0.83930199999999999</v>
      </c>
      <c r="O1674" s="868">
        <v>0.127</v>
      </c>
      <c r="P1674" s="844">
        <v>0.83399999999999996</v>
      </c>
      <c r="Q1674" s="1026">
        <v>1.23E-2</v>
      </c>
      <c r="R1674" s="1027">
        <v>4.0200000000000001E-4</v>
      </c>
      <c r="S1674" s="1026">
        <v>0</v>
      </c>
      <c r="T1674" s="1032">
        <v>4.8999999999999998E-3</v>
      </c>
      <c r="U1674" s="1015">
        <v>0</v>
      </c>
      <c r="V1674" s="1020">
        <v>0</v>
      </c>
      <c r="W1674" s="868">
        <v>3.7620000000000001E-2</v>
      </c>
      <c r="X1674" s="933">
        <v>0.22642799999999999</v>
      </c>
      <c r="Y1674" s="868">
        <v>3.4299999999999997E-2</v>
      </c>
      <c r="Z1674" s="844">
        <v>0.22500000000000001</v>
      </c>
      <c r="AA1674" s="1026">
        <v>3.32E-3</v>
      </c>
      <c r="AB1674" s="1027">
        <v>1.08E-4</v>
      </c>
      <c r="AC1674" s="1026">
        <v>0</v>
      </c>
      <c r="AD1674" s="1032">
        <v>1.32E-3</v>
      </c>
      <c r="AE1674" s="941">
        <v>0</v>
      </c>
      <c r="AF1674" s="942">
        <v>0</v>
      </c>
      <c r="AG1674" s="884">
        <v>0.6</v>
      </c>
    </row>
    <row r="1675" spans="1:256" outlineLevel="2" x14ac:dyDescent="0.15">
      <c r="B1675" s="800" t="s">
        <v>1498</v>
      </c>
      <c r="C1675" s="865">
        <v>62.24</v>
      </c>
      <c r="D1675" s="894">
        <v>343.10300000000001</v>
      </c>
      <c r="E1675" s="865">
        <v>56.7</v>
      </c>
      <c r="F1675" s="851">
        <v>341</v>
      </c>
      <c r="G1675" s="843">
        <v>5.54</v>
      </c>
      <c r="H1675" s="1023">
        <v>0.16300000000000001</v>
      </c>
      <c r="I1675" s="1016">
        <v>0</v>
      </c>
      <c r="J1675" s="1022">
        <v>1.94</v>
      </c>
      <c r="K1675" s="843">
        <v>0</v>
      </c>
      <c r="L1675" s="874">
        <v>0</v>
      </c>
      <c r="M1675" s="869">
        <v>8.0360000000000001E-2</v>
      </c>
      <c r="N1675" s="874">
        <v>0.44372100000000003</v>
      </c>
      <c r="O1675" s="869">
        <v>7.3200000000000001E-2</v>
      </c>
      <c r="P1675" s="845">
        <v>0.441</v>
      </c>
      <c r="Q1675" s="1028">
        <v>7.1599999999999997E-3</v>
      </c>
      <c r="R1675" s="1029">
        <v>2.1100000000000001E-4</v>
      </c>
      <c r="S1675" s="1028">
        <v>0</v>
      </c>
      <c r="T1675" s="1033">
        <v>2.5100000000000001E-3</v>
      </c>
      <c r="U1675" s="1016">
        <v>0</v>
      </c>
      <c r="V1675" s="1022">
        <v>0</v>
      </c>
      <c r="W1675" s="869">
        <v>7.1470000000000006E-2</v>
      </c>
      <c r="X1675" s="874">
        <v>0.39441800000000005</v>
      </c>
      <c r="Y1675" s="869">
        <v>6.5100000000000005E-2</v>
      </c>
      <c r="Z1675" s="845">
        <v>0.39200000000000002</v>
      </c>
      <c r="AA1675" s="1028">
        <v>6.3699999999999998E-3</v>
      </c>
      <c r="AB1675" s="1029">
        <v>1.8799999999999999E-4</v>
      </c>
      <c r="AC1675" s="1028">
        <v>0</v>
      </c>
      <c r="AD1675" s="1033">
        <v>2.2300000000000002E-3</v>
      </c>
      <c r="AE1675" s="849">
        <v>0</v>
      </c>
      <c r="AF1675" s="894">
        <v>0</v>
      </c>
      <c r="AG1675" s="878">
        <v>0.6</v>
      </c>
    </row>
    <row r="1676" spans="1:256" outlineLevel="2" x14ac:dyDescent="0.15">
      <c r="B1676" s="800" t="s">
        <v>1499</v>
      </c>
      <c r="C1676" s="865">
        <v>57.879999999999995</v>
      </c>
      <c r="D1676" s="894">
        <v>361.303</v>
      </c>
      <c r="E1676" s="865">
        <v>52.8</v>
      </c>
      <c r="F1676" s="851">
        <v>359</v>
      </c>
      <c r="G1676" s="843">
        <v>5.08</v>
      </c>
      <c r="H1676" s="1023">
        <v>0.17299999999999999</v>
      </c>
      <c r="I1676" s="1016">
        <v>0</v>
      </c>
      <c r="J1676" s="1022">
        <v>2.13</v>
      </c>
      <c r="K1676" s="843">
        <v>0</v>
      </c>
      <c r="L1676" s="874">
        <v>0</v>
      </c>
      <c r="M1676" s="869">
        <v>6.4680000000000001E-2</v>
      </c>
      <c r="N1676" s="874">
        <v>0.40358300000000003</v>
      </c>
      <c r="O1676" s="869">
        <v>5.8999999999999997E-2</v>
      </c>
      <c r="P1676" s="845">
        <v>0.40100000000000002</v>
      </c>
      <c r="Q1676" s="1028">
        <v>5.6800000000000002E-3</v>
      </c>
      <c r="R1676" s="1029">
        <v>1.93E-4</v>
      </c>
      <c r="S1676" s="1028">
        <v>0</v>
      </c>
      <c r="T1676" s="1033">
        <v>2.3900000000000002E-3</v>
      </c>
      <c r="U1676" s="1016">
        <v>0</v>
      </c>
      <c r="V1676" s="1022">
        <v>0</v>
      </c>
      <c r="W1676" s="869">
        <v>3.6069999999999998E-2</v>
      </c>
      <c r="X1676" s="874">
        <v>0.225438</v>
      </c>
      <c r="Y1676" s="869">
        <v>3.2899999999999999E-2</v>
      </c>
      <c r="Z1676" s="845">
        <v>0.224</v>
      </c>
      <c r="AA1676" s="1028">
        <v>3.1700000000000001E-3</v>
      </c>
      <c r="AB1676" s="1029">
        <v>1.08E-4</v>
      </c>
      <c r="AC1676" s="1028">
        <v>0</v>
      </c>
      <c r="AD1676" s="1033">
        <v>1.33E-3</v>
      </c>
      <c r="AE1676" s="849">
        <v>0</v>
      </c>
      <c r="AF1676" s="894">
        <v>0</v>
      </c>
      <c r="AG1676" s="878">
        <v>0.6</v>
      </c>
    </row>
    <row r="1677" spans="1:256" outlineLevel="2" x14ac:dyDescent="0.15">
      <c r="B1677" s="800" t="s">
        <v>1497</v>
      </c>
      <c r="C1677" s="865">
        <v>3.9359999999999999</v>
      </c>
      <c r="D1677" s="894">
        <v>15.126749999999999</v>
      </c>
      <c r="E1677" s="865">
        <v>3.46</v>
      </c>
      <c r="F1677" s="851">
        <v>15</v>
      </c>
      <c r="G1677" s="843">
        <v>0.30399999999999999</v>
      </c>
      <c r="H1677" s="1023">
        <v>6.7499999999999999E-3</v>
      </c>
      <c r="I1677" s="1016">
        <v>0.17199999999999999</v>
      </c>
      <c r="J1677" s="1022">
        <v>0.12</v>
      </c>
      <c r="K1677" s="843">
        <v>-0.871</v>
      </c>
      <c r="L1677" s="874">
        <v>0.871</v>
      </c>
      <c r="M1677" s="869">
        <v>1.3313E-2</v>
      </c>
      <c r="N1677" s="874">
        <v>5.1027800000000005E-2</v>
      </c>
      <c r="O1677" s="869">
        <v>1.17E-2</v>
      </c>
      <c r="P1677" s="845">
        <v>5.0599999999999999E-2</v>
      </c>
      <c r="Q1677" s="1028">
        <v>1.0300000000000001E-3</v>
      </c>
      <c r="R1677" s="1029">
        <v>2.2799999999999999E-5</v>
      </c>
      <c r="S1677" s="1028">
        <v>5.8299999999999997E-4</v>
      </c>
      <c r="T1677" s="1033">
        <v>4.0499999999999998E-4</v>
      </c>
      <c r="U1677" s="1016">
        <v>-2.9399999999999999E-3</v>
      </c>
      <c r="V1677" s="1022">
        <v>2.9399999999999999E-3</v>
      </c>
      <c r="W1677" s="869"/>
      <c r="X1677" s="874"/>
      <c r="Y1677" s="869"/>
      <c r="Z1677" s="845"/>
      <c r="AA1677" s="1028"/>
      <c r="AB1677" s="1029"/>
      <c r="AC1677" s="1028"/>
      <c r="AD1677" s="1033"/>
      <c r="AE1677" s="1016"/>
      <c r="AF1677" s="1022"/>
      <c r="AG1677" s="878">
        <v>0.6</v>
      </c>
    </row>
    <row r="1678" spans="1:256" outlineLevel="2" x14ac:dyDescent="0.15">
      <c r="B1678" s="800"/>
      <c r="C1678" s="865"/>
      <c r="D1678" s="894"/>
      <c r="E1678" s="865"/>
      <c r="F1678" s="851"/>
      <c r="G1678" s="843"/>
      <c r="H1678" s="1023"/>
      <c r="I1678" s="1016"/>
      <c r="J1678" s="1022"/>
      <c r="K1678" s="843"/>
      <c r="L1678" s="874"/>
      <c r="M1678" s="869"/>
      <c r="N1678" s="874"/>
      <c r="O1678" s="869"/>
      <c r="P1678" s="845"/>
      <c r="Q1678" s="1028"/>
      <c r="R1678" s="1029"/>
      <c r="S1678" s="1028"/>
      <c r="T1678" s="1033"/>
      <c r="U1678" s="1016"/>
      <c r="V1678" s="1022"/>
      <c r="W1678" s="869"/>
      <c r="X1678" s="874"/>
      <c r="Y1678" s="869"/>
      <c r="Z1678" s="845"/>
      <c r="AA1678" s="1028"/>
      <c r="AB1678" s="1029"/>
      <c r="AC1678" s="1028"/>
      <c r="AD1678" s="1033"/>
      <c r="AE1678" s="1016"/>
      <c r="AF1678" s="1022"/>
      <c r="AG1678" s="878"/>
    </row>
    <row r="1679" spans="1:256" outlineLevel="2" x14ac:dyDescent="0.15">
      <c r="B1679" s="800" t="s">
        <v>1502</v>
      </c>
      <c r="C1679" s="865"/>
      <c r="D1679" s="894"/>
      <c r="E1679" s="865"/>
      <c r="F1679" s="851"/>
      <c r="G1679" s="843"/>
      <c r="H1679" s="1023"/>
      <c r="I1679" s="1016"/>
      <c r="J1679" s="1022"/>
      <c r="K1679" s="843"/>
      <c r="L1679" s="874"/>
      <c r="M1679" s="869">
        <v>3.1399999999999997E-2</v>
      </c>
      <c r="N1679" s="874">
        <v>0.19800000000000001</v>
      </c>
      <c r="O1679" s="869">
        <v>3.1399999999999997E-2</v>
      </c>
      <c r="P1679" s="845">
        <v>0.19800000000000001</v>
      </c>
      <c r="Q1679" s="1028">
        <v>0</v>
      </c>
      <c r="R1679" s="1029">
        <v>0</v>
      </c>
      <c r="S1679" s="1028">
        <v>0</v>
      </c>
      <c r="T1679" s="1033">
        <v>0</v>
      </c>
      <c r="U1679" s="1016">
        <v>0</v>
      </c>
      <c r="V1679" s="1022">
        <v>0</v>
      </c>
      <c r="W1679" s="869"/>
      <c r="X1679" s="874"/>
      <c r="Y1679" s="869"/>
      <c r="Z1679" s="845"/>
      <c r="AA1679" s="1028"/>
      <c r="AB1679" s="1029"/>
      <c r="AC1679" s="1028"/>
      <c r="AD1679" s="1033"/>
      <c r="AE1679" s="1016"/>
      <c r="AF1679" s="1022"/>
      <c r="AG1679" s="878">
        <v>0.5</v>
      </c>
    </row>
    <row r="1680" spans="1:256" outlineLevel="2" x14ac:dyDescent="0.15">
      <c r="B1680" s="800" t="s">
        <v>1503</v>
      </c>
      <c r="C1680" s="865"/>
      <c r="D1680" s="894"/>
      <c r="E1680" s="865"/>
      <c r="F1680" s="851"/>
      <c r="G1680" s="843"/>
      <c r="H1680" s="1023"/>
      <c r="I1680" s="1016"/>
      <c r="J1680" s="1022"/>
      <c r="K1680" s="843"/>
      <c r="L1680" s="874"/>
      <c r="M1680" s="869">
        <v>4.36E-2</v>
      </c>
      <c r="N1680" s="874">
        <v>0.34</v>
      </c>
      <c r="O1680" s="869">
        <v>4.36E-2</v>
      </c>
      <c r="P1680" s="845">
        <v>0.34</v>
      </c>
      <c r="Q1680" s="1028">
        <v>0</v>
      </c>
      <c r="R1680" s="1029">
        <v>0</v>
      </c>
      <c r="S1680" s="1028">
        <v>0</v>
      </c>
      <c r="T1680" s="1033">
        <v>0</v>
      </c>
      <c r="U1680" s="1016">
        <v>0</v>
      </c>
      <c r="V1680" s="1022">
        <v>0</v>
      </c>
      <c r="W1680" s="869"/>
      <c r="X1680" s="874"/>
      <c r="Y1680" s="869"/>
      <c r="Z1680" s="845"/>
      <c r="AA1680" s="1028"/>
      <c r="AB1680" s="1029"/>
      <c r="AC1680" s="1028"/>
      <c r="AD1680" s="1033"/>
      <c r="AE1680" s="1016"/>
      <c r="AF1680" s="1022"/>
      <c r="AG1680" s="878">
        <v>0.2</v>
      </c>
    </row>
    <row r="1681" spans="1:256" outlineLevel="2" x14ac:dyDescent="0.15">
      <c r="B1681" s="800" t="s">
        <v>1504</v>
      </c>
      <c r="C1681" s="865"/>
      <c r="D1681" s="894"/>
      <c r="E1681" s="865"/>
      <c r="F1681" s="851"/>
      <c r="G1681" s="843"/>
      <c r="H1681" s="1023"/>
      <c r="I1681" s="1016"/>
      <c r="J1681" s="1022"/>
      <c r="K1681" s="843"/>
      <c r="L1681" s="874"/>
      <c r="M1681" s="869">
        <v>3.5299999999999998E-2</v>
      </c>
      <c r="N1681" s="874">
        <v>0.27500000000000002</v>
      </c>
      <c r="O1681" s="869">
        <v>3.5299999999999998E-2</v>
      </c>
      <c r="P1681" s="845">
        <v>0.27500000000000002</v>
      </c>
      <c r="Q1681" s="1028">
        <v>0</v>
      </c>
      <c r="R1681" s="1029">
        <v>0</v>
      </c>
      <c r="S1681" s="1028">
        <v>0</v>
      </c>
      <c r="T1681" s="1033">
        <v>0</v>
      </c>
      <c r="U1681" s="1016">
        <v>0</v>
      </c>
      <c r="V1681" s="1022">
        <v>0</v>
      </c>
      <c r="W1681" s="869"/>
      <c r="X1681" s="874"/>
      <c r="Y1681" s="869"/>
      <c r="Z1681" s="845"/>
      <c r="AA1681" s="1028"/>
      <c r="AB1681" s="1029"/>
      <c r="AC1681" s="1028"/>
      <c r="AD1681" s="1033"/>
      <c r="AE1681" s="1016"/>
      <c r="AF1681" s="1022"/>
      <c r="AG1681" s="878">
        <v>0.2</v>
      </c>
    </row>
    <row r="1682" spans="1:256" outlineLevel="2" x14ac:dyDescent="0.15">
      <c r="B1682" s="801"/>
      <c r="C1682" s="801"/>
      <c r="D1682" s="934"/>
      <c r="E1682" s="935"/>
      <c r="F1682" s="937"/>
      <c r="G1682" s="922"/>
      <c r="H1682" s="937"/>
      <c r="I1682" s="922"/>
      <c r="J1682" s="934"/>
      <c r="K1682" s="922"/>
      <c r="L1682" s="934"/>
      <c r="M1682" s="870"/>
      <c r="N1682" s="934"/>
      <c r="O1682" s="935"/>
      <c r="P1682" s="937"/>
      <c r="Q1682" s="1030"/>
      <c r="R1682" s="1031"/>
      <c r="S1682" s="1030"/>
      <c r="T1682" s="1034"/>
      <c r="U1682" s="1025"/>
      <c r="V1682" s="1035"/>
      <c r="W1682" s="870"/>
      <c r="X1682" s="934"/>
      <c r="Y1682" s="935"/>
      <c r="Z1682" s="937"/>
      <c r="AA1682" s="1030"/>
      <c r="AB1682" s="1031"/>
      <c r="AC1682" s="1030"/>
      <c r="AD1682" s="1034"/>
      <c r="AE1682" s="1025"/>
      <c r="AF1682" s="1035"/>
      <c r="AG1682" s="824"/>
    </row>
    <row r="1683" spans="1:256" outlineLevel="2" x14ac:dyDescent="0.15"/>
    <row r="1684" spans="1:256" ht="15" customHeight="1" x14ac:dyDescent="0.15"/>
    <row r="1685" spans="1:256" s="26" customFormat="1" ht="20" customHeight="1" collapsed="1" x14ac:dyDescent="0.15">
      <c r="A1685" s="13"/>
      <c r="B1685" s="1871" t="s">
        <v>715</v>
      </c>
      <c r="C1685" s="1872"/>
      <c r="D1685" s="1872"/>
      <c r="E1685" s="1872"/>
      <c r="F1685" s="1872"/>
      <c r="G1685" s="1872"/>
      <c r="H1685" s="1872"/>
      <c r="I1685" s="1872"/>
      <c r="J1685" s="1873"/>
      <c r="K1685" s="28"/>
      <c r="L1685" s="28"/>
      <c r="M1685" s="28"/>
      <c r="N1685" s="28"/>
      <c r="O1685" s="28"/>
      <c r="P1685" s="28"/>
      <c r="Q1685" s="28"/>
      <c r="R1685" s="28"/>
      <c r="S1685" s="28"/>
      <c r="T1685" s="28"/>
      <c r="U1685" s="28"/>
      <c r="V1685" s="28"/>
      <c r="W1685" s="29"/>
      <c r="X1685" s="29"/>
      <c r="Y1685" s="29"/>
      <c r="Z1685" s="29"/>
      <c r="AA1685" s="29"/>
      <c r="AB1685" s="29"/>
      <c r="AC1685" s="29"/>
      <c r="AD1685" s="29"/>
      <c r="AE1685" s="29"/>
      <c r="AF1685" s="29"/>
      <c r="AG1685" s="29"/>
      <c r="AH1685" s="29"/>
      <c r="AI1685" s="29"/>
      <c r="AJ1685" s="29"/>
      <c r="AK1685" s="29"/>
      <c r="AL1685" s="29"/>
      <c r="AM1685" s="29"/>
      <c r="AN1685" s="29"/>
      <c r="AO1685" s="29"/>
      <c r="AP1685" s="29"/>
      <c r="AQ1685" s="29"/>
      <c r="AR1685" s="29"/>
      <c r="AS1685" s="29"/>
      <c r="AT1685" s="29"/>
      <c r="AU1685" s="29"/>
      <c r="AV1685" s="29"/>
      <c r="AW1685" s="29"/>
      <c r="AX1685" s="29"/>
      <c r="AY1685" s="29"/>
      <c r="AZ1685" s="29"/>
      <c r="BA1685" s="29"/>
      <c r="BB1685" s="29"/>
      <c r="BC1685" s="29"/>
      <c r="BD1685" s="29"/>
      <c r="BE1685" s="29"/>
      <c r="BF1685" s="29"/>
      <c r="BG1685" s="29"/>
      <c r="BH1685" s="29"/>
      <c r="BI1685" s="29"/>
      <c r="BJ1685" s="29"/>
      <c r="BK1685" s="29"/>
      <c r="BL1685" s="29"/>
      <c r="BM1685" s="29"/>
      <c r="BN1685" s="29"/>
      <c r="BO1685" s="29"/>
      <c r="BP1685" s="29"/>
      <c r="BQ1685" s="29"/>
      <c r="BR1685" s="29"/>
      <c r="BS1685" s="29"/>
      <c r="BT1685" s="29"/>
      <c r="BU1685" s="29"/>
      <c r="BV1685" s="29"/>
      <c r="BW1685" s="29"/>
      <c r="BX1685" s="29"/>
      <c r="BY1685" s="29"/>
      <c r="BZ1685" s="29"/>
      <c r="CA1685" s="29"/>
      <c r="CB1685" s="29"/>
      <c r="CC1685" s="29"/>
      <c r="CD1685" s="29"/>
      <c r="CE1685" s="29"/>
      <c r="CF1685" s="29"/>
      <c r="CG1685" s="29"/>
      <c r="CH1685" s="29"/>
      <c r="CI1685" s="29"/>
      <c r="CJ1685" s="29"/>
      <c r="CK1685" s="29"/>
      <c r="CL1685" s="29"/>
      <c r="CM1685" s="29"/>
      <c r="CN1685" s="29"/>
      <c r="CO1685" s="29"/>
      <c r="CP1685" s="29"/>
      <c r="CQ1685" s="29"/>
      <c r="CR1685" s="29"/>
      <c r="CS1685" s="29"/>
      <c r="CT1685" s="29"/>
      <c r="CU1685" s="29"/>
      <c r="CV1685" s="29"/>
      <c r="CW1685" s="29"/>
      <c r="CX1685" s="29"/>
      <c r="CY1685" s="29"/>
      <c r="CZ1685" s="29"/>
      <c r="DA1685" s="29"/>
      <c r="DB1685" s="29"/>
      <c r="DC1685" s="29"/>
      <c r="DD1685" s="29"/>
      <c r="DE1685" s="29"/>
      <c r="DF1685" s="29"/>
      <c r="DG1685" s="29"/>
      <c r="DH1685" s="29"/>
      <c r="DI1685" s="29"/>
      <c r="DJ1685" s="29"/>
      <c r="DK1685" s="29"/>
      <c r="DL1685" s="29"/>
      <c r="DM1685" s="29"/>
      <c r="DN1685" s="29"/>
      <c r="DO1685" s="29"/>
      <c r="DP1685" s="29"/>
      <c r="DQ1685" s="29"/>
      <c r="DR1685" s="29"/>
      <c r="DS1685" s="29"/>
      <c r="DT1685" s="29"/>
      <c r="DU1685" s="29"/>
      <c r="DV1685" s="29"/>
      <c r="DW1685" s="29"/>
      <c r="DX1685" s="29"/>
      <c r="DY1685" s="29"/>
      <c r="DZ1685" s="29"/>
      <c r="EA1685" s="29"/>
      <c r="EB1685" s="29"/>
      <c r="EC1685" s="29"/>
      <c r="ED1685" s="29"/>
      <c r="EE1685" s="29"/>
      <c r="EF1685" s="29"/>
      <c r="EG1685" s="29"/>
      <c r="EH1685" s="29"/>
      <c r="EI1685" s="29"/>
      <c r="EJ1685" s="29"/>
      <c r="EK1685" s="29"/>
      <c r="EL1685" s="29"/>
      <c r="EM1685" s="29"/>
      <c r="EN1685" s="29"/>
      <c r="EO1685" s="29"/>
      <c r="EP1685" s="29"/>
      <c r="EQ1685" s="29"/>
      <c r="ER1685" s="29"/>
      <c r="ES1685" s="29"/>
      <c r="ET1685" s="29"/>
      <c r="EU1685" s="29"/>
      <c r="EV1685" s="29"/>
      <c r="EW1685" s="29"/>
      <c r="EX1685" s="29"/>
      <c r="EY1685" s="29"/>
      <c r="EZ1685" s="29"/>
      <c r="FA1685" s="29"/>
      <c r="FB1685" s="29"/>
      <c r="FC1685" s="29"/>
      <c r="FD1685" s="29"/>
      <c r="FE1685" s="29"/>
      <c r="FF1685" s="29"/>
      <c r="FG1685" s="29"/>
      <c r="FH1685" s="29"/>
      <c r="FI1685" s="29"/>
      <c r="FJ1685" s="29"/>
      <c r="FK1685" s="29"/>
      <c r="FL1685" s="29"/>
      <c r="FM1685" s="29"/>
      <c r="FN1685" s="29"/>
      <c r="FO1685" s="29"/>
      <c r="FP1685" s="29"/>
      <c r="FQ1685" s="29"/>
      <c r="FR1685" s="29"/>
      <c r="FS1685" s="29"/>
      <c r="FT1685" s="29"/>
      <c r="FU1685" s="29"/>
      <c r="FV1685" s="29"/>
      <c r="FW1685" s="29"/>
      <c r="FX1685" s="29"/>
      <c r="FY1685" s="29"/>
      <c r="FZ1685" s="29"/>
      <c r="GA1685" s="29"/>
      <c r="GB1685" s="29"/>
      <c r="GC1685" s="13"/>
      <c r="GD1685" s="13"/>
      <c r="GE1685" s="13"/>
      <c r="GF1685" s="13"/>
      <c r="GG1685" s="13"/>
      <c r="GH1685" s="13"/>
      <c r="GI1685" s="13"/>
      <c r="GJ1685" s="13"/>
      <c r="GK1685" s="13"/>
      <c r="GL1685" s="13"/>
      <c r="GM1685" s="13"/>
      <c r="GN1685" s="13"/>
      <c r="GO1685" s="13"/>
      <c r="GP1685" s="13"/>
      <c r="GQ1685" s="13"/>
      <c r="GR1685" s="13"/>
      <c r="GS1685" s="13"/>
      <c r="GT1685" s="13"/>
      <c r="GU1685" s="13"/>
      <c r="GV1685" s="13"/>
      <c r="GW1685" s="13"/>
      <c r="GX1685" s="13"/>
      <c r="GY1685" s="13"/>
      <c r="GZ1685" s="13"/>
      <c r="HA1685" s="13"/>
      <c r="HB1685" s="13"/>
      <c r="HC1685" s="13"/>
      <c r="HD1685" s="13"/>
      <c r="HE1685" s="13"/>
      <c r="HF1685" s="13"/>
      <c r="HG1685" s="13"/>
      <c r="HH1685" s="13"/>
      <c r="HI1685" s="13"/>
      <c r="HJ1685" s="13"/>
      <c r="HK1685" s="13"/>
      <c r="HL1685" s="13"/>
      <c r="HM1685" s="13"/>
      <c r="HN1685" s="13"/>
      <c r="HO1685" s="13"/>
      <c r="HP1685" s="13"/>
      <c r="HQ1685" s="13"/>
      <c r="HR1685" s="13"/>
      <c r="HS1685" s="13"/>
      <c r="HT1685" s="13"/>
      <c r="HU1685" s="13"/>
      <c r="HV1685" s="13"/>
      <c r="HW1685" s="13"/>
      <c r="HX1685" s="13"/>
      <c r="HY1685" s="13"/>
      <c r="HZ1685" s="13"/>
      <c r="IA1685" s="13"/>
      <c r="IB1685" s="13"/>
      <c r="IC1685" s="13"/>
      <c r="ID1685" s="13"/>
      <c r="IE1685" s="13"/>
      <c r="IF1685" s="13"/>
      <c r="IG1685" s="13"/>
      <c r="IH1685" s="13"/>
      <c r="II1685" s="13"/>
      <c r="IJ1685" s="13"/>
      <c r="IK1685" s="13"/>
      <c r="IL1685" s="13"/>
      <c r="IM1685" s="13"/>
      <c r="IN1685" s="13"/>
      <c r="IO1685" s="13"/>
      <c r="IP1685" s="13"/>
      <c r="IQ1685" s="13"/>
      <c r="IR1685" s="13"/>
      <c r="IS1685" s="13"/>
      <c r="IT1685" s="13"/>
      <c r="IU1685" s="13"/>
      <c r="IV1685" s="13"/>
    </row>
    <row r="1686" spans="1:256" hidden="1" outlineLevel="1" x14ac:dyDescent="0.15"/>
    <row r="1687" spans="1:256" s="26" customFormat="1" ht="15.75" hidden="1" customHeight="1" outlineLevel="1" x14ac:dyDescent="0.15">
      <c r="A1687" s="13"/>
      <c r="B1687" s="1868" t="s">
        <v>1505</v>
      </c>
      <c r="C1687" s="1869"/>
      <c r="D1687" s="1869"/>
      <c r="E1687" s="1869"/>
      <c r="F1687" s="1869"/>
      <c r="G1687" s="1869"/>
      <c r="H1687" s="1869"/>
      <c r="I1687" s="1869"/>
      <c r="J1687" s="1870"/>
      <c r="K1687" s="28"/>
      <c r="L1687" s="28"/>
      <c r="M1687" s="28"/>
      <c r="N1687" s="28"/>
      <c r="O1687" s="28"/>
      <c r="P1687" s="28"/>
      <c r="Q1687" s="28"/>
      <c r="R1687" s="28"/>
      <c r="S1687" s="28"/>
      <c r="T1687" s="28"/>
      <c r="U1687" s="28"/>
      <c r="V1687" s="28"/>
      <c r="W1687" s="29"/>
      <c r="X1687" s="29"/>
      <c r="Y1687" s="29"/>
      <c r="Z1687" s="29"/>
      <c r="AA1687" s="29"/>
      <c r="AB1687" s="29"/>
      <c r="AC1687" s="29"/>
      <c r="AD1687" s="29"/>
      <c r="AE1687" s="29"/>
      <c r="AF1687" s="29"/>
      <c r="AG1687" s="29"/>
      <c r="AH1687" s="29"/>
      <c r="AI1687" s="29"/>
      <c r="AJ1687" s="29"/>
      <c r="AK1687" s="29"/>
      <c r="AL1687" s="29"/>
      <c r="AM1687" s="29"/>
      <c r="AN1687" s="29"/>
      <c r="AO1687" s="29"/>
      <c r="AP1687" s="29"/>
      <c r="AQ1687" s="29"/>
      <c r="AR1687" s="29"/>
      <c r="AS1687" s="29"/>
      <c r="AT1687" s="29"/>
      <c r="AU1687" s="29"/>
      <c r="AV1687" s="29"/>
      <c r="AW1687" s="29"/>
      <c r="AX1687" s="29"/>
      <c r="AY1687" s="29"/>
      <c r="AZ1687" s="29"/>
      <c r="BA1687" s="29"/>
      <c r="BB1687" s="29"/>
      <c r="BC1687" s="29"/>
      <c r="BD1687" s="29"/>
      <c r="BE1687" s="29"/>
      <c r="BF1687" s="29"/>
      <c r="BG1687" s="29"/>
      <c r="BH1687" s="29"/>
      <c r="BI1687" s="29"/>
      <c r="BJ1687" s="29"/>
      <c r="BK1687" s="29"/>
      <c r="BL1687" s="29"/>
      <c r="BM1687" s="29"/>
      <c r="BN1687" s="29"/>
      <c r="BO1687" s="29"/>
      <c r="BP1687" s="29"/>
      <c r="BQ1687" s="29"/>
      <c r="BR1687" s="29"/>
      <c r="BS1687" s="29"/>
      <c r="BT1687" s="29"/>
      <c r="BU1687" s="29"/>
      <c r="BV1687" s="29"/>
      <c r="BW1687" s="29"/>
      <c r="BX1687" s="29"/>
      <c r="BY1687" s="29"/>
      <c r="BZ1687" s="29"/>
      <c r="CA1687" s="29"/>
      <c r="CB1687" s="29"/>
      <c r="CC1687" s="29"/>
      <c r="CD1687" s="29"/>
      <c r="CE1687" s="29"/>
      <c r="CF1687" s="29"/>
      <c r="CG1687" s="29"/>
      <c r="CH1687" s="29"/>
      <c r="CI1687" s="29"/>
      <c r="CJ1687" s="29"/>
      <c r="CK1687" s="29"/>
      <c r="CL1687" s="29"/>
      <c r="CM1687" s="29"/>
      <c r="CN1687" s="29"/>
      <c r="CO1687" s="29"/>
      <c r="CP1687" s="29"/>
      <c r="CQ1687" s="29"/>
      <c r="CR1687" s="29"/>
      <c r="CS1687" s="29"/>
      <c r="CT1687" s="29"/>
      <c r="CU1687" s="29"/>
      <c r="CV1687" s="29"/>
      <c r="CW1687" s="29"/>
      <c r="CX1687" s="29"/>
      <c r="CY1687" s="29"/>
      <c r="CZ1687" s="29"/>
      <c r="DA1687" s="29"/>
      <c r="DB1687" s="29"/>
      <c r="DC1687" s="29"/>
      <c r="DD1687" s="29"/>
      <c r="DE1687" s="29"/>
      <c r="DF1687" s="29"/>
      <c r="DG1687" s="29"/>
      <c r="DH1687" s="29"/>
      <c r="DI1687" s="29"/>
      <c r="DJ1687" s="29"/>
      <c r="DK1687" s="29"/>
      <c r="DL1687" s="29"/>
      <c r="DM1687" s="29"/>
      <c r="DN1687" s="29"/>
      <c r="DO1687" s="29"/>
      <c r="DP1687" s="29"/>
      <c r="DQ1687" s="29"/>
      <c r="DR1687" s="29"/>
      <c r="DS1687" s="29"/>
      <c r="DT1687" s="29"/>
      <c r="DU1687" s="29"/>
      <c r="DV1687" s="29"/>
      <c r="DW1687" s="29"/>
      <c r="DX1687" s="29"/>
      <c r="DY1687" s="29"/>
      <c r="DZ1687" s="29"/>
      <c r="EA1687" s="29"/>
      <c r="EB1687" s="29"/>
      <c r="EC1687" s="29"/>
      <c r="ED1687" s="29"/>
      <c r="EE1687" s="29"/>
      <c r="EF1687" s="29"/>
      <c r="EG1687" s="29"/>
      <c r="EH1687" s="29"/>
      <c r="EI1687" s="29"/>
      <c r="EJ1687" s="29"/>
      <c r="EK1687" s="29"/>
      <c r="EL1687" s="29"/>
      <c r="EM1687" s="29"/>
      <c r="EN1687" s="29"/>
      <c r="EO1687" s="29"/>
      <c r="EP1687" s="29"/>
      <c r="EQ1687" s="29"/>
      <c r="ER1687" s="29"/>
      <c r="ES1687" s="29"/>
      <c r="ET1687" s="29"/>
      <c r="EU1687" s="29"/>
      <c r="EV1687" s="29"/>
      <c r="EW1687" s="29"/>
      <c r="EX1687" s="29"/>
      <c r="EY1687" s="29"/>
      <c r="EZ1687" s="29"/>
      <c r="FA1687" s="29"/>
      <c r="FB1687" s="29"/>
      <c r="FC1687" s="29"/>
      <c r="FD1687" s="29"/>
      <c r="FE1687" s="29"/>
      <c r="FF1687" s="29"/>
      <c r="FG1687" s="29"/>
      <c r="FH1687" s="29"/>
      <c r="FI1687" s="29"/>
      <c r="FJ1687" s="29"/>
      <c r="FK1687" s="29"/>
      <c r="FL1687" s="29"/>
      <c r="FM1687" s="29"/>
      <c r="FN1687" s="29"/>
      <c r="FO1687" s="29"/>
      <c r="FP1687" s="29"/>
      <c r="FQ1687" s="29"/>
      <c r="FR1687" s="29"/>
      <c r="FS1687" s="29"/>
      <c r="FT1687" s="29"/>
      <c r="FU1687" s="29"/>
      <c r="FV1687" s="29"/>
      <c r="FW1687" s="29"/>
      <c r="FX1687" s="29"/>
      <c r="FY1687" s="29"/>
      <c r="FZ1687" s="29"/>
      <c r="GA1687" s="29"/>
      <c r="GB1687" s="29"/>
      <c r="GC1687" s="13"/>
      <c r="GD1687" s="13"/>
      <c r="GE1687" s="13"/>
      <c r="GF1687" s="13"/>
      <c r="GG1687" s="13"/>
      <c r="GH1687" s="13"/>
      <c r="GI1687" s="13"/>
      <c r="GJ1687" s="13"/>
      <c r="GK1687" s="13"/>
      <c r="GL1687" s="13"/>
      <c r="GM1687" s="13"/>
      <c r="GN1687" s="13"/>
      <c r="GO1687" s="13"/>
      <c r="GP1687" s="13"/>
      <c r="GQ1687" s="13"/>
      <c r="GR1687" s="13"/>
      <c r="GS1687" s="13"/>
      <c r="GT1687" s="13"/>
      <c r="GU1687" s="13"/>
      <c r="GV1687" s="13"/>
      <c r="GW1687" s="13"/>
      <c r="GX1687" s="13"/>
      <c r="GY1687" s="13"/>
      <c r="GZ1687" s="13"/>
      <c r="HA1687" s="13"/>
      <c r="HB1687" s="13"/>
      <c r="HC1687" s="13"/>
      <c r="HD1687" s="13"/>
      <c r="HE1687" s="13"/>
      <c r="HF1687" s="13"/>
      <c r="HG1687" s="13"/>
      <c r="HH1687" s="13"/>
      <c r="HI1687" s="13"/>
      <c r="HJ1687" s="13"/>
      <c r="HK1687" s="13"/>
      <c r="HL1687" s="13"/>
      <c r="HM1687" s="13"/>
      <c r="HN1687" s="13"/>
      <c r="HO1687" s="13"/>
      <c r="HP1687" s="13"/>
      <c r="HQ1687" s="13"/>
      <c r="HR1687" s="13"/>
      <c r="HS1687" s="13"/>
      <c r="HT1687" s="13"/>
      <c r="HU1687" s="13"/>
      <c r="HV1687" s="13"/>
      <c r="HW1687" s="13"/>
      <c r="HX1687" s="13"/>
      <c r="HY1687" s="13"/>
      <c r="HZ1687" s="13"/>
      <c r="IA1687" s="13"/>
      <c r="IB1687" s="13"/>
      <c r="IC1687" s="13"/>
      <c r="ID1687" s="13"/>
      <c r="IE1687" s="13"/>
      <c r="IF1687" s="13"/>
      <c r="IG1687" s="13"/>
      <c r="IH1687" s="13"/>
      <c r="II1687" s="13"/>
      <c r="IJ1687" s="13"/>
      <c r="IK1687" s="13"/>
      <c r="IL1687" s="13"/>
      <c r="IM1687" s="13"/>
      <c r="IN1687" s="13"/>
      <c r="IO1687" s="13"/>
      <c r="IP1687" s="13"/>
      <c r="IQ1687" s="13"/>
      <c r="IR1687" s="13"/>
      <c r="IS1687" s="13"/>
      <c r="IT1687" s="13"/>
      <c r="IU1687" s="13"/>
      <c r="IV1687" s="13"/>
    </row>
    <row r="1688" spans="1:256" hidden="1" outlineLevel="2" x14ac:dyDescent="0.15"/>
    <row r="1689" spans="1:256" hidden="1" outlineLevel="2" x14ac:dyDescent="0.15">
      <c r="B1689" s="1475" t="s">
        <v>1506</v>
      </c>
      <c r="C1689" s="1893" t="s">
        <v>1133</v>
      </c>
      <c r="D1689" s="1894"/>
      <c r="E1689" s="1895"/>
      <c r="F1689" s="1893" t="s">
        <v>1517</v>
      </c>
      <c r="G1689" s="1894"/>
      <c r="H1689" s="1894"/>
      <c r="I1689" s="1894"/>
      <c r="J1689" s="1894"/>
      <c r="K1689" s="1894"/>
      <c r="L1689" s="1894"/>
      <c r="M1689" s="1895"/>
      <c r="W1689" s="4"/>
      <c r="X1689" s="4"/>
      <c r="Y1689" s="4"/>
      <c r="Z1689" s="4"/>
    </row>
    <row r="1690" spans="1:256" ht="12.5" hidden="1" customHeight="1" outlineLevel="2" x14ac:dyDescent="0.15">
      <c r="B1690" s="899"/>
      <c r="C1690" s="1885" t="s">
        <v>767</v>
      </c>
      <c r="D1690" s="1886"/>
      <c r="E1690" s="834"/>
      <c r="F1690" s="1892" t="s">
        <v>767</v>
      </c>
      <c r="G1690" s="1865" t="s">
        <v>1515</v>
      </c>
      <c r="H1690" s="1866"/>
      <c r="I1690" s="1866"/>
      <c r="J1690" s="1867"/>
      <c r="K1690" s="1896" t="s">
        <v>1518</v>
      </c>
      <c r="L1690" s="899" t="s">
        <v>1519</v>
      </c>
      <c r="M1690" s="834"/>
      <c r="W1690" s="4"/>
      <c r="X1690" s="4"/>
      <c r="Y1690" s="4"/>
      <c r="Z1690" s="4"/>
    </row>
    <row r="1691" spans="1:256" ht="14" hidden="1" outlineLevel="2" x14ac:dyDescent="0.15">
      <c r="B1691" s="1568" t="s">
        <v>1507</v>
      </c>
      <c r="C1691" s="948" t="s">
        <v>92</v>
      </c>
      <c r="D1691" s="1051" t="s">
        <v>1508</v>
      </c>
      <c r="E1691" s="836" t="s">
        <v>723</v>
      </c>
      <c r="F1691" s="1864"/>
      <c r="G1691" s="1046" t="s">
        <v>14</v>
      </c>
      <c r="H1691" s="1047" t="s">
        <v>695</v>
      </c>
      <c r="I1691" s="1047" t="s">
        <v>27</v>
      </c>
      <c r="J1691" s="962" t="s">
        <v>694</v>
      </c>
      <c r="K1691" s="1897"/>
      <c r="L1691" s="927" t="s">
        <v>767</v>
      </c>
      <c r="M1691" s="836" t="s">
        <v>723</v>
      </c>
      <c r="W1691" s="4"/>
      <c r="X1691" s="4"/>
      <c r="Y1691" s="4"/>
      <c r="Z1691" s="4"/>
    </row>
    <row r="1692" spans="1:256" hidden="1" outlineLevel="2" x14ac:dyDescent="0.15">
      <c r="B1692" s="799" t="s">
        <v>1524</v>
      </c>
      <c r="C1692" s="978">
        <v>3190</v>
      </c>
      <c r="D1692" s="979">
        <v>1100</v>
      </c>
      <c r="E1692" s="1048">
        <v>0.1</v>
      </c>
      <c r="F1692" s="980">
        <f>C2294</f>
        <v>33</v>
      </c>
      <c r="G1692" s="978">
        <f>D2294</f>
        <v>33</v>
      </c>
      <c r="H1692" s="883">
        <f>E2294</f>
        <v>0</v>
      </c>
      <c r="I1692" s="979">
        <f>F2294</f>
        <v>0</v>
      </c>
      <c r="J1692" s="812">
        <f>G2294</f>
        <v>0</v>
      </c>
      <c r="K1692" s="829">
        <f t="shared" ref="K1692:K1698" si="12">L$2273</f>
        <v>0.4</v>
      </c>
      <c r="L1692" s="981">
        <f t="shared" ref="L1692:L1698" si="13">-(C1692-D1692)*K1692</f>
        <v>-836</v>
      </c>
      <c r="M1692" s="805">
        <f t="shared" ref="M1692:M1698" si="14">$J$2294</f>
        <v>0.5</v>
      </c>
      <c r="N1692" s="23"/>
      <c r="O1692" s="23"/>
      <c r="W1692" s="4"/>
      <c r="X1692" s="4"/>
      <c r="Y1692" s="4"/>
      <c r="Z1692" s="4"/>
    </row>
    <row r="1693" spans="1:256" hidden="1" outlineLevel="2" x14ac:dyDescent="0.15">
      <c r="B1693" s="800" t="s">
        <v>159</v>
      </c>
      <c r="C1693" s="980">
        <v>9830</v>
      </c>
      <c r="D1693" s="812">
        <v>513</v>
      </c>
      <c r="E1693" s="1049">
        <v>0.3</v>
      </c>
      <c r="F1693" s="980">
        <f t="shared" ref="F1693:J1698" si="15">F1692</f>
        <v>33</v>
      </c>
      <c r="G1693" s="980">
        <f>G1692</f>
        <v>33</v>
      </c>
      <c r="H1693" s="815">
        <f>H1692</f>
        <v>0</v>
      </c>
      <c r="I1693" s="812">
        <f>I1692</f>
        <v>0</v>
      </c>
      <c r="J1693" s="812">
        <f>J1692</f>
        <v>0</v>
      </c>
      <c r="K1693" s="829">
        <f t="shared" si="12"/>
        <v>0.4</v>
      </c>
      <c r="L1693" s="981">
        <f t="shared" si="13"/>
        <v>-3726.8</v>
      </c>
      <c r="M1693" s="807">
        <f t="shared" si="14"/>
        <v>0.5</v>
      </c>
      <c r="N1693" s="23"/>
      <c r="O1693" s="23"/>
      <c r="W1693" s="4"/>
      <c r="X1693" s="4"/>
      <c r="Y1693" s="4"/>
      <c r="Z1693" s="4"/>
    </row>
    <row r="1694" spans="1:256" hidden="1" outlineLevel="2" x14ac:dyDescent="0.15">
      <c r="B1694" s="800" t="s">
        <v>1526</v>
      </c>
      <c r="C1694" s="980">
        <v>2930</v>
      </c>
      <c r="D1694" s="812">
        <v>2930</v>
      </c>
      <c r="E1694" s="1049">
        <v>0.5</v>
      </c>
      <c r="F1694" s="980">
        <f t="shared" si="15"/>
        <v>33</v>
      </c>
      <c r="G1694" s="980">
        <f t="shared" si="15"/>
        <v>33</v>
      </c>
      <c r="H1694" s="815">
        <f t="shared" si="15"/>
        <v>0</v>
      </c>
      <c r="I1694" s="812">
        <f t="shared" si="15"/>
        <v>0</v>
      </c>
      <c r="J1694" s="812">
        <f t="shared" si="15"/>
        <v>0</v>
      </c>
      <c r="K1694" s="829">
        <f t="shared" si="12"/>
        <v>0.4</v>
      </c>
      <c r="L1694" s="981">
        <f t="shared" si="13"/>
        <v>0</v>
      </c>
      <c r="M1694" s="807">
        <f t="shared" si="14"/>
        <v>0.5</v>
      </c>
      <c r="N1694" s="23"/>
      <c r="O1694" s="23"/>
      <c r="P1694" s="13"/>
      <c r="Q1694" s="13"/>
      <c r="R1694" s="13"/>
      <c r="S1694" s="13"/>
      <c r="T1694" s="13"/>
      <c r="U1694" s="13"/>
      <c r="V1694" s="13"/>
    </row>
    <row r="1695" spans="1:256" hidden="1" outlineLevel="2" x14ac:dyDescent="0.15">
      <c r="B1695" s="800" t="s">
        <v>1527</v>
      </c>
      <c r="C1695" s="980">
        <v>9170</v>
      </c>
      <c r="D1695" s="812">
        <v>9170</v>
      </c>
      <c r="E1695" s="1049">
        <v>0.3</v>
      </c>
      <c r="F1695" s="980">
        <f t="shared" si="15"/>
        <v>33</v>
      </c>
      <c r="G1695" s="980">
        <f t="shared" si="15"/>
        <v>33</v>
      </c>
      <c r="H1695" s="815">
        <f t="shared" si="15"/>
        <v>0</v>
      </c>
      <c r="I1695" s="812">
        <f t="shared" si="15"/>
        <v>0</v>
      </c>
      <c r="J1695" s="812">
        <f t="shared" si="15"/>
        <v>0</v>
      </c>
      <c r="K1695" s="829">
        <f t="shared" si="12"/>
        <v>0.4</v>
      </c>
      <c r="L1695" s="981">
        <f t="shared" si="13"/>
        <v>0</v>
      </c>
      <c r="M1695" s="807">
        <f t="shared" si="14"/>
        <v>0.5</v>
      </c>
      <c r="N1695" s="23"/>
      <c r="O1695" s="23"/>
      <c r="P1695" s="13"/>
      <c r="Q1695" s="13"/>
      <c r="R1695" s="13"/>
      <c r="S1695" s="13"/>
      <c r="T1695" s="13"/>
      <c r="U1695" s="13"/>
      <c r="V1695" s="13"/>
    </row>
    <row r="1696" spans="1:256" hidden="1" outlineLevel="2" x14ac:dyDescent="0.15">
      <c r="B1696" s="800" t="s">
        <v>2599</v>
      </c>
      <c r="C1696" s="980">
        <v>2090</v>
      </c>
      <c r="D1696" s="812">
        <v>2090</v>
      </c>
      <c r="E1696" s="1049">
        <v>0.3</v>
      </c>
      <c r="F1696" s="980">
        <f t="shared" si="15"/>
        <v>33</v>
      </c>
      <c r="G1696" s="980">
        <f t="shared" si="15"/>
        <v>33</v>
      </c>
      <c r="H1696" s="815">
        <f t="shared" si="15"/>
        <v>0</v>
      </c>
      <c r="I1696" s="812">
        <f t="shared" si="15"/>
        <v>0</v>
      </c>
      <c r="J1696" s="812">
        <f t="shared" si="15"/>
        <v>0</v>
      </c>
      <c r="K1696" s="829">
        <f t="shared" si="12"/>
        <v>0.4</v>
      </c>
      <c r="L1696" s="981">
        <f t="shared" si="13"/>
        <v>0</v>
      </c>
      <c r="M1696" s="807">
        <f t="shared" si="14"/>
        <v>0.5</v>
      </c>
      <c r="N1696" s="23"/>
      <c r="O1696" s="23"/>
      <c r="P1696" s="13"/>
      <c r="Q1696" s="13"/>
      <c r="R1696" s="13"/>
      <c r="S1696" s="13"/>
      <c r="T1696" s="13"/>
      <c r="U1696" s="13"/>
      <c r="V1696" s="13"/>
    </row>
    <row r="1697" spans="2:26" hidden="1" outlineLevel="2" x14ac:dyDescent="0.15">
      <c r="B1697" s="800" t="s">
        <v>1528</v>
      </c>
      <c r="C1697" s="980">
        <v>2930</v>
      </c>
      <c r="D1697" s="812">
        <v>2930</v>
      </c>
      <c r="E1697" s="1049">
        <v>0.2</v>
      </c>
      <c r="F1697" s="980">
        <f t="shared" si="15"/>
        <v>33</v>
      </c>
      <c r="G1697" s="980">
        <f t="shared" si="15"/>
        <v>33</v>
      </c>
      <c r="H1697" s="815">
        <f t="shared" si="15"/>
        <v>0</v>
      </c>
      <c r="I1697" s="812">
        <f t="shared" si="15"/>
        <v>0</v>
      </c>
      <c r="J1697" s="812">
        <f t="shared" si="15"/>
        <v>0</v>
      </c>
      <c r="K1697" s="829">
        <f t="shared" si="12"/>
        <v>0.4</v>
      </c>
      <c r="L1697" s="981">
        <f t="shared" si="13"/>
        <v>0</v>
      </c>
      <c r="M1697" s="807">
        <f t="shared" si="14"/>
        <v>0.5</v>
      </c>
      <c r="N1697" s="23"/>
      <c r="O1697" s="23"/>
      <c r="P1697" s="13"/>
      <c r="Q1697" s="13"/>
      <c r="R1697" s="13"/>
      <c r="S1697" s="13"/>
      <c r="T1697" s="13"/>
      <c r="U1697" s="13"/>
      <c r="V1697" s="13"/>
    </row>
    <row r="1698" spans="2:26" hidden="1" outlineLevel="2" x14ac:dyDescent="0.15">
      <c r="B1698" s="800" t="s">
        <v>1525</v>
      </c>
      <c r="C1698" s="980">
        <v>3670</v>
      </c>
      <c r="D1698" s="812">
        <v>3670</v>
      </c>
      <c r="E1698" s="1049">
        <v>0.8</v>
      </c>
      <c r="F1698" s="980">
        <f t="shared" si="15"/>
        <v>33</v>
      </c>
      <c r="G1698" s="980">
        <f t="shared" si="15"/>
        <v>33</v>
      </c>
      <c r="H1698" s="815">
        <f t="shared" si="15"/>
        <v>0</v>
      </c>
      <c r="I1698" s="812">
        <f t="shared" si="15"/>
        <v>0</v>
      </c>
      <c r="J1698" s="812">
        <f t="shared" si="15"/>
        <v>0</v>
      </c>
      <c r="K1698" s="829">
        <f t="shared" si="12"/>
        <v>0.4</v>
      </c>
      <c r="L1698" s="981">
        <f t="shared" si="13"/>
        <v>0</v>
      </c>
      <c r="M1698" s="807">
        <f t="shared" si="14"/>
        <v>0.5</v>
      </c>
      <c r="N1698" s="23"/>
      <c r="O1698" s="23"/>
      <c r="W1698" s="4"/>
      <c r="X1698" s="4"/>
      <c r="Y1698" s="4"/>
      <c r="Z1698" s="4"/>
    </row>
    <row r="1699" spans="2:26" hidden="1" outlineLevel="2" x14ac:dyDescent="0.15">
      <c r="B1699" s="801"/>
      <c r="C1699" s="1045"/>
      <c r="D1699" s="813"/>
      <c r="E1699" s="1050"/>
      <c r="F1699" s="1045"/>
      <c r="G1699" s="1045"/>
      <c r="H1699" s="817"/>
      <c r="I1699" s="813"/>
      <c r="J1699" s="813"/>
      <c r="K1699" s="830"/>
      <c r="L1699" s="1039"/>
      <c r="M1699" s="814"/>
      <c r="P1699" s="13"/>
      <c r="Q1699" s="13"/>
      <c r="R1699" s="13"/>
      <c r="S1699" s="13"/>
      <c r="T1699" s="13"/>
      <c r="U1699" s="13"/>
      <c r="V1699" s="13"/>
    </row>
    <row r="1700" spans="2:26" hidden="1" outlineLevel="2" x14ac:dyDescent="0.15">
      <c r="P1700" s="13"/>
      <c r="Q1700" s="13"/>
      <c r="R1700" s="13"/>
      <c r="S1700" s="13"/>
      <c r="T1700" s="13"/>
      <c r="U1700" s="13"/>
      <c r="V1700" s="13"/>
    </row>
    <row r="1701" spans="2:26" hidden="1" outlineLevel="2" x14ac:dyDescent="0.15">
      <c r="B1701" s="1475" t="s">
        <v>1529</v>
      </c>
      <c r="C1701" s="1893" t="s">
        <v>1133</v>
      </c>
      <c r="D1701" s="1894"/>
      <c r="E1701" s="1895"/>
      <c r="F1701" s="1893" t="s">
        <v>1517</v>
      </c>
      <c r="G1701" s="1894"/>
      <c r="H1701" s="1894"/>
      <c r="I1701" s="1894"/>
      <c r="J1701" s="1894"/>
      <c r="K1701" s="1894"/>
      <c r="L1701" s="1894"/>
      <c r="M1701" s="1895"/>
      <c r="P1701" s="13"/>
      <c r="Q1701" s="13"/>
      <c r="R1701" s="13"/>
      <c r="S1701" s="13"/>
      <c r="T1701" s="13"/>
      <c r="U1701" s="13"/>
      <c r="V1701" s="13"/>
    </row>
    <row r="1702" spans="2:26" ht="12.75" hidden="1" customHeight="1" outlineLevel="2" x14ac:dyDescent="0.15">
      <c r="B1702" s="899"/>
      <c r="C1702" s="1879" t="s">
        <v>767</v>
      </c>
      <c r="D1702" s="1880"/>
      <c r="E1702" s="834"/>
      <c r="F1702" s="1892" t="s">
        <v>767</v>
      </c>
      <c r="G1702" s="1865" t="s">
        <v>1515</v>
      </c>
      <c r="H1702" s="1866"/>
      <c r="I1702" s="1866"/>
      <c r="J1702" s="1867"/>
      <c r="K1702" s="1896" t="s">
        <v>1518</v>
      </c>
      <c r="L1702" s="1495" t="s">
        <v>1519</v>
      </c>
      <c r="M1702" s="834"/>
      <c r="P1702" s="13"/>
      <c r="W1702" s="4"/>
      <c r="X1702" s="4"/>
      <c r="Y1702" s="4"/>
      <c r="Z1702" s="4"/>
    </row>
    <row r="1703" spans="2:26" ht="14" hidden="1" outlineLevel="2" x14ac:dyDescent="0.15">
      <c r="B1703" s="1568" t="s">
        <v>1507</v>
      </c>
      <c r="C1703" s="1043" t="s">
        <v>92</v>
      </c>
      <c r="D1703" s="1044" t="s">
        <v>1508</v>
      </c>
      <c r="E1703" s="836" t="s">
        <v>723</v>
      </c>
      <c r="F1703" s="1864"/>
      <c r="G1703" s="1046" t="s">
        <v>14</v>
      </c>
      <c r="H1703" s="1047" t="s">
        <v>695</v>
      </c>
      <c r="I1703" s="1047" t="s">
        <v>27</v>
      </c>
      <c r="J1703" s="962" t="s">
        <v>694</v>
      </c>
      <c r="K1703" s="1897"/>
      <c r="L1703" s="1493" t="s">
        <v>767</v>
      </c>
      <c r="M1703" s="1492" t="s">
        <v>723</v>
      </c>
      <c r="P1703" s="13"/>
      <c r="W1703" s="4"/>
      <c r="X1703" s="4"/>
      <c r="Y1703" s="4"/>
      <c r="Z1703" s="4"/>
    </row>
    <row r="1704" spans="2:26" hidden="1" outlineLevel="2" x14ac:dyDescent="0.15">
      <c r="B1704" s="1512" t="s">
        <v>1532</v>
      </c>
      <c r="C1704" s="978">
        <v>1519</v>
      </c>
      <c r="D1704" s="979">
        <v>605</v>
      </c>
      <c r="E1704" s="1048">
        <v>0.2</v>
      </c>
      <c r="F1704" s="980">
        <f>C2295</f>
        <v>33</v>
      </c>
      <c r="G1704" s="978">
        <f>D2295</f>
        <v>33</v>
      </c>
      <c r="H1704" s="883">
        <f>E2295</f>
        <v>0</v>
      </c>
      <c r="I1704" s="979">
        <f>F2295</f>
        <v>0</v>
      </c>
      <c r="J1704" s="812">
        <f>G2295</f>
        <v>0</v>
      </c>
      <c r="K1704" s="829">
        <f>L$2274</f>
        <v>0.6</v>
      </c>
      <c r="L1704" s="981">
        <f>-(C1704-D1704)*K1704</f>
        <v>-548.4</v>
      </c>
      <c r="M1704" s="805">
        <f>$J$2294</f>
        <v>0.5</v>
      </c>
      <c r="P1704" s="13"/>
      <c r="Q1704" s="1427"/>
      <c r="W1704" s="4"/>
      <c r="X1704" s="4"/>
      <c r="Y1704" s="4"/>
      <c r="Z1704" s="4"/>
    </row>
    <row r="1705" spans="2:26" hidden="1" outlineLevel="2" x14ac:dyDescent="0.15">
      <c r="B1705" s="806" t="s">
        <v>1536</v>
      </c>
      <c r="C1705" s="980">
        <v>1180</v>
      </c>
      <c r="D1705" s="812">
        <v>1180</v>
      </c>
      <c r="E1705" s="1049">
        <v>0.2</v>
      </c>
      <c r="F1705" s="980">
        <f t="shared" ref="F1705:M1705" si="16">F1704</f>
        <v>33</v>
      </c>
      <c r="G1705" s="980">
        <f t="shared" si="16"/>
        <v>33</v>
      </c>
      <c r="H1705" s="815">
        <f t="shared" si="16"/>
        <v>0</v>
      </c>
      <c r="I1705" s="812">
        <f t="shared" si="16"/>
        <v>0</v>
      </c>
      <c r="J1705" s="812">
        <f t="shared" si="16"/>
        <v>0</v>
      </c>
      <c r="K1705" s="829">
        <f t="shared" si="16"/>
        <v>0.6</v>
      </c>
      <c r="L1705" s="981">
        <f t="shared" si="16"/>
        <v>-548.4</v>
      </c>
      <c r="M1705" s="807">
        <f t="shared" si="16"/>
        <v>0.5</v>
      </c>
      <c r="P1705" s="13"/>
      <c r="Q1705" s="1427"/>
      <c r="W1705" s="4"/>
      <c r="X1705" s="4"/>
      <c r="Y1705" s="4"/>
      <c r="Z1705" s="4"/>
    </row>
    <row r="1706" spans="2:26" hidden="1" outlineLevel="2" x14ac:dyDescent="0.15">
      <c r="B1706" s="806" t="s">
        <v>1537</v>
      </c>
      <c r="C1706" s="980">
        <v>1860</v>
      </c>
      <c r="D1706" s="812">
        <v>1860</v>
      </c>
      <c r="E1706" s="1049">
        <v>0.2</v>
      </c>
      <c r="F1706" s="980">
        <f t="shared" ref="F1706:F1713" si="17">F1705</f>
        <v>33</v>
      </c>
      <c r="G1706" s="980">
        <f t="shared" ref="G1706:G1713" si="18">G1705</f>
        <v>33</v>
      </c>
      <c r="H1706" s="815">
        <f t="shared" ref="H1706:H1713" si="19">H1705</f>
        <v>0</v>
      </c>
      <c r="I1706" s="812">
        <f t="shared" ref="I1706:I1713" si="20">I1705</f>
        <v>0</v>
      </c>
      <c r="J1706" s="812">
        <f t="shared" ref="J1706:J1713" si="21">J1705</f>
        <v>0</v>
      </c>
      <c r="K1706" s="829">
        <f t="shared" ref="K1706:K1713" si="22">K1705</f>
        <v>0.6</v>
      </c>
      <c r="L1706" s="981">
        <f t="shared" ref="L1706:L1713" si="23">L1705</f>
        <v>-548.4</v>
      </c>
      <c r="M1706" s="807">
        <f t="shared" ref="M1706:M1713" si="24">M1705</f>
        <v>0.5</v>
      </c>
      <c r="P1706" s="13"/>
      <c r="Q1706" s="1427"/>
      <c r="W1706" s="4"/>
      <c r="X1706" s="4"/>
      <c r="Y1706" s="4"/>
      <c r="Z1706" s="4"/>
    </row>
    <row r="1707" spans="2:26" hidden="1" outlineLevel="2" x14ac:dyDescent="0.15">
      <c r="B1707" s="806" t="s">
        <v>1538</v>
      </c>
      <c r="C1707" s="980">
        <v>2410</v>
      </c>
      <c r="D1707" s="812">
        <v>2410</v>
      </c>
      <c r="E1707" s="1049">
        <v>0.2</v>
      </c>
      <c r="F1707" s="980">
        <f t="shared" si="17"/>
        <v>33</v>
      </c>
      <c r="G1707" s="980">
        <f t="shared" si="18"/>
        <v>33</v>
      </c>
      <c r="H1707" s="815">
        <f t="shared" si="19"/>
        <v>0</v>
      </c>
      <c r="I1707" s="812">
        <f t="shared" si="20"/>
        <v>0</v>
      </c>
      <c r="J1707" s="812">
        <f t="shared" si="21"/>
        <v>0</v>
      </c>
      <c r="K1707" s="829">
        <f t="shared" si="22"/>
        <v>0.6</v>
      </c>
      <c r="L1707" s="981">
        <f t="shared" si="23"/>
        <v>-548.4</v>
      </c>
      <c r="M1707" s="807">
        <f t="shared" si="24"/>
        <v>0.5</v>
      </c>
      <c r="P1707" s="13"/>
      <c r="Q1707" s="1427"/>
      <c r="W1707" s="4"/>
      <c r="X1707" s="4"/>
      <c r="Y1707" s="4"/>
      <c r="Z1707" s="4"/>
    </row>
    <row r="1708" spans="2:26" hidden="1" outlineLevel="2" x14ac:dyDescent="0.15">
      <c r="B1708" s="806" t="s">
        <v>1539</v>
      </c>
      <c r="C1708" s="980">
        <v>3520</v>
      </c>
      <c r="D1708" s="812">
        <v>3520</v>
      </c>
      <c r="E1708" s="1049">
        <v>0.2</v>
      </c>
      <c r="F1708" s="980">
        <f t="shared" si="17"/>
        <v>33</v>
      </c>
      <c r="G1708" s="980">
        <f t="shared" si="18"/>
        <v>33</v>
      </c>
      <c r="H1708" s="815">
        <f t="shared" si="19"/>
        <v>0</v>
      </c>
      <c r="I1708" s="812">
        <f t="shared" si="20"/>
        <v>0</v>
      </c>
      <c r="J1708" s="812">
        <f t="shared" si="21"/>
        <v>0</v>
      </c>
      <c r="K1708" s="829">
        <f t="shared" si="22"/>
        <v>0.6</v>
      </c>
      <c r="L1708" s="981">
        <f t="shared" si="23"/>
        <v>-548.4</v>
      </c>
      <c r="M1708" s="807">
        <f t="shared" si="24"/>
        <v>0.5</v>
      </c>
      <c r="P1708" s="13"/>
      <c r="Q1708" s="1427"/>
      <c r="W1708" s="4"/>
      <c r="X1708" s="4"/>
      <c r="Y1708" s="4"/>
      <c r="Z1708" s="4"/>
    </row>
    <row r="1709" spans="2:26" hidden="1" outlineLevel="2" x14ac:dyDescent="0.15">
      <c r="B1709" s="806" t="s">
        <v>1540</v>
      </c>
      <c r="C1709" s="980">
        <v>1260</v>
      </c>
      <c r="D1709" s="812">
        <v>1260</v>
      </c>
      <c r="E1709" s="1049">
        <v>0.2</v>
      </c>
      <c r="F1709" s="980">
        <f t="shared" si="17"/>
        <v>33</v>
      </c>
      <c r="G1709" s="980">
        <f t="shared" si="18"/>
        <v>33</v>
      </c>
      <c r="H1709" s="815">
        <f t="shared" si="19"/>
        <v>0</v>
      </c>
      <c r="I1709" s="812">
        <f t="shared" si="20"/>
        <v>0</v>
      </c>
      <c r="J1709" s="812">
        <f t="shared" si="21"/>
        <v>0</v>
      </c>
      <c r="K1709" s="829">
        <f t="shared" si="22"/>
        <v>0.6</v>
      </c>
      <c r="L1709" s="981">
        <f t="shared" si="23"/>
        <v>-548.4</v>
      </c>
      <c r="M1709" s="807">
        <f t="shared" si="24"/>
        <v>0.5</v>
      </c>
      <c r="P1709" s="13"/>
      <c r="Q1709" s="1427"/>
      <c r="W1709" s="4"/>
      <c r="X1709" s="4"/>
      <c r="Y1709" s="4"/>
      <c r="Z1709" s="4"/>
    </row>
    <row r="1710" spans="2:26" hidden="1" outlineLevel="2" x14ac:dyDescent="0.15">
      <c r="B1710" s="806" t="s">
        <v>1533</v>
      </c>
      <c r="C1710" s="980">
        <v>1027</v>
      </c>
      <c r="D1710" s="812">
        <v>605</v>
      </c>
      <c r="E1710" s="1049">
        <v>0.2</v>
      </c>
      <c r="F1710" s="980">
        <f t="shared" si="17"/>
        <v>33</v>
      </c>
      <c r="G1710" s="980">
        <f t="shared" si="18"/>
        <v>33</v>
      </c>
      <c r="H1710" s="815">
        <f t="shared" si="19"/>
        <v>0</v>
      </c>
      <c r="I1710" s="812">
        <f t="shared" si="20"/>
        <v>0</v>
      </c>
      <c r="J1710" s="812">
        <f t="shared" si="21"/>
        <v>0</v>
      </c>
      <c r="K1710" s="829">
        <f t="shared" si="22"/>
        <v>0.6</v>
      </c>
      <c r="L1710" s="981">
        <f t="shared" si="23"/>
        <v>-548.4</v>
      </c>
      <c r="M1710" s="807">
        <f t="shared" si="24"/>
        <v>0.5</v>
      </c>
      <c r="P1710" s="13"/>
      <c r="Q1710" s="1427"/>
      <c r="W1710" s="4"/>
      <c r="X1710" s="4"/>
      <c r="Y1710" s="4"/>
      <c r="Z1710" s="4"/>
    </row>
    <row r="1711" spans="2:26" hidden="1" outlineLevel="2" x14ac:dyDescent="0.15">
      <c r="B1711" s="806" t="s">
        <v>1535</v>
      </c>
      <c r="C1711" s="980">
        <v>1467</v>
      </c>
      <c r="D1711" s="812">
        <v>1467</v>
      </c>
      <c r="E1711" s="1049">
        <v>0.2</v>
      </c>
      <c r="F1711" s="980">
        <f t="shared" si="17"/>
        <v>33</v>
      </c>
      <c r="G1711" s="980">
        <f t="shared" si="18"/>
        <v>33</v>
      </c>
      <c r="H1711" s="815">
        <f t="shared" si="19"/>
        <v>0</v>
      </c>
      <c r="I1711" s="812">
        <f t="shared" si="20"/>
        <v>0</v>
      </c>
      <c r="J1711" s="812">
        <f t="shared" si="21"/>
        <v>0</v>
      </c>
      <c r="K1711" s="829">
        <f t="shared" si="22"/>
        <v>0.6</v>
      </c>
      <c r="L1711" s="981">
        <f t="shared" si="23"/>
        <v>-548.4</v>
      </c>
      <c r="M1711" s="807">
        <f t="shared" si="24"/>
        <v>0.5</v>
      </c>
      <c r="P1711" s="13"/>
      <c r="Q1711" s="1427"/>
      <c r="W1711" s="4"/>
      <c r="X1711" s="4"/>
      <c r="Y1711" s="4"/>
      <c r="Z1711" s="4"/>
    </row>
    <row r="1712" spans="2:26" hidden="1" outlineLevel="2" x14ac:dyDescent="0.15">
      <c r="B1712" s="806" t="s">
        <v>1534</v>
      </c>
      <c r="C1712" s="980">
        <v>3670</v>
      </c>
      <c r="D1712" s="812">
        <v>3670</v>
      </c>
      <c r="E1712" s="1049">
        <v>0.2</v>
      </c>
      <c r="F1712" s="980">
        <f t="shared" si="17"/>
        <v>33</v>
      </c>
      <c r="G1712" s="980">
        <f t="shared" si="18"/>
        <v>33</v>
      </c>
      <c r="H1712" s="815">
        <f t="shared" si="19"/>
        <v>0</v>
      </c>
      <c r="I1712" s="812">
        <f t="shared" si="20"/>
        <v>0</v>
      </c>
      <c r="J1712" s="812">
        <f t="shared" si="21"/>
        <v>0</v>
      </c>
      <c r="K1712" s="829">
        <f t="shared" si="22"/>
        <v>0.6</v>
      </c>
      <c r="L1712" s="981">
        <f t="shared" si="23"/>
        <v>-548.4</v>
      </c>
      <c r="M1712" s="807">
        <f t="shared" si="24"/>
        <v>0.5</v>
      </c>
      <c r="P1712" s="13"/>
      <c r="Q1712" s="1427"/>
      <c r="W1712" s="4"/>
      <c r="X1712" s="4"/>
      <c r="Y1712" s="4"/>
      <c r="Z1712" s="4"/>
    </row>
    <row r="1713" spans="2:26" hidden="1" outlineLevel="2" x14ac:dyDescent="0.15">
      <c r="B1713" s="806" t="s">
        <v>1531</v>
      </c>
      <c r="C1713" s="980">
        <v>2125</v>
      </c>
      <c r="D1713" s="812">
        <v>2125</v>
      </c>
      <c r="E1713" s="1049">
        <v>0.2</v>
      </c>
      <c r="F1713" s="980">
        <f t="shared" si="17"/>
        <v>33</v>
      </c>
      <c r="G1713" s="980">
        <f t="shared" si="18"/>
        <v>33</v>
      </c>
      <c r="H1713" s="815">
        <f t="shared" si="19"/>
        <v>0</v>
      </c>
      <c r="I1713" s="812">
        <f t="shared" si="20"/>
        <v>0</v>
      </c>
      <c r="J1713" s="812">
        <f t="shared" si="21"/>
        <v>0</v>
      </c>
      <c r="K1713" s="829">
        <f t="shared" si="22"/>
        <v>0.6</v>
      </c>
      <c r="L1713" s="981">
        <f t="shared" si="23"/>
        <v>-548.4</v>
      </c>
      <c r="M1713" s="807">
        <f t="shared" si="24"/>
        <v>0.5</v>
      </c>
      <c r="P1713" s="13"/>
      <c r="Q1713" s="1427"/>
      <c r="W1713" s="4"/>
      <c r="X1713" s="4"/>
      <c r="Y1713" s="4"/>
      <c r="Z1713" s="4"/>
    </row>
    <row r="1714" spans="2:26" hidden="1" outlineLevel="2" x14ac:dyDescent="0.15">
      <c r="B1714" s="802"/>
      <c r="C1714" s="1045"/>
      <c r="D1714" s="813"/>
      <c r="E1714" s="1050"/>
      <c r="F1714" s="1045"/>
      <c r="G1714" s="1045"/>
      <c r="H1714" s="817"/>
      <c r="I1714" s="813"/>
      <c r="J1714" s="813"/>
      <c r="K1714" s="830"/>
      <c r="L1714" s="1039"/>
      <c r="M1714" s="814"/>
      <c r="P1714" s="13"/>
      <c r="W1714" s="4"/>
      <c r="X1714" s="4"/>
      <c r="Y1714" s="4"/>
      <c r="Z1714" s="4"/>
    </row>
    <row r="1715" spans="2:26" hidden="1" outlineLevel="2" x14ac:dyDescent="0.15">
      <c r="W1715" s="4"/>
      <c r="X1715" s="4"/>
      <c r="Y1715" s="4"/>
      <c r="Z1715" s="4"/>
    </row>
    <row r="1716" spans="2:26" hidden="1" outlineLevel="2" x14ac:dyDescent="0.15">
      <c r="B1716" s="1475" t="s">
        <v>1530</v>
      </c>
      <c r="C1716" s="1893" t="s">
        <v>1133</v>
      </c>
      <c r="D1716" s="1894"/>
      <c r="E1716" s="1895"/>
      <c r="F1716" s="1893" t="s">
        <v>1517</v>
      </c>
      <c r="G1716" s="1894"/>
      <c r="H1716" s="1894"/>
      <c r="I1716" s="1894"/>
      <c r="J1716" s="1894"/>
      <c r="K1716" s="1894"/>
      <c r="L1716" s="1894"/>
      <c r="M1716" s="1895"/>
      <c r="W1716" s="4"/>
      <c r="X1716" s="4"/>
      <c r="Y1716" s="4"/>
      <c r="Z1716" s="4"/>
    </row>
    <row r="1717" spans="2:26" ht="12.75" hidden="1" customHeight="1" outlineLevel="2" x14ac:dyDescent="0.15">
      <c r="B1717" s="899"/>
      <c r="C1717" s="1879" t="s">
        <v>767</v>
      </c>
      <c r="D1717" s="1880"/>
      <c r="E1717" s="834"/>
      <c r="F1717" s="1892" t="s">
        <v>767</v>
      </c>
      <c r="G1717" s="1865" t="s">
        <v>1515</v>
      </c>
      <c r="H1717" s="1866"/>
      <c r="I1717" s="1866"/>
      <c r="J1717" s="1867"/>
      <c r="K1717" s="1896" t="s">
        <v>1518</v>
      </c>
      <c r="L1717" s="1495" t="s">
        <v>1519</v>
      </c>
      <c r="M1717" s="834"/>
      <c r="W1717" s="4"/>
      <c r="X1717" s="4"/>
      <c r="Y1717" s="4"/>
      <c r="Z1717" s="4"/>
    </row>
    <row r="1718" spans="2:26" ht="14" hidden="1" outlineLevel="2" x14ac:dyDescent="0.15">
      <c r="B1718" s="1568" t="s">
        <v>1507</v>
      </c>
      <c r="C1718" s="1043" t="s">
        <v>92</v>
      </c>
      <c r="D1718" s="1044" t="s">
        <v>1508</v>
      </c>
      <c r="E1718" s="836" t="s">
        <v>723</v>
      </c>
      <c r="F1718" s="1864"/>
      <c r="G1718" s="1046" t="s">
        <v>14</v>
      </c>
      <c r="H1718" s="1047" t="s">
        <v>695</v>
      </c>
      <c r="I1718" s="1047" t="s">
        <v>27</v>
      </c>
      <c r="J1718" s="962" t="s">
        <v>694</v>
      </c>
      <c r="K1718" s="1897"/>
      <c r="L1718" s="1493" t="s">
        <v>767</v>
      </c>
      <c r="M1718" s="1492" t="s">
        <v>723</v>
      </c>
      <c r="W1718" s="4"/>
      <c r="X1718" s="4"/>
      <c r="Y1718" s="4"/>
      <c r="Z1718" s="4"/>
    </row>
    <row r="1719" spans="2:26" hidden="1" outlineLevel="2" x14ac:dyDescent="0.15">
      <c r="B1719" s="1463" t="s">
        <v>1541</v>
      </c>
      <c r="C1719" s="978">
        <v>1920</v>
      </c>
      <c r="D1719" s="979">
        <v>202</v>
      </c>
      <c r="E1719" s="1048">
        <v>0.2</v>
      </c>
      <c r="F1719" s="980">
        <f>C2296</f>
        <v>880.38133333651194</v>
      </c>
      <c r="G1719" s="978">
        <f>D2296</f>
        <v>876.86133333439989</v>
      </c>
      <c r="H1719" s="883">
        <f>E2296</f>
        <v>0</v>
      </c>
      <c r="I1719" s="977">
        <f>F2296</f>
        <v>3.5200000021120652</v>
      </c>
      <c r="J1719" s="812">
        <f>G2296</f>
        <v>0</v>
      </c>
      <c r="K1719" s="829">
        <f>L$2275</f>
        <v>0.1</v>
      </c>
      <c r="L1719" s="981">
        <f>-(C1719-D1719)*K1719+$H$2240*$I$2240</f>
        <v>-701.30713337047359</v>
      </c>
      <c r="M1719" s="805">
        <f>$J$2296</f>
        <v>0.3</v>
      </c>
      <c r="W1719" s="4"/>
      <c r="X1719" s="4"/>
      <c r="Y1719" s="4"/>
      <c r="Z1719" s="4"/>
    </row>
    <row r="1720" spans="2:26" hidden="1" outlineLevel="2" x14ac:dyDescent="0.15">
      <c r="B1720" s="1658" t="s">
        <v>3209</v>
      </c>
      <c r="C1720" s="1683">
        <f>2.179000037365*1000</f>
        <v>2179.000037365</v>
      </c>
      <c r="D1720" s="812"/>
      <c r="E1720" s="1049"/>
      <c r="F1720" s="980"/>
      <c r="G1720" s="980"/>
      <c r="H1720" s="815"/>
      <c r="I1720" s="972"/>
      <c r="J1720" s="812"/>
      <c r="K1720" s="829"/>
      <c r="L1720" s="981"/>
      <c r="M1720" s="807"/>
      <c r="W1720" s="4"/>
      <c r="X1720" s="4"/>
      <c r="Y1720" s="4"/>
      <c r="Z1720" s="4"/>
    </row>
    <row r="1721" spans="2:26" hidden="1" outlineLevel="2" x14ac:dyDescent="0.15">
      <c r="B1721" s="1684" t="s">
        <v>3210</v>
      </c>
      <c r="C1721" s="1685">
        <f>3.487000012031*1000</f>
        <v>3487.0000120309996</v>
      </c>
      <c r="D1721" s="812"/>
      <c r="E1721" s="1049"/>
      <c r="F1721" s="980"/>
      <c r="G1721" s="980"/>
      <c r="H1721" s="815"/>
      <c r="I1721" s="972"/>
      <c r="J1721" s="812"/>
      <c r="K1721" s="829"/>
      <c r="L1721" s="981"/>
      <c r="M1721" s="807"/>
      <c r="W1721" s="4"/>
      <c r="X1721" s="4"/>
      <c r="Y1721" s="4"/>
      <c r="Z1721" s="4"/>
    </row>
    <row r="1722" spans="2:26" hidden="1" outlineLevel="2" x14ac:dyDescent="0.15">
      <c r="B1722" s="1684" t="s">
        <v>3211</v>
      </c>
      <c r="C1722" s="1685">
        <f>4.5104733113*1000</f>
        <v>4510.4733113000002</v>
      </c>
      <c r="D1722" s="812"/>
      <c r="E1722" s="1049"/>
      <c r="F1722" s="980"/>
      <c r="G1722" s="980"/>
      <c r="H1722" s="815"/>
      <c r="I1722" s="972"/>
      <c r="J1722" s="812"/>
      <c r="K1722" s="829"/>
      <c r="L1722" s="981"/>
      <c r="M1722" s="807"/>
      <c r="W1722" s="4"/>
      <c r="X1722" s="4"/>
      <c r="Y1722" s="4"/>
      <c r="Z1722" s="4"/>
    </row>
    <row r="1723" spans="2:26" hidden="1" outlineLevel="2" x14ac:dyDescent="0.15">
      <c r="B1723" s="806" t="s">
        <v>1542</v>
      </c>
      <c r="C1723" s="980">
        <v>2090</v>
      </c>
      <c r="D1723" s="812">
        <v>202</v>
      </c>
      <c r="E1723" s="1049">
        <v>0.2</v>
      </c>
      <c r="F1723" s="980">
        <f>F1719</f>
        <v>880.38133333651194</v>
      </c>
      <c r="G1723" s="980">
        <f>G1719</f>
        <v>876.86133333439989</v>
      </c>
      <c r="H1723" s="815">
        <f>H1719</f>
        <v>0</v>
      </c>
      <c r="I1723" s="972">
        <f>I1719</f>
        <v>3.5200000021120652</v>
      </c>
      <c r="J1723" s="812">
        <f>J1719</f>
        <v>0</v>
      </c>
      <c r="K1723" s="829">
        <f t="shared" ref="K1723:K1729" si="25">L$2275</f>
        <v>0.1</v>
      </c>
      <c r="L1723" s="981">
        <f t="shared" ref="L1723:L1729" si="26">-(C1723-D1723)*K1723+$H$2240*$I$2240</f>
        <v>-718.30713337047359</v>
      </c>
      <c r="M1723" s="807">
        <f t="shared" ref="M1723:M1729" si="27">$J$2296</f>
        <v>0.3</v>
      </c>
      <c r="W1723" s="4"/>
      <c r="X1723" s="4"/>
      <c r="Y1723" s="4"/>
      <c r="Z1723" s="4"/>
    </row>
    <row r="1724" spans="2:26" hidden="1" outlineLevel="2" x14ac:dyDescent="0.15">
      <c r="B1724" s="806" t="s">
        <v>160</v>
      </c>
      <c r="C1724" s="980">
        <v>3270</v>
      </c>
      <c r="D1724" s="812">
        <v>202</v>
      </c>
      <c r="E1724" s="1049">
        <v>0.2</v>
      </c>
      <c r="F1724" s="980">
        <f t="shared" ref="F1724:J1729" si="28">F1723</f>
        <v>880.38133333651194</v>
      </c>
      <c r="G1724" s="980">
        <f t="shared" si="28"/>
        <v>876.86133333439989</v>
      </c>
      <c r="H1724" s="815">
        <f t="shared" si="28"/>
        <v>0</v>
      </c>
      <c r="I1724" s="972">
        <f t="shared" si="28"/>
        <v>3.5200000021120652</v>
      </c>
      <c r="J1724" s="812">
        <f t="shared" si="28"/>
        <v>0</v>
      </c>
      <c r="K1724" s="829">
        <f t="shared" si="25"/>
        <v>0.1</v>
      </c>
      <c r="L1724" s="981">
        <f t="shared" si="26"/>
        <v>-836.30713337047359</v>
      </c>
      <c r="M1724" s="807">
        <f t="shared" si="27"/>
        <v>0.3</v>
      </c>
      <c r="W1724" s="4"/>
      <c r="X1724" s="4"/>
      <c r="Y1724" s="4"/>
      <c r="Z1724" s="4"/>
    </row>
    <row r="1725" spans="2:26" hidden="1" outlineLevel="2" x14ac:dyDescent="0.15">
      <c r="B1725" s="806" t="s">
        <v>1543</v>
      </c>
      <c r="C1725" s="980">
        <v>2830</v>
      </c>
      <c r="D1725" s="812">
        <v>2830</v>
      </c>
      <c r="E1725" s="1049">
        <v>0.2</v>
      </c>
      <c r="F1725" s="980">
        <f t="shared" si="28"/>
        <v>880.38133333651194</v>
      </c>
      <c r="G1725" s="980">
        <f t="shared" si="28"/>
        <v>876.86133333439989</v>
      </c>
      <c r="H1725" s="815">
        <f t="shared" si="28"/>
        <v>0</v>
      </c>
      <c r="I1725" s="972">
        <f t="shared" si="28"/>
        <v>3.5200000021120652</v>
      </c>
      <c r="J1725" s="812">
        <f t="shared" si="28"/>
        <v>0</v>
      </c>
      <c r="K1725" s="829">
        <f t="shared" si="25"/>
        <v>0.1</v>
      </c>
      <c r="L1725" s="981">
        <f t="shared" si="26"/>
        <v>-529.50713337047353</v>
      </c>
      <c r="M1725" s="807">
        <f t="shared" si="27"/>
        <v>0.3</v>
      </c>
      <c r="W1725" s="4"/>
      <c r="X1725" s="4"/>
      <c r="Y1725" s="4"/>
      <c r="Z1725" s="4"/>
    </row>
    <row r="1726" spans="2:26" hidden="1" outlineLevel="2" x14ac:dyDescent="0.15">
      <c r="B1726" s="806" t="s">
        <v>161</v>
      </c>
      <c r="C1726" s="980">
        <v>1870</v>
      </c>
      <c r="D1726" s="812">
        <v>403</v>
      </c>
      <c r="E1726" s="1049">
        <v>0.2</v>
      </c>
      <c r="F1726" s="980">
        <f t="shared" si="28"/>
        <v>880.38133333651194</v>
      </c>
      <c r="G1726" s="980">
        <f t="shared" si="28"/>
        <v>876.86133333439989</v>
      </c>
      <c r="H1726" s="815">
        <f t="shared" si="28"/>
        <v>0</v>
      </c>
      <c r="I1726" s="972">
        <f t="shared" si="28"/>
        <v>3.5200000021120652</v>
      </c>
      <c r="J1726" s="812">
        <f t="shared" si="28"/>
        <v>0</v>
      </c>
      <c r="K1726" s="829">
        <f t="shared" si="25"/>
        <v>0.1</v>
      </c>
      <c r="L1726" s="981">
        <f t="shared" si="26"/>
        <v>-676.20713337047357</v>
      </c>
      <c r="M1726" s="807">
        <f t="shared" si="27"/>
        <v>0.3</v>
      </c>
      <c r="W1726" s="4"/>
      <c r="X1726" s="4"/>
      <c r="Y1726" s="4"/>
      <c r="Z1726" s="4"/>
    </row>
    <row r="1727" spans="2:26" hidden="1" outlineLevel="2" x14ac:dyDescent="0.15">
      <c r="B1727" s="806" t="s">
        <v>1544</v>
      </c>
      <c r="C1727" s="980">
        <v>4400</v>
      </c>
      <c r="D1727" s="812">
        <v>4400</v>
      </c>
      <c r="E1727" s="1049">
        <v>0.4</v>
      </c>
      <c r="F1727" s="980">
        <f t="shared" si="28"/>
        <v>880.38133333651194</v>
      </c>
      <c r="G1727" s="980">
        <f t="shared" si="28"/>
        <v>876.86133333439989</v>
      </c>
      <c r="H1727" s="815">
        <f t="shared" si="28"/>
        <v>0</v>
      </c>
      <c r="I1727" s="972">
        <f t="shared" si="28"/>
        <v>3.5200000021120652</v>
      </c>
      <c r="J1727" s="812">
        <f t="shared" si="28"/>
        <v>0</v>
      </c>
      <c r="K1727" s="829">
        <f t="shared" si="25"/>
        <v>0.1</v>
      </c>
      <c r="L1727" s="981">
        <f t="shared" si="26"/>
        <v>-529.50713337047353</v>
      </c>
      <c r="M1727" s="807">
        <f t="shared" si="27"/>
        <v>0.3</v>
      </c>
      <c r="W1727" s="4"/>
      <c r="X1727" s="4"/>
      <c r="Y1727" s="4"/>
      <c r="Z1727" s="4"/>
    </row>
    <row r="1728" spans="2:26" hidden="1" outlineLevel="2" x14ac:dyDescent="0.15">
      <c r="B1728" s="806" t="s">
        <v>1545</v>
      </c>
      <c r="C1728" s="980">
        <v>5500</v>
      </c>
      <c r="D1728" s="812">
        <v>5500</v>
      </c>
      <c r="E1728" s="1049">
        <v>0.2</v>
      </c>
      <c r="F1728" s="980">
        <f t="shared" si="28"/>
        <v>880.38133333651194</v>
      </c>
      <c r="G1728" s="980">
        <f t="shared" si="28"/>
        <v>876.86133333439989</v>
      </c>
      <c r="H1728" s="815">
        <f t="shared" si="28"/>
        <v>0</v>
      </c>
      <c r="I1728" s="972">
        <f t="shared" si="28"/>
        <v>3.5200000021120652</v>
      </c>
      <c r="J1728" s="812">
        <f t="shared" si="28"/>
        <v>0</v>
      </c>
      <c r="K1728" s="829">
        <f t="shared" si="25"/>
        <v>0.1</v>
      </c>
      <c r="L1728" s="981">
        <f t="shared" si="26"/>
        <v>-529.50713337047353</v>
      </c>
      <c r="M1728" s="807">
        <f t="shared" si="27"/>
        <v>0.3</v>
      </c>
      <c r="W1728" s="4"/>
      <c r="X1728" s="4"/>
      <c r="Y1728" s="4"/>
      <c r="Z1728" s="4"/>
    </row>
    <row r="1729" spans="2:26" hidden="1" outlineLevel="2" x14ac:dyDescent="0.15">
      <c r="B1729" s="806" t="s">
        <v>1546</v>
      </c>
      <c r="C1729" s="980">
        <v>2380</v>
      </c>
      <c r="D1729" s="812">
        <v>202</v>
      </c>
      <c r="E1729" s="1049">
        <v>0.2</v>
      </c>
      <c r="F1729" s="980">
        <f t="shared" si="28"/>
        <v>880.38133333651194</v>
      </c>
      <c r="G1729" s="980">
        <f t="shared" si="28"/>
        <v>876.86133333439989</v>
      </c>
      <c r="H1729" s="815">
        <f t="shared" si="28"/>
        <v>0</v>
      </c>
      <c r="I1729" s="972">
        <f t="shared" si="28"/>
        <v>3.5200000021120652</v>
      </c>
      <c r="J1729" s="812">
        <f t="shared" si="28"/>
        <v>0</v>
      </c>
      <c r="K1729" s="829">
        <f t="shared" si="25"/>
        <v>0.1</v>
      </c>
      <c r="L1729" s="981">
        <f t="shared" si="26"/>
        <v>-747.30713337047359</v>
      </c>
      <c r="M1729" s="807">
        <f t="shared" si="27"/>
        <v>0.3</v>
      </c>
      <c r="W1729" s="4"/>
      <c r="X1729" s="4"/>
      <c r="Y1729" s="4"/>
      <c r="Z1729" s="4"/>
    </row>
    <row r="1730" spans="2:26" hidden="1" outlineLevel="2" x14ac:dyDescent="0.15">
      <c r="B1730" s="802"/>
      <c r="C1730" s="1045"/>
      <c r="D1730" s="813"/>
      <c r="E1730" s="1050"/>
      <c r="F1730" s="1045"/>
      <c r="G1730" s="1045"/>
      <c r="H1730" s="817"/>
      <c r="I1730" s="813"/>
      <c r="J1730" s="813"/>
      <c r="K1730" s="830"/>
      <c r="L1730" s="1039"/>
      <c r="M1730" s="814"/>
      <c r="W1730" s="4"/>
      <c r="X1730" s="4"/>
      <c r="Y1730" s="4"/>
      <c r="Z1730" s="4"/>
    </row>
    <row r="1731" spans="2:26" hidden="1" outlineLevel="2" x14ac:dyDescent="0.15">
      <c r="W1731" s="4"/>
      <c r="X1731" s="4"/>
      <c r="Y1731" s="4"/>
      <c r="Z1731" s="4"/>
    </row>
    <row r="1732" spans="2:26" hidden="1" outlineLevel="2" x14ac:dyDescent="0.15">
      <c r="B1732" s="1475" t="s">
        <v>1547</v>
      </c>
      <c r="C1732" s="1893" t="s">
        <v>1133</v>
      </c>
      <c r="D1732" s="1894"/>
      <c r="E1732" s="1895"/>
      <c r="F1732" s="1893" t="s">
        <v>1517</v>
      </c>
      <c r="G1732" s="1894"/>
      <c r="H1732" s="1894"/>
      <c r="I1732" s="1894"/>
      <c r="J1732" s="1894"/>
      <c r="K1732" s="1894"/>
      <c r="L1732" s="1894"/>
      <c r="M1732" s="1894"/>
      <c r="N1732" s="1894"/>
      <c r="O1732" s="1894"/>
      <c r="P1732" s="1894"/>
      <c r="Q1732" s="1895"/>
      <c r="W1732" s="4"/>
      <c r="X1732" s="4"/>
      <c r="Y1732" s="4"/>
      <c r="Z1732" s="4"/>
    </row>
    <row r="1733" spans="2:26" ht="13.25" hidden="1" customHeight="1" outlineLevel="2" x14ac:dyDescent="0.15">
      <c r="B1733" s="899"/>
      <c r="C1733" s="1879" t="s">
        <v>767</v>
      </c>
      <c r="D1733" s="1880"/>
      <c r="E1733" s="834"/>
      <c r="F1733" s="1863" t="s">
        <v>767</v>
      </c>
      <c r="G1733" s="1876" t="s">
        <v>1515</v>
      </c>
      <c r="H1733" s="1877"/>
      <c r="I1733" s="1877"/>
      <c r="J1733" s="1878"/>
      <c r="K1733" s="1896" t="s">
        <v>1518</v>
      </c>
      <c r="L1733" s="1896" t="s">
        <v>1520</v>
      </c>
      <c r="M1733" s="1896" t="s">
        <v>1521</v>
      </c>
      <c r="N1733" s="1896" t="s">
        <v>1522</v>
      </c>
      <c r="O1733" s="1896" t="s">
        <v>1523</v>
      </c>
      <c r="P1733" s="899" t="s">
        <v>1519</v>
      </c>
      <c r="Q1733" s="834"/>
      <c r="W1733" s="4"/>
      <c r="X1733" s="4"/>
      <c r="Y1733" s="4"/>
      <c r="Z1733" s="4"/>
    </row>
    <row r="1734" spans="2:26" ht="14" hidden="1" outlineLevel="2" x14ac:dyDescent="0.15">
      <c r="B1734" s="1568" t="s">
        <v>1507</v>
      </c>
      <c r="C1734" s="1043" t="s">
        <v>92</v>
      </c>
      <c r="D1734" s="1044" t="s">
        <v>1508</v>
      </c>
      <c r="E1734" s="836" t="s">
        <v>723</v>
      </c>
      <c r="F1734" s="1864"/>
      <c r="G1734" s="1046" t="s">
        <v>14</v>
      </c>
      <c r="H1734" s="1047" t="s">
        <v>695</v>
      </c>
      <c r="I1734" s="1047" t="s">
        <v>27</v>
      </c>
      <c r="J1734" s="962" t="s">
        <v>694</v>
      </c>
      <c r="K1734" s="1897"/>
      <c r="L1734" s="1897"/>
      <c r="M1734" s="1897"/>
      <c r="N1734" s="1897"/>
      <c r="O1734" s="1897"/>
      <c r="P1734" s="927" t="s">
        <v>767</v>
      </c>
      <c r="Q1734" s="836" t="s">
        <v>723</v>
      </c>
      <c r="W1734" s="4"/>
      <c r="X1734" s="4"/>
      <c r="Y1734" s="4"/>
      <c r="Z1734" s="4"/>
    </row>
    <row r="1735" spans="2:26" hidden="1" outlineLevel="2" x14ac:dyDescent="0.15">
      <c r="B1735" s="804" t="s">
        <v>1548</v>
      </c>
      <c r="C1735" s="978">
        <v>1060</v>
      </c>
      <c r="D1735" s="979">
        <v>1060</v>
      </c>
      <c r="E1735" s="1048">
        <v>0.2</v>
      </c>
      <c r="F1735" s="980">
        <f>C2297</f>
        <v>129.82111666712399</v>
      </c>
      <c r="G1735" s="978">
        <f>D2297</f>
        <v>33.293336666662</v>
      </c>
      <c r="H1735" s="883">
        <f>E2297</f>
        <v>95.316007900636166</v>
      </c>
      <c r="I1735" s="977">
        <f>F2297</f>
        <v>1.211772099825829</v>
      </c>
      <c r="J1735" s="812">
        <f>G2297</f>
        <v>169.85532333313998</v>
      </c>
      <c r="K1735" s="829">
        <f>L2276</f>
        <v>0.8</v>
      </c>
      <c r="L1735" s="829">
        <f>SUM(C2276:G2276)</f>
        <v>0.11999999999999998</v>
      </c>
      <c r="M1735" s="884">
        <f>SUM(H2276:K2276)</f>
        <v>7.0000000000000007E-2</v>
      </c>
      <c r="N1735" s="884">
        <f>M2276</f>
        <v>0.01</v>
      </c>
      <c r="O1735" s="884">
        <f>N2276</f>
        <v>0</v>
      </c>
      <c r="P1735" s="981">
        <f>H2297</f>
        <v>-57.580849378556728</v>
      </c>
      <c r="Q1735" s="884">
        <f>J2297</f>
        <v>0.5</v>
      </c>
      <c r="W1735" s="4"/>
      <c r="X1735" s="4"/>
      <c r="Y1735" s="4"/>
      <c r="Z1735" s="4"/>
    </row>
    <row r="1736" spans="2:26" hidden="1" outlineLevel="2" x14ac:dyDescent="0.15">
      <c r="B1736" s="806" t="s">
        <v>1549</v>
      </c>
      <c r="C1736" s="980">
        <v>919</v>
      </c>
      <c r="D1736" s="812">
        <v>919</v>
      </c>
      <c r="E1736" s="1049">
        <v>0.2</v>
      </c>
      <c r="F1736" s="980">
        <f t="shared" ref="F1736:J1740" si="29">C$2298</f>
        <v>234.56223333424799</v>
      </c>
      <c r="G1736" s="980">
        <f t="shared" si="29"/>
        <v>33.586673333324001</v>
      </c>
      <c r="H1736" s="815">
        <f t="shared" si="29"/>
        <v>198.55201580127232</v>
      </c>
      <c r="I1736" s="972">
        <f t="shared" si="29"/>
        <v>2.423544199651658</v>
      </c>
      <c r="J1736" s="812">
        <f t="shared" si="29"/>
        <v>344.42744666619996</v>
      </c>
      <c r="K1736" s="829">
        <f>L$2277</f>
        <v>0.6</v>
      </c>
      <c r="L1736" s="829">
        <f>SUM(C$2277:G$2277)</f>
        <v>0.23999999999999996</v>
      </c>
      <c r="M1736" s="878">
        <f>SUM(H$2277:K$2277)</f>
        <v>0.14000000000000001</v>
      </c>
      <c r="N1736" s="878">
        <f t="shared" ref="N1736:O1740" si="30">M$2277</f>
        <v>0.02</v>
      </c>
      <c r="O1736" s="878">
        <f t="shared" si="30"/>
        <v>0</v>
      </c>
      <c r="P1736" s="981">
        <f>H$2298</f>
        <v>-109.42432383574641</v>
      </c>
      <c r="Q1736" s="878">
        <f>J$2298</f>
        <v>0.5</v>
      </c>
      <c r="W1736" s="4"/>
      <c r="X1736" s="4"/>
      <c r="Y1736" s="4"/>
      <c r="Z1736" s="4"/>
    </row>
    <row r="1737" spans="2:26" hidden="1" outlineLevel="2" x14ac:dyDescent="0.15">
      <c r="B1737" s="806" t="s">
        <v>1550</v>
      </c>
      <c r="C1737" s="980">
        <v>440</v>
      </c>
      <c r="D1737" s="812">
        <f>C$1740</f>
        <v>470</v>
      </c>
      <c r="E1737" s="1049">
        <v>0.2</v>
      </c>
      <c r="F1737" s="980">
        <f t="shared" si="29"/>
        <v>234.56223333424799</v>
      </c>
      <c r="G1737" s="980">
        <f t="shared" si="29"/>
        <v>33.586673333324001</v>
      </c>
      <c r="H1737" s="815">
        <f t="shared" si="29"/>
        <v>198.55201580127232</v>
      </c>
      <c r="I1737" s="972">
        <f t="shared" si="29"/>
        <v>2.423544199651658</v>
      </c>
      <c r="J1737" s="812">
        <f t="shared" si="29"/>
        <v>344.42744666619996</v>
      </c>
      <c r="K1737" s="829">
        <f>L$2277</f>
        <v>0.6</v>
      </c>
      <c r="L1737" s="829">
        <f>SUM(C$2277:G$2277)</f>
        <v>0.23999999999999996</v>
      </c>
      <c r="M1737" s="878">
        <f>SUM(H$2277:K$2277)</f>
        <v>0.14000000000000001</v>
      </c>
      <c r="N1737" s="878">
        <f t="shared" si="30"/>
        <v>0.02</v>
      </c>
      <c r="O1737" s="878">
        <f t="shared" si="30"/>
        <v>0</v>
      </c>
      <c r="P1737" s="981">
        <f>H$2298</f>
        <v>-109.42432383574641</v>
      </c>
      <c r="Q1737" s="878">
        <f>J$2298</f>
        <v>0.5</v>
      </c>
      <c r="W1737" s="4"/>
      <c r="X1737" s="4"/>
      <c r="Y1737" s="4"/>
      <c r="Z1737" s="4"/>
    </row>
    <row r="1738" spans="2:26" hidden="1" outlineLevel="2" x14ac:dyDescent="0.15">
      <c r="B1738" s="806" t="s">
        <v>1551</v>
      </c>
      <c r="C1738" s="980">
        <v>400</v>
      </c>
      <c r="D1738" s="812">
        <f>C$1740</f>
        <v>470</v>
      </c>
      <c r="E1738" s="1049">
        <v>0.2</v>
      </c>
      <c r="F1738" s="980">
        <f t="shared" si="29"/>
        <v>234.56223333424799</v>
      </c>
      <c r="G1738" s="980">
        <f t="shared" si="29"/>
        <v>33.586673333324001</v>
      </c>
      <c r="H1738" s="815">
        <f t="shared" si="29"/>
        <v>198.55201580127232</v>
      </c>
      <c r="I1738" s="972">
        <f t="shared" si="29"/>
        <v>2.423544199651658</v>
      </c>
      <c r="J1738" s="812">
        <f t="shared" si="29"/>
        <v>344.42744666619996</v>
      </c>
      <c r="K1738" s="829">
        <f>L$2277</f>
        <v>0.6</v>
      </c>
      <c r="L1738" s="829">
        <f>SUM(C$2277:G$2277)</f>
        <v>0.23999999999999996</v>
      </c>
      <c r="M1738" s="878">
        <f>SUM(H$2277:K$2277)</f>
        <v>0.14000000000000001</v>
      </c>
      <c r="N1738" s="878">
        <f t="shared" si="30"/>
        <v>0.02</v>
      </c>
      <c r="O1738" s="878">
        <f t="shared" si="30"/>
        <v>0</v>
      </c>
      <c r="P1738" s="981">
        <f>H$2298</f>
        <v>-109.42432383574641</v>
      </c>
      <c r="Q1738" s="878">
        <f>J$2298</f>
        <v>0.5</v>
      </c>
      <c r="W1738" s="4"/>
      <c r="X1738" s="4"/>
      <c r="Y1738" s="4"/>
      <c r="Z1738" s="4"/>
    </row>
    <row r="1739" spans="2:26" hidden="1" outlineLevel="2" x14ac:dyDescent="0.15">
      <c r="B1739" s="806" t="s">
        <v>1552</v>
      </c>
      <c r="C1739" s="980">
        <v>410</v>
      </c>
      <c r="D1739" s="812">
        <f>C$1740</f>
        <v>470</v>
      </c>
      <c r="E1739" s="1049">
        <v>0.2</v>
      </c>
      <c r="F1739" s="980">
        <f t="shared" si="29"/>
        <v>234.56223333424799</v>
      </c>
      <c r="G1739" s="980">
        <f t="shared" si="29"/>
        <v>33.586673333324001</v>
      </c>
      <c r="H1739" s="815">
        <f t="shared" si="29"/>
        <v>198.55201580127232</v>
      </c>
      <c r="I1739" s="972">
        <f t="shared" si="29"/>
        <v>2.423544199651658</v>
      </c>
      <c r="J1739" s="812">
        <f t="shared" si="29"/>
        <v>344.42744666619996</v>
      </c>
      <c r="K1739" s="829">
        <f>L$2277</f>
        <v>0.6</v>
      </c>
      <c r="L1739" s="829">
        <f>SUM(C$2277:G$2277)</f>
        <v>0.23999999999999996</v>
      </c>
      <c r="M1739" s="878">
        <f>SUM(H$2277:K$2277)</f>
        <v>0.14000000000000001</v>
      </c>
      <c r="N1739" s="878">
        <f t="shared" si="30"/>
        <v>0.02</v>
      </c>
      <c r="O1739" s="878">
        <f t="shared" si="30"/>
        <v>0</v>
      </c>
      <c r="P1739" s="981">
        <f>H$2298</f>
        <v>-109.42432383574641</v>
      </c>
      <c r="Q1739" s="878">
        <f>J$2298</f>
        <v>0.5</v>
      </c>
      <c r="W1739" s="4"/>
      <c r="X1739" s="4"/>
      <c r="Y1739" s="4"/>
      <c r="Z1739" s="4"/>
    </row>
    <row r="1740" spans="2:26" hidden="1" outlineLevel="2" x14ac:dyDescent="0.15">
      <c r="B1740" s="806" t="s">
        <v>1553</v>
      </c>
      <c r="C1740" s="980">
        <v>470</v>
      </c>
      <c r="D1740" s="812">
        <f>C$1740</f>
        <v>470</v>
      </c>
      <c r="E1740" s="1049">
        <v>0.2</v>
      </c>
      <c r="F1740" s="980">
        <f t="shared" si="29"/>
        <v>234.56223333424799</v>
      </c>
      <c r="G1740" s="980">
        <f t="shared" si="29"/>
        <v>33.586673333324001</v>
      </c>
      <c r="H1740" s="815">
        <f t="shared" si="29"/>
        <v>198.55201580127232</v>
      </c>
      <c r="I1740" s="972">
        <f t="shared" si="29"/>
        <v>2.423544199651658</v>
      </c>
      <c r="J1740" s="812">
        <f t="shared" si="29"/>
        <v>344.42744666619996</v>
      </c>
      <c r="K1740" s="829">
        <f>L$2277</f>
        <v>0.6</v>
      </c>
      <c r="L1740" s="829">
        <f>SUM(C$2277:G$2277)</f>
        <v>0.23999999999999996</v>
      </c>
      <c r="M1740" s="878">
        <f>SUM(H$2277:K$2277)</f>
        <v>0.14000000000000001</v>
      </c>
      <c r="N1740" s="878">
        <f t="shared" si="30"/>
        <v>0.02</v>
      </c>
      <c r="O1740" s="878">
        <f t="shared" si="30"/>
        <v>0</v>
      </c>
      <c r="P1740" s="981">
        <f>H$2298</f>
        <v>-109.42432383574641</v>
      </c>
      <c r="Q1740" s="878">
        <f>J$2298</f>
        <v>0.5</v>
      </c>
      <c r="W1740" s="4"/>
      <c r="X1740" s="4"/>
      <c r="Y1740" s="4"/>
      <c r="Z1740" s="4"/>
    </row>
    <row r="1741" spans="2:26" hidden="1" outlineLevel="2" x14ac:dyDescent="0.15">
      <c r="B1741" s="802"/>
      <c r="C1741" s="1045"/>
      <c r="D1741" s="813"/>
      <c r="E1741" s="1050"/>
      <c r="F1741" s="1045"/>
      <c r="G1741" s="1045"/>
      <c r="H1741" s="817"/>
      <c r="I1741" s="813"/>
      <c r="J1741" s="813"/>
      <c r="K1741" s="830"/>
      <c r="L1741" s="830"/>
      <c r="M1741" s="830"/>
      <c r="N1741" s="919"/>
      <c r="O1741" s="919"/>
      <c r="P1741" s="1039"/>
      <c r="Q1741" s="830"/>
      <c r="W1741" s="4"/>
      <c r="X1741" s="4"/>
      <c r="Y1741" s="4"/>
      <c r="Z1741" s="4"/>
    </row>
    <row r="1742" spans="2:26" hidden="1" outlineLevel="2" x14ac:dyDescent="0.15"/>
    <row r="1743" spans="2:26" hidden="1" outlineLevel="2" x14ac:dyDescent="0.15">
      <c r="B1743" s="1475" t="s">
        <v>1557</v>
      </c>
      <c r="C1743" s="901"/>
      <c r="D1743" s="887"/>
      <c r="E1743" s="886"/>
      <c r="F1743" s="898"/>
    </row>
    <row r="1744" spans="2:26" ht="28" hidden="1" outlineLevel="2" x14ac:dyDescent="0.15">
      <c r="B1744" s="1568" t="s">
        <v>1507</v>
      </c>
      <c r="C1744" s="1570" t="s">
        <v>1555</v>
      </c>
      <c r="D1744" s="1572" t="s">
        <v>1556</v>
      </c>
      <c r="E1744" s="881" t="s">
        <v>1554</v>
      </c>
      <c r="F1744" s="836" t="s">
        <v>723</v>
      </c>
      <c r="I1744" s="6"/>
      <c r="J1744" s="6"/>
      <c r="K1744" s="6"/>
      <c r="L1744" s="6"/>
      <c r="M1744" s="6"/>
      <c r="N1744" s="6"/>
      <c r="U1744" s="13"/>
      <c r="V1744" s="13"/>
    </row>
    <row r="1745" spans="2:22" hidden="1" outlineLevel="2" x14ac:dyDescent="0.15">
      <c r="B1745" s="949" t="s">
        <v>162</v>
      </c>
      <c r="C1745" s="987" t="s">
        <v>1558</v>
      </c>
      <c r="D1745" s="1055">
        <v>7.82</v>
      </c>
      <c r="E1745" s="807">
        <v>0</v>
      </c>
      <c r="F1745" s="807">
        <v>0.1</v>
      </c>
      <c r="I1745" s="6"/>
      <c r="J1745" s="6"/>
      <c r="K1745" s="6"/>
      <c r="L1745" s="6"/>
      <c r="M1745" s="6"/>
      <c r="N1745" s="6"/>
      <c r="U1745" s="13"/>
      <c r="V1745" s="13"/>
    </row>
    <row r="1746" spans="2:22" hidden="1" outlineLevel="2" x14ac:dyDescent="0.15">
      <c r="B1746" s="800" t="s">
        <v>1578</v>
      </c>
      <c r="C1746" s="987" t="s">
        <v>58</v>
      </c>
      <c r="D1746" s="1055">
        <v>88</v>
      </c>
      <c r="E1746" s="807">
        <v>0.1</v>
      </c>
      <c r="F1746" s="807">
        <v>0.2</v>
      </c>
      <c r="I1746" s="6"/>
      <c r="J1746" s="6"/>
      <c r="K1746" s="6"/>
      <c r="L1746" s="6"/>
      <c r="M1746" s="6"/>
      <c r="N1746" s="6"/>
      <c r="U1746" s="13"/>
      <c r="V1746" s="13"/>
    </row>
    <row r="1747" spans="2:22" hidden="1" outlineLevel="2" x14ac:dyDescent="0.15">
      <c r="B1747" s="800" t="s">
        <v>1577</v>
      </c>
      <c r="C1747" s="987" t="s">
        <v>58</v>
      </c>
      <c r="D1747" s="1055">
        <v>366.67</v>
      </c>
      <c r="E1747" s="807">
        <v>0.1</v>
      </c>
      <c r="F1747" s="807">
        <v>0.2</v>
      </c>
      <c r="I1747" s="6"/>
      <c r="J1747" s="6"/>
      <c r="K1747" s="6"/>
      <c r="L1747" s="6"/>
      <c r="M1747" s="6"/>
      <c r="N1747" s="6"/>
      <c r="U1747" s="13"/>
      <c r="V1747" s="13"/>
    </row>
    <row r="1748" spans="2:22" hidden="1" outlineLevel="2" x14ac:dyDescent="0.15">
      <c r="B1748" s="949" t="s">
        <v>1576</v>
      </c>
      <c r="C1748" s="987" t="s">
        <v>1559</v>
      </c>
      <c r="D1748" s="1055">
        <v>2.4700000000000002</v>
      </c>
      <c r="E1748" s="807">
        <v>0</v>
      </c>
      <c r="F1748" s="807">
        <v>0.1</v>
      </c>
      <c r="I1748" s="13"/>
      <c r="J1748" s="6"/>
      <c r="K1748" s="876"/>
      <c r="L1748" s="6"/>
      <c r="M1748" s="6"/>
      <c r="N1748" s="13"/>
      <c r="U1748" s="13"/>
      <c r="V1748" s="13"/>
    </row>
    <row r="1749" spans="2:22" hidden="1" outlineLevel="2" x14ac:dyDescent="0.15">
      <c r="B1749" s="949" t="s">
        <v>1575</v>
      </c>
      <c r="C1749" s="987" t="s">
        <v>1558</v>
      </c>
      <c r="D1749" s="1055">
        <v>15.26</v>
      </c>
      <c r="E1749" s="807">
        <v>0</v>
      </c>
      <c r="F1749" s="807">
        <v>0.1</v>
      </c>
      <c r="J1749" s="6"/>
      <c r="K1749" s="6"/>
      <c r="L1749" s="6"/>
      <c r="M1749" s="6"/>
      <c r="N1749" s="6"/>
    </row>
    <row r="1750" spans="2:22" hidden="1" outlineLevel="2" x14ac:dyDescent="0.15">
      <c r="B1750" s="800" t="s">
        <v>1574</v>
      </c>
      <c r="C1750" s="987" t="s">
        <v>58</v>
      </c>
      <c r="D1750" s="1055">
        <v>990</v>
      </c>
      <c r="E1750" s="807">
        <v>0.1</v>
      </c>
      <c r="F1750" s="807">
        <v>0.2</v>
      </c>
      <c r="H1750" s="6"/>
      <c r="J1750" s="6"/>
      <c r="K1750" s="6"/>
      <c r="L1750" s="6"/>
      <c r="M1750" s="6"/>
      <c r="N1750" s="6"/>
    </row>
    <row r="1751" spans="2:22" hidden="1" outlineLevel="2" x14ac:dyDescent="0.15">
      <c r="B1751" s="949" t="s">
        <v>1573</v>
      </c>
      <c r="C1751" s="987" t="s">
        <v>1558</v>
      </c>
      <c r="D1751" s="1055">
        <v>5.79</v>
      </c>
      <c r="E1751" s="807">
        <v>0</v>
      </c>
      <c r="F1751" s="807">
        <v>0.1</v>
      </c>
      <c r="H1751" s="6"/>
      <c r="J1751" s="6"/>
      <c r="K1751" s="6"/>
      <c r="L1751" s="6"/>
      <c r="M1751" s="6"/>
      <c r="N1751" s="6"/>
    </row>
    <row r="1752" spans="2:22" hidden="1" outlineLevel="2" x14ac:dyDescent="0.15">
      <c r="B1752" s="949" t="s">
        <v>1572</v>
      </c>
      <c r="C1752" s="987" t="s">
        <v>1560</v>
      </c>
      <c r="D1752" s="1055">
        <v>44.3</v>
      </c>
      <c r="E1752" s="807">
        <v>0</v>
      </c>
      <c r="F1752" s="807">
        <v>0.1</v>
      </c>
      <c r="H1752" s="6"/>
      <c r="J1752" s="6"/>
      <c r="K1752" s="6"/>
      <c r="L1752" s="6"/>
      <c r="M1752" s="6"/>
      <c r="N1752" s="6"/>
    </row>
    <row r="1753" spans="2:22" hidden="1" outlineLevel="2" x14ac:dyDescent="0.15">
      <c r="B1753" s="949" t="s">
        <v>1571</v>
      </c>
      <c r="C1753" s="987" t="s">
        <v>1561</v>
      </c>
      <c r="D1753" s="1055">
        <v>11.07</v>
      </c>
      <c r="E1753" s="807">
        <v>0</v>
      </c>
      <c r="F1753" s="807">
        <v>0.1</v>
      </c>
      <c r="H1753" s="6"/>
      <c r="J1753" s="6"/>
      <c r="K1753" s="6"/>
      <c r="L1753" s="6"/>
      <c r="M1753" s="6"/>
      <c r="N1753" s="6"/>
    </row>
    <row r="1754" spans="2:22" hidden="1" outlineLevel="2" x14ac:dyDescent="0.15">
      <c r="B1754" s="949" t="s">
        <v>1570</v>
      </c>
      <c r="C1754" s="987" t="s">
        <v>1560</v>
      </c>
      <c r="D1754" s="1055">
        <v>3.95</v>
      </c>
      <c r="E1754" s="807">
        <v>0</v>
      </c>
      <c r="F1754" s="807">
        <v>0.1</v>
      </c>
      <c r="H1754" s="6"/>
      <c r="J1754" s="6"/>
      <c r="K1754" s="6"/>
      <c r="L1754" s="6"/>
      <c r="M1754" s="6"/>
      <c r="N1754" s="6"/>
    </row>
    <row r="1755" spans="2:22" hidden="1" outlineLevel="2" x14ac:dyDescent="0.15">
      <c r="B1755" s="800" t="s">
        <v>1569</v>
      </c>
      <c r="C1755" s="987" t="s">
        <v>58</v>
      </c>
      <c r="D1755" s="1055">
        <v>11</v>
      </c>
      <c r="E1755" s="807">
        <v>0.2</v>
      </c>
      <c r="F1755" s="807">
        <v>0.8</v>
      </c>
      <c r="H1755" s="6"/>
      <c r="J1755" s="6"/>
      <c r="K1755" s="6"/>
      <c r="L1755" s="6"/>
      <c r="M1755" s="6"/>
      <c r="N1755" s="6"/>
    </row>
    <row r="1756" spans="2:22" hidden="1" outlineLevel="2" x14ac:dyDescent="0.15">
      <c r="B1756" s="949" t="s">
        <v>1567</v>
      </c>
      <c r="C1756" s="987" t="s">
        <v>1568</v>
      </c>
      <c r="D1756" s="1055">
        <v>3.22</v>
      </c>
      <c r="E1756" s="807">
        <v>0</v>
      </c>
      <c r="F1756" s="807">
        <v>0.1</v>
      </c>
      <c r="H1756" s="6"/>
      <c r="J1756" s="6"/>
      <c r="K1756" s="6"/>
      <c r="L1756" s="1532"/>
      <c r="M1756" s="20"/>
      <c r="N1756" s="6"/>
    </row>
    <row r="1757" spans="2:22" hidden="1" outlineLevel="2" x14ac:dyDescent="0.15">
      <c r="B1757" s="949" t="s">
        <v>1566</v>
      </c>
      <c r="C1757" s="987" t="s">
        <v>1562</v>
      </c>
      <c r="D1757" s="1055">
        <v>5.55</v>
      </c>
      <c r="E1757" s="807">
        <v>0</v>
      </c>
      <c r="F1757" s="807">
        <v>0.1</v>
      </c>
    </row>
    <row r="1758" spans="2:22" hidden="1" outlineLevel="2" x14ac:dyDescent="0.15">
      <c r="B1758" s="949" t="s">
        <v>1565</v>
      </c>
      <c r="C1758" s="987" t="s">
        <v>1563</v>
      </c>
      <c r="D1758" s="1055">
        <v>9.6999999999999993</v>
      </c>
      <c r="E1758" s="807">
        <v>0</v>
      </c>
      <c r="F1758" s="807">
        <v>0.1</v>
      </c>
    </row>
    <row r="1759" spans="2:22" hidden="1" outlineLevel="2" x14ac:dyDescent="0.15">
      <c r="B1759" s="949" t="s">
        <v>1564</v>
      </c>
      <c r="C1759" s="987" t="s">
        <v>1563</v>
      </c>
      <c r="D1759" s="1055">
        <v>8.5</v>
      </c>
      <c r="E1759" s="807">
        <v>0</v>
      </c>
      <c r="F1759" s="807">
        <v>0.1</v>
      </c>
    </row>
    <row r="1760" spans="2:22" hidden="1" outlineLevel="2" x14ac:dyDescent="0.15">
      <c r="B1760" s="801"/>
      <c r="C1760" s="1056"/>
      <c r="D1760" s="813"/>
      <c r="E1760" s="814"/>
      <c r="F1760" s="814"/>
    </row>
    <row r="1761" spans="2:26" hidden="1" outlineLevel="2" x14ac:dyDescent="0.15">
      <c r="B1761" s="1057"/>
      <c r="C1761" s="13"/>
      <c r="D1761" s="19"/>
      <c r="E1761" s="18"/>
      <c r="F1761" s="18"/>
    </row>
    <row r="1762" spans="2:26" hidden="1" outlineLevel="2" x14ac:dyDescent="0.15">
      <c r="B1762" s="1489" t="s">
        <v>1579</v>
      </c>
      <c r="C1762" s="1893" t="s">
        <v>1133</v>
      </c>
      <c r="D1762" s="1895"/>
      <c r="E1762" s="1893" t="s">
        <v>1517</v>
      </c>
      <c r="F1762" s="1894"/>
      <c r="G1762" s="1894"/>
      <c r="H1762" s="1894"/>
      <c r="I1762" s="1894"/>
      <c r="J1762" s="1895"/>
      <c r="W1762" s="4"/>
      <c r="X1762" s="4"/>
      <c r="Y1762" s="4"/>
      <c r="Z1762" s="4"/>
    </row>
    <row r="1763" spans="2:26" ht="12.75" hidden="1" customHeight="1" outlineLevel="2" x14ac:dyDescent="0.15">
      <c r="B1763" s="1059"/>
      <c r="C1763" s="797"/>
      <c r="D1763" s="797"/>
      <c r="E1763" s="1863" t="s">
        <v>767</v>
      </c>
      <c r="F1763" s="1876" t="s">
        <v>1515</v>
      </c>
      <c r="G1763" s="1877"/>
      <c r="H1763" s="1877"/>
      <c r="I1763" s="1878"/>
      <c r="J1763" s="891"/>
      <c r="W1763" s="4"/>
      <c r="X1763" s="4"/>
      <c r="Y1763" s="4"/>
      <c r="Z1763" s="4"/>
    </row>
    <row r="1764" spans="2:26" ht="14" hidden="1" outlineLevel="2" x14ac:dyDescent="0.15">
      <c r="B1764" s="1568" t="s">
        <v>1507</v>
      </c>
      <c r="C1764" s="927" t="s">
        <v>767</v>
      </c>
      <c r="D1764" s="836" t="s">
        <v>723</v>
      </c>
      <c r="E1764" s="1864"/>
      <c r="F1764" s="1046" t="s">
        <v>14</v>
      </c>
      <c r="G1764" s="1047" t="s">
        <v>695</v>
      </c>
      <c r="H1764" s="1047" t="s">
        <v>27</v>
      </c>
      <c r="I1764" s="962" t="s">
        <v>694</v>
      </c>
      <c r="J1764" s="896" t="s">
        <v>723</v>
      </c>
      <c r="W1764" s="4"/>
      <c r="X1764" s="4"/>
      <c r="Y1764" s="4"/>
      <c r="Z1764" s="4"/>
    </row>
    <row r="1765" spans="2:26" hidden="1" outlineLevel="2" x14ac:dyDescent="0.15">
      <c r="B1765" s="800" t="s">
        <v>1599</v>
      </c>
      <c r="C1765" s="812">
        <v>2.3199999999999998</v>
      </c>
      <c r="D1765" s="807">
        <v>0.5</v>
      </c>
      <c r="E1765" s="981">
        <f t="shared" ref="E1765:E1798" si="31">E1764</f>
        <v>0</v>
      </c>
      <c r="F1765" s="1513">
        <v>33</v>
      </c>
      <c r="G1765" s="883">
        <v>0</v>
      </c>
      <c r="H1765" s="979">
        <v>0</v>
      </c>
      <c r="I1765" s="812">
        <v>0</v>
      </c>
      <c r="J1765" s="807">
        <f>$J$2309</f>
        <v>0.5</v>
      </c>
      <c r="K1765" s="13"/>
      <c r="L1765" s="13"/>
      <c r="M1765" s="13"/>
      <c r="N1765" s="13"/>
      <c r="W1765" s="4"/>
      <c r="X1765" s="4"/>
      <c r="Y1765" s="4"/>
      <c r="Z1765" s="4"/>
    </row>
    <row r="1766" spans="2:26" hidden="1" outlineLevel="2" x14ac:dyDescent="0.15">
      <c r="B1766" s="1658" t="s">
        <v>3200</v>
      </c>
      <c r="C1766" s="1659">
        <f>0.00246155698448952*1000</f>
        <v>2.46155698448952</v>
      </c>
      <c r="D1766" s="807"/>
      <c r="E1766" s="981"/>
      <c r="F1766" s="980"/>
      <c r="G1766" s="815"/>
      <c r="H1766" s="812"/>
      <c r="I1766" s="812"/>
      <c r="J1766" s="807"/>
      <c r="K1766" s="13"/>
      <c r="L1766" s="13"/>
      <c r="M1766" s="13"/>
      <c r="N1766" s="13"/>
      <c r="W1766" s="4"/>
      <c r="X1766" s="4"/>
      <c r="Y1766" s="4"/>
      <c r="Z1766" s="4"/>
    </row>
    <row r="1767" spans="2:26" hidden="1" outlineLevel="2" x14ac:dyDescent="0.15">
      <c r="B1767" s="1658" t="s">
        <v>3201</v>
      </c>
      <c r="C1767" s="1659">
        <f>0.00341429777030183*1000</f>
        <v>3.4142977703018298</v>
      </c>
      <c r="D1767" s="807"/>
      <c r="E1767" s="981"/>
      <c r="F1767" s="980"/>
      <c r="G1767" s="815"/>
      <c r="H1767" s="812"/>
      <c r="I1767" s="812"/>
      <c r="J1767" s="807"/>
      <c r="K1767" s="13"/>
      <c r="L1767" s="13"/>
      <c r="M1767" s="13"/>
      <c r="N1767" s="13"/>
      <c r="W1767" s="4"/>
      <c r="X1767" s="4"/>
      <c r="Y1767" s="4"/>
      <c r="Z1767" s="4"/>
    </row>
    <row r="1768" spans="2:26" hidden="1" outlineLevel="2" x14ac:dyDescent="0.15">
      <c r="B1768" s="1658" t="s">
        <v>3202</v>
      </c>
      <c r="C1768" s="1659">
        <f>0.00706713745204524*1000</f>
        <v>7.0671374520452401</v>
      </c>
      <c r="D1768" s="807"/>
      <c r="E1768" s="981"/>
      <c r="F1768" s="980"/>
      <c r="G1768" s="815"/>
      <c r="H1768" s="812"/>
      <c r="I1768" s="812"/>
      <c r="J1768" s="807"/>
      <c r="K1768" s="13"/>
      <c r="L1768" s="13"/>
      <c r="M1768" s="13"/>
      <c r="N1768" s="13"/>
      <c r="W1768" s="4"/>
      <c r="X1768" s="4"/>
      <c r="Y1768" s="4"/>
      <c r="Z1768" s="4"/>
    </row>
    <row r="1769" spans="2:26" hidden="1" outlineLevel="2" x14ac:dyDescent="0.15">
      <c r="B1769" s="1658" t="s">
        <v>3203</v>
      </c>
      <c r="C1769" s="1659">
        <f>0.0268985450482186*1000</f>
        <v>26.898545048218597</v>
      </c>
      <c r="D1769" s="807"/>
      <c r="E1769" s="981"/>
      <c r="F1769" s="980"/>
      <c r="G1769" s="815"/>
      <c r="H1769" s="812"/>
      <c r="I1769" s="812"/>
      <c r="J1769" s="807"/>
      <c r="K1769" s="13"/>
      <c r="L1769" s="13"/>
      <c r="M1769" s="13"/>
      <c r="N1769" s="13"/>
      <c r="W1769" s="4"/>
      <c r="X1769" s="4"/>
      <c r="Y1769" s="4"/>
      <c r="Z1769" s="4"/>
    </row>
    <row r="1770" spans="2:26" hidden="1" outlineLevel="2" x14ac:dyDescent="0.15">
      <c r="B1770" s="1658" t="s">
        <v>3204</v>
      </c>
      <c r="C1770" s="1659">
        <f>0.00672769502804609*1000</f>
        <v>6.7276950280460905</v>
      </c>
      <c r="D1770" s="807"/>
      <c r="E1770" s="981"/>
      <c r="F1770" s="980"/>
      <c r="G1770" s="815"/>
      <c r="H1770" s="812"/>
      <c r="I1770" s="812"/>
      <c r="J1770" s="807"/>
      <c r="K1770" s="13"/>
      <c r="L1770" s="13"/>
      <c r="M1770" s="13"/>
      <c r="N1770" s="13"/>
      <c r="W1770" s="4"/>
      <c r="X1770" s="4"/>
      <c r="Y1770" s="4"/>
      <c r="Z1770" s="4"/>
    </row>
    <row r="1771" spans="2:26" hidden="1" outlineLevel="2" x14ac:dyDescent="0.15">
      <c r="B1771" s="1658" t="s">
        <v>3205</v>
      </c>
      <c r="C1771" s="1659">
        <f>0.0251791429936021*1000</f>
        <v>25.179142993602103</v>
      </c>
      <c r="D1771" s="807"/>
      <c r="E1771" s="981"/>
      <c r="F1771" s="980"/>
      <c r="G1771" s="815"/>
      <c r="H1771" s="812"/>
      <c r="I1771" s="812"/>
      <c r="J1771" s="807"/>
      <c r="K1771" s="13"/>
      <c r="L1771" s="13"/>
      <c r="M1771" s="13"/>
      <c r="N1771" s="13"/>
      <c r="W1771" s="4"/>
      <c r="X1771" s="4"/>
      <c r="Y1771" s="4"/>
      <c r="Z1771" s="4"/>
    </row>
    <row r="1772" spans="2:26" hidden="1" outlineLevel="2" x14ac:dyDescent="0.15">
      <c r="B1772" s="1658" t="s">
        <v>3206</v>
      </c>
      <c r="C1772" s="1659">
        <f>0.260643442966942*1000</f>
        <v>260.64344296694196</v>
      </c>
      <c r="D1772" s="807"/>
      <c r="E1772" s="981"/>
      <c r="F1772" s="980"/>
      <c r="G1772" s="815"/>
      <c r="H1772" s="812"/>
      <c r="I1772" s="812"/>
      <c r="J1772" s="807"/>
      <c r="K1772" s="13"/>
      <c r="L1772" s="13"/>
      <c r="M1772" s="13"/>
      <c r="N1772" s="13"/>
      <c r="W1772" s="4"/>
      <c r="X1772" s="4"/>
      <c r="Y1772" s="4"/>
      <c r="Z1772" s="4"/>
    </row>
    <row r="1773" spans="2:26" hidden="1" outlineLevel="2" x14ac:dyDescent="0.15">
      <c r="B1773" s="1684" t="s">
        <v>3212</v>
      </c>
      <c r="C1773" s="1685">
        <f>0.0026518953149*1000</f>
        <v>2.6518953149000004</v>
      </c>
      <c r="D1773" s="807"/>
      <c r="E1773" s="981"/>
      <c r="F1773" s="980"/>
      <c r="G1773" s="815"/>
      <c r="H1773" s="812"/>
      <c r="I1773" s="812"/>
      <c r="J1773" s="807"/>
      <c r="K1773" s="13"/>
      <c r="L1773" s="13"/>
      <c r="M1773" s="13"/>
      <c r="N1773" s="13"/>
      <c r="W1773" s="4"/>
      <c r="X1773" s="4"/>
      <c r="Y1773" s="4"/>
      <c r="Z1773" s="4"/>
    </row>
    <row r="1774" spans="2:26" hidden="1" outlineLevel="2" x14ac:dyDescent="0.15">
      <c r="B1774" s="1684" t="s">
        <v>3213</v>
      </c>
      <c r="C1774" s="1685">
        <f>0.039969915*1000</f>
        <v>39.969915</v>
      </c>
      <c r="D1774" s="807"/>
      <c r="E1774" s="981"/>
      <c r="F1774" s="980"/>
      <c r="G1774" s="815"/>
      <c r="H1774" s="812"/>
      <c r="I1774" s="812"/>
      <c r="J1774" s="807"/>
      <c r="K1774" s="13"/>
      <c r="L1774" s="13"/>
      <c r="M1774" s="13"/>
      <c r="N1774" s="13"/>
      <c r="W1774" s="4"/>
      <c r="X1774" s="4"/>
      <c r="Y1774" s="4"/>
      <c r="Z1774" s="4"/>
    </row>
    <row r="1775" spans="2:26" hidden="1" outlineLevel="2" x14ac:dyDescent="0.15">
      <c r="B1775" s="1684" t="s">
        <v>3214</v>
      </c>
      <c r="C1775" s="1685">
        <f>1.459*1000</f>
        <v>1459</v>
      </c>
      <c r="D1775" s="807"/>
      <c r="E1775" s="981"/>
      <c r="F1775" s="980"/>
      <c r="G1775" s="815"/>
      <c r="H1775" s="812"/>
      <c r="I1775" s="812"/>
      <c r="J1775" s="807"/>
      <c r="K1775" s="13"/>
      <c r="L1775" s="13"/>
      <c r="M1775" s="13"/>
      <c r="N1775" s="13"/>
      <c r="W1775" s="4"/>
      <c r="X1775" s="4"/>
      <c r="Y1775" s="4"/>
      <c r="Z1775" s="4"/>
    </row>
    <row r="1776" spans="2:26" hidden="1" outlineLevel="2" x14ac:dyDescent="0.15">
      <c r="B1776" s="1684" t="s">
        <v>3215</v>
      </c>
      <c r="C1776" s="1685">
        <f>0.352*1000</f>
        <v>352</v>
      </c>
      <c r="D1776" s="807"/>
      <c r="E1776" s="981"/>
      <c r="F1776" s="980"/>
      <c r="G1776" s="815"/>
      <c r="H1776" s="812"/>
      <c r="I1776" s="812"/>
      <c r="J1776" s="807"/>
      <c r="K1776" s="13"/>
      <c r="L1776" s="13"/>
      <c r="M1776" s="13"/>
      <c r="N1776" s="13"/>
      <c r="W1776" s="4"/>
      <c r="X1776" s="4"/>
      <c r="Y1776" s="4"/>
      <c r="Z1776" s="4"/>
    </row>
    <row r="1777" spans="2:26" hidden="1" outlineLevel="2" x14ac:dyDescent="0.15">
      <c r="B1777" s="1684" t="s">
        <v>3216</v>
      </c>
      <c r="C1777" s="1685">
        <f>0.2328*1000</f>
        <v>232.8</v>
      </c>
      <c r="D1777" s="807"/>
      <c r="E1777" s="981"/>
      <c r="F1777" s="980"/>
      <c r="G1777" s="815"/>
      <c r="H1777" s="812"/>
      <c r="I1777" s="812"/>
      <c r="J1777" s="807"/>
      <c r="K1777" s="13"/>
      <c r="L1777" s="13"/>
      <c r="M1777" s="13"/>
      <c r="N1777" s="13"/>
      <c r="W1777" s="4"/>
      <c r="X1777" s="4"/>
      <c r="Y1777" s="4"/>
      <c r="Z1777" s="4"/>
    </row>
    <row r="1778" spans="2:26" hidden="1" outlineLevel="2" x14ac:dyDescent="0.15">
      <c r="B1778" s="1684" t="s">
        <v>3217</v>
      </c>
      <c r="C1778" s="1685">
        <f>0.3473*1000</f>
        <v>347.3</v>
      </c>
      <c r="D1778" s="807"/>
      <c r="E1778" s="981"/>
      <c r="F1778" s="980"/>
      <c r="G1778" s="815"/>
      <c r="H1778" s="812"/>
      <c r="I1778" s="812"/>
      <c r="J1778" s="807"/>
      <c r="K1778" s="13"/>
      <c r="L1778" s="13"/>
      <c r="M1778" s="13"/>
      <c r="N1778" s="13"/>
      <c r="W1778" s="4"/>
      <c r="X1778" s="4"/>
      <c r="Y1778" s="4"/>
      <c r="Z1778" s="4"/>
    </row>
    <row r="1779" spans="2:26" hidden="1" outlineLevel="2" x14ac:dyDescent="0.15">
      <c r="B1779" s="1684" t="s">
        <v>3218</v>
      </c>
      <c r="C1779" s="1685">
        <f>0.3286*1000</f>
        <v>328.6</v>
      </c>
      <c r="D1779" s="807"/>
      <c r="E1779" s="981"/>
      <c r="F1779" s="980"/>
      <c r="G1779" s="815"/>
      <c r="H1779" s="812"/>
      <c r="I1779" s="812"/>
      <c r="J1779" s="807"/>
      <c r="K1779" s="13"/>
      <c r="L1779" s="13"/>
      <c r="M1779" s="13"/>
      <c r="N1779" s="13"/>
      <c r="W1779" s="4"/>
      <c r="X1779" s="4"/>
      <c r="Y1779" s="4"/>
      <c r="Z1779" s="4"/>
    </row>
    <row r="1780" spans="2:26" hidden="1" outlineLevel="2" x14ac:dyDescent="0.15">
      <c r="B1780" s="1684" t="s">
        <v>3219</v>
      </c>
      <c r="C1780" s="1685">
        <f>0.3597*1000</f>
        <v>359.70000000000005</v>
      </c>
      <c r="D1780" s="807"/>
      <c r="E1780" s="981"/>
      <c r="F1780" s="980"/>
      <c r="G1780" s="815"/>
      <c r="H1780" s="812"/>
      <c r="I1780" s="812"/>
      <c r="J1780" s="807"/>
      <c r="K1780" s="13"/>
      <c r="L1780" s="13"/>
      <c r="M1780" s="13"/>
      <c r="N1780" s="13"/>
      <c r="W1780" s="4"/>
      <c r="X1780" s="4"/>
      <c r="Y1780" s="4"/>
      <c r="Z1780" s="4"/>
    </row>
    <row r="1781" spans="2:26" hidden="1" outlineLevel="2" x14ac:dyDescent="0.15">
      <c r="B1781" s="1684" t="s">
        <v>3220</v>
      </c>
      <c r="C1781" s="1685">
        <f>0.108685156298*1000</f>
        <v>108.68515629800001</v>
      </c>
      <c r="D1781" s="807"/>
      <c r="E1781" s="981"/>
      <c r="F1781" s="980"/>
      <c r="G1781" s="815"/>
      <c r="H1781" s="812"/>
      <c r="I1781" s="812"/>
      <c r="J1781" s="807"/>
      <c r="K1781" s="13"/>
      <c r="L1781" s="13"/>
      <c r="M1781" s="13"/>
      <c r="N1781" s="13"/>
      <c r="W1781" s="4"/>
      <c r="X1781" s="4"/>
      <c r="Y1781" s="4"/>
      <c r="Z1781" s="4"/>
    </row>
    <row r="1782" spans="2:26" hidden="1" outlineLevel="2" x14ac:dyDescent="0.15">
      <c r="B1782" s="1684" t="s">
        <v>3221</v>
      </c>
      <c r="C1782" s="1685">
        <v>0</v>
      </c>
      <c r="D1782" s="807"/>
      <c r="E1782" s="981"/>
      <c r="F1782" s="980"/>
      <c r="G1782" s="815"/>
      <c r="H1782" s="812"/>
      <c r="I1782" s="812"/>
      <c r="J1782" s="807"/>
      <c r="K1782" s="13"/>
      <c r="L1782" s="13"/>
      <c r="M1782" s="13"/>
      <c r="N1782" s="13"/>
      <c r="W1782" s="4"/>
      <c r="X1782" s="4"/>
      <c r="Y1782" s="4"/>
      <c r="Z1782" s="4"/>
    </row>
    <row r="1783" spans="2:26" hidden="1" outlineLevel="2" x14ac:dyDescent="0.15">
      <c r="B1783" s="1684" t="s">
        <v>3222</v>
      </c>
      <c r="C1783" s="1685">
        <v>0</v>
      </c>
      <c r="D1783" s="807"/>
      <c r="E1783" s="981"/>
      <c r="F1783" s="980"/>
      <c r="G1783" s="815"/>
      <c r="H1783" s="812"/>
      <c r="I1783" s="812"/>
      <c r="J1783" s="807"/>
      <c r="K1783" s="13"/>
      <c r="L1783" s="13"/>
      <c r="M1783" s="13"/>
      <c r="N1783" s="13"/>
      <c r="W1783" s="4"/>
      <c r="X1783" s="4"/>
      <c r="Y1783" s="4"/>
      <c r="Z1783" s="4"/>
    </row>
    <row r="1784" spans="2:26" hidden="1" outlineLevel="2" x14ac:dyDescent="0.15">
      <c r="B1784" s="1684" t="s">
        <v>3223</v>
      </c>
      <c r="C1784" s="1685">
        <f>0.51685460029*1000</f>
        <v>516.85460029000001</v>
      </c>
      <c r="D1784" s="807"/>
      <c r="E1784" s="981"/>
      <c r="F1784" s="980"/>
      <c r="G1784" s="815"/>
      <c r="H1784" s="812"/>
      <c r="I1784" s="812"/>
      <c r="J1784" s="807"/>
      <c r="K1784" s="13"/>
      <c r="L1784" s="13"/>
      <c r="M1784" s="13"/>
      <c r="N1784" s="13"/>
      <c r="W1784" s="4"/>
      <c r="X1784" s="4"/>
      <c r="Y1784" s="4"/>
      <c r="Z1784" s="4"/>
    </row>
    <row r="1785" spans="2:26" hidden="1" outlineLevel="2" x14ac:dyDescent="0.15">
      <c r="B1785" s="1684" t="s">
        <v>3224</v>
      </c>
      <c r="C1785" s="1685">
        <f>0.464499571103*1000</f>
        <v>464.49957110299999</v>
      </c>
      <c r="D1785" s="807"/>
      <c r="E1785" s="981"/>
      <c r="F1785" s="980"/>
      <c r="G1785" s="815"/>
      <c r="H1785" s="812"/>
      <c r="I1785" s="812"/>
      <c r="J1785" s="807"/>
      <c r="K1785" s="13"/>
      <c r="L1785" s="13"/>
      <c r="M1785" s="13"/>
      <c r="N1785" s="13"/>
      <c r="W1785" s="4"/>
      <c r="X1785" s="4"/>
      <c r="Y1785" s="4"/>
      <c r="Z1785" s="4"/>
    </row>
    <row r="1786" spans="2:26" hidden="1" outlineLevel="2" x14ac:dyDescent="0.15">
      <c r="B1786" s="1684" t="s">
        <v>3225</v>
      </c>
      <c r="C1786" s="1685">
        <v>0</v>
      </c>
      <c r="D1786" s="807"/>
      <c r="E1786" s="981"/>
      <c r="F1786" s="980"/>
      <c r="G1786" s="815"/>
      <c r="H1786" s="812"/>
      <c r="I1786" s="812"/>
      <c r="J1786" s="807"/>
      <c r="K1786" s="13"/>
      <c r="L1786" s="13"/>
      <c r="M1786" s="13"/>
      <c r="N1786" s="13"/>
      <c r="W1786" s="4"/>
      <c r="X1786" s="4"/>
      <c r="Y1786" s="4"/>
      <c r="Z1786" s="4"/>
    </row>
    <row r="1787" spans="2:26" hidden="1" outlineLevel="2" x14ac:dyDescent="0.15">
      <c r="B1787" s="1684" t="s">
        <v>3226</v>
      </c>
      <c r="C1787" s="1685">
        <f>0.19185*1000</f>
        <v>191.85</v>
      </c>
      <c r="D1787" s="807"/>
      <c r="E1787" s="981"/>
      <c r="F1787" s="980"/>
      <c r="G1787" s="815"/>
      <c r="H1787" s="812"/>
      <c r="I1787" s="812"/>
      <c r="J1787" s="807"/>
      <c r="K1787" s="13"/>
      <c r="L1787" s="13"/>
      <c r="M1787" s="13"/>
      <c r="N1787" s="13"/>
      <c r="W1787" s="4"/>
      <c r="X1787" s="4"/>
      <c r="Y1787" s="4"/>
      <c r="Z1787" s="4"/>
    </row>
    <row r="1788" spans="2:26" hidden="1" outlineLevel="2" x14ac:dyDescent="0.15">
      <c r="B1788" s="800" t="s">
        <v>1598</v>
      </c>
      <c r="C1788" s="812">
        <v>2.56</v>
      </c>
      <c r="D1788" s="807">
        <v>0.5</v>
      </c>
      <c r="E1788" s="981">
        <f>E1765</f>
        <v>0</v>
      </c>
      <c r="F1788" s="980">
        <f>F1765</f>
        <v>33</v>
      </c>
      <c r="G1788" s="815">
        <f>G1765</f>
        <v>0</v>
      </c>
      <c r="H1788" s="812">
        <f>H1765</f>
        <v>0</v>
      </c>
      <c r="I1788" s="812">
        <f>I1765</f>
        <v>0</v>
      </c>
      <c r="J1788" s="807">
        <f t="shared" ref="J1788:J1816" si="32">$J$2309</f>
        <v>0.5</v>
      </c>
      <c r="K1788" s="13"/>
      <c r="L1788" s="13"/>
      <c r="M1788" s="13"/>
      <c r="N1788" s="13"/>
      <c r="W1788" s="4"/>
      <c r="X1788" s="4"/>
      <c r="Y1788" s="4"/>
      <c r="Z1788" s="4"/>
    </row>
    <row r="1789" spans="2:26" hidden="1" outlineLevel="2" x14ac:dyDescent="0.15">
      <c r="B1789" s="800" t="s">
        <v>1605</v>
      </c>
      <c r="C1789" s="812">
        <v>22</v>
      </c>
      <c r="D1789" s="807">
        <v>0.2</v>
      </c>
      <c r="E1789" s="981">
        <f t="shared" si="31"/>
        <v>0</v>
      </c>
      <c r="F1789" s="980">
        <f t="shared" ref="F1789:F1816" si="33">F1788</f>
        <v>33</v>
      </c>
      <c r="G1789" s="815">
        <f t="shared" ref="G1789:G1816" si="34">G1788</f>
        <v>0</v>
      </c>
      <c r="H1789" s="812">
        <f t="shared" ref="H1789:H1816" si="35">H1788</f>
        <v>0</v>
      </c>
      <c r="I1789" s="812">
        <f t="shared" ref="I1789:I1816" si="36">I1788</f>
        <v>0</v>
      </c>
      <c r="J1789" s="807">
        <f t="shared" si="32"/>
        <v>0.5</v>
      </c>
      <c r="K1789" s="13"/>
      <c r="L1789" s="13"/>
      <c r="M1789" s="13"/>
      <c r="N1789" s="13"/>
      <c r="W1789" s="4"/>
      <c r="X1789" s="4"/>
      <c r="Y1789" s="4"/>
      <c r="Z1789" s="4"/>
    </row>
    <row r="1790" spans="2:26" hidden="1" outlineLevel="2" x14ac:dyDescent="0.15">
      <c r="B1790" s="800" t="s">
        <v>1581</v>
      </c>
      <c r="C1790" s="812">
        <v>53</v>
      </c>
      <c r="D1790" s="807">
        <v>0.2</v>
      </c>
      <c r="E1790" s="981">
        <f t="shared" si="31"/>
        <v>0</v>
      </c>
      <c r="F1790" s="980">
        <f t="shared" si="33"/>
        <v>33</v>
      </c>
      <c r="G1790" s="815">
        <f t="shared" si="34"/>
        <v>0</v>
      </c>
      <c r="H1790" s="812">
        <f t="shared" si="35"/>
        <v>0</v>
      </c>
      <c r="I1790" s="812">
        <f t="shared" si="36"/>
        <v>0</v>
      </c>
      <c r="J1790" s="807">
        <f t="shared" si="32"/>
        <v>0.5</v>
      </c>
      <c r="K1790" s="13"/>
      <c r="L1790" s="13"/>
      <c r="M1790" s="13"/>
      <c r="N1790" s="13"/>
      <c r="W1790" s="4"/>
      <c r="X1790" s="4"/>
      <c r="Y1790" s="4"/>
      <c r="Z1790" s="4"/>
    </row>
    <row r="1791" spans="2:26" hidden="1" outlineLevel="2" x14ac:dyDescent="0.15">
      <c r="B1791" s="800" t="s">
        <v>1583</v>
      </c>
      <c r="C1791" s="812">
        <v>51</v>
      </c>
      <c r="D1791" s="807">
        <v>0.2</v>
      </c>
      <c r="E1791" s="981">
        <f t="shared" si="31"/>
        <v>0</v>
      </c>
      <c r="F1791" s="980">
        <f t="shared" si="33"/>
        <v>33</v>
      </c>
      <c r="G1791" s="815">
        <f t="shared" si="34"/>
        <v>0</v>
      </c>
      <c r="H1791" s="812">
        <f t="shared" si="35"/>
        <v>0</v>
      </c>
      <c r="I1791" s="812">
        <f t="shared" si="36"/>
        <v>0</v>
      </c>
      <c r="J1791" s="807">
        <f t="shared" si="32"/>
        <v>0.5</v>
      </c>
      <c r="K1791" s="13"/>
      <c r="L1791" s="13"/>
      <c r="M1791" s="13"/>
      <c r="N1791" s="13"/>
      <c r="W1791" s="4"/>
      <c r="X1791" s="4"/>
      <c r="Y1791" s="4"/>
      <c r="Z1791" s="4"/>
    </row>
    <row r="1792" spans="2:26" hidden="1" outlineLevel="2" x14ac:dyDescent="0.15">
      <c r="B1792" s="800" t="s">
        <v>1584</v>
      </c>
      <c r="C1792" s="812">
        <v>44</v>
      </c>
      <c r="D1792" s="807">
        <v>0.2</v>
      </c>
      <c r="E1792" s="981">
        <f t="shared" si="31"/>
        <v>0</v>
      </c>
      <c r="F1792" s="980">
        <f t="shared" si="33"/>
        <v>33</v>
      </c>
      <c r="G1792" s="815">
        <f t="shared" si="34"/>
        <v>0</v>
      </c>
      <c r="H1792" s="812">
        <f t="shared" si="35"/>
        <v>0</v>
      </c>
      <c r="I1792" s="812">
        <f t="shared" si="36"/>
        <v>0</v>
      </c>
      <c r="J1792" s="807">
        <f t="shared" si="32"/>
        <v>0.5</v>
      </c>
      <c r="K1792" s="13"/>
      <c r="L1792" s="13"/>
      <c r="M1792" s="13"/>
      <c r="N1792" s="13"/>
      <c r="W1792" s="4"/>
      <c r="X1792" s="4"/>
      <c r="Y1792" s="4"/>
      <c r="Z1792" s="4"/>
    </row>
    <row r="1793" spans="2:26" hidden="1" outlineLevel="2" x14ac:dyDescent="0.15">
      <c r="B1793" s="800" t="s">
        <v>1585</v>
      </c>
      <c r="C1793" s="812">
        <v>42</v>
      </c>
      <c r="D1793" s="807">
        <v>0.2</v>
      </c>
      <c r="E1793" s="981">
        <f t="shared" si="31"/>
        <v>0</v>
      </c>
      <c r="F1793" s="980">
        <f t="shared" si="33"/>
        <v>33</v>
      </c>
      <c r="G1793" s="815">
        <f t="shared" si="34"/>
        <v>0</v>
      </c>
      <c r="H1793" s="812">
        <f t="shared" si="35"/>
        <v>0</v>
      </c>
      <c r="I1793" s="812">
        <f t="shared" si="36"/>
        <v>0</v>
      </c>
      <c r="J1793" s="807">
        <f t="shared" si="32"/>
        <v>0.5</v>
      </c>
      <c r="K1793" s="13"/>
      <c r="L1793" s="13"/>
      <c r="M1793" s="13"/>
      <c r="N1793" s="13"/>
      <c r="W1793" s="4"/>
      <c r="X1793" s="4"/>
      <c r="Y1793" s="4"/>
      <c r="Z1793" s="4"/>
    </row>
    <row r="1794" spans="2:26" hidden="1" outlineLevel="2" x14ac:dyDescent="0.15">
      <c r="B1794" s="800" t="s">
        <v>1586</v>
      </c>
      <c r="C1794" s="812">
        <v>37</v>
      </c>
      <c r="D1794" s="807">
        <v>0.2</v>
      </c>
      <c r="E1794" s="981">
        <f t="shared" si="31"/>
        <v>0</v>
      </c>
      <c r="F1794" s="980">
        <f t="shared" si="33"/>
        <v>33</v>
      </c>
      <c r="G1794" s="815">
        <f t="shared" si="34"/>
        <v>0</v>
      </c>
      <c r="H1794" s="812">
        <f t="shared" si="35"/>
        <v>0</v>
      </c>
      <c r="I1794" s="812">
        <f t="shared" si="36"/>
        <v>0</v>
      </c>
      <c r="J1794" s="807">
        <f t="shared" si="32"/>
        <v>0.5</v>
      </c>
      <c r="K1794" s="13"/>
      <c r="L1794" s="13"/>
      <c r="M1794" s="13"/>
      <c r="N1794" s="13"/>
      <c r="W1794" s="4"/>
      <c r="X1794" s="4"/>
      <c r="Y1794" s="4"/>
      <c r="Z1794" s="4"/>
    </row>
    <row r="1795" spans="2:26" hidden="1" outlineLevel="2" x14ac:dyDescent="0.15">
      <c r="B1795" s="800" t="s">
        <v>1587</v>
      </c>
      <c r="C1795" s="812">
        <v>134</v>
      </c>
      <c r="D1795" s="807">
        <v>0.2</v>
      </c>
      <c r="E1795" s="981">
        <f t="shared" si="31"/>
        <v>0</v>
      </c>
      <c r="F1795" s="980">
        <f t="shared" si="33"/>
        <v>33</v>
      </c>
      <c r="G1795" s="815">
        <f t="shared" si="34"/>
        <v>0</v>
      </c>
      <c r="H1795" s="812">
        <f t="shared" si="35"/>
        <v>0</v>
      </c>
      <c r="I1795" s="812">
        <f t="shared" si="36"/>
        <v>0</v>
      </c>
      <c r="J1795" s="807">
        <f t="shared" si="32"/>
        <v>0.5</v>
      </c>
      <c r="K1795" s="13"/>
      <c r="L1795" s="13"/>
      <c r="M1795" s="13"/>
      <c r="N1795" s="13"/>
      <c r="W1795" s="4"/>
      <c r="X1795" s="4"/>
      <c r="Y1795" s="4"/>
      <c r="Z1795" s="4"/>
    </row>
    <row r="1796" spans="2:26" hidden="1" outlineLevel="2" x14ac:dyDescent="0.15">
      <c r="B1796" s="800" t="s">
        <v>1601</v>
      </c>
      <c r="C1796" s="812">
        <v>51</v>
      </c>
      <c r="D1796" s="807">
        <v>0.2</v>
      </c>
      <c r="E1796" s="981">
        <f t="shared" si="31"/>
        <v>0</v>
      </c>
      <c r="F1796" s="980">
        <f t="shared" si="33"/>
        <v>33</v>
      </c>
      <c r="G1796" s="815">
        <f t="shared" si="34"/>
        <v>0</v>
      </c>
      <c r="H1796" s="812">
        <f t="shared" si="35"/>
        <v>0</v>
      </c>
      <c r="I1796" s="812">
        <f t="shared" si="36"/>
        <v>0</v>
      </c>
      <c r="J1796" s="807">
        <f t="shared" si="32"/>
        <v>0.5</v>
      </c>
      <c r="K1796" s="13"/>
      <c r="L1796" s="13"/>
      <c r="M1796" s="13"/>
      <c r="N1796" s="13"/>
      <c r="W1796" s="4"/>
      <c r="X1796" s="4"/>
      <c r="Y1796" s="4"/>
      <c r="Z1796" s="4"/>
    </row>
    <row r="1797" spans="2:26" hidden="1" outlineLevel="2" x14ac:dyDescent="0.15">
      <c r="B1797" s="800" t="s">
        <v>1604</v>
      </c>
      <c r="C1797" s="812">
        <v>52</v>
      </c>
      <c r="D1797" s="807">
        <v>0.2</v>
      </c>
      <c r="E1797" s="981">
        <f t="shared" si="31"/>
        <v>0</v>
      </c>
      <c r="F1797" s="980">
        <f t="shared" si="33"/>
        <v>33</v>
      </c>
      <c r="G1797" s="815">
        <f t="shared" si="34"/>
        <v>0</v>
      </c>
      <c r="H1797" s="812">
        <f t="shared" si="35"/>
        <v>0</v>
      </c>
      <c r="I1797" s="812">
        <f t="shared" si="36"/>
        <v>0</v>
      </c>
      <c r="J1797" s="807">
        <f t="shared" si="32"/>
        <v>0.5</v>
      </c>
      <c r="K1797" s="13"/>
      <c r="L1797" s="13"/>
      <c r="M1797" s="13"/>
      <c r="N1797" s="13"/>
      <c r="W1797" s="4"/>
      <c r="X1797" s="4"/>
      <c r="Y1797" s="4"/>
      <c r="Z1797" s="4"/>
    </row>
    <row r="1798" spans="2:26" hidden="1" outlineLevel="2" x14ac:dyDescent="0.15">
      <c r="B1798" s="800" t="s">
        <v>1582</v>
      </c>
      <c r="C1798" s="812">
        <v>36</v>
      </c>
      <c r="D1798" s="807">
        <v>0.2</v>
      </c>
      <c r="E1798" s="981">
        <f t="shared" si="31"/>
        <v>0</v>
      </c>
      <c r="F1798" s="980">
        <f t="shared" si="33"/>
        <v>33</v>
      </c>
      <c r="G1798" s="815">
        <f t="shared" si="34"/>
        <v>0</v>
      </c>
      <c r="H1798" s="812">
        <f t="shared" si="35"/>
        <v>0</v>
      </c>
      <c r="I1798" s="812">
        <f t="shared" si="36"/>
        <v>0</v>
      </c>
      <c r="J1798" s="807">
        <f t="shared" si="32"/>
        <v>0.5</v>
      </c>
      <c r="K1798" s="13"/>
      <c r="L1798" s="13"/>
      <c r="M1798" s="13"/>
      <c r="N1798" s="13"/>
      <c r="W1798" s="4"/>
      <c r="X1798" s="4"/>
      <c r="Y1798" s="4"/>
      <c r="Z1798" s="4"/>
    </row>
    <row r="1799" spans="2:26" hidden="1" outlineLevel="2" x14ac:dyDescent="0.15">
      <c r="B1799" s="800" t="s">
        <v>1578</v>
      </c>
      <c r="C1799" s="812">
        <v>88</v>
      </c>
      <c r="D1799" s="807">
        <v>0.2</v>
      </c>
      <c r="E1799" s="981">
        <f>C2323</f>
        <v>0</v>
      </c>
      <c r="F1799" s="980">
        <f t="shared" si="33"/>
        <v>33</v>
      </c>
      <c r="G1799" s="815">
        <f t="shared" si="34"/>
        <v>0</v>
      </c>
      <c r="H1799" s="812">
        <f t="shared" si="35"/>
        <v>0</v>
      </c>
      <c r="I1799" s="812">
        <f t="shared" si="36"/>
        <v>0</v>
      </c>
      <c r="J1799" s="807">
        <f t="shared" si="32"/>
        <v>0.5</v>
      </c>
      <c r="K1799" s="13"/>
      <c r="L1799" s="13"/>
      <c r="M1799" s="13"/>
      <c r="N1799" s="13"/>
      <c r="W1799" s="4"/>
      <c r="X1799" s="4"/>
      <c r="Y1799" s="4"/>
      <c r="Z1799" s="4"/>
    </row>
    <row r="1800" spans="2:26" hidden="1" outlineLevel="2" x14ac:dyDescent="0.15">
      <c r="B1800" s="800" t="s">
        <v>1580</v>
      </c>
      <c r="C1800" s="812">
        <v>200</v>
      </c>
      <c r="D1800" s="807">
        <v>0.2</v>
      </c>
      <c r="E1800" s="981">
        <f t="shared" ref="E1800:E1816" si="37">E1799</f>
        <v>0</v>
      </c>
      <c r="F1800" s="980">
        <f t="shared" si="33"/>
        <v>33</v>
      </c>
      <c r="G1800" s="815">
        <f t="shared" si="34"/>
        <v>0</v>
      </c>
      <c r="H1800" s="812">
        <f t="shared" si="35"/>
        <v>0</v>
      </c>
      <c r="I1800" s="812">
        <f t="shared" si="36"/>
        <v>0</v>
      </c>
      <c r="J1800" s="807">
        <f t="shared" si="32"/>
        <v>0.5</v>
      </c>
      <c r="K1800" s="13"/>
      <c r="L1800" s="13"/>
      <c r="M1800" s="13"/>
      <c r="N1800" s="13"/>
      <c r="W1800" s="4"/>
      <c r="X1800" s="4"/>
      <c r="Y1800" s="4"/>
      <c r="Z1800" s="4"/>
    </row>
    <row r="1801" spans="2:26" hidden="1" outlineLevel="2" x14ac:dyDescent="0.15">
      <c r="B1801" s="800" t="s">
        <v>1600</v>
      </c>
      <c r="C1801" s="812">
        <v>47</v>
      </c>
      <c r="D1801" s="807">
        <v>0.2</v>
      </c>
      <c r="E1801" s="981">
        <f t="shared" si="37"/>
        <v>0</v>
      </c>
      <c r="F1801" s="980">
        <f t="shared" si="33"/>
        <v>33</v>
      </c>
      <c r="G1801" s="815">
        <f t="shared" si="34"/>
        <v>0</v>
      </c>
      <c r="H1801" s="812">
        <f t="shared" si="35"/>
        <v>0</v>
      </c>
      <c r="I1801" s="812">
        <f t="shared" si="36"/>
        <v>0</v>
      </c>
      <c r="J1801" s="807">
        <f t="shared" si="32"/>
        <v>0.5</v>
      </c>
      <c r="K1801" s="13"/>
      <c r="L1801" s="13"/>
      <c r="M1801" s="13"/>
      <c r="N1801" s="13"/>
      <c r="W1801" s="4"/>
      <c r="X1801" s="4"/>
      <c r="Y1801" s="4"/>
      <c r="Z1801" s="4"/>
    </row>
    <row r="1802" spans="2:26" hidden="1" outlineLevel="2" x14ac:dyDescent="0.15">
      <c r="B1802" s="800" t="s">
        <v>1602</v>
      </c>
      <c r="C1802" s="812">
        <v>30</v>
      </c>
      <c r="D1802" s="807">
        <v>0.2</v>
      </c>
      <c r="E1802" s="981">
        <f t="shared" si="37"/>
        <v>0</v>
      </c>
      <c r="F1802" s="980">
        <f t="shared" si="33"/>
        <v>33</v>
      </c>
      <c r="G1802" s="815">
        <f t="shared" si="34"/>
        <v>0</v>
      </c>
      <c r="H1802" s="812">
        <f t="shared" si="35"/>
        <v>0</v>
      </c>
      <c r="I1802" s="812">
        <f t="shared" si="36"/>
        <v>0</v>
      </c>
      <c r="J1802" s="807">
        <f t="shared" si="32"/>
        <v>0.5</v>
      </c>
      <c r="K1802" s="13"/>
      <c r="L1802" s="13"/>
      <c r="M1802" s="13"/>
      <c r="N1802" s="13"/>
      <c r="W1802" s="4"/>
      <c r="X1802" s="4"/>
      <c r="Y1802" s="4"/>
      <c r="Z1802" s="4"/>
    </row>
    <row r="1803" spans="2:26" hidden="1" outlineLevel="2" x14ac:dyDescent="0.15">
      <c r="B1803" s="800" t="s">
        <v>1603</v>
      </c>
      <c r="C1803" s="812">
        <v>21</v>
      </c>
      <c r="D1803" s="807">
        <v>0.2</v>
      </c>
      <c r="E1803" s="981">
        <f t="shared" si="37"/>
        <v>0</v>
      </c>
      <c r="F1803" s="980">
        <f t="shared" si="33"/>
        <v>33</v>
      </c>
      <c r="G1803" s="815">
        <f t="shared" si="34"/>
        <v>0</v>
      </c>
      <c r="H1803" s="812">
        <f t="shared" si="35"/>
        <v>0</v>
      </c>
      <c r="I1803" s="812">
        <f t="shared" si="36"/>
        <v>0</v>
      </c>
      <c r="J1803" s="807">
        <f t="shared" si="32"/>
        <v>0.5</v>
      </c>
      <c r="K1803" s="13"/>
      <c r="L1803" s="13"/>
      <c r="M1803" s="13"/>
      <c r="N1803" s="13"/>
      <c r="W1803" s="4"/>
      <c r="X1803" s="4"/>
      <c r="Y1803" s="4"/>
      <c r="Z1803" s="4"/>
    </row>
    <row r="1804" spans="2:26" hidden="1" outlineLevel="2" x14ac:dyDescent="0.15">
      <c r="B1804" s="800" t="s">
        <v>1591</v>
      </c>
      <c r="C1804" s="812">
        <v>55</v>
      </c>
      <c r="D1804" s="807">
        <v>0.2</v>
      </c>
      <c r="E1804" s="981">
        <f t="shared" si="37"/>
        <v>0</v>
      </c>
      <c r="F1804" s="980">
        <f t="shared" si="33"/>
        <v>33</v>
      </c>
      <c r="G1804" s="815">
        <f t="shared" si="34"/>
        <v>0</v>
      </c>
      <c r="H1804" s="812">
        <f t="shared" si="35"/>
        <v>0</v>
      </c>
      <c r="I1804" s="812">
        <f t="shared" si="36"/>
        <v>0</v>
      </c>
      <c r="J1804" s="807">
        <f t="shared" si="32"/>
        <v>0.5</v>
      </c>
      <c r="K1804" s="13"/>
      <c r="L1804" s="13"/>
      <c r="M1804" s="13"/>
      <c r="N1804" s="13"/>
      <c r="W1804" s="4"/>
      <c r="X1804" s="4"/>
      <c r="Y1804" s="4"/>
      <c r="Z1804" s="4"/>
    </row>
    <row r="1805" spans="2:26" hidden="1" outlineLevel="2" x14ac:dyDescent="0.15">
      <c r="B1805" s="800" t="s">
        <v>1595</v>
      </c>
      <c r="C1805" s="812">
        <v>42</v>
      </c>
      <c r="D1805" s="807">
        <v>0.2</v>
      </c>
      <c r="E1805" s="981">
        <f t="shared" si="37"/>
        <v>0</v>
      </c>
      <c r="F1805" s="980">
        <f t="shared" si="33"/>
        <v>33</v>
      </c>
      <c r="G1805" s="815">
        <f t="shared" si="34"/>
        <v>0</v>
      </c>
      <c r="H1805" s="812">
        <f t="shared" si="35"/>
        <v>0</v>
      </c>
      <c r="I1805" s="812">
        <f t="shared" si="36"/>
        <v>0</v>
      </c>
      <c r="J1805" s="807">
        <f t="shared" si="32"/>
        <v>0.5</v>
      </c>
      <c r="K1805" s="13"/>
      <c r="L1805" s="13"/>
      <c r="M1805" s="13"/>
      <c r="N1805" s="13"/>
      <c r="W1805" s="4"/>
      <c r="X1805" s="4"/>
      <c r="Y1805" s="4"/>
      <c r="Z1805" s="4"/>
    </row>
    <row r="1806" spans="2:26" hidden="1" outlineLevel="2" x14ac:dyDescent="0.15">
      <c r="B1806" s="800" t="s">
        <v>1594</v>
      </c>
      <c r="C1806" s="812">
        <v>11</v>
      </c>
      <c r="D1806" s="807">
        <v>0.2</v>
      </c>
      <c r="E1806" s="981">
        <f t="shared" si="37"/>
        <v>0</v>
      </c>
      <c r="F1806" s="980">
        <f t="shared" si="33"/>
        <v>33</v>
      </c>
      <c r="G1806" s="815">
        <f t="shared" si="34"/>
        <v>0</v>
      </c>
      <c r="H1806" s="812">
        <f t="shared" si="35"/>
        <v>0</v>
      </c>
      <c r="I1806" s="812">
        <f t="shared" si="36"/>
        <v>0</v>
      </c>
      <c r="J1806" s="807">
        <f t="shared" si="32"/>
        <v>0.5</v>
      </c>
      <c r="K1806" s="13"/>
      <c r="L1806" s="13"/>
      <c r="M1806" s="13"/>
      <c r="N1806" s="13"/>
      <c r="W1806" s="4"/>
      <c r="X1806" s="4"/>
      <c r="Y1806" s="4"/>
      <c r="Z1806" s="4"/>
    </row>
    <row r="1807" spans="2:26" hidden="1" outlineLevel="2" x14ac:dyDescent="0.15">
      <c r="B1807" s="800" t="s">
        <v>1589</v>
      </c>
      <c r="C1807" s="812">
        <v>36.700000000000003</v>
      </c>
      <c r="D1807" s="807">
        <v>0.5</v>
      </c>
      <c r="E1807" s="981">
        <f t="shared" si="37"/>
        <v>0</v>
      </c>
      <c r="F1807" s="980">
        <f t="shared" si="33"/>
        <v>33</v>
      </c>
      <c r="G1807" s="815">
        <f t="shared" si="34"/>
        <v>0</v>
      </c>
      <c r="H1807" s="812">
        <f t="shared" si="35"/>
        <v>0</v>
      </c>
      <c r="I1807" s="812">
        <f t="shared" si="36"/>
        <v>0</v>
      </c>
      <c r="J1807" s="807">
        <f t="shared" si="32"/>
        <v>0.5</v>
      </c>
      <c r="K1807" s="13"/>
      <c r="L1807" s="13"/>
      <c r="M1807" s="13"/>
      <c r="N1807" s="13"/>
      <c r="W1807" s="4"/>
      <c r="X1807" s="4"/>
      <c r="Y1807" s="4"/>
      <c r="Z1807" s="4"/>
    </row>
    <row r="1808" spans="2:26" hidden="1" outlineLevel="2" x14ac:dyDescent="0.15">
      <c r="B1808" s="800" t="s">
        <v>1574</v>
      </c>
      <c r="C1808" s="812">
        <v>990</v>
      </c>
      <c r="D1808" s="807">
        <v>0.2</v>
      </c>
      <c r="E1808" s="981">
        <f t="shared" si="37"/>
        <v>0</v>
      </c>
      <c r="F1808" s="980">
        <f t="shared" si="33"/>
        <v>33</v>
      </c>
      <c r="G1808" s="815">
        <f t="shared" si="34"/>
        <v>0</v>
      </c>
      <c r="H1808" s="812">
        <f t="shared" si="35"/>
        <v>0</v>
      </c>
      <c r="I1808" s="812">
        <f t="shared" si="36"/>
        <v>0</v>
      </c>
      <c r="J1808" s="807">
        <f t="shared" si="32"/>
        <v>0.5</v>
      </c>
      <c r="K1808" s="13"/>
      <c r="L1808" s="13"/>
      <c r="M1808" s="13"/>
      <c r="N1808" s="13"/>
      <c r="W1808" s="4"/>
      <c r="X1808" s="4"/>
      <c r="Y1808" s="4"/>
      <c r="Z1808" s="4"/>
    </row>
    <row r="1809" spans="2:26" hidden="1" outlineLevel="2" x14ac:dyDescent="0.15">
      <c r="B1809" s="800" t="s">
        <v>1569</v>
      </c>
      <c r="C1809" s="812">
        <v>11</v>
      </c>
      <c r="D1809" s="807">
        <v>0.8</v>
      </c>
      <c r="E1809" s="981">
        <f t="shared" si="37"/>
        <v>0</v>
      </c>
      <c r="F1809" s="980">
        <f t="shared" si="33"/>
        <v>33</v>
      </c>
      <c r="G1809" s="815">
        <f t="shared" si="34"/>
        <v>0</v>
      </c>
      <c r="H1809" s="812">
        <f t="shared" si="35"/>
        <v>0</v>
      </c>
      <c r="I1809" s="812">
        <f t="shared" si="36"/>
        <v>0</v>
      </c>
      <c r="J1809" s="807">
        <f t="shared" si="32"/>
        <v>0.5</v>
      </c>
      <c r="K1809" s="13"/>
      <c r="L1809" s="13"/>
      <c r="M1809" s="13"/>
      <c r="N1809" s="13"/>
      <c r="W1809" s="4"/>
      <c r="X1809" s="4"/>
      <c r="Y1809" s="4"/>
      <c r="Z1809" s="4"/>
    </row>
    <row r="1810" spans="2:26" hidden="1" outlineLevel="2" x14ac:dyDescent="0.15">
      <c r="B1810" s="800" t="s">
        <v>1590</v>
      </c>
      <c r="C1810" s="812">
        <v>1040</v>
      </c>
      <c r="D1810" s="807">
        <v>0.8</v>
      </c>
      <c r="E1810" s="981">
        <f t="shared" si="37"/>
        <v>0</v>
      </c>
      <c r="F1810" s="980">
        <f t="shared" si="33"/>
        <v>33</v>
      </c>
      <c r="G1810" s="815">
        <f t="shared" si="34"/>
        <v>0</v>
      </c>
      <c r="H1810" s="812">
        <f t="shared" si="35"/>
        <v>0</v>
      </c>
      <c r="I1810" s="812">
        <f t="shared" si="36"/>
        <v>0</v>
      </c>
      <c r="J1810" s="807">
        <f t="shared" si="32"/>
        <v>0.5</v>
      </c>
      <c r="K1810" s="13"/>
      <c r="L1810" s="13"/>
      <c r="M1810" s="13"/>
      <c r="N1810" s="13"/>
      <c r="W1810" s="4"/>
      <c r="X1810" s="4"/>
      <c r="Y1810" s="4"/>
      <c r="Z1810" s="4"/>
    </row>
    <row r="1811" spans="2:26" hidden="1" outlineLevel="2" x14ac:dyDescent="0.15">
      <c r="B1811" s="800" t="s">
        <v>1597</v>
      </c>
      <c r="C1811" s="812">
        <v>2.99</v>
      </c>
      <c r="D1811" s="807">
        <v>0.5</v>
      </c>
      <c r="E1811" s="981">
        <f t="shared" si="37"/>
        <v>0</v>
      </c>
      <c r="F1811" s="980">
        <f t="shared" si="33"/>
        <v>33</v>
      </c>
      <c r="G1811" s="815">
        <f t="shared" si="34"/>
        <v>0</v>
      </c>
      <c r="H1811" s="812">
        <f t="shared" si="35"/>
        <v>0</v>
      </c>
      <c r="I1811" s="812">
        <f t="shared" si="36"/>
        <v>0</v>
      </c>
      <c r="J1811" s="807">
        <f t="shared" si="32"/>
        <v>0.5</v>
      </c>
      <c r="K1811" s="13"/>
      <c r="L1811" s="13"/>
      <c r="M1811" s="13"/>
      <c r="N1811" s="13"/>
      <c r="W1811" s="4"/>
      <c r="X1811" s="4"/>
      <c r="Y1811" s="4"/>
      <c r="Z1811" s="4"/>
    </row>
    <row r="1812" spans="2:26" hidden="1" outlineLevel="2" x14ac:dyDescent="0.15">
      <c r="B1812" s="800" t="s">
        <v>1577</v>
      </c>
      <c r="C1812" s="812">
        <v>367</v>
      </c>
      <c r="D1812" s="807">
        <v>0.2</v>
      </c>
      <c r="E1812" s="981">
        <f t="shared" si="37"/>
        <v>0</v>
      </c>
      <c r="F1812" s="980">
        <f t="shared" si="33"/>
        <v>33</v>
      </c>
      <c r="G1812" s="815">
        <f t="shared" si="34"/>
        <v>0</v>
      </c>
      <c r="H1812" s="812">
        <f t="shared" si="35"/>
        <v>0</v>
      </c>
      <c r="I1812" s="812">
        <f t="shared" si="36"/>
        <v>0</v>
      </c>
      <c r="J1812" s="807">
        <f t="shared" si="32"/>
        <v>0.5</v>
      </c>
      <c r="K1812" s="13"/>
      <c r="L1812" s="13"/>
      <c r="M1812" s="13"/>
      <c r="N1812" s="13"/>
      <c r="W1812" s="4"/>
      <c r="X1812" s="4"/>
      <c r="Y1812" s="4"/>
      <c r="Z1812" s="4"/>
    </row>
    <row r="1813" spans="2:26" hidden="1" outlineLevel="2" x14ac:dyDescent="0.15">
      <c r="B1813" s="800" t="s">
        <v>1588</v>
      </c>
      <c r="C1813" s="812">
        <v>36.700000000000003</v>
      </c>
      <c r="D1813" s="807">
        <v>0.5</v>
      </c>
      <c r="E1813" s="981">
        <f t="shared" si="37"/>
        <v>0</v>
      </c>
      <c r="F1813" s="980">
        <f t="shared" si="33"/>
        <v>33</v>
      </c>
      <c r="G1813" s="815">
        <f t="shared" si="34"/>
        <v>0</v>
      </c>
      <c r="H1813" s="812">
        <f t="shared" si="35"/>
        <v>0</v>
      </c>
      <c r="I1813" s="812">
        <f t="shared" si="36"/>
        <v>0</v>
      </c>
      <c r="J1813" s="807">
        <f t="shared" si="32"/>
        <v>0.5</v>
      </c>
      <c r="K1813" s="13"/>
      <c r="L1813" s="13"/>
      <c r="M1813" s="13"/>
      <c r="N1813" s="13"/>
      <c r="W1813" s="4"/>
      <c r="X1813" s="4"/>
      <c r="Y1813" s="4"/>
      <c r="Z1813" s="4"/>
    </row>
    <row r="1814" spans="2:26" hidden="1" outlineLevel="2" x14ac:dyDescent="0.15">
      <c r="B1814" s="800" t="s">
        <v>1593</v>
      </c>
      <c r="C1814" s="812">
        <v>14</v>
      </c>
      <c r="D1814" s="807">
        <v>0.2</v>
      </c>
      <c r="E1814" s="981">
        <f t="shared" si="37"/>
        <v>0</v>
      </c>
      <c r="F1814" s="980">
        <f t="shared" si="33"/>
        <v>33</v>
      </c>
      <c r="G1814" s="815">
        <f t="shared" si="34"/>
        <v>0</v>
      </c>
      <c r="H1814" s="812">
        <f t="shared" si="35"/>
        <v>0</v>
      </c>
      <c r="I1814" s="812">
        <f t="shared" si="36"/>
        <v>0</v>
      </c>
      <c r="J1814" s="807">
        <f t="shared" si="32"/>
        <v>0.5</v>
      </c>
      <c r="K1814" s="13"/>
      <c r="L1814" s="13"/>
      <c r="M1814" s="13"/>
      <c r="N1814" s="13"/>
      <c r="W1814" s="4"/>
      <c r="X1814" s="4"/>
      <c r="Y1814" s="4"/>
      <c r="Z1814" s="4"/>
    </row>
    <row r="1815" spans="2:26" hidden="1" outlineLevel="2" x14ac:dyDescent="0.15">
      <c r="B1815" s="800" t="s">
        <v>1596</v>
      </c>
      <c r="C1815" s="812">
        <v>15</v>
      </c>
      <c r="D1815" s="807">
        <v>0.2</v>
      </c>
      <c r="E1815" s="981">
        <f t="shared" si="37"/>
        <v>0</v>
      </c>
      <c r="F1815" s="980">
        <f t="shared" si="33"/>
        <v>33</v>
      </c>
      <c r="G1815" s="815">
        <f t="shared" si="34"/>
        <v>0</v>
      </c>
      <c r="H1815" s="812">
        <f t="shared" si="35"/>
        <v>0</v>
      </c>
      <c r="I1815" s="812">
        <f t="shared" si="36"/>
        <v>0</v>
      </c>
      <c r="J1815" s="807">
        <f t="shared" si="32"/>
        <v>0.5</v>
      </c>
      <c r="K1815" s="13"/>
      <c r="L1815" s="13"/>
      <c r="M1815" s="13"/>
      <c r="N1815" s="13"/>
      <c r="W1815" s="4"/>
      <c r="X1815" s="4"/>
      <c r="Y1815" s="4"/>
      <c r="Z1815" s="4"/>
    </row>
    <row r="1816" spans="2:26" hidden="1" outlineLevel="2" x14ac:dyDescent="0.15">
      <c r="B1816" s="800" t="s">
        <v>1592</v>
      </c>
      <c r="C1816" s="812">
        <v>53</v>
      </c>
      <c r="D1816" s="807">
        <v>0.2</v>
      </c>
      <c r="E1816" s="981">
        <f t="shared" si="37"/>
        <v>0</v>
      </c>
      <c r="F1816" s="980">
        <f t="shared" si="33"/>
        <v>33</v>
      </c>
      <c r="G1816" s="815">
        <f t="shared" si="34"/>
        <v>0</v>
      </c>
      <c r="H1816" s="812">
        <f t="shared" si="35"/>
        <v>0</v>
      </c>
      <c r="I1816" s="812">
        <f t="shared" si="36"/>
        <v>0</v>
      </c>
      <c r="J1816" s="807">
        <f t="shared" si="32"/>
        <v>0.5</v>
      </c>
      <c r="K1816" s="13"/>
      <c r="L1816" s="13"/>
      <c r="M1816" s="13"/>
      <c r="N1816" s="13"/>
      <c r="W1816" s="4"/>
      <c r="X1816" s="4"/>
      <c r="Y1816" s="4"/>
      <c r="Z1816" s="4"/>
    </row>
    <row r="1817" spans="2:26" hidden="1" outlineLevel="2" x14ac:dyDescent="0.15">
      <c r="B1817" s="1060"/>
      <c r="C1817" s="813"/>
      <c r="D1817" s="814"/>
      <c r="E1817" s="1039"/>
      <c r="F1817" s="1045"/>
      <c r="G1817" s="817"/>
      <c r="H1817" s="813"/>
      <c r="I1817" s="1039"/>
      <c r="J1817" s="814"/>
      <c r="K1817" s="13"/>
      <c r="L1817" s="13"/>
      <c r="M1817" s="13"/>
      <c r="W1817" s="4"/>
      <c r="X1817" s="4"/>
      <c r="Y1817" s="4"/>
      <c r="Z1817" s="4"/>
    </row>
    <row r="1818" spans="2:26" hidden="1" outlineLevel="2" x14ac:dyDescent="0.15">
      <c r="W1818" s="4"/>
      <c r="X1818" s="4"/>
      <c r="Y1818" s="4"/>
      <c r="Z1818" s="4"/>
    </row>
    <row r="1819" spans="2:26" hidden="1" outlineLevel="2" x14ac:dyDescent="0.15">
      <c r="B1819" s="1489" t="s">
        <v>1606</v>
      </c>
      <c r="C1819" s="1893" t="s">
        <v>1133</v>
      </c>
      <c r="D1819" s="1895"/>
      <c r="E1819" s="1893" t="s">
        <v>1517</v>
      </c>
      <c r="F1819" s="1894"/>
      <c r="G1819" s="1894"/>
      <c r="H1819" s="1894"/>
      <c r="I1819" s="1894"/>
      <c r="J1819" s="1894"/>
      <c r="K1819" s="1895"/>
      <c r="M1819" s="683"/>
      <c r="O1819" s="1205"/>
      <c r="P1819" s="11"/>
      <c r="W1819" s="4"/>
      <c r="X1819" s="4"/>
      <c r="Y1819" s="4"/>
      <c r="Z1819" s="4"/>
    </row>
    <row r="1820" spans="2:26" hidden="1" outlineLevel="2" x14ac:dyDescent="0.15">
      <c r="B1820" s="965"/>
      <c r="C1820" s="1863" t="s">
        <v>767</v>
      </c>
      <c r="D1820" s="1874" t="s">
        <v>723</v>
      </c>
      <c r="E1820" s="1892" t="s">
        <v>767</v>
      </c>
      <c r="F1820" s="1876" t="s">
        <v>1515</v>
      </c>
      <c r="G1820" s="1877"/>
      <c r="H1820" s="1877"/>
      <c r="I1820" s="1878"/>
      <c r="J1820" s="899" t="s">
        <v>1519</v>
      </c>
      <c r="K1820" s="891"/>
      <c r="M1820" s="683"/>
      <c r="O1820" s="1205"/>
      <c r="P1820" s="11"/>
      <c r="W1820" s="4"/>
      <c r="X1820" s="4"/>
      <c r="Y1820" s="4"/>
      <c r="Z1820" s="4"/>
    </row>
    <row r="1821" spans="2:26" ht="14" hidden="1" outlineLevel="2" x14ac:dyDescent="0.15">
      <c r="B1821" s="1568" t="s">
        <v>1507</v>
      </c>
      <c r="C1821" s="1864"/>
      <c r="D1821" s="1875"/>
      <c r="E1821" s="1864"/>
      <c r="F1821" s="1046" t="s">
        <v>14</v>
      </c>
      <c r="G1821" s="1047" t="s">
        <v>695</v>
      </c>
      <c r="H1821" s="1047" t="s">
        <v>27</v>
      </c>
      <c r="I1821" s="962" t="s">
        <v>694</v>
      </c>
      <c r="J1821" s="927" t="s">
        <v>767</v>
      </c>
      <c r="K1821" s="896" t="s">
        <v>723</v>
      </c>
      <c r="M1821" s="683"/>
      <c r="O1821" s="1205"/>
      <c r="P1821" s="11"/>
      <c r="W1821" s="4"/>
      <c r="X1821" s="4"/>
      <c r="Y1821" s="4"/>
      <c r="Z1821" s="4"/>
    </row>
    <row r="1822" spans="2:26" hidden="1" outlineLevel="2" x14ac:dyDescent="0.15">
      <c r="B1822" s="800" t="s">
        <v>1659</v>
      </c>
      <c r="C1822" s="812">
        <v>1510</v>
      </c>
      <c r="D1822" s="959">
        <v>0.5</v>
      </c>
      <c r="E1822" s="1513">
        <f t="shared" ref="E1822:I1827" si="38">E1821</f>
        <v>0</v>
      </c>
      <c r="F1822" s="1513">
        <v>937</v>
      </c>
      <c r="G1822" s="883">
        <v>0</v>
      </c>
      <c r="H1822" s="983">
        <v>17.88</v>
      </c>
      <c r="I1822" s="1513">
        <v>0</v>
      </c>
      <c r="J1822" s="877">
        <v>7</v>
      </c>
      <c r="K1822" s="959">
        <f t="shared" ref="K1822:K1832" si="39">$J$2294</f>
        <v>0.5</v>
      </c>
      <c r="M1822" s="683"/>
      <c r="O1822" s="1205"/>
      <c r="P1822" s="11"/>
      <c r="W1822" s="4"/>
      <c r="X1822" s="4"/>
      <c r="Y1822" s="4"/>
      <c r="Z1822" s="4"/>
    </row>
    <row r="1823" spans="2:26" hidden="1" outlineLevel="2" x14ac:dyDescent="0.15">
      <c r="B1823" s="800" t="s">
        <v>1616</v>
      </c>
      <c r="C1823" s="812">
        <v>1470</v>
      </c>
      <c r="D1823" s="895">
        <v>0.5</v>
      </c>
      <c r="E1823" s="980">
        <f t="shared" si="38"/>
        <v>0</v>
      </c>
      <c r="F1823" s="980">
        <f t="shared" si="38"/>
        <v>937</v>
      </c>
      <c r="G1823" s="815">
        <f t="shared" si="38"/>
        <v>0</v>
      </c>
      <c r="H1823" s="816">
        <f t="shared" si="38"/>
        <v>17.88</v>
      </c>
      <c r="I1823" s="980">
        <f t="shared" si="38"/>
        <v>0</v>
      </c>
      <c r="J1823" s="981">
        <v>2</v>
      </c>
      <c r="K1823" s="895">
        <f t="shared" si="39"/>
        <v>0.5</v>
      </c>
      <c r="M1823" s="683"/>
      <c r="O1823" s="1205"/>
      <c r="P1823" s="11"/>
      <c r="W1823" s="4"/>
      <c r="X1823" s="4"/>
      <c r="Y1823" s="4"/>
      <c r="Z1823" s="4"/>
    </row>
    <row r="1824" spans="2:26" hidden="1" outlineLevel="2" x14ac:dyDescent="0.15">
      <c r="B1824" s="800" t="s">
        <v>1617</v>
      </c>
      <c r="C1824" s="812">
        <v>6770</v>
      </c>
      <c r="D1824" s="895">
        <v>0.5</v>
      </c>
      <c r="E1824" s="980">
        <f t="shared" si="38"/>
        <v>0</v>
      </c>
      <c r="F1824" s="980">
        <f t="shared" si="38"/>
        <v>937</v>
      </c>
      <c r="G1824" s="815">
        <f t="shared" si="38"/>
        <v>0</v>
      </c>
      <c r="H1824" s="816">
        <f t="shared" si="38"/>
        <v>17.88</v>
      </c>
      <c r="I1824" s="980">
        <f t="shared" si="38"/>
        <v>0</v>
      </c>
      <c r="J1824" s="981">
        <v>4</v>
      </c>
      <c r="K1824" s="895">
        <f t="shared" si="39"/>
        <v>0.5</v>
      </c>
      <c r="M1824" s="683"/>
      <c r="O1824" s="1205"/>
      <c r="P1824" s="11"/>
      <c r="W1824" s="4"/>
      <c r="X1824" s="4"/>
      <c r="Y1824" s="4"/>
      <c r="Z1824" s="4"/>
    </row>
    <row r="1825" spans="2:26" hidden="1" outlineLevel="2" x14ac:dyDescent="0.15">
      <c r="B1825" s="800" t="s">
        <v>1660</v>
      </c>
      <c r="C1825" s="812">
        <v>6900</v>
      </c>
      <c r="D1825" s="895">
        <v>0.5</v>
      </c>
      <c r="E1825" s="980">
        <f t="shared" si="38"/>
        <v>0</v>
      </c>
      <c r="F1825" s="980">
        <f t="shared" si="38"/>
        <v>937</v>
      </c>
      <c r="G1825" s="815">
        <f t="shared" si="38"/>
        <v>0</v>
      </c>
      <c r="H1825" s="816">
        <f t="shared" si="38"/>
        <v>17.88</v>
      </c>
      <c r="I1825" s="980">
        <f t="shared" si="38"/>
        <v>0</v>
      </c>
      <c r="J1825" s="981">
        <v>0</v>
      </c>
      <c r="K1825" s="895">
        <f t="shared" si="39"/>
        <v>0.5</v>
      </c>
      <c r="M1825" s="683"/>
      <c r="O1825" s="1205"/>
      <c r="P1825" s="11"/>
      <c r="W1825" s="4"/>
      <c r="X1825" s="4"/>
      <c r="Y1825" s="4"/>
      <c r="Z1825" s="4"/>
    </row>
    <row r="1826" spans="2:26" hidden="1" outlineLevel="2" x14ac:dyDescent="0.15">
      <c r="B1826" s="800" t="s">
        <v>1661</v>
      </c>
      <c r="C1826" s="812">
        <v>3140</v>
      </c>
      <c r="D1826" s="895">
        <v>0.5</v>
      </c>
      <c r="E1826" s="980">
        <f t="shared" si="38"/>
        <v>0</v>
      </c>
      <c r="F1826" s="980">
        <f t="shared" si="38"/>
        <v>937</v>
      </c>
      <c r="G1826" s="815">
        <f t="shared" si="38"/>
        <v>0</v>
      </c>
      <c r="H1826" s="816">
        <f t="shared" si="38"/>
        <v>17.88</v>
      </c>
      <c r="I1826" s="980">
        <f t="shared" si="38"/>
        <v>0</v>
      </c>
      <c r="J1826" s="981">
        <v>1</v>
      </c>
      <c r="K1826" s="895">
        <f t="shared" si="39"/>
        <v>0.5</v>
      </c>
      <c r="M1826" s="683"/>
      <c r="O1826" s="1205"/>
      <c r="P1826" s="11"/>
      <c r="W1826" s="4"/>
      <c r="X1826" s="4"/>
      <c r="Y1826" s="4"/>
      <c r="Z1826" s="4"/>
    </row>
    <row r="1827" spans="2:26" hidden="1" outlineLevel="2" x14ac:dyDescent="0.15">
      <c r="B1827" s="800" t="s">
        <v>1509</v>
      </c>
      <c r="C1827" s="812">
        <v>313</v>
      </c>
      <c r="D1827" s="895">
        <v>0.5</v>
      </c>
      <c r="E1827" s="980">
        <f t="shared" si="38"/>
        <v>0</v>
      </c>
      <c r="F1827" s="980">
        <f t="shared" si="38"/>
        <v>937</v>
      </c>
      <c r="G1827" s="815">
        <f t="shared" si="38"/>
        <v>0</v>
      </c>
      <c r="H1827" s="816">
        <f t="shared" si="38"/>
        <v>17.88</v>
      </c>
      <c r="I1827" s="980">
        <f t="shared" si="38"/>
        <v>0</v>
      </c>
      <c r="J1827" s="981">
        <v>3</v>
      </c>
      <c r="K1827" s="895">
        <f t="shared" si="39"/>
        <v>0.5</v>
      </c>
      <c r="M1827" s="683"/>
      <c r="O1827" s="1205"/>
      <c r="P1827" s="11"/>
      <c r="W1827" s="4"/>
      <c r="X1827" s="4"/>
      <c r="Y1827" s="4"/>
      <c r="Z1827" s="4"/>
    </row>
    <row r="1828" spans="2:26" hidden="1" outlineLevel="2" x14ac:dyDescent="0.15">
      <c r="B1828" s="800" t="s">
        <v>1613</v>
      </c>
      <c r="C1828" s="812">
        <v>1200</v>
      </c>
      <c r="D1828" s="895">
        <v>0.5</v>
      </c>
      <c r="E1828" s="980">
        <f>C2327</f>
        <v>0</v>
      </c>
      <c r="F1828" s="980">
        <f t="shared" ref="F1828:I1828" si="40">F1827</f>
        <v>937</v>
      </c>
      <c r="G1828" s="815">
        <f t="shared" si="40"/>
        <v>0</v>
      </c>
      <c r="H1828" s="816">
        <f t="shared" si="40"/>
        <v>17.88</v>
      </c>
      <c r="I1828" s="980">
        <f t="shared" si="40"/>
        <v>0</v>
      </c>
      <c r="J1828" s="981">
        <v>0</v>
      </c>
      <c r="K1828" s="895">
        <f t="shared" si="39"/>
        <v>0.5</v>
      </c>
      <c r="M1828" s="683"/>
      <c r="O1828" s="1205"/>
      <c r="P1828" s="11"/>
      <c r="W1828" s="4"/>
      <c r="X1828" s="4"/>
      <c r="Y1828" s="4"/>
      <c r="Z1828" s="4"/>
    </row>
    <row r="1829" spans="2:26" hidden="1" outlineLevel="2" x14ac:dyDescent="0.15">
      <c r="B1829" s="800" t="s">
        <v>1618</v>
      </c>
      <c r="C1829" s="812">
        <v>521</v>
      </c>
      <c r="D1829" s="895">
        <v>0.5</v>
      </c>
      <c r="E1829" s="980">
        <f t="shared" ref="E1829:I1832" si="41">E1828</f>
        <v>0</v>
      </c>
      <c r="F1829" s="980">
        <f t="shared" si="41"/>
        <v>937</v>
      </c>
      <c r="G1829" s="815">
        <f t="shared" si="41"/>
        <v>0</v>
      </c>
      <c r="H1829" s="816">
        <f t="shared" si="41"/>
        <v>17.88</v>
      </c>
      <c r="I1829" s="980">
        <f t="shared" si="41"/>
        <v>0</v>
      </c>
      <c r="J1829" s="981">
        <v>5</v>
      </c>
      <c r="K1829" s="895">
        <f t="shared" si="39"/>
        <v>0.5</v>
      </c>
      <c r="M1829" s="683"/>
      <c r="O1829" s="1205"/>
      <c r="P1829" s="11"/>
      <c r="W1829" s="4"/>
      <c r="X1829" s="4"/>
      <c r="Y1829" s="4"/>
      <c r="Z1829" s="4"/>
    </row>
    <row r="1830" spans="2:26" hidden="1" outlineLevel="2" x14ac:dyDescent="0.15">
      <c r="B1830" s="800" t="s">
        <v>1614</v>
      </c>
      <c r="C1830" s="812">
        <v>1420</v>
      </c>
      <c r="D1830" s="895">
        <v>0.5</v>
      </c>
      <c r="E1830" s="980">
        <f t="shared" si="41"/>
        <v>0</v>
      </c>
      <c r="F1830" s="980">
        <f t="shared" si="41"/>
        <v>937</v>
      </c>
      <c r="G1830" s="815">
        <f t="shared" si="41"/>
        <v>0</v>
      </c>
      <c r="H1830" s="816">
        <f t="shared" si="41"/>
        <v>17.88</v>
      </c>
      <c r="I1830" s="980">
        <f t="shared" si="41"/>
        <v>0</v>
      </c>
      <c r="J1830" s="981">
        <v>0</v>
      </c>
      <c r="K1830" s="895">
        <f t="shared" si="39"/>
        <v>0.5</v>
      </c>
      <c r="M1830" s="683"/>
      <c r="O1830" s="1205"/>
      <c r="P1830" s="11"/>
      <c r="W1830" s="4"/>
      <c r="X1830" s="4"/>
      <c r="Y1830" s="4"/>
      <c r="Z1830" s="4"/>
    </row>
    <row r="1831" spans="2:26" hidden="1" outlineLevel="2" x14ac:dyDescent="0.15">
      <c r="B1831" s="800" t="s">
        <v>1619</v>
      </c>
      <c r="C1831" s="812">
        <v>587</v>
      </c>
      <c r="D1831" s="895">
        <v>0.5</v>
      </c>
      <c r="E1831" s="980">
        <f t="shared" si="41"/>
        <v>0</v>
      </c>
      <c r="F1831" s="980">
        <f t="shared" si="41"/>
        <v>937</v>
      </c>
      <c r="G1831" s="815">
        <f t="shared" si="41"/>
        <v>0</v>
      </c>
      <c r="H1831" s="816">
        <f t="shared" si="41"/>
        <v>17.88</v>
      </c>
      <c r="I1831" s="980">
        <f t="shared" si="41"/>
        <v>0</v>
      </c>
      <c r="J1831" s="981">
        <v>6</v>
      </c>
      <c r="K1831" s="895">
        <f t="shared" si="39"/>
        <v>0.5</v>
      </c>
      <c r="M1831" s="683"/>
      <c r="O1831" s="1205"/>
      <c r="P1831" s="11"/>
      <c r="W1831" s="4"/>
      <c r="X1831" s="4"/>
      <c r="Y1831" s="4"/>
      <c r="Z1831" s="4"/>
    </row>
    <row r="1832" spans="2:26" hidden="1" outlineLevel="2" x14ac:dyDescent="0.15">
      <c r="B1832" s="800" t="s">
        <v>1615</v>
      </c>
      <c r="C1832" s="812">
        <v>148</v>
      </c>
      <c r="D1832" s="895">
        <v>0.5</v>
      </c>
      <c r="E1832" s="980">
        <f t="shared" si="41"/>
        <v>0</v>
      </c>
      <c r="F1832" s="980">
        <f t="shared" si="41"/>
        <v>937</v>
      </c>
      <c r="G1832" s="815">
        <f t="shared" si="41"/>
        <v>0</v>
      </c>
      <c r="H1832" s="816">
        <f t="shared" si="41"/>
        <v>17.88</v>
      </c>
      <c r="I1832" s="980">
        <f t="shared" si="41"/>
        <v>0</v>
      </c>
      <c r="J1832" s="981">
        <v>0</v>
      </c>
      <c r="K1832" s="895">
        <f t="shared" si="39"/>
        <v>0.5</v>
      </c>
      <c r="M1832" s="683"/>
      <c r="O1832" s="1205"/>
      <c r="P1832" s="11"/>
      <c r="W1832" s="4"/>
      <c r="X1832" s="4"/>
      <c r="Y1832" s="4"/>
      <c r="Z1832" s="4"/>
    </row>
    <row r="1833" spans="2:26" hidden="1" outlineLevel="2" x14ac:dyDescent="0.15">
      <c r="B1833" s="1658" t="s">
        <v>3148</v>
      </c>
      <c r="C1833" s="1659">
        <f>1.17*1000</f>
        <v>1170</v>
      </c>
      <c r="D1833" s="895"/>
      <c r="E1833" s="895"/>
      <c r="F1833" s="815"/>
      <c r="G1833" s="815"/>
      <c r="H1833" s="815"/>
      <c r="I1833" s="980"/>
      <c r="J1833" s="981"/>
      <c r="K1833" s="895"/>
      <c r="M1833" s="683"/>
      <c r="O1833" s="1205"/>
      <c r="P1833" s="11"/>
      <c r="W1833" s="4"/>
      <c r="X1833" s="4"/>
      <c r="Y1833" s="4"/>
      <c r="Z1833" s="4"/>
    </row>
    <row r="1834" spans="2:26" hidden="1" outlineLevel="2" x14ac:dyDescent="0.15">
      <c r="B1834" s="1660" t="s">
        <v>3149</v>
      </c>
      <c r="C1834" s="1659">
        <f>0.261*1000</f>
        <v>261</v>
      </c>
      <c r="D1834" s="895"/>
      <c r="E1834" s="895"/>
      <c r="F1834" s="815"/>
      <c r="G1834" s="815"/>
      <c r="H1834" s="815"/>
      <c r="I1834" s="980"/>
      <c r="J1834" s="981"/>
      <c r="K1834" s="895"/>
      <c r="M1834" s="683"/>
      <c r="O1834" s="1205"/>
      <c r="P1834" s="11"/>
      <c r="W1834" s="4"/>
      <c r="X1834" s="4"/>
      <c r="Y1834" s="4"/>
      <c r="Z1834" s="4"/>
    </row>
    <row r="1835" spans="2:26" hidden="1" outlineLevel="2" x14ac:dyDescent="0.15">
      <c r="B1835" s="1658" t="s">
        <v>3150</v>
      </c>
      <c r="C1835" s="1659">
        <f>1.2*1000</f>
        <v>1200</v>
      </c>
      <c r="D1835" s="895"/>
      <c r="E1835" s="895"/>
      <c r="F1835" s="815"/>
      <c r="G1835" s="815"/>
      <c r="H1835" s="815"/>
      <c r="I1835" s="980"/>
      <c r="J1835" s="981"/>
      <c r="K1835" s="895"/>
      <c r="M1835" s="683"/>
      <c r="O1835" s="1205"/>
      <c r="P1835" s="11"/>
      <c r="W1835" s="4"/>
      <c r="X1835" s="4"/>
      <c r="Y1835" s="4"/>
      <c r="Z1835" s="4"/>
    </row>
    <row r="1836" spans="2:26" hidden="1" outlineLevel="2" x14ac:dyDescent="0.15">
      <c r="B1836" s="1658" t="s">
        <v>3151</v>
      </c>
      <c r="C1836" s="1659">
        <f>1.05*1000</f>
        <v>1050</v>
      </c>
      <c r="D1836" s="895"/>
      <c r="E1836" s="980"/>
      <c r="F1836" s="980"/>
      <c r="G1836" s="815"/>
      <c r="H1836" s="815"/>
      <c r="I1836" s="980"/>
      <c r="J1836" s="981"/>
      <c r="K1836" s="895"/>
      <c r="M1836" s="683"/>
      <c r="O1836" s="1205"/>
      <c r="P1836" s="11"/>
      <c r="W1836" s="4"/>
      <c r="X1836" s="4"/>
      <c r="Y1836" s="4"/>
      <c r="Z1836" s="4"/>
    </row>
    <row r="1837" spans="2:26" hidden="1" outlineLevel="2" x14ac:dyDescent="0.15">
      <c r="B1837" s="1658" t="s">
        <v>3152</v>
      </c>
      <c r="C1837" s="1659">
        <f>0.701*1000</f>
        <v>701</v>
      </c>
      <c r="D1837" s="895"/>
      <c r="E1837" s="980"/>
      <c r="F1837" s="980"/>
      <c r="G1837" s="815"/>
      <c r="H1837" s="815"/>
      <c r="I1837" s="980"/>
      <c r="J1837" s="981"/>
      <c r="K1837" s="895"/>
      <c r="M1837" s="683"/>
      <c r="O1837" s="1205"/>
      <c r="P1837" s="11"/>
      <c r="W1837" s="4"/>
      <c r="X1837" s="4"/>
      <c r="Y1837" s="4"/>
      <c r="Z1837" s="4"/>
    </row>
    <row r="1838" spans="2:26" hidden="1" outlineLevel="2" x14ac:dyDescent="0.15">
      <c r="B1838" s="1658" t="s">
        <v>3153</v>
      </c>
      <c r="C1838" s="1659">
        <f>0.303*1000</f>
        <v>303</v>
      </c>
      <c r="D1838" s="895"/>
      <c r="E1838" s="980"/>
      <c r="F1838" s="980"/>
      <c r="G1838" s="815"/>
      <c r="H1838" s="815"/>
      <c r="I1838" s="980"/>
      <c r="J1838" s="981"/>
      <c r="K1838" s="895"/>
      <c r="M1838" s="683"/>
      <c r="O1838" s="1205"/>
      <c r="P1838" s="11"/>
      <c r="W1838" s="4"/>
      <c r="X1838" s="4"/>
      <c r="Y1838" s="4"/>
      <c r="Z1838" s="4"/>
    </row>
    <row r="1839" spans="2:26" hidden="1" outlineLevel="2" x14ac:dyDescent="0.15">
      <c r="B1839" s="1658" t="s">
        <v>3154</v>
      </c>
      <c r="C1839" s="1659">
        <f>0.00693*1000</f>
        <v>6.9300000000000006</v>
      </c>
      <c r="D1839" s="895"/>
      <c r="E1839" s="980"/>
      <c r="F1839" s="980"/>
      <c r="G1839" s="815"/>
      <c r="H1839" s="815"/>
      <c r="I1839" s="980"/>
      <c r="J1839" s="981"/>
      <c r="K1839" s="895"/>
      <c r="M1839" s="683"/>
      <c r="O1839" s="1205"/>
      <c r="P1839" s="11"/>
      <c r="W1839" s="4"/>
      <c r="X1839" s="4"/>
      <c r="Y1839" s="4"/>
      <c r="Z1839" s="4"/>
    </row>
    <row r="1840" spans="2:26" hidden="1" outlineLevel="2" x14ac:dyDescent="0.15">
      <c r="B1840" s="1658" t="s">
        <v>3155</v>
      </c>
      <c r="C1840" s="1659">
        <f>2.41*1000</f>
        <v>2410</v>
      </c>
      <c r="D1840" s="895"/>
      <c r="E1840" s="980"/>
      <c r="F1840" s="980"/>
      <c r="G1840" s="815"/>
      <c r="H1840" s="815"/>
      <c r="I1840" s="980"/>
      <c r="J1840" s="981"/>
      <c r="K1840" s="895"/>
      <c r="M1840" s="683"/>
      <c r="O1840" s="1205"/>
      <c r="P1840" s="11"/>
      <c r="W1840" s="4"/>
      <c r="X1840" s="4"/>
      <c r="Y1840" s="4"/>
      <c r="Z1840" s="4"/>
    </row>
    <row r="1841" spans="2:26" hidden="1" outlineLevel="2" x14ac:dyDescent="0.15">
      <c r="B1841" s="1658" t="s">
        <v>3156</v>
      </c>
      <c r="C1841" s="1659">
        <f>0.00258*1000</f>
        <v>2.5799999999999996</v>
      </c>
      <c r="D1841" s="895"/>
      <c r="E1841" s="980"/>
      <c r="F1841" s="980"/>
      <c r="G1841" s="815"/>
      <c r="H1841" s="815"/>
      <c r="I1841" s="980"/>
      <c r="J1841" s="981"/>
      <c r="K1841" s="895"/>
      <c r="M1841" s="683"/>
      <c r="O1841" s="1205"/>
      <c r="P1841" s="11"/>
      <c r="W1841" s="4"/>
      <c r="X1841" s="4"/>
      <c r="Y1841" s="4"/>
      <c r="Z1841" s="4"/>
    </row>
    <row r="1842" spans="2:26" hidden="1" outlineLevel="2" x14ac:dyDescent="0.15">
      <c r="B1842" s="1658" t="s">
        <v>3207</v>
      </c>
      <c r="C1842" s="1659">
        <f>0.216756252912565*1000</f>
        <v>216.756252912565</v>
      </c>
      <c r="D1842" s="895"/>
      <c r="E1842" s="980"/>
      <c r="F1842" s="980"/>
      <c r="G1842" s="815"/>
      <c r="H1842" s="815"/>
      <c r="I1842" s="980"/>
      <c r="J1842" s="981"/>
      <c r="K1842" s="895"/>
      <c r="M1842" s="683"/>
      <c r="O1842" s="1205"/>
      <c r="P1842" s="11"/>
      <c r="W1842" s="4"/>
      <c r="X1842" s="4"/>
      <c r="Y1842" s="4"/>
      <c r="Z1842" s="4"/>
    </row>
    <row r="1843" spans="2:26" hidden="1" outlineLevel="2" x14ac:dyDescent="0.15">
      <c r="B1843" s="1658" t="s">
        <v>3208</v>
      </c>
      <c r="C1843" s="1659">
        <f>0.13005399274768*1000</f>
        <v>130.05399274768001</v>
      </c>
      <c r="D1843" s="895"/>
      <c r="E1843" s="980"/>
      <c r="F1843" s="980"/>
      <c r="G1843" s="815"/>
      <c r="H1843" s="815"/>
      <c r="I1843" s="980"/>
      <c r="J1843" s="981"/>
      <c r="K1843" s="895"/>
      <c r="M1843" s="683"/>
      <c r="O1843" s="1205"/>
      <c r="P1843" s="11"/>
      <c r="W1843" s="4"/>
      <c r="X1843" s="4"/>
      <c r="Y1843" s="4"/>
      <c r="Z1843" s="4"/>
    </row>
    <row r="1844" spans="2:26" hidden="1" outlineLevel="2" x14ac:dyDescent="0.15">
      <c r="B1844" s="800" t="s">
        <v>1626</v>
      </c>
      <c r="C1844" s="812">
        <v>5870</v>
      </c>
      <c r="D1844" s="895">
        <v>0.3</v>
      </c>
      <c r="E1844" s="980"/>
      <c r="F1844" s="980">
        <f>F1832</f>
        <v>937</v>
      </c>
      <c r="G1844" s="815">
        <f>G1832</f>
        <v>0</v>
      </c>
      <c r="H1844" s="816">
        <f>H1832</f>
        <v>17.88</v>
      </c>
      <c r="I1844" s="980"/>
      <c r="J1844" s="981">
        <v>9</v>
      </c>
      <c r="K1844" s="895">
        <f t="shared" ref="K1844:K1865" si="42">$J$2294</f>
        <v>0.5</v>
      </c>
      <c r="M1844" s="683"/>
      <c r="O1844" s="1205"/>
      <c r="P1844" s="11"/>
      <c r="W1844" s="4"/>
      <c r="X1844" s="4"/>
      <c r="Y1844" s="4"/>
      <c r="Z1844" s="4"/>
    </row>
    <row r="1845" spans="2:26" hidden="1" outlineLevel="2" x14ac:dyDescent="0.15">
      <c r="B1845" s="800" t="s">
        <v>1620</v>
      </c>
      <c r="C1845" s="812">
        <v>6100</v>
      </c>
      <c r="D1845" s="895">
        <v>0.3</v>
      </c>
      <c r="E1845" s="980">
        <f t="shared" ref="E1845:I1845" si="43">E1844</f>
        <v>0</v>
      </c>
      <c r="F1845" s="980">
        <f t="shared" si="43"/>
        <v>937</v>
      </c>
      <c r="G1845" s="815">
        <f t="shared" si="43"/>
        <v>0</v>
      </c>
      <c r="H1845" s="816">
        <f t="shared" si="43"/>
        <v>17.88</v>
      </c>
      <c r="I1845" s="980">
        <f t="shared" si="43"/>
        <v>0</v>
      </c>
      <c r="J1845" s="981">
        <v>10</v>
      </c>
      <c r="K1845" s="895">
        <f t="shared" si="42"/>
        <v>0.5</v>
      </c>
      <c r="M1845" s="683"/>
      <c r="O1845" s="1205"/>
      <c r="P1845" s="11"/>
      <c r="W1845" s="4"/>
      <c r="X1845" s="4"/>
      <c r="Y1845" s="4"/>
      <c r="Z1845" s="4"/>
    </row>
    <row r="1846" spans="2:26" hidden="1" outlineLevel="2" x14ac:dyDescent="0.15">
      <c r="B1846" s="800" t="s">
        <v>1625</v>
      </c>
      <c r="C1846" s="812">
        <v>2982.65</v>
      </c>
      <c r="D1846" s="895">
        <v>0.3</v>
      </c>
      <c r="E1846" s="980">
        <f>E1844</f>
        <v>0</v>
      </c>
      <c r="F1846" s="980">
        <f t="shared" ref="F1846:I1846" si="44">F1845</f>
        <v>937</v>
      </c>
      <c r="G1846" s="815">
        <f t="shared" si="44"/>
        <v>0</v>
      </c>
      <c r="H1846" s="816">
        <f t="shared" si="44"/>
        <v>17.88</v>
      </c>
      <c r="I1846" s="980">
        <f t="shared" si="44"/>
        <v>0</v>
      </c>
      <c r="J1846" s="981">
        <v>8</v>
      </c>
      <c r="K1846" s="895">
        <f t="shared" si="42"/>
        <v>0.5</v>
      </c>
      <c r="M1846" s="683"/>
      <c r="O1846" s="1205"/>
      <c r="P1846" s="11"/>
      <c r="W1846" s="4"/>
      <c r="X1846" s="4"/>
      <c r="Y1846" s="4"/>
      <c r="Z1846" s="4"/>
    </row>
    <row r="1847" spans="2:26" hidden="1" outlineLevel="2" x14ac:dyDescent="0.15">
      <c r="B1847" s="800" t="s">
        <v>1639</v>
      </c>
      <c r="C1847" s="812">
        <v>1170</v>
      </c>
      <c r="D1847" s="895">
        <v>0.3</v>
      </c>
      <c r="E1847" s="980">
        <f t="shared" ref="E1847:I1865" si="45">E1846</f>
        <v>0</v>
      </c>
      <c r="F1847" s="980">
        <f t="shared" si="45"/>
        <v>937</v>
      </c>
      <c r="G1847" s="815">
        <f t="shared" si="45"/>
        <v>0</v>
      </c>
      <c r="H1847" s="816">
        <f t="shared" si="45"/>
        <v>17.88</v>
      </c>
      <c r="I1847" s="980">
        <f t="shared" si="45"/>
        <v>0</v>
      </c>
      <c r="J1847" s="981">
        <v>26</v>
      </c>
      <c r="K1847" s="895">
        <f t="shared" si="42"/>
        <v>0.5</v>
      </c>
      <c r="M1847" s="683"/>
      <c r="O1847" s="1205"/>
      <c r="P1847" s="11"/>
      <c r="W1847" s="4"/>
      <c r="X1847" s="4"/>
      <c r="Y1847" s="4"/>
      <c r="Z1847" s="4"/>
    </row>
    <row r="1848" spans="2:26" hidden="1" outlineLevel="2" x14ac:dyDescent="0.15">
      <c r="B1848" s="800" t="s">
        <v>1623</v>
      </c>
      <c r="C1848" s="812">
        <v>2982.65</v>
      </c>
      <c r="D1848" s="895">
        <v>0.3</v>
      </c>
      <c r="E1848" s="980">
        <f t="shared" si="45"/>
        <v>0</v>
      </c>
      <c r="F1848" s="980">
        <f t="shared" si="45"/>
        <v>937</v>
      </c>
      <c r="G1848" s="815">
        <f t="shared" si="45"/>
        <v>0</v>
      </c>
      <c r="H1848" s="816">
        <f t="shared" si="45"/>
        <v>17.88</v>
      </c>
      <c r="I1848" s="980">
        <f t="shared" si="45"/>
        <v>0</v>
      </c>
      <c r="J1848" s="981">
        <v>14</v>
      </c>
      <c r="K1848" s="895">
        <f t="shared" si="42"/>
        <v>0.5</v>
      </c>
      <c r="M1848" s="683"/>
      <c r="O1848" s="1205"/>
      <c r="P1848" s="11"/>
      <c r="W1848" s="4"/>
      <c r="X1848" s="4"/>
      <c r="Y1848" s="4"/>
      <c r="Z1848" s="4"/>
    </row>
    <row r="1849" spans="2:26" hidden="1" outlineLevel="2" x14ac:dyDescent="0.15">
      <c r="B1849" s="800" t="s">
        <v>1627</v>
      </c>
      <c r="C1849" s="812">
        <v>451</v>
      </c>
      <c r="D1849" s="895">
        <v>0.3</v>
      </c>
      <c r="E1849" s="980">
        <f t="shared" si="45"/>
        <v>0</v>
      </c>
      <c r="F1849" s="980">
        <f t="shared" si="45"/>
        <v>937</v>
      </c>
      <c r="G1849" s="815">
        <f t="shared" si="45"/>
        <v>0</v>
      </c>
      <c r="H1849" s="816">
        <f t="shared" si="45"/>
        <v>17.88</v>
      </c>
      <c r="I1849" s="980">
        <f t="shared" si="45"/>
        <v>0</v>
      </c>
      <c r="J1849" s="981">
        <v>13</v>
      </c>
      <c r="K1849" s="895">
        <f t="shared" si="42"/>
        <v>0.5</v>
      </c>
      <c r="M1849" s="683"/>
      <c r="O1849" s="1205"/>
      <c r="P1849" s="11"/>
      <c r="W1849" s="4"/>
      <c r="X1849" s="4"/>
      <c r="Y1849" s="4"/>
      <c r="Z1849" s="4"/>
    </row>
    <row r="1850" spans="2:26" hidden="1" outlineLevel="2" x14ac:dyDescent="0.15">
      <c r="B1850" s="800" t="s">
        <v>1628</v>
      </c>
      <c r="C1850" s="812">
        <v>4325.3</v>
      </c>
      <c r="D1850" s="895">
        <v>0.3</v>
      </c>
      <c r="E1850" s="980">
        <f t="shared" si="45"/>
        <v>0</v>
      </c>
      <c r="F1850" s="980">
        <f t="shared" si="45"/>
        <v>937</v>
      </c>
      <c r="G1850" s="815">
        <f t="shared" si="45"/>
        <v>0</v>
      </c>
      <c r="H1850" s="816">
        <f t="shared" si="45"/>
        <v>17.88</v>
      </c>
      <c r="I1850" s="980">
        <f t="shared" si="45"/>
        <v>0</v>
      </c>
      <c r="J1850" s="981">
        <v>15</v>
      </c>
      <c r="K1850" s="895">
        <f t="shared" si="42"/>
        <v>0.5</v>
      </c>
      <c r="M1850" s="683"/>
      <c r="O1850" s="1205"/>
      <c r="P1850" s="11"/>
      <c r="W1850" s="4"/>
      <c r="X1850" s="4"/>
      <c r="Y1850" s="4"/>
      <c r="Z1850" s="4"/>
    </row>
    <row r="1851" spans="2:26" hidden="1" outlineLevel="2" x14ac:dyDescent="0.15">
      <c r="B1851" s="800" t="s">
        <v>1624</v>
      </c>
      <c r="C1851" s="812">
        <v>580.65</v>
      </c>
      <c r="D1851" s="895">
        <v>0.3</v>
      </c>
      <c r="E1851" s="980">
        <f t="shared" si="45"/>
        <v>0</v>
      </c>
      <c r="F1851" s="980">
        <f t="shared" si="45"/>
        <v>937</v>
      </c>
      <c r="G1851" s="815">
        <f t="shared" si="45"/>
        <v>0</v>
      </c>
      <c r="H1851" s="816">
        <f t="shared" si="45"/>
        <v>17.88</v>
      </c>
      <c r="I1851" s="980">
        <f t="shared" si="45"/>
        <v>0</v>
      </c>
      <c r="J1851" s="981">
        <v>17</v>
      </c>
      <c r="K1851" s="895">
        <f t="shared" si="42"/>
        <v>0.5</v>
      </c>
      <c r="M1851" s="683"/>
      <c r="O1851" s="1205"/>
      <c r="P1851" s="11"/>
      <c r="W1851" s="4"/>
      <c r="X1851" s="4"/>
      <c r="Y1851" s="4"/>
      <c r="Z1851" s="4"/>
    </row>
    <row r="1852" spans="2:26" hidden="1" outlineLevel="2" x14ac:dyDescent="0.15">
      <c r="B1852" s="800" t="s">
        <v>1629</v>
      </c>
      <c r="C1852" s="812">
        <v>451</v>
      </c>
      <c r="D1852" s="895">
        <v>0.3</v>
      </c>
      <c r="E1852" s="980">
        <f t="shared" si="45"/>
        <v>0</v>
      </c>
      <c r="F1852" s="980">
        <f t="shared" si="45"/>
        <v>937</v>
      </c>
      <c r="G1852" s="815">
        <f t="shared" si="45"/>
        <v>0</v>
      </c>
      <c r="H1852" s="816">
        <f t="shared" si="45"/>
        <v>17.88</v>
      </c>
      <c r="I1852" s="980">
        <f t="shared" si="45"/>
        <v>0</v>
      </c>
      <c r="J1852" s="981">
        <v>16</v>
      </c>
      <c r="K1852" s="895">
        <f t="shared" si="42"/>
        <v>0.5</v>
      </c>
      <c r="M1852" s="683"/>
      <c r="O1852" s="1205"/>
      <c r="P1852" s="11"/>
      <c r="W1852" s="4"/>
      <c r="X1852" s="4"/>
      <c r="Y1852" s="4"/>
      <c r="Z1852" s="4"/>
    </row>
    <row r="1853" spans="2:26" hidden="1" outlineLevel="2" x14ac:dyDescent="0.15">
      <c r="B1853" s="800" t="s">
        <v>1622</v>
      </c>
      <c r="C1853" s="812">
        <v>4800</v>
      </c>
      <c r="D1853" s="895">
        <v>0.3</v>
      </c>
      <c r="E1853" s="980">
        <f t="shared" si="45"/>
        <v>0</v>
      </c>
      <c r="F1853" s="980">
        <f t="shared" si="45"/>
        <v>937</v>
      </c>
      <c r="G1853" s="815">
        <f t="shared" si="45"/>
        <v>0</v>
      </c>
      <c r="H1853" s="816">
        <f t="shared" si="45"/>
        <v>17.88</v>
      </c>
      <c r="I1853" s="980">
        <f t="shared" si="45"/>
        <v>0</v>
      </c>
      <c r="J1853" s="981">
        <v>12</v>
      </c>
      <c r="K1853" s="895">
        <f t="shared" si="42"/>
        <v>0.5</v>
      </c>
      <c r="M1853" s="683"/>
      <c r="O1853" s="1205"/>
      <c r="P1853" s="11"/>
      <c r="W1853" s="4"/>
      <c r="X1853" s="4"/>
      <c r="Y1853" s="4"/>
      <c r="Z1853" s="4"/>
    </row>
    <row r="1854" spans="2:26" hidden="1" outlineLevel="2" x14ac:dyDescent="0.15">
      <c r="B1854" s="800" t="s">
        <v>1640</v>
      </c>
      <c r="C1854" s="812">
        <v>5020</v>
      </c>
      <c r="D1854" s="895">
        <v>0.3</v>
      </c>
      <c r="E1854" s="980">
        <f t="shared" si="45"/>
        <v>0</v>
      </c>
      <c r="F1854" s="980">
        <f t="shared" si="45"/>
        <v>937</v>
      </c>
      <c r="G1854" s="815">
        <f t="shared" si="45"/>
        <v>0</v>
      </c>
      <c r="H1854" s="816">
        <f t="shared" si="45"/>
        <v>17.88</v>
      </c>
      <c r="I1854" s="980">
        <f t="shared" si="45"/>
        <v>0</v>
      </c>
      <c r="J1854" s="981">
        <v>27</v>
      </c>
      <c r="K1854" s="895">
        <f t="shared" si="42"/>
        <v>0.5</v>
      </c>
      <c r="M1854" s="683"/>
      <c r="O1854" s="1205"/>
      <c r="P1854" s="11"/>
      <c r="W1854" s="4"/>
      <c r="X1854" s="4"/>
      <c r="Y1854" s="4"/>
      <c r="Z1854" s="4"/>
    </row>
    <row r="1855" spans="2:26" hidden="1" outlineLevel="2" x14ac:dyDescent="0.15">
      <c r="B1855" s="800" t="s">
        <v>1647</v>
      </c>
      <c r="C1855" s="812">
        <v>1750</v>
      </c>
      <c r="D1855" s="895">
        <v>0.3</v>
      </c>
      <c r="E1855" s="980">
        <f t="shared" si="45"/>
        <v>0</v>
      </c>
      <c r="F1855" s="980">
        <f t="shared" si="45"/>
        <v>937</v>
      </c>
      <c r="G1855" s="815">
        <f t="shared" si="45"/>
        <v>0</v>
      </c>
      <c r="H1855" s="816">
        <f t="shared" si="45"/>
        <v>17.88</v>
      </c>
      <c r="I1855" s="980">
        <f t="shared" si="45"/>
        <v>0</v>
      </c>
      <c r="J1855" s="981">
        <v>25</v>
      </c>
      <c r="K1855" s="895">
        <f t="shared" si="42"/>
        <v>0.5</v>
      </c>
      <c r="M1855" s="683"/>
      <c r="O1855" s="1205"/>
      <c r="P1855" s="11"/>
      <c r="W1855" s="4"/>
      <c r="X1855" s="4"/>
      <c r="Y1855" s="4"/>
      <c r="Z1855" s="4"/>
    </row>
    <row r="1856" spans="2:26" hidden="1" outlineLevel="2" x14ac:dyDescent="0.15">
      <c r="B1856" s="800" t="s">
        <v>1646</v>
      </c>
      <c r="C1856" s="812">
        <v>1680</v>
      </c>
      <c r="D1856" s="895">
        <v>0.3</v>
      </c>
      <c r="E1856" s="980">
        <f t="shared" si="45"/>
        <v>0</v>
      </c>
      <c r="F1856" s="980">
        <f t="shared" si="45"/>
        <v>937</v>
      </c>
      <c r="G1856" s="815">
        <f t="shared" si="45"/>
        <v>0</v>
      </c>
      <c r="H1856" s="816">
        <f t="shared" si="45"/>
        <v>17.88</v>
      </c>
      <c r="I1856" s="980">
        <f t="shared" si="45"/>
        <v>0</v>
      </c>
      <c r="J1856" s="981">
        <v>24</v>
      </c>
      <c r="K1856" s="895">
        <f t="shared" si="42"/>
        <v>0.5</v>
      </c>
      <c r="M1856" s="683"/>
      <c r="O1856" s="1205"/>
      <c r="P1856" s="11"/>
      <c r="W1856" s="4"/>
      <c r="X1856" s="4"/>
      <c r="Y1856" s="4"/>
      <c r="Z1856" s="4"/>
    </row>
    <row r="1857" spans="2:26" hidden="1" outlineLevel="2" x14ac:dyDescent="0.15">
      <c r="B1857" s="800" t="s">
        <v>1633</v>
      </c>
      <c r="C1857" s="812">
        <v>580.65</v>
      </c>
      <c r="D1857" s="895">
        <v>0.3</v>
      </c>
      <c r="E1857" s="980">
        <f t="shared" si="45"/>
        <v>0</v>
      </c>
      <c r="F1857" s="980">
        <f t="shared" si="45"/>
        <v>937</v>
      </c>
      <c r="G1857" s="815">
        <f t="shared" si="45"/>
        <v>0</v>
      </c>
      <c r="H1857" s="816">
        <f t="shared" si="45"/>
        <v>17.88</v>
      </c>
      <c r="I1857" s="980">
        <f t="shared" si="45"/>
        <v>0</v>
      </c>
      <c r="J1857" s="981">
        <v>18</v>
      </c>
      <c r="K1857" s="895">
        <f t="shared" si="42"/>
        <v>0.5</v>
      </c>
      <c r="M1857" s="683"/>
      <c r="O1857" s="1205"/>
      <c r="P1857" s="11"/>
      <c r="W1857" s="4"/>
      <c r="X1857" s="4"/>
      <c r="Y1857" s="4"/>
      <c r="Z1857" s="4"/>
    </row>
    <row r="1858" spans="2:26" hidden="1" outlineLevel="2" x14ac:dyDescent="0.15">
      <c r="B1858" s="800" t="s">
        <v>1621</v>
      </c>
      <c r="C1858" s="812">
        <v>451</v>
      </c>
      <c r="D1858" s="895">
        <v>0.3</v>
      </c>
      <c r="E1858" s="980">
        <f t="shared" si="45"/>
        <v>0</v>
      </c>
      <c r="F1858" s="980">
        <f t="shared" si="45"/>
        <v>937</v>
      </c>
      <c r="G1858" s="815">
        <f t="shared" si="45"/>
        <v>0</v>
      </c>
      <c r="H1858" s="816">
        <f t="shared" si="45"/>
        <v>17.88</v>
      </c>
      <c r="I1858" s="980">
        <f t="shared" si="45"/>
        <v>0</v>
      </c>
      <c r="J1858" s="981">
        <v>11</v>
      </c>
      <c r="K1858" s="895">
        <f t="shared" si="42"/>
        <v>0.5</v>
      </c>
      <c r="M1858" s="683"/>
      <c r="O1858" s="1205"/>
      <c r="P1858" s="11"/>
      <c r="W1858" s="4"/>
      <c r="X1858" s="4"/>
      <c r="Y1858" s="4"/>
      <c r="Z1858" s="4"/>
    </row>
    <row r="1859" spans="2:26" hidden="1" outlineLevel="2" x14ac:dyDescent="0.15">
      <c r="B1859" s="800" t="s">
        <v>1634</v>
      </c>
      <c r="C1859" s="812">
        <v>451</v>
      </c>
      <c r="D1859" s="895">
        <v>0.3</v>
      </c>
      <c r="E1859" s="980">
        <f t="shared" si="45"/>
        <v>0</v>
      </c>
      <c r="F1859" s="980">
        <f t="shared" si="45"/>
        <v>937</v>
      </c>
      <c r="G1859" s="815">
        <f t="shared" si="45"/>
        <v>0</v>
      </c>
      <c r="H1859" s="816">
        <f t="shared" si="45"/>
        <v>17.88</v>
      </c>
      <c r="I1859" s="980">
        <f t="shared" si="45"/>
        <v>0</v>
      </c>
      <c r="J1859" s="981">
        <v>19</v>
      </c>
      <c r="K1859" s="895">
        <f t="shared" si="42"/>
        <v>0.5</v>
      </c>
      <c r="M1859" s="683"/>
      <c r="O1859" s="1205"/>
      <c r="P1859" s="11"/>
      <c r="W1859" s="4"/>
      <c r="X1859" s="4"/>
      <c r="Y1859" s="4"/>
      <c r="Z1859" s="4"/>
    </row>
    <row r="1860" spans="2:26" hidden="1" outlineLevel="2" x14ac:dyDescent="0.15">
      <c r="B1860" s="800" t="s">
        <v>1638</v>
      </c>
      <c r="C1860" s="812">
        <v>3320</v>
      </c>
      <c r="D1860" s="895">
        <v>0.3</v>
      </c>
      <c r="E1860" s="980">
        <f t="shared" si="45"/>
        <v>0</v>
      </c>
      <c r="F1860" s="980">
        <f t="shared" si="45"/>
        <v>937</v>
      </c>
      <c r="G1860" s="815">
        <f t="shared" si="45"/>
        <v>0</v>
      </c>
      <c r="H1860" s="816">
        <f t="shared" si="45"/>
        <v>17.88</v>
      </c>
      <c r="I1860" s="980">
        <f t="shared" si="45"/>
        <v>0</v>
      </c>
      <c r="J1860" s="981">
        <v>23</v>
      </c>
      <c r="K1860" s="895">
        <f t="shared" si="42"/>
        <v>0.5</v>
      </c>
      <c r="M1860" s="683"/>
      <c r="O1860" s="1205"/>
      <c r="P1860" s="11"/>
      <c r="W1860" s="4"/>
      <c r="X1860" s="4"/>
      <c r="Y1860" s="4"/>
      <c r="Z1860" s="4"/>
    </row>
    <row r="1861" spans="2:26" hidden="1" outlineLevel="2" x14ac:dyDescent="0.15">
      <c r="B1861" s="800" t="s">
        <v>1635</v>
      </c>
      <c r="C1861" s="812">
        <v>470</v>
      </c>
      <c r="D1861" s="895">
        <v>0.3</v>
      </c>
      <c r="E1861" s="980">
        <f t="shared" si="45"/>
        <v>0</v>
      </c>
      <c r="F1861" s="980">
        <f t="shared" si="45"/>
        <v>937</v>
      </c>
      <c r="G1861" s="815">
        <f t="shared" si="45"/>
        <v>0</v>
      </c>
      <c r="H1861" s="816">
        <f t="shared" si="45"/>
        <v>17.88</v>
      </c>
      <c r="I1861" s="980">
        <f t="shared" si="45"/>
        <v>0</v>
      </c>
      <c r="J1861" s="981">
        <v>20</v>
      </c>
      <c r="K1861" s="895">
        <f t="shared" si="42"/>
        <v>0.5</v>
      </c>
      <c r="M1861" s="683"/>
      <c r="O1861" s="1205"/>
      <c r="P1861" s="11"/>
      <c r="W1861" s="4"/>
      <c r="X1861" s="4"/>
      <c r="Y1861" s="4"/>
      <c r="Z1861" s="4"/>
    </row>
    <row r="1862" spans="2:26" hidden="1" outlineLevel="2" x14ac:dyDescent="0.15">
      <c r="B1862" s="800" t="s">
        <v>1636</v>
      </c>
      <c r="C1862" s="812">
        <v>5030</v>
      </c>
      <c r="D1862" s="895">
        <v>0.3</v>
      </c>
      <c r="E1862" s="980">
        <f t="shared" si="45"/>
        <v>0</v>
      </c>
      <c r="F1862" s="980">
        <f t="shared" si="45"/>
        <v>937</v>
      </c>
      <c r="G1862" s="815">
        <f t="shared" si="45"/>
        <v>0</v>
      </c>
      <c r="H1862" s="816">
        <f t="shared" si="45"/>
        <v>17.88</v>
      </c>
      <c r="I1862" s="980">
        <f t="shared" si="45"/>
        <v>0</v>
      </c>
      <c r="J1862" s="981">
        <v>21</v>
      </c>
      <c r="K1862" s="895">
        <f t="shared" si="42"/>
        <v>0.5</v>
      </c>
      <c r="M1862" s="683"/>
      <c r="O1862" s="1205"/>
      <c r="P1862" s="11"/>
      <c r="W1862" s="4"/>
      <c r="X1862" s="4"/>
      <c r="Y1862" s="4"/>
      <c r="Z1862" s="4"/>
    </row>
    <row r="1863" spans="2:26" hidden="1" outlineLevel="2" x14ac:dyDescent="0.15">
      <c r="B1863" s="800" t="s">
        <v>1637</v>
      </c>
      <c r="C1863" s="812">
        <v>467</v>
      </c>
      <c r="D1863" s="895">
        <v>0.3</v>
      </c>
      <c r="E1863" s="980">
        <f t="shared" si="45"/>
        <v>0</v>
      </c>
      <c r="F1863" s="980">
        <f t="shared" si="45"/>
        <v>937</v>
      </c>
      <c r="G1863" s="815">
        <f t="shared" si="45"/>
        <v>0</v>
      </c>
      <c r="H1863" s="816">
        <f t="shared" si="45"/>
        <v>17.88</v>
      </c>
      <c r="I1863" s="980">
        <f t="shared" si="45"/>
        <v>0</v>
      </c>
      <c r="J1863" s="981">
        <v>22</v>
      </c>
      <c r="K1863" s="895">
        <f t="shared" si="42"/>
        <v>0.5</v>
      </c>
      <c r="M1863" s="683"/>
      <c r="O1863" s="1205"/>
      <c r="P1863" s="11"/>
      <c r="W1863" s="4"/>
      <c r="X1863" s="4"/>
      <c r="Y1863" s="4"/>
      <c r="Z1863" s="4"/>
    </row>
    <row r="1864" spans="2:26" hidden="1" outlineLevel="2" x14ac:dyDescent="0.15">
      <c r="B1864" s="800" t="s">
        <v>1630</v>
      </c>
      <c r="C1864" s="812">
        <v>580.65</v>
      </c>
      <c r="D1864" s="895">
        <v>0.3</v>
      </c>
      <c r="E1864" s="980">
        <f t="shared" si="45"/>
        <v>0</v>
      </c>
      <c r="F1864" s="980">
        <f t="shared" si="45"/>
        <v>937</v>
      </c>
      <c r="G1864" s="815">
        <f t="shared" si="45"/>
        <v>0</v>
      </c>
      <c r="H1864" s="816">
        <f t="shared" si="45"/>
        <v>17.88</v>
      </c>
      <c r="I1864" s="980">
        <f t="shared" si="45"/>
        <v>0</v>
      </c>
      <c r="J1864" s="981">
        <v>28</v>
      </c>
      <c r="K1864" s="895">
        <f t="shared" si="42"/>
        <v>0.5</v>
      </c>
      <c r="M1864" s="683"/>
      <c r="O1864" s="1205"/>
      <c r="P1864" s="11"/>
      <c r="W1864" s="4"/>
      <c r="X1864" s="4"/>
      <c r="Y1864" s="4"/>
      <c r="Z1864" s="4"/>
    </row>
    <row r="1865" spans="2:26" hidden="1" outlineLevel="2" x14ac:dyDescent="0.15">
      <c r="B1865" s="800" t="s">
        <v>1641</v>
      </c>
      <c r="C1865" s="812">
        <v>3692.65</v>
      </c>
      <c r="D1865" s="895">
        <v>0.3</v>
      </c>
      <c r="E1865" s="980">
        <f t="shared" si="45"/>
        <v>0</v>
      </c>
      <c r="F1865" s="980">
        <f t="shared" si="45"/>
        <v>937</v>
      </c>
      <c r="G1865" s="815">
        <f t="shared" si="45"/>
        <v>0</v>
      </c>
      <c r="H1865" s="816">
        <f t="shared" si="45"/>
        <v>17.88</v>
      </c>
      <c r="I1865" s="980">
        <f t="shared" si="45"/>
        <v>0</v>
      </c>
      <c r="J1865" s="981">
        <v>29</v>
      </c>
      <c r="K1865" s="895">
        <f t="shared" si="42"/>
        <v>0.5</v>
      </c>
      <c r="M1865" s="683"/>
      <c r="O1865" s="1205"/>
      <c r="P1865" s="11"/>
      <c r="W1865" s="4"/>
      <c r="X1865" s="4"/>
      <c r="Y1865" s="4"/>
      <c r="Z1865" s="4"/>
    </row>
    <row r="1866" spans="2:26" hidden="1" outlineLevel="2" x14ac:dyDescent="0.15">
      <c r="B1866" s="800"/>
      <c r="C1866" s="812"/>
      <c r="D1866" s="895"/>
      <c r="E1866" s="980"/>
      <c r="F1866" s="980"/>
      <c r="G1866" s="815"/>
      <c r="H1866" s="816"/>
      <c r="I1866" s="980"/>
      <c r="J1866" s="981"/>
      <c r="K1866" s="895"/>
      <c r="M1866" s="683"/>
      <c r="O1866" s="1205"/>
      <c r="P1866" s="11"/>
      <c r="W1866" s="4"/>
      <c r="X1866" s="4"/>
      <c r="Y1866" s="4"/>
      <c r="Z1866" s="4"/>
    </row>
    <row r="1867" spans="2:26" hidden="1" outlineLevel="2" x14ac:dyDescent="0.15">
      <c r="B1867" s="800" t="s">
        <v>1643</v>
      </c>
      <c r="C1867" s="812">
        <v>6.1368</v>
      </c>
      <c r="D1867" s="895">
        <v>0.5</v>
      </c>
      <c r="E1867" s="980">
        <f>E1865</f>
        <v>0</v>
      </c>
      <c r="F1867" s="980">
        <f>F1865</f>
        <v>937</v>
      </c>
      <c r="G1867" s="815">
        <f>G1865</f>
        <v>0</v>
      </c>
      <c r="H1867" s="816">
        <f>H1865</f>
        <v>17.88</v>
      </c>
      <c r="I1867" s="980">
        <f>I1865</f>
        <v>0</v>
      </c>
      <c r="J1867" s="981">
        <v>30</v>
      </c>
      <c r="K1867" s="895">
        <f t="shared" ref="K1867:K1872" si="46">$J$2294</f>
        <v>0.5</v>
      </c>
      <c r="M1867" s="683"/>
      <c r="O1867" s="1205"/>
      <c r="P1867" s="11"/>
      <c r="W1867" s="4"/>
      <c r="X1867" s="4"/>
      <c r="Y1867" s="4"/>
      <c r="Z1867" s="4"/>
    </row>
    <row r="1868" spans="2:26" hidden="1" outlineLevel="2" x14ac:dyDescent="0.15">
      <c r="B1868" s="800" t="s">
        <v>1644</v>
      </c>
      <c r="C1868" s="812">
        <v>8.6387</v>
      </c>
      <c r="D1868" s="895">
        <v>0.5</v>
      </c>
      <c r="E1868" s="980">
        <f t="shared" ref="E1868:I1872" si="47">E1867</f>
        <v>0</v>
      </c>
      <c r="F1868" s="980">
        <f t="shared" si="47"/>
        <v>937</v>
      </c>
      <c r="G1868" s="815">
        <f t="shared" si="47"/>
        <v>0</v>
      </c>
      <c r="H1868" s="816">
        <f t="shared" si="47"/>
        <v>17.88</v>
      </c>
      <c r="I1868" s="980">
        <f t="shared" si="47"/>
        <v>0</v>
      </c>
      <c r="J1868" s="981">
        <v>35</v>
      </c>
      <c r="K1868" s="895">
        <f t="shared" si="46"/>
        <v>0.5</v>
      </c>
      <c r="M1868" s="683"/>
      <c r="O1868" s="1205"/>
      <c r="P1868" s="11"/>
      <c r="W1868" s="4"/>
      <c r="X1868" s="4"/>
      <c r="Y1868" s="4"/>
      <c r="Z1868" s="4"/>
    </row>
    <row r="1869" spans="2:26" hidden="1" outlineLevel="2" x14ac:dyDescent="0.15">
      <c r="B1869" s="800" t="s">
        <v>1631</v>
      </c>
      <c r="C1869" s="812">
        <v>9.1522999999999985</v>
      </c>
      <c r="D1869" s="895">
        <v>0.5</v>
      </c>
      <c r="E1869" s="980">
        <f t="shared" si="47"/>
        <v>0</v>
      </c>
      <c r="F1869" s="980">
        <f t="shared" si="47"/>
        <v>937</v>
      </c>
      <c r="G1869" s="815">
        <f t="shared" si="47"/>
        <v>0</v>
      </c>
      <c r="H1869" s="816">
        <f t="shared" si="47"/>
        <v>17.88</v>
      </c>
      <c r="I1869" s="980">
        <f t="shared" si="47"/>
        <v>0</v>
      </c>
      <c r="J1869" s="981">
        <v>31</v>
      </c>
      <c r="K1869" s="895">
        <f t="shared" si="46"/>
        <v>0.5</v>
      </c>
      <c r="M1869" s="683"/>
      <c r="O1869" s="1205"/>
      <c r="P1869" s="11"/>
      <c r="W1869" s="4"/>
      <c r="X1869" s="4"/>
      <c r="Y1869" s="4"/>
      <c r="Z1869" s="4"/>
    </row>
    <row r="1870" spans="2:26" hidden="1" outlineLevel="2" x14ac:dyDescent="0.15">
      <c r="B1870" s="800" t="s">
        <v>1632</v>
      </c>
      <c r="C1870" s="812">
        <v>25.497</v>
      </c>
      <c r="D1870" s="895">
        <v>0.5</v>
      </c>
      <c r="E1870" s="980">
        <f t="shared" si="47"/>
        <v>0</v>
      </c>
      <c r="F1870" s="980">
        <f t="shared" si="47"/>
        <v>937</v>
      </c>
      <c r="G1870" s="815">
        <f t="shared" si="47"/>
        <v>0</v>
      </c>
      <c r="H1870" s="816">
        <f t="shared" si="47"/>
        <v>17.88</v>
      </c>
      <c r="I1870" s="980">
        <f t="shared" si="47"/>
        <v>0</v>
      </c>
      <c r="J1870" s="981">
        <v>32</v>
      </c>
      <c r="K1870" s="895">
        <f t="shared" si="46"/>
        <v>0.5</v>
      </c>
      <c r="M1870" s="683"/>
      <c r="O1870" s="1205"/>
      <c r="P1870" s="11"/>
      <c r="W1870" s="4"/>
      <c r="X1870" s="4"/>
      <c r="Y1870" s="4"/>
      <c r="Z1870" s="4"/>
    </row>
    <row r="1871" spans="2:26" hidden="1" outlineLevel="2" x14ac:dyDescent="0.15">
      <c r="B1871" s="800" t="s">
        <v>1645</v>
      </c>
      <c r="C1871" s="812">
        <v>8.9437999999999995</v>
      </c>
      <c r="D1871" s="895">
        <v>0.5</v>
      </c>
      <c r="E1871" s="980">
        <f t="shared" si="47"/>
        <v>0</v>
      </c>
      <c r="F1871" s="980">
        <f t="shared" si="47"/>
        <v>937</v>
      </c>
      <c r="G1871" s="815">
        <f t="shared" si="47"/>
        <v>0</v>
      </c>
      <c r="H1871" s="816">
        <f t="shared" si="47"/>
        <v>17.88</v>
      </c>
      <c r="I1871" s="980">
        <f t="shared" si="47"/>
        <v>0</v>
      </c>
      <c r="J1871" s="981">
        <v>33</v>
      </c>
      <c r="K1871" s="895">
        <f t="shared" si="46"/>
        <v>0.5</v>
      </c>
      <c r="M1871" s="683"/>
      <c r="O1871" s="1205"/>
      <c r="P1871" s="11"/>
      <c r="W1871" s="4"/>
      <c r="X1871" s="4"/>
      <c r="Y1871" s="4"/>
      <c r="Z1871" s="4"/>
    </row>
    <row r="1872" spans="2:26" hidden="1" outlineLevel="2" x14ac:dyDescent="0.15">
      <c r="B1872" s="800" t="s">
        <v>1642</v>
      </c>
      <c r="C1872" s="812">
        <v>9.1999999999999993</v>
      </c>
      <c r="D1872" s="895">
        <v>0.5</v>
      </c>
      <c r="E1872" s="980">
        <f t="shared" si="47"/>
        <v>0</v>
      </c>
      <c r="F1872" s="980">
        <f t="shared" si="47"/>
        <v>937</v>
      </c>
      <c r="G1872" s="815">
        <f t="shared" si="47"/>
        <v>0</v>
      </c>
      <c r="H1872" s="816">
        <f t="shared" si="47"/>
        <v>17.88</v>
      </c>
      <c r="I1872" s="980">
        <f t="shared" si="47"/>
        <v>0</v>
      </c>
      <c r="J1872" s="981">
        <v>34</v>
      </c>
      <c r="K1872" s="895">
        <f t="shared" si="46"/>
        <v>0.5</v>
      </c>
      <c r="M1872" s="683"/>
      <c r="O1872" s="1205"/>
      <c r="P1872" s="11"/>
      <c r="W1872" s="4"/>
      <c r="X1872" s="4"/>
      <c r="Y1872" s="4"/>
      <c r="Z1872" s="4"/>
    </row>
    <row r="1873" spans="2:28" hidden="1" outlineLevel="2" x14ac:dyDescent="0.15">
      <c r="B1873" s="801"/>
      <c r="C1873" s="813"/>
      <c r="D1873" s="1062"/>
      <c r="E1873" s="1045"/>
      <c r="F1873" s="1045"/>
      <c r="G1873" s="817"/>
      <c r="H1873" s="817"/>
      <c r="I1873" s="1045"/>
      <c r="J1873" s="1039"/>
      <c r="K1873" s="1062"/>
      <c r="O1873" s="1205"/>
      <c r="P1873" s="11"/>
      <c r="W1873" s="4"/>
      <c r="X1873" s="4"/>
      <c r="Y1873" s="4"/>
      <c r="Z1873" s="4"/>
    </row>
    <row r="1874" spans="2:28" hidden="1" outlineLevel="2" x14ac:dyDescent="0.15">
      <c r="W1874" s="4"/>
      <c r="X1874" s="4"/>
      <c r="Y1874" s="4"/>
      <c r="Z1874" s="4"/>
    </row>
    <row r="1875" spans="2:28" hidden="1" outlineLevel="2" x14ac:dyDescent="0.15">
      <c r="B1875" s="832" t="s">
        <v>1648</v>
      </c>
      <c r="C1875" s="1475"/>
      <c r="D1875" s="1863" t="s">
        <v>1131</v>
      </c>
      <c r="E1875" s="1876" t="s">
        <v>1515</v>
      </c>
      <c r="F1875" s="1877"/>
      <c r="G1875" s="1877"/>
      <c r="H1875" s="1877"/>
      <c r="I1875" s="1878"/>
      <c r="J1875" s="1874" t="s">
        <v>723</v>
      </c>
      <c r="W1875" s="4"/>
      <c r="X1875" s="4"/>
      <c r="Y1875" s="4"/>
      <c r="Z1875" s="4"/>
      <c r="AA1875" s="4"/>
    </row>
    <row r="1876" spans="2:28" ht="14" hidden="1" outlineLevel="2" x14ac:dyDescent="0.15">
      <c r="B1876" s="1497"/>
      <c r="C1876" s="1497" t="s">
        <v>1130</v>
      </c>
      <c r="D1876" s="1864"/>
      <c r="E1876" s="1511" t="s">
        <v>14</v>
      </c>
      <c r="F1876" s="1047" t="s">
        <v>695</v>
      </c>
      <c r="G1876" s="1047" t="s">
        <v>27</v>
      </c>
      <c r="H1876" s="1047" t="s">
        <v>2589</v>
      </c>
      <c r="I1876" s="1496" t="s">
        <v>694</v>
      </c>
      <c r="J1876" s="1875"/>
      <c r="W1876" s="4"/>
      <c r="X1876" s="4"/>
      <c r="Y1876" s="4"/>
      <c r="Z1876" s="4"/>
      <c r="AA1876" s="4"/>
      <c r="AB1876" s="4"/>
    </row>
    <row r="1877" spans="2:28" hidden="1" outlineLevel="2" x14ac:dyDescent="0.15">
      <c r="B1877" s="1512" t="s">
        <v>1662</v>
      </c>
      <c r="C1877" s="1463" t="s">
        <v>697</v>
      </c>
      <c r="D1877" s="1513">
        <v>26.001099999999997</v>
      </c>
      <c r="E1877" s="1513">
        <v>24.2</v>
      </c>
      <c r="F1877" s="983">
        <v>1.47</v>
      </c>
      <c r="G1877" s="883">
        <v>0</v>
      </c>
      <c r="H1877" s="983">
        <v>0.24199999999999999</v>
      </c>
      <c r="I1877" s="1517">
        <v>8.9099999999999999E-2</v>
      </c>
      <c r="J1877" s="1514">
        <v>0.5</v>
      </c>
      <c r="W1877" s="4"/>
      <c r="X1877" s="4"/>
      <c r="Y1877" s="4"/>
      <c r="Z1877" s="4"/>
      <c r="AA1877" s="4"/>
      <c r="AB1877" s="4"/>
    </row>
    <row r="1878" spans="2:28" hidden="1" outlineLevel="2" x14ac:dyDescent="0.15">
      <c r="B1878" s="806" t="s">
        <v>1663</v>
      </c>
      <c r="C1878" s="800" t="s">
        <v>697</v>
      </c>
      <c r="D1878" s="980">
        <v>33.473201000000003</v>
      </c>
      <c r="E1878" s="980">
        <v>30.7</v>
      </c>
      <c r="F1878" s="816">
        <v>2.4300000000000002</v>
      </c>
      <c r="G1878" s="815">
        <v>0</v>
      </c>
      <c r="H1878" s="816">
        <v>0.34300000000000003</v>
      </c>
      <c r="I1878" s="1518">
        <v>2.0100000000000001E-4</v>
      </c>
      <c r="J1878" s="807">
        <v>0.5</v>
      </c>
      <c r="W1878" s="4"/>
      <c r="X1878" s="4"/>
      <c r="Y1878" s="4"/>
      <c r="Z1878" s="4"/>
      <c r="AA1878" s="4"/>
      <c r="AB1878" s="4"/>
    </row>
    <row r="1879" spans="2:28" hidden="1" outlineLevel="2" x14ac:dyDescent="0.15">
      <c r="B1879" s="806" t="s">
        <v>1664</v>
      </c>
      <c r="C1879" s="800" t="s">
        <v>698</v>
      </c>
      <c r="D1879" s="1516">
        <v>0.37997799999999993</v>
      </c>
      <c r="E1879" s="1516">
        <v>0.35</v>
      </c>
      <c r="F1879" s="971">
        <v>2.3400000000000001E-2</v>
      </c>
      <c r="G1879" s="815">
        <v>0</v>
      </c>
      <c r="H1879" s="971">
        <v>5.7499999999999999E-3</v>
      </c>
      <c r="I1879" s="1518">
        <v>8.2799999999999996E-4</v>
      </c>
      <c r="J1879" s="807">
        <v>0.5</v>
      </c>
      <c r="W1879" s="4"/>
      <c r="X1879" s="4"/>
      <c r="Y1879" s="4"/>
      <c r="Z1879" s="4"/>
      <c r="AA1879" s="4"/>
      <c r="AB1879" s="4"/>
    </row>
    <row r="1880" spans="2:28" hidden="1" outlineLevel="2" x14ac:dyDescent="0.15">
      <c r="B1880" s="806" t="s">
        <v>1665</v>
      </c>
      <c r="C1880" s="800" t="s">
        <v>698</v>
      </c>
      <c r="D1880" s="1516">
        <v>7.4166999999999997E-2</v>
      </c>
      <c r="E1880" s="1516">
        <v>6.8099999999999994E-2</v>
      </c>
      <c r="F1880" s="971">
        <v>4.4400000000000004E-3</v>
      </c>
      <c r="G1880" s="815">
        <v>0</v>
      </c>
      <c r="H1880" s="971">
        <v>1.08E-3</v>
      </c>
      <c r="I1880" s="1518">
        <v>5.4699999999999996E-4</v>
      </c>
      <c r="J1880" s="807">
        <v>0.5</v>
      </c>
      <c r="W1880" s="4"/>
      <c r="X1880" s="4"/>
      <c r="Y1880" s="4"/>
      <c r="Z1880" s="4"/>
      <c r="AA1880" s="4"/>
      <c r="AB1880" s="4"/>
    </row>
    <row r="1881" spans="2:28" hidden="1" outlineLevel="2" x14ac:dyDescent="0.15">
      <c r="B1881" s="806" t="s">
        <v>1666</v>
      </c>
      <c r="C1881" s="800" t="s">
        <v>698</v>
      </c>
      <c r="D1881" s="1516">
        <v>2.1580999999999999E-2</v>
      </c>
      <c r="E1881" s="1516">
        <v>1.9800000000000002E-2</v>
      </c>
      <c r="F1881" s="971">
        <v>1.32E-3</v>
      </c>
      <c r="G1881" s="815">
        <v>0</v>
      </c>
      <c r="H1881" s="971">
        <v>2.92E-4</v>
      </c>
      <c r="I1881" s="1518">
        <v>1.6899999999999999E-4</v>
      </c>
      <c r="J1881" s="807">
        <v>0.5</v>
      </c>
      <c r="W1881" s="4"/>
      <c r="X1881" s="4"/>
      <c r="Y1881" s="4"/>
      <c r="Z1881" s="4"/>
      <c r="AA1881" s="4"/>
      <c r="AB1881" s="4"/>
    </row>
    <row r="1882" spans="2:28" hidden="1" outlineLevel="2" x14ac:dyDescent="0.15">
      <c r="B1882" s="806" t="s">
        <v>1667</v>
      </c>
      <c r="C1882" s="800" t="s">
        <v>1130</v>
      </c>
      <c r="D1882" s="1516">
        <v>6.5267390000000008E-2</v>
      </c>
      <c r="E1882" s="1516">
        <v>6.0900000000000003E-2</v>
      </c>
      <c r="F1882" s="971">
        <v>3.63E-3</v>
      </c>
      <c r="G1882" s="815">
        <v>0</v>
      </c>
      <c r="H1882" s="971">
        <v>7.3399999999999995E-4</v>
      </c>
      <c r="I1882" s="1518">
        <v>3.3900000000000002E-6</v>
      </c>
      <c r="J1882" s="807">
        <v>0.5</v>
      </c>
      <c r="W1882" s="4"/>
      <c r="X1882" s="4"/>
      <c r="Y1882" s="4"/>
      <c r="Z1882" s="4"/>
      <c r="AA1882" s="4"/>
      <c r="AB1882" s="4"/>
    </row>
    <row r="1883" spans="2:28" hidden="1" outlineLevel="2" x14ac:dyDescent="0.15">
      <c r="B1883" s="806" t="s">
        <v>1668</v>
      </c>
      <c r="C1883" s="800" t="s">
        <v>1130</v>
      </c>
      <c r="D1883" s="1516">
        <v>0.13718708000000002</v>
      </c>
      <c r="E1883" s="1516">
        <v>0.128</v>
      </c>
      <c r="F1883" s="971">
        <v>7.6400000000000001E-3</v>
      </c>
      <c r="G1883" s="815">
        <v>0</v>
      </c>
      <c r="H1883" s="971">
        <v>1.5399999999999999E-3</v>
      </c>
      <c r="I1883" s="1518">
        <v>7.08E-6</v>
      </c>
      <c r="J1883" s="807">
        <v>0.5</v>
      </c>
      <c r="W1883" s="4"/>
      <c r="X1883" s="4"/>
      <c r="Y1883" s="4"/>
      <c r="Z1883" s="4"/>
      <c r="AA1883" s="4"/>
      <c r="AB1883" s="4"/>
    </row>
    <row r="1884" spans="2:28" hidden="1" outlineLevel="2" x14ac:dyDescent="0.15">
      <c r="B1884" s="806"/>
      <c r="C1884" s="800"/>
      <c r="D1884" s="1516"/>
      <c r="E1884" s="1516"/>
      <c r="F1884" s="971"/>
      <c r="G1884" s="815"/>
      <c r="H1884" s="971"/>
      <c r="I1884" s="1518"/>
      <c r="J1884" s="807"/>
      <c r="W1884" s="4"/>
      <c r="X1884" s="4"/>
      <c r="Y1884" s="4"/>
      <c r="Z1884" s="4"/>
      <c r="AA1884" s="4"/>
      <c r="AB1884" s="4"/>
    </row>
    <row r="1885" spans="2:28" hidden="1" outlineLevel="2" x14ac:dyDescent="0.15">
      <c r="B1885" s="806" t="s">
        <v>1674</v>
      </c>
      <c r="C1885" s="800" t="s">
        <v>1669</v>
      </c>
      <c r="D1885" s="1516">
        <v>2.3891124000000001</v>
      </c>
      <c r="E1885" s="1516">
        <v>2.17</v>
      </c>
      <c r="F1885" s="971">
        <v>0.14099999999999999</v>
      </c>
      <c r="G1885" s="815">
        <v>0</v>
      </c>
      <c r="H1885" s="971">
        <v>7.8100000000000003E-2</v>
      </c>
      <c r="I1885" s="1518">
        <v>1.24E-5</v>
      </c>
      <c r="J1885" s="807">
        <v>0.5</v>
      </c>
      <c r="W1885" s="4"/>
      <c r="X1885" s="4"/>
      <c r="Y1885" s="4"/>
      <c r="Z1885" s="4"/>
      <c r="AA1885" s="4"/>
      <c r="AB1885" s="4"/>
    </row>
    <row r="1886" spans="2:28" ht="14" hidden="1" outlineLevel="2" x14ac:dyDescent="0.15">
      <c r="B1886" s="1587" t="s">
        <v>1673</v>
      </c>
      <c r="C1886" s="800" t="s">
        <v>1669</v>
      </c>
      <c r="D1886" s="1516">
        <v>1.8827037900000001</v>
      </c>
      <c r="E1886" s="1516">
        <v>1.75</v>
      </c>
      <c r="F1886" s="971">
        <v>0.113</v>
      </c>
      <c r="G1886" s="815">
        <v>0</v>
      </c>
      <c r="H1886" s="971">
        <v>1.9699999999999999E-2</v>
      </c>
      <c r="I1886" s="1518">
        <v>3.7900000000000001E-6</v>
      </c>
      <c r="J1886" s="807">
        <v>0.5</v>
      </c>
      <c r="W1886" s="4"/>
      <c r="X1886" s="4"/>
      <c r="Y1886" s="4"/>
      <c r="Z1886" s="4"/>
      <c r="AA1886" s="4"/>
      <c r="AB1886" s="4"/>
    </row>
    <row r="1887" spans="2:28" ht="14" hidden="1" outlineLevel="2" x14ac:dyDescent="0.15">
      <c r="B1887" s="1587" t="s">
        <v>1672</v>
      </c>
      <c r="C1887" s="800" t="s">
        <v>1669</v>
      </c>
      <c r="D1887" s="1516">
        <v>1.6254087699999999</v>
      </c>
      <c r="E1887" s="1516">
        <v>1.51</v>
      </c>
      <c r="F1887" s="971">
        <v>9.9199999999999997E-2</v>
      </c>
      <c r="G1887" s="815">
        <v>0</v>
      </c>
      <c r="H1887" s="971">
        <v>1.6199999999999999E-2</v>
      </c>
      <c r="I1887" s="1518">
        <v>8.7700000000000007E-6</v>
      </c>
      <c r="J1887" s="807">
        <v>0.5</v>
      </c>
      <c r="W1887" s="4"/>
      <c r="X1887" s="4"/>
      <c r="Y1887" s="4"/>
      <c r="Z1887" s="4"/>
      <c r="AA1887" s="4"/>
      <c r="AB1887" s="4"/>
    </row>
    <row r="1888" spans="2:28" hidden="1" outlineLevel="2" x14ac:dyDescent="0.15">
      <c r="B1888" s="806" t="s">
        <v>1670</v>
      </c>
      <c r="C1888" s="800" t="s">
        <v>1669</v>
      </c>
      <c r="D1888" s="1516">
        <v>0.10660135</v>
      </c>
      <c r="E1888" s="1516">
        <v>9.9400000000000002E-2</v>
      </c>
      <c r="F1888" s="971">
        <v>6.45E-3</v>
      </c>
      <c r="G1888" s="815">
        <v>0</v>
      </c>
      <c r="H1888" s="971">
        <v>7.5000000000000002E-4</v>
      </c>
      <c r="I1888" s="1518">
        <v>1.35E-6</v>
      </c>
      <c r="J1888" s="807">
        <v>0.5</v>
      </c>
      <c r="W1888" s="4"/>
      <c r="X1888" s="4"/>
      <c r="Y1888" s="4"/>
      <c r="Z1888" s="4"/>
      <c r="AA1888" s="4"/>
      <c r="AB1888" s="4"/>
    </row>
    <row r="1889" spans="2:28" hidden="1" outlineLevel="2" x14ac:dyDescent="0.15">
      <c r="B1889" s="806" t="s">
        <v>1671</v>
      </c>
      <c r="C1889" s="800" t="s">
        <v>1669</v>
      </c>
      <c r="D1889" s="1516">
        <v>5.8984269999999998E-2</v>
      </c>
      <c r="E1889" s="1516">
        <v>5.5300000000000002E-2</v>
      </c>
      <c r="F1889" s="971">
        <v>3.3899999999999998E-3</v>
      </c>
      <c r="G1889" s="815">
        <v>0</v>
      </c>
      <c r="H1889" s="971">
        <v>2.92E-4</v>
      </c>
      <c r="I1889" s="1518">
        <v>2.2699999999999999E-6</v>
      </c>
      <c r="J1889" s="807">
        <v>0.5</v>
      </c>
      <c r="W1889" s="4"/>
      <c r="X1889" s="4"/>
      <c r="Y1889" s="4"/>
      <c r="Z1889" s="4"/>
      <c r="AA1889" s="4"/>
      <c r="AB1889" s="4"/>
    </row>
    <row r="1890" spans="2:28" hidden="1" outlineLevel="2" x14ac:dyDescent="0.15">
      <c r="B1890" s="806" t="s">
        <v>1675</v>
      </c>
      <c r="C1890" s="800" t="s">
        <v>1669</v>
      </c>
      <c r="D1890" s="1516">
        <v>0.90580614999999998</v>
      </c>
      <c r="E1890" s="1516">
        <v>0.81299999999999994</v>
      </c>
      <c r="F1890" s="971">
        <v>4.4999999999999998E-2</v>
      </c>
      <c r="G1890" s="815">
        <v>0</v>
      </c>
      <c r="H1890" s="971">
        <v>4.7800000000000002E-2</v>
      </c>
      <c r="I1890" s="1518">
        <v>6.1500000000000004E-6</v>
      </c>
      <c r="J1890" s="807">
        <v>0.5</v>
      </c>
      <c r="W1890" s="4"/>
      <c r="X1890" s="4"/>
      <c r="Y1890" s="4"/>
      <c r="Z1890" s="4"/>
      <c r="AA1890" s="4"/>
      <c r="AB1890" s="4"/>
    </row>
    <row r="1891" spans="2:28" hidden="1" outlineLevel="2" x14ac:dyDescent="0.15">
      <c r="B1891" s="802"/>
      <c r="C1891" s="801"/>
      <c r="D1891" s="1045"/>
      <c r="E1891" s="1045"/>
      <c r="F1891" s="817"/>
      <c r="G1891" s="817"/>
      <c r="H1891" s="1515"/>
      <c r="I1891" s="1045"/>
      <c r="J1891" s="814"/>
      <c r="W1891" s="4"/>
      <c r="X1891" s="4"/>
      <c r="Y1891" s="4"/>
      <c r="Z1891" s="4"/>
      <c r="AA1891" s="4"/>
      <c r="AB1891" s="4"/>
    </row>
    <row r="1892" spans="2:28" hidden="1" outlineLevel="2" x14ac:dyDescent="0.15">
      <c r="W1892" s="4"/>
      <c r="X1892" s="4"/>
      <c r="Y1892" s="4"/>
      <c r="Z1892" s="4"/>
    </row>
    <row r="1893" spans="2:28" ht="14" hidden="1" outlineLevel="2" x14ac:dyDescent="0.15">
      <c r="B1893" s="1065" t="s">
        <v>1649</v>
      </c>
      <c r="C1893" s="1063" t="s">
        <v>1650</v>
      </c>
      <c r="D1893" s="795" t="s">
        <v>723</v>
      </c>
      <c r="E1893" s="6"/>
    </row>
    <row r="1894" spans="2:28" hidden="1" outlineLevel="2" x14ac:dyDescent="0.15">
      <c r="B1894" s="806" t="s">
        <v>1651</v>
      </c>
      <c r="C1894" s="812">
        <v>36.700000000000003</v>
      </c>
      <c r="D1894" s="805">
        <v>0.5</v>
      </c>
      <c r="E1894" s="20"/>
    </row>
    <row r="1895" spans="2:28" hidden="1" outlineLevel="2" x14ac:dyDescent="0.15">
      <c r="B1895" s="806" t="s">
        <v>1676</v>
      </c>
      <c r="C1895" s="812">
        <v>110</v>
      </c>
      <c r="D1895" s="807">
        <v>0.5</v>
      </c>
      <c r="E1895" s="20"/>
    </row>
    <row r="1896" spans="2:28" hidden="1" outlineLevel="2" x14ac:dyDescent="0.15">
      <c r="B1896" s="806" t="s">
        <v>1654</v>
      </c>
      <c r="C1896" s="812">
        <v>917</v>
      </c>
      <c r="D1896" s="807">
        <v>0.5</v>
      </c>
      <c r="E1896" s="20"/>
    </row>
    <row r="1897" spans="2:28" hidden="1" outlineLevel="2" x14ac:dyDescent="0.15">
      <c r="B1897" s="806" t="s">
        <v>1656</v>
      </c>
      <c r="C1897" s="812">
        <v>367</v>
      </c>
      <c r="D1897" s="807">
        <v>0.5</v>
      </c>
      <c r="E1897" s="20"/>
    </row>
    <row r="1898" spans="2:28" hidden="1" outlineLevel="2" x14ac:dyDescent="0.15">
      <c r="B1898" s="806"/>
      <c r="C1898" s="812"/>
      <c r="D1898" s="807"/>
      <c r="E1898" s="20"/>
    </row>
    <row r="1899" spans="2:28" hidden="1" outlineLevel="2" x14ac:dyDescent="0.15">
      <c r="B1899" s="806" t="s">
        <v>1652</v>
      </c>
      <c r="C1899" s="812">
        <f>C1894*0.9</f>
        <v>33.03</v>
      </c>
      <c r="D1899" s="807">
        <f>D1894</f>
        <v>0.5</v>
      </c>
      <c r="E1899" s="20"/>
    </row>
    <row r="1900" spans="2:28" hidden="1" outlineLevel="2" x14ac:dyDescent="0.15">
      <c r="B1900" s="806" t="s">
        <v>1653</v>
      </c>
      <c r="C1900" s="812">
        <f>C1895*0.9</f>
        <v>99</v>
      </c>
      <c r="D1900" s="807">
        <f>D1895</f>
        <v>0.5</v>
      </c>
      <c r="E1900" s="20"/>
    </row>
    <row r="1901" spans="2:28" hidden="1" outlineLevel="2" x14ac:dyDescent="0.15">
      <c r="B1901" s="806" t="s">
        <v>1655</v>
      </c>
      <c r="C1901" s="812">
        <f>C1896*0.9</f>
        <v>825.30000000000007</v>
      </c>
      <c r="D1901" s="807">
        <f>D1896</f>
        <v>0.5</v>
      </c>
      <c r="E1901" s="20"/>
    </row>
    <row r="1902" spans="2:28" hidden="1" outlineLevel="2" x14ac:dyDescent="0.15">
      <c r="B1902" s="806" t="s">
        <v>1657</v>
      </c>
      <c r="C1902" s="812">
        <f>C1897*0.9</f>
        <v>330.3</v>
      </c>
      <c r="D1902" s="807">
        <f>D1897</f>
        <v>0.5</v>
      </c>
      <c r="E1902" s="20"/>
    </row>
    <row r="1903" spans="2:28" hidden="1" outlineLevel="2" x14ac:dyDescent="0.15">
      <c r="B1903" s="806"/>
      <c r="C1903" s="812"/>
      <c r="D1903" s="807"/>
      <c r="E1903" s="20"/>
    </row>
    <row r="1904" spans="2:28" hidden="1" outlineLevel="2" x14ac:dyDescent="0.15">
      <c r="B1904" s="806" t="s">
        <v>1658</v>
      </c>
      <c r="C1904" s="812">
        <v>76.2</v>
      </c>
      <c r="D1904" s="807">
        <v>0.5</v>
      </c>
      <c r="E1904" s="20"/>
    </row>
    <row r="1905" spans="1:256" hidden="1" outlineLevel="2" x14ac:dyDescent="0.15">
      <c r="B1905" s="806" t="s">
        <v>1677</v>
      </c>
      <c r="C1905" s="812">
        <v>229</v>
      </c>
      <c r="D1905" s="807">
        <v>0.5</v>
      </c>
      <c r="E1905" s="20"/>
    </row>
    <row r="1906" spans="1:256" hidden="1" outlineLevel="2" x14ac:dyDescent="0.15">
      <c r="B1906" s="802"/>
      <c r="C1906" s="1052"/>
      <c r="D1906" s="803"/>
      <c r="E1906" s="20"/>
    </row>
    <row r="1907" spans="1:256" hidden="1" outlineLevel="2" x14ac:dyDescent="0.15">
      <c r="F1907" s="6"/>
    </row>
    <row r="1908" spans="1:256" hidden="1" outlineLevel="1" x14ac:dyDescent="0.15">
      <c r="F1908" s="6"/>
    </row>
    <row r="1909" spans="1:256" s="26" customFormat="1" ht="15.75" hidden="1" customHeight="1" outlineLevel="1" x14ac:dyDescent="0.15">
      <c r="A1909" s="13"/>
      <c r="B1909" s="1868" t="s">
        <v>1678</v>
      </c>
      <c r="C1909" s="1869"/>
      <c r="D1909" s="1869"/>
      <c r="E1909" s="1869"/>
      <c r="F1909" s="1869"/>
      <c r="G1909" s="1869"/>
      <c r="H1909" s="1869"/>
      <c r="I1909" s="1869"/>
      <c r="J1909" s="1870"/>
      <c r="K1909" s="28"/>
      <c r="L1909" s="28"/>
      <c r="M1909" s="28"/>
      <c r="N1909" s="28"/>
      <c r="O1909" s="28"/>
      <c r="P1909" s="28"/>
      <c r="Q1909" s="28"/>
      <c r="R1909" s="28"/>
      <c r="S1909" s="28"/>
      <c r="T1909" s="28"/>
      <c r="U1909" s="28"/>
      <c r="V1909" s="28"/>
      <c r="W1909" s="29"/>
      <c r="X1909" s="29"/>
      <c r="Y1909" s="29"/>
      <c r="Z1909" s="29"/>
      <c r="AA1909" s="29"/>
      <c r="AB1909" s="29"/>
      <c r="AC1909" s="29"/>
      <c r="AD1909" s="29"/>
      <c r="AE1909" s="29"/>
      <c r="AF1909" s="29"/>
      <c r="AG1909" s="29"/>
      <c r="AH1909" s="29"/>
      <c r="AI1909" s="29"/>
      <c r="AJ1909" s="29"/>
      <c r="AK1909" s="29"/>
      <c r="AL1909" s="29"/>
      <c r="AM1909" s="29"/>
      <c r="AN1909" s="29"/>
      <c r="AO1909" s="29"/>
      <c r="AP1909" s="29"/>
      <c r="AQ1909" s="29"/>
      <c r="AR1909" s="29"/>
      <c r="AS1909" s="29"/>
      <c r="AT1909" s="29"/>
      <c r="AU1909" s="29"/>
      <c r="AV1909" s="29"/>
      <c r="AW1909" s="29"/>
      <c r="AX1909" s="29"/>
      <c r="AY1909" s="29"/>
      <c r="AZ1909" s="29"/>
      <c r="BA1909" s="29"/>
      <c r="BB1909" s="29"/>
      <c r="BC1909" s="29"/>
      <c r="BD1909" s="29"/>
      <c r="BE1909" s="29"/>
      <c r="BF1909" s="29"/>
      <c r="BG1909" s="29"/>
      <c r="BH1909" s="29"/>
      <c r="BI1909" s="29"/>
      <c r="BJ1909" s="29"/>
      <c r="BK1909" s="29"/>
      <c r="BL1909" s="29"/>
      <c r="BM1909" s="29"/>
      <c r="BN1909" s="29"/>
      <c r="BO1909" s="29"/>
      <c r="BP1909" s="29"/>
      <c r="BQ1909" s="29"/>
      <c r="BR1909" s="29"/>
      <c r="BS1909" s="29"/>
      <c r="BT1909" s="29"/>
      <c r="BU1909" s="29"/>
      <c r="BV1909" s="29"/>
      <c r="BW1909" s="29"/>
      <c r="BX1909" s="29"/>
      <c r="BY1909" s="29"/>
      <c r="BZ1909" s="29"/>
      <c r="CA1909" s="29"/>
      <c r="CB1909" s="29"/>
      <c r="CC1909" s="29"/>
      <c r="CD1909" s="29"/>
      <c r="CE1909" s="29"/>
      <c r="CF1909" s="29"/>
      <c r="CG1909" s="29"/>
      <c r="CH1909" s="29"/>
      <c r="CI1909" s="29"/>
      <c r="CJ1909" s="29"/>
      <c r="CK1909" s="29"/>
      <c r="CL1909" s="29"/>
      <c r="CM1909" s="29"/>
      <c r="CN1909" s="29"/>
      <c r="CO1909" s="29"/>
      <c r="CP1909" s="29"/>
      <c r="CQ1909" s="29"/>
      <c r="CR1909" s="29"/>
      <c r="CS1909" s="29"/>
      <c r="CT1909" s="29"/>
      <c r="CU1909" s="29"/>
      <c r="CV1909" s="29"/>
      <c r="CW1909" s="29"/>
      <c r="CX1909" s="29"/>
      <c r="CY1909" s="29"/>
      <c r="CZ1909" s="29"/>
      <c r="DA1909" s="29"/>
      <c r="DB1909" s="29"/>
      <c r="DC1909" s="29"/>
      <c r="DD1909" s="29"/>
      <c r="DE1909" s="29"/>
      <c r="DF1909" s="29"/>
      <c r="DG1909" s="29"/>
      <c r="DH1909" s="29"/>
      <c r="DI1909" s="29"/>
      <c r="DJ1909" s="29"/>
      <c r="DK1909" s="29"/>
      <c r="DL1909" s="29"/>
      <c r="DM1909" s="29"/>
      <c r="DN1909" s="29"/>
      <c r="DO1909" s="29"/>
      <c r="DP1909" s="29"/>
      <c r="DQ1909" s="29"/>
      <c r="DR1909" s="29"/>
      <c r="DS1909" s="29"/>
      <c r="DT1909" s="29"/>
      <c r="DU1909" s="29"/>
      <c r="DV1909" s="29"/>
      <c r="DW1909" s="29"/>
      <c r="DX1909" s="29"/>
      <c r="DY1909" s="29"/>
      <c r="DZ1909" s="29"/>
      <c r="EA1909" s="29"/>
      <c r="EB1909" s="29"/>
      <c r="EC1909" s="29"/>
      <c r="ED1909" s="29"/>
      <c r="EE1909" s="29"/>
      <c r="EF1909" s="29"/>
      <c r="EG1909" s="29"/>
      <c r="EH1909" s="29"/>
      <c r="EI1909" s="29"/>
      <c r="EJ1909" s="29"/>
      <c r="EK1909" s="29"/>
      <c r="EL1909" s="29"/>
      <c r="EM1909" s="29"/>
      <c r="EN1909" s="29"/>
      <c r="EO1909" s="29"/>
      <c r="EP1909" s="29"/>
      <c r="EQ1909" s="29"/>
      <c r="ER1909" s="29"/>
      <c r="ES1909" s="29"/>
      <c r="ET1909" s="29"/>
      <c r="EU1909" s="29"/>
      <c r="EV1909" s="29"/>
      <c r="EW1909" s="29"/>
      <c r="EX1909" s="29"/>
      <c r="EY1909" s="29"/>
      <c r="EZ1909" s="29"/>
      <c r="FA1909" s="29"/>
      <c r="FB1909" s="29"/>
      <c r="FC1909" s="29"/>
      <c r="FD1909" s="29"/>
      <c r="FE1909" s="29"/>
      <c r="FF1909" s="29"/>
      <c r="FG1909" s="29"/>
      <c r="FH1909" s="29"/>
      <c r="FI1909" s="29"/>
      <c r="FJ1909" s="29"/>
      <c r="FK1909" s="29"/>
      <c r="FL1909" s="29"/>
      <c r="FM1909" s="29"/>
      <c r="FN1909" s="29"/>
      <c r="FO1909" s="29"/>
      <c r="FP1909" s="29"/>
      <c r="FQ1909" s="29"/>
      <c r="FR1909" s="29"/>
      <c r="FS1909" s="29"/>
      <c r="FT1909" s="29"/>
      <c r="FU1909" s="29"/>
      <c r="FV1909" s="29"/>
      <c r="FW1909" s="29"/>
      <c r="FX1909" s="29"/>
      <c r="FY1909" s="29"/>
      <c r="FZ1909" s="29"/>
      <c r="GA1909" s="29"/>
      <c r="GB1909" s="29"/>
      <c r="GC1909" s="13"/>
      <c r="GD1909" s="13"/>
      <c r="GE1909" s="13"/>
      <c r="GF1909" s="13"/>
      <c r="GG1909" s="13"/>
      <c r="GH1909" s="13"/>
      <c r="GI1909" s="13"/>
      <c r="GJ1909" s="13"/>
      <c r="GK1909" s="13"/>
      <c r="GL1909" s="13"/>
      <c r="GM1909" s="13"/>
      <c r="GN1909" s="13"/>
      <c r="GO1909" s="13"/>
      <c r="GP1909" s="13"/>
      <c r="GQ1909" s="13"/>
      <c r="GR1909" s="13"/>
      <c r="GS1909" s="13"/>
      <c r="GT1909" s="13"/>
      <c r="GU1909" s="13"/>
      <c r="GV1909" s="13"/>
      <c r="GW1909" s="13"/>
      <c r="GX1909" s="13"/>
      <c r="GY1909" s="13"/>
      <c r="GZ1909" s="13"/>
      <c r="HA1909" s="13"/>
      <c r="HB1909" s="13"/>
      <c r="HC1909" s="13"/>
      <c r="HD1909" s="13"/>
      <c r="HE1909" s="13"/>
      <c r="HF1909" s="13"/>
      <c r="HG1909" s="13"/>
      <c r="HH1909" s="13"/>
      <c r="HI1909" s="13"/>
      <c r="HJ1909" s="13"/>
      <c r="HK1909" s="13"/>
      <c r="HL1909" s="13"/>
      <c r="HM1909" s="13"/>
      <c r="HN1909" s="13"/>
      <c r="HO1909" s="13"/>
      <c r="HP1909" s="13"/>
      <c r="HQ1909" s="13"/>
      <c r="HR1909" s="13"/>
      <c r="HS1909" s="13"/>
      <c r="HT1909" s="13"/>
      <c r="HU1909" s="13"/>
      <c r="HV1909" s="13"/>
      <c r="HW1909" s="13"/>
      <c r="HX1909" s="13"/>
      <c r="HY1909" s="13"/>
      <c r="HZ1909" s="13"/>
      <c r="IA1909" s="13"/>
      <c r="IB1909" s="13"/>
      <c r="IC1909" s="13"/>
      <c r="ID1909" s="13"/>
      <c r="IE1909" s="13"/>
      <c r="IF1909" s="13"/>
      <c r="IG1909" s="13"/>
      <c r="IH1909" s="13"/>
      <c r="II1909" s="13"/>
      <c r="IJ1909" s="13"/>
      <c r="IK1909" s="13"/>
      <c r="IL1909" s="13"/>
      <c r="IM1909" s="13"/>
      <c r="IN1909" s="13"/>
      <c r="IO1909" s="13"/>
      <c r="IP1909" s="13"/>
      <c r="IQ1909" s="13"/>
      <c r="IR1909" s="13"/>
      <c r="IS1909" s="13"/>
      <c r="IT1909" s="13"/>
      <c r="IU1909" s="13"/>
      <c r="IV1909" s="13"/>
    </row>
    <row r="1910" spans="1:256" hidden="1" outlineLevel="2" x14ac:dyDescent="0.15">
      <c r="F1910" s="6"/>
    </row>
    <row r="1911" spans="1:256" hidden="1" outlineLevel="2" x14ac:dyDescent="0.15">
      <c r="B1911" s="818" t="s">
        <v>1679</v>
      </c>
      <c r="C1911" s="1876" t="s">
        <v>1133</v>
      </c>
      <c r="D1911" s="1877"/>
      <c r="E1911" s="1877"/>
      <c r="F1911" s="1877"/>
      <c r="G1911" s="1877"/>
      <c r="H1911" s="1877"/>
      <c r="I1911" s="1878"/>
      <c r="J1911" s="1876" t="s">
        <v>1517</v>
      </c>
      <c r="K1911" s="1877"/>
      <c r="L1911" s="1877"/>
      <c r="M1911" s="1877"/>
      <c r="N1911" s="1877"/>
      <c r="O1911" s="1877"/>
      <c r="P1911" s="1878"/>
      <c r="W1911" s="4"/>
      <c r="X1911" s="4"/>
      <c r="Y1911" s="4"/>
      <c r="Z1911" s="4"/>
      <c r="AA1911" s="4"/>
      <c r="AB1911" s="4"/>
      <c r="AC1911" s="4"/>
      <c r="AD1911" s="4"/>
      <c r="AE1911" s="4"/>
    </row>
    <row r="1912" spans="1:256" hidden="1" outlineLevel="2" x14ac:dyDescent="0.15">
      <c r="B1912" s="1066"/>
      <c r="C1912" s="1892" t="s">
        <v>767</v>
      </c>
      <c r="D1912" s="1865" t="s">
        <v>1515</v>
      </c>
      <c r="E1912" s="1866"/>
      <c r="F1912" s="1866"/>
      <c r="G1912" s="1866"/>
      <c r="H1912" s="1867"/>
      <c r="I1912" s="891"/>
      <c r="J1912" s="1892" t="s">
        <v>767</v>
      </c>
      <c r="K1912" s="1865" t="s">
        <v>1515</v>
      </c>
      <c r="L1912" s="1866"/>
      <c r="M1912" s="1866"/>
      <c r="N1912" s="1867"/>
      <c r="O1912" s="1499" t="s">
        <v>1519</v>
      </c>
      <c r="P1912" s="891"/>
      <c r="W1912" s="4"/>
      <c r="X1912" s="4"/>
      <c r="Y1912" s="4"/>
      <c r="Z1912" s="4"/>
      <c r="AA1912" s="4"/>
      <c r="AB1912" s="4"/>
      <c r="AC1912" s="4"/>
      <c r="AD1912" s="4"/>
      <c r="AE1912" s="4"/>
    </row>
    <row r="1913" spans="1:256" ht="14" hidden="1" outlineLevel="2" x14ac:dyDescent="0.15">
      <c r="B1913" s="1574" t="s">
        <v>1680</v>
      </c>
      <c r="C1913" s="1864"/>
      <c r="D1913" s="1318" t="s">
        <v>14</v>
      </c>
      <c r="E1913" s="1042" t="s">
        <v>696</v>
      </c>
      <c r="F1913" s="1042" t="s">
        <v>27</v>
      </c>
      <c r="G1913" s="1042" t="s">
        <v>2590</v>
      </c>
      <c r="H1913" s="1319" t="s">
        <v>694</v>
      </c>
      <c r="I1913" s="1494" t="s">
        <v>723</v>
      </c>
      <c r="J1913" s="1892"/>
      <c r="K1913" s="1318" t="s">
        <v>14</v>
      </c>
      <c r="L1913" s="1042" t="s">
        <v>696</v>
      </c>
      <c r="M1913" s="1042" t="s">
        <v>27</v>
      </c>
      <c r="N1913" s="962" t="s">
        <v>694</v>
      </c>
      <c r="O1913" s="927" t="s">
        <v>767</v>
      </c>
      <c r="P1913" s="896" t="s">
        <v>723</v>
      </c>
      <c r="W1913" s="4"/>
      <c r="X1913" s="4"/>
      <c r="Y1913" s="4"/>
      <c r="Z1913" s="4"/>
      <c r="AA1913" s="4"/>
      <c r="AB1913" s="4"/>
      <c r="AC1913" s="4"/>
      <c r="AD1913" s="4"/>
      <c r="AE1913" s="4"/>
    </row>
    <row r="1914" spans="1:256" hidden="1" outlineLevel="2" x14ac:dyDescent="0.15">
      <c r="B1914" s="1501" t="s">
        <v>1737</v>
      </c>
      <c r="C1914" s="877"/>
      <c r="D1914" s="978"/>
      <c r="E1914" s="883"/>
      <c r="F1914" s="883"/>
      <c r="G1914" s="979"/>
      <c r="H1914" s="877"/>
      <c r="I1914" s="805"/>
      <c r="J1914" s="877">
        <f>C2299</f>
        <v>336.29740666869202</v>
      </c>
      <c r="K1914" s="978">
        <f>D2299</f>
        <v>34.430046666646</v>
      </c>
      <c r="L1914" s="883">
        <f>E2299</f>
        <v>292.2262482032553</v>
      </c>
      <c r="M1914" s="979">
        <f>F2299</f>
        <v>9.6411117987906945</v>
      </c>
      <c r="N1914" s="877">
        <f>G2299</f>
        <v>424.36967999999996</v>
      </c>
      <c r="O1914" s="877">
        <f>$H$2299</f>
        <v>-69.755031118848663</v>
      </c>
      <c r="P1914" s="805">
        <f>$J$2299</f>
        <v>0.5</v>
      </c>
      <c r="Q1914" s="23"/>
      <c r="W1914" s="4"/>
      <c r="X1914" s="4"/>
      <c r="Y1914" s="4"/>
      <c r="Z1914" s="4"/>
      <c r="AA1914" s="4"/>
      <c r="AB1914" s="4"/>
      <c r="AC1914" s="4"/>
      <c r="AD1914" s="4"/>
      <c r="AE1914" s="4"/>
    </row>
    <row r="1915" spans="1:256" s="1545" customFormat="1" hidden="1" outlineLevel="2" x14ac:dyDescent="0.15">
      <c r="B1915" s="1067" t="s">
        <v>1681</v>
      </c>
      <c r="C1915" s="981">
        <v>4503.2999999999993</v>
      </c>
      <c r="D1915" s="980">
        <v>400.90000000000003</v>
      </c>
      <c r="E1915" s="815">
        <v>2485.73236</v>
      </c>
      <c r="F1915" s="815">
        <v>1613.3251</v>
      </c>
      <c r="G1915" s="812">
        <v>0</v>
      </c>
      <c r="H1915" s="981">
        <v>7.3790000000000004</v>
      </c>
      <c r="I1915" s="807">
        <v>0.5</v>
      </c>
      <c r="J1915" s="981">
        <f t="shared" ref="J1915:P1935" si="48">J$1914</f>
        <v>336.29740666869202</v>
      </c>
      <c r="K1915" s="980">
        <f t="shared" si="48"/>
        <v>34.430046666646</v>
      </c>
      <c r="L1915" s="815">
        <f t="shared" si="48"/>
        <v>292.2262482032553</v>
      </c>
      <c r="M1915" s="812">
        <f t="shared" si="48"/>
        <v>9.6411117987906945</v>
      </c>
      <c r="N1915" s="981">
        <f t="shared" si="48"/>
        <v>424.36967999999996</v>
      </c>
      <c r="O1915" s="981">
        <f t="shared" si="48"/>
        <v>-69.755031118848663</v>
      </c>
      <c r="P1915" s="807">
        <f t="shared" si="48"/>
        <v>0.5</v>
      </c>
      <c r="Q1915" s="1546"/>
      <c r="R1915" s="1547"/>
      <c r="S1915" s="1547"/>
      <c r="T1915" s="1547"/>
      <c r="U1915" s="1547"/>
      <c r="V1915" s="1547"/>
      <c r="W1915" s="1547"/>
      <c r="X1915" s="1547"/>
      <c r="Y1915" s="1547"/>
      <c r="Z1915" s="1547"/>
      <c r="AA1915" s="1547"/>
      <c r="AB1915" s="1547"/>
      <c r="AC1915" s="1547"/>
      <c r="AD1915" s="1547"/>
      <c r="AE1915" s="1547"/>
    </row>
    <row r="1916" spans="1:256" s="1545" customFormat="1" hidden="1" outlineLevel="2" x14ac:dyDescent="0.15">
      <c r="B1916" s="1067" t="s">
        <v>1758</v>
      </c>
      <c r="C1916" s="981">
        <v>19501.584999999999</v>
      </c>
      <c r="D1916" s="980">
        <v>1639.8380000000002</v>
      </c>
      <c r="E1916" s="815">
        <v>13050.905350000001</v>
      </c>
      <c r="F1916" s="815">
        <v>4837.2005300000001</v>
      </c>
      <c r="G1916" s="812">
        <v>0</v>
      </c>
      <c r="H1916" s="981">
        <v>22.9346</v>
      </c>
      <c r="I1916" s="807">
        <v>0.5</v>
      </c>
      <c r="J1916" s="981">
        <f t="shared" si="48"/>
        <v>336.29740666869202</v>
      </c>
      <c r="K1916" s="980">
        <f t="shared" si="48"/>
        <v>34.430046666646</v>
      </c>
      <c r="L1916" s="815">
        <f t="shared" si="48"/>
        <v>292.2262482032553</v>
      </c>
      <c r="M1916" s="812">
        <f t="shared" si="48"/>
        <v>9.6411117987906945</v>
      </c>
      <c r="N1916" s="981">
        <f t="shared" si="48"/>
        <v>424.36967999999996</v>
      </c>
      <c r="O1916" s="981">
        <f t="shared" si="48"/>
        <v>-69.755031118848663</v>
      </c>
      <c r="P1916" s="807">
        <f t="shared" si="48"/>
        <v>0.5</v>
      </c>
      <c r="Q1916" s="1546"/>
      <c r="R1916" s="1547"/>
      <c r="S1916" s="1547"/>
      <c r="T1916" s="1547"/>
      <c r="U1916" s="1547"/>
      <c r="V1916" s="1547"/>
      <c r="W1916" s="1547"/>
      <c r="X1916" s="1547"/>
      <c r="Y1916" s="1547"/>
      <c r="Z1916" s="1547"/>
      <c r="AA1916" s="1547"/>
      <c r="AB1916" s="1547"/>
      <c r="AC1916" s="1547"/>
      <c r="AD1916" s="1547"/>
      <c r="AE1916" s="1547"/>
    </row>
    <row r="1917" spans="1:256" hidden="1" outlineLevel="2" x14ac:dyDescent="0.15">
      <c r="B1917" s="1067" t="s">
        <v>1682</v>
      </c>
      <c r="C1917" s="981">
        <v>13430</v>
      </c>
      <c r="D1917" s="980">
        <v>1537.0000000000002</v>
      </c>
      <c r="E1917" s="815">
        <v>9096.104400000002</v>
      </c>
      <c r="F1917" s="815">
        <v>2791.1450000000004</v>
      </c>
      <c r="G1917" s="812">
        <v>0</v>
      </c>
      <c r="H1917" s="981">
        <v>26.44</v>
      </c>
      <c r="I1917" s="807">
        <v>0.5</v>
      </c>
      <c r="J1917" s="981">
        <f t="shared" si="48"/>
        <v>336.29740666869202</v>
      </c>
      <c r="K1917" s="980">
        <f t="shared" si="48"/>
        <v>34.430046666646</v>
      </c>
      <c r="L1917" s="815">
        <f t="shared" si="48"/>
        <v>292.2262482032553</v>
      </c>
      <c r="M1917" s="812">
        <f t="shared" si="48"/>
        <v>9.6411117987906945</v>
      </c>
      <c r="N1917" s="981">
        <f t="shared" si="48"/>
        <v>424.36967999999996</v>
      </c>
      <c r="O1917" s="981">
        <f t="shared" si="48"/>
        <v>-69.755031118848663</v>
      </c>
      <c r="P1917" s="807">
        <f t="shared" si="48"/>
        <v>0.5</v>
      </c>
      <c r="Q1917" s="23"/>
      <c r="W1917" s="4"/>
      <c r="X1917" s="4"/>
      <c r="Y1917" s="4"/>
      <c r="Z1917" s="4"/>
      <c r="AA1917" s="4"/>
      <c r="AB1917" s="4"/>
      <c r="AC1917" s="4"/>
      <c r="AD1917" s="4"/>
      <c r="AE1917" s="4"/>
    </row>
    <row r="1918" spans="1:256" hidden="1" outlineLevel="2" x14ac:dyDescent="0.15">
      <c r="B1918" s="1067" t="s">
        <v>1759</v>
      </c>
      <c r="C1918" s="981">
        <v>20130.900000000001</v>
      </c>
      <c r="D1918" s="980">
        <v>1723.4</v>
      </c>
      <c r="E1918" s="815">
        <v>13271.510399999999</v>
      </c>
      <c r="F1918" s="815">
        <v>5115.3889999999992</v>
      </c>
      <c r="G1918" s="812">
        <v>0</v>
      </c>
      <c r="H1918" s="981">
        <v>26.417999999999996</v>
      </c>
      <c r="I1918" s="807">
        <v>0.5</v>
      </c>
      <c r="J1918" s="981">
        <f t="shared" si="48"/>
        <v>336.29740666869202</v>
      </c>
      <c r="K1918" s="980">
        <f t="shared" si="48"/>
        <v>34.430046666646</v>
      </c>
      <c r="L1918" s="815">
        <f t="shared" si="48"/>
        <v>292.2262482032553</v>
      </c>
      <c r="M1918" s="812">
        <f t="shared" si="48"/>
        <v>9.6411117987906945</v>
      </c>
      <c r="N1918" s="981">
        <f t="shared" si="48"/>
        <v>424.36967999999996</v>
      </c>
      <c r="O1918" s="981">
        <f t="shared" si="48"/>
        <v>-69.755031118848663</v>
      </c>
      <c r="P1918" s="807">
        <f t="shared" si="48"/>
        <v>0.5</v>
      </c>
      <c r="Q1918" s="23"/>
      <c r="W1918" s="4"/>
      <c r="X1918" s="4"/>
      <c r="Y1918" s="4"/>
      <c r="Z1918" s="4"/>
      <c r="AA1918" s="4"/>
      <c r="AB1918" s="4"/>
      <c r="AC1918" s="4"/>
      <c r="AD1918" s="4"/>
      <c r="AE1918" s="4"/>
    </row>
    <row r="1919" spans="1:256" hidden="1" outlineLevel="2" x14ac:dyDescent="0.15">
      <c r="B1919" s="1067" t="s">
        <v>1683</v>
      </c>
      <c r="C1919" s="981">
        <v>6170</v>
      </c>
      <c r="D1919" s="980">
        <v>1024.5999999999999</v>
      </c>
      <c r="E1919" s="815">
        <v>3033.4260099999997</v>
      </c>
      <c r="F1919" s="815">
        <v>2112.7139999999999</v>
      </c>
      <c r="G1919" s="812">
        <v>0</v>
      </c>
      <c r="H1919" s="981">
        <v>23.05</v>
      </c>
      <c r="I1919" s="807">
        <v>0.5</v>
      </c>
      <c r="J1919" s="981">
        <f t="shared" si="48"/>
        <v>336.29740666869202</v>
      </c>
      <c r="K1919" s="980">
        <f t="shared" si="48"/>
        <v>34.430046666646</v>
      </c>
      <c r="L1919" s="815">
        <f t="shared" si="48"/>
        <v>292.2262482032553</v>
      </c>
      <c r="M1919" s="812">
        <f t="shared" si="48"/>
        <v>9.6411117987906945</v>
      </c>
      <c r="N1919" s="981">
        <f t="shared" si="48"/>
        <v>424.36967999999996</v>
      </c>
      <c r="O1919" s="981">
        <f t="shared" si="48"/>
        <v>-69.755031118848663</v>
      </c>
      <c r="P1919" s="807">
        <f t="shared" si="48"/>
        <v>0.5</v>
      </c>
      <c r="Q1919" s="23"/>
      <c r="W1919" s="4"/>
      <c r="X1919" s="4"/>
      <c r="Y1919" s="4"/>
      <c r="Z1919" s="4"/>
      <c r="AA1919" s="4"/>
      <c r="AB1919" s="4"/>
      <c r="AC1919" s="4"/>
      <c r="AD1919" s="4"/>
      <c r="AE1919" s="4"/>
    </row>
    <row r="1920" spans="1:256" hidden="1" outlineLevel="2" x14ac:dyDescent="0.15">
      <c r="B1920" s="1067" t="s">
        <v>1684</v>
      </c>
      <c r="C1920" s="981">
        <v>24281.1</v>
      </c>
      <c r="D1920" s="980">
        <v>1578.5000000000002</v>
      </c>
      <c r="E1920" s="815">
        <v>17578.591630000003</v>
      </c>
      <c r="F1920" s="815">
        <v>5144.8109999999997</v>
      </c>
      <c r="G1920" s="812">
        <v>0</v>
      </c>
      <c r="H1920" s="981">
        <v>26.62</v>
      </c>
      <c r="I1920" s="807">
        <v>0.5</v>
      </c>
      <c r="J1920" s="981">
        <f t="shared" si="48"/>
        <v>336.29740666869202</v>
      </c>
      <c r="K1920" s="980">
        <f t="shared" si="48"/>
        <v>34.430046666646</v>
      </c>
      <c r="L1920" s="815">
        <f t="shared" si="48"/>
        <v>292.2262482032553</v>
      </c>
      <c r="M1920" s="812">
        <f t="shared" si="48"/>
        <v>9.6411117987906945</v>
      </c>
      <c r="N1920" s="981">
        <f t="shared" si="48"/>
        <v>424.36967999999996</v>
      </c>
      <c r="O1920" s="981">
        <f t="shared" si="48"/>
        <v>-69.755031118848663</v>
      </c>
      <c r="P1920" s="807">
        <f t="shared" si="48"/>
        <v>0.5</v>
      </c>
      <c r="Q1920" s="23"/>
      <c r="W1920" s="4"/>
      <c r="X1920" s="4"/>
      <c r="Y1920" s="4"/>
      <c r="Z1920" s="4"/>
      <c r="AA1920" s="4"/>
      <c r="AB1920" s="4"/>
      <c r="AC1920" s="4"/>
      <c r="AD1920" s="4"/>
      <c r="AE1920" s="4"/>
    </row>
    <row r="1921" spans="2:31" hidden="1" outlineLevel="2" x14ac:dyDescent="0.15">
      <c r="B1921" s="1067" t="s">
        <v>1685</v>
      </c>
      <c r="C1921" s="981">
        <v>19701.7</v>
      </c>
      <c r="D1921" s="980">
        <v>1707.8</v>
      </c>
      <c r="E1921" s="815">
        <v>13326.218769999999</v>
      </c>
      <c r="F1921" s="815">
        <v>4675.6155999999992</v>
      </c>
      <c r="G1921" s="812">
        <v>0</v>
      </c>
      <c r="H1921" s="981">
        <v>19.642999999999997</v>
      </c>
      <c r="I1921" s="807">
        <v>0.5</v>
      </c>
      <c r="J1921" s="981">
        <f t="shared" si="48"/>
        <v>336.29740666869202</v>
      </c>
      <c r="K1921" s="980">
        <f t="shared" si="48"/>
        <v>34.430046666646</v>
      </c>
      <c r="L1921" s="815">
        <f t="shared" si="48"/>
        <v>292.2262482032553</v>
      </c>
      <c r="M1921" s="812">
        <f t="shared" si="48"/>
        <v>9.6411117987906945</v>
      </c>
      <c r="N1921" s="981">
        <f t="shared" si="48"/>
        <v>424.36967999999996</v>
      </c>
      <c r="O1921" s="981">
        <f t="shared" si="48"/>
        <v>-69.755031118848663</v>
      </c>
      <c r="P1921" s="807">
        <f t="shared" si="48"/>
        <v>0.5</v>
      </c>
      <c r="Q1921" s="23"/>
      <c r="W1921" s="4"/>
      <c r="X1921" s="4"/>
      <c r="Y1921" s="4"/>
      <c r="Z1921" s="4"/>
      <c r="AA1921" s="4"/>
      <c r="AB1921" s="4"/>
      <c r="AC1921" s="4"/>
      <c r="AD1921" s="4"/>
      <c r="AE1921" s="4"/>
    </row>
    <row r="1922" spans="2:31" hidden="1" outlineLevel="2" x14ac:dyDescent="0.15">
      <c r="B1922" s="1067" t="s">
        <v>1686</v>
      </c>
      <c r="C1922" s="981">
        <v>6281</v>
      </c>
      <c r="D1922" s="980">
        <v>1458</v>
      </c>
      <c r="E1922" s="815">
        <v>2673.6195000000007</v>
      </c>
      <c r="F1922" s="815">
        <v>2148.027</v>
      </c>
      <c r="G1922" s="812">
        <v>0</v>
      </c>
      <c r="H1922" s="981">
        <v>26.060000000000002</v>
      </c>
      <c r="I1922" s="807">
        <v>0.5</v>
      </c>
      <c r="J1922" s="981">
        <f t="shared" si="48"/>
        <v>336.29740666869202</v>
      </c>
      <c r="K1922" s="980">
        <f t="shared" si="48"/>
        <v>34.430046666646</v>
      </c>
      <c r="L1922" s="815">
        <f t="shared" si="48"/>
        <v>292.2262482032553</v>
      </c>
      <c r="M1922" s="812">
        <f t="shared" si="48"/>
        <v>9.6411117987906945</v>
      </c>
      <c r="N1922" s="981">
        <f t="shared" si="48"/>
        <v>424.36967999999996</v>
      </c>
      <c r="O1922" s="981">
        <f t="shared" si="48"/>
        <v>-69.755031118848663</v>
      </c>
      <c r="P1922" s="807">
        <f t="shared" si="48"/>
        <v>0.5</v>
      </c>
      <c r="Q1922" s="23"/>
      <c r="W1922" s="4"/>
      <c r="X1922" s="4"/>
      <c r="Y1922" s="4"/>
      <c r="Z1922" s="4"/>
      <c r="AA1922" s="4"/>
      <c r="AB1922" s="4"/>
      <c r="AC1922" s="4"/>
      <c r="AD1922" s="4"/>
      <c r="AE1922" s="4"/>
    </row>
    <row r="1923" spans="2:31" hidden="1" outlineLevel="2" x14ac:dyDescent="0.15">
      <c r="B1923" s="1067" t="s">
        <v>1687</v>
      </c>
      <c r="C1923" s="981">
        <v>7155.5</v>
      </c>
      <c r="D1923" s="980">
        <v>3151.4999999999995</v>
      </c>
      <c r="E1923" s="815">
        <v>2148.4278000000004</v>
      </c>
      <c r="F1923" s="815">
        <v>1857.9160000000002</v>
      </c>
      <c r="G1923" s="812">
        <v>0</v>
      </c>
      <c r="H1923" s="981">
        <v>37.427</v>
      </c>
      <c r="I1923" s="807">
        <v>0.5</v>
      </c>
      <c r="J1923" s="981">
        <f t="shared" si="48"/>
        <v>336.29740666869202</v>
      </c>
      <c r="K1923" s="980">
        <f t="shared" si="48"/>
        <v>34.430046666646</v>
      </c>
      <c r="L1923" s="815">
        <f t="shared" si="48"/>
        <v>292.2262482032553</v>
      </c>
      <c r="M1923" s="812">
        <f t="shared" si="48"/>
        <v>9.6411117987906945</v>
      </c>
      <c r="N1923" s="981">
        <f t="shared" si="48"/>
        <v>424.36967999999996</v>
      </c>
      <c r="O1923" s="981">
        <f t="shared" si="48"/>
        <v>-69.755031118848663</v>
      </c>
      <c r="P1923" s="807">
        <f t="shared" si="48"/>
        <v>0.5</v>
      </c>
      <c r="Q1923" s="23"/>
      <c r="W1923" s="4"/>
      <c r="X1923" s="4"/>
      <c r="Y1923" s="4"/>
      <c r="Z1923" s="4"/>
      <c r="AA1923" s="4"/>
      <c r="AB1923" s="4"/>
      <c r="AC1923" s="4"/>
      <c r="AD1923" s="4"/>
      <c r="AE1923" s="4"/>
    </row>
    <row r="1924" spans="2:31" hidden="1" outlineLevel="2" x14ac:dyDescent="0.15">
      <c r="B1924" s="1067" t="s">
        <v>1688</v>
      </c>
      <c r="C1924" s="981">
        <v>16058.000000000004</v>
      </c>
      <c r="D1924" s="980">
        <v>1522</v>
      </c>
      <c r="E1924" s="815">
        <v>10946.319699999998</v>
      </c>
      <c r="F1924" s="815">
        <v>3590.3699999999994</v>
      </c>
      <c r="G1924" s="812">
        <v>0</v>
      </c>
      <c r="H1924" s="981">
        <v>25.13</v>
      </c>
      <c r="I1924" s="807">
        <v>0.5</v>
      </c>
      <c r="J1924" s="981">
        <f t="shared" si="48"/>
        <v>336.29740666869202</v>
      </c>
      <c r="K1924" s="980">
        <f t="shared" si="48"/>
        <v>34.430046666646</v>
      </c>
      <c r="L1924" s="815">
        <f t="shared" si="48"/>
        <v>292.2262482032553</v>
      </c>
      <c r="M1924" s="812">
        <f t="shared" si="48"/>
        <v>9.6411117987906945</v>
      </c>
      <c r="N1924" s="981">
        <f t="shared" si="48"/>
        <v>424.36967999999996</v>
      </c>
      <c r="O1924" s="981">
        <f t="shared" si="48"/>
        <v>-69.755031118848663</v>
      </c>
      <c r="P1924" s="807">
        <f t="shared" si="48"/>
        <v>0.5</v>
      </c>
      <c r="Q1924" s="23"/>
      <c r="W1924" s="4"/>
      <c r="X1924" s="4"/>
      <c r="Y1924" s="4"/>
      <c r="Z1924" s="4"/>
      <c r="AA1924" s="4"/>
      <c r="AB1924" s="4"/>
      <c r="AC1924" s="4"/>
      <c r="AD1924" s="4"/>
      <c r="AE1924" s="4"/>
    </row>
    <row r="1925" spans="2:31" hidden="1" outlineLevel="2" x14ac:dyDescent="0.15">
      <c r="B1925" s="1067" t="s">
        <v>1740</v>
      </c>
      <c r="C1925" s="981">
        <v>3417.5999999999995</v>
      </c>
      <c r="D1925" s="980">
        <v>780.84</v>
      </c>
      <c r="E1925" s="815">
        <v>942.85812999999985</v>
      </c>
      <c r="F1925" s="815">
        <v>1699.4268999999999</v>
      </c>
      <c r="G1925" s="812">
        <v>0</v>
      </c>
      <c r="H1925" s="981">
        <v>7.9082999999999997</v>
      </c>
      <c r="I1925" s="807">
        <v>0.5</v>
      </c>
      <c r="J1925" s="981">
        <f t="shared" si="48"/>
        <v>336.29740666869202</v>
      </c>
      <c r="K1925" s="980">
        <f t="shared" si="48"/>
        <v>34.430046666646</v>
      </c>
      <c r="L1925" s="815">
        <f t="shared" si="48"/>
        <v>292.2262482032553</v>
      </c>
      <c r="M1925" s="812">
        <f t="shared" si="48"/>
        <v>9.6411117987906945</v>
      </c>
      <c r="N1925" s="981">
        <f t="shared" si="48"/>
        <v>424.36967999999996</v>
      </c>
      <c r="O1925" s="981">
        <f t="shared" si="48"/>
        <v>-69.755031118848663</v>
      </c>
      <c r="P1925" s="807">
        <f t="shared" si="48"/>
        <v>0.5</v>
      </c>
      <c r="Q1925" s="23"/>
      <c r="W1925" s="4"/>
      <c r="X1925" s="4"/>
      <c r="Y1925" s="4"/>
      <c r="Z1925" s="4"/>
      <c r="AA1925" s="4"/>
      <c r="AB1925" s="4"/>
      <c r="AC1925" s="4"/>
      <c r="AD1925" s="4"/>
      <c r="AE1925" s="4"/>
    </row>
    <row r="1926" spans="2:31" hidden="1" outlineLevel="2" x14ac:dyDescent="0.15">
      <c r="B1926" s="1067" t="s">
        <v>1689</v>
      </c>
      <c r="C1926" s="981">
        <v>2438.5</v>
      </c>
      <c r="D1926" s="980">
        <v>681.51</v>
      </c>
      <c r="E1926" s="815">
        <v>1073.8791999999999</v>
      </c>
      <c r="F1926" s="815">
        <v>690.23199999999997</v>
      </c>
      <c r="G1926" s="812">
        <v>0</v>
      </c>
      <c r="H1926" s="981">
        <v>23.904</v>
      </c>
      <c r="I1926" s="807">
        <v>0.5</v>
      </c>
      <c r="J1926" s="981">
        <f t="shared" si="48"/>
        <v>336.29740666869202</v>
      </c>
      <c r="K1926" s="980">
        <f t="shared" si="48"/>
        <v>34.430046666646</v>
      </c>
      <c r="L1926" s="815">
        <f t="shared" si="48"/>
        <v>292.2262482032553</v>
      </c>
      <c r="M1926" s="812">
        <f t="shared" si="48"/>
        <v>9.6411117987906945</v>
      </c>
      <c r="N1926" s="981">
        <f t="shared" si="48"/>
        <v>424.36967999999996</v>
      </c>
      <c r="O1926" s="981">
        <f t="shared" si="48"/>
        <v>-69.755031118848663</v>
      </c>
      <c r="P1926" s="807">
        <f t="shared" si="48"/>
        <v>0.5</v>
      </c>
      <c r="Q1926" s="23"/>
      <c r="W1926" s="4"/>
      <c r="X1926" s="4"/>
      <c r="Y1926" s="4"/>
      <c r="Z1926" s="4"/>
      <c r="AA1926" s="4"/>
      <c r="AB1926" s="4"/>
      <c r="AC1926" s="4"/>
      <c r="AD1926" s="4"/>
      <c r="AE1926" s="4"/>
    </row>
    <row r="1927" spans="2:31" hidden="1" outlineLevel="2" x14ac:dyDescent="0.15">
      <c r="B1927" s="1067" t="s">
        <v>1690</v>
      </c>
      <c r="C1927" s="981">
        <v>2589.5</v>
      </c>
      <c r="D1927" s="980">
        <v>888.85</v>
      </c>
      <c r="E1927" s="815">
        <v>1047.5753000000002</v>
      </c>
      <c r="F1927" s="815">
        <v>658.01300000000003</v>
      </c>
      <c r="G1927" s="812">
        <v>0</v>
      </c>
      <c r="H1927" s="981">
        <v>25.415000000000003</v>
      </c>
      <c r="I1927" s="807">
        <v>0.5</v>
      </c>
      <c r="J1927" s="981">
        <f t="shared" si="48"/>
        <v>336.29740666869202</v>
      </c>
      <c r="K1927" s="980">
        <f t="shared" si="48"/>
        <v>34.430046666646</v>
      </c>
      <c r="L1927" s="815">
        <f t="shared" si="48"/>
        <v>292.2262482032553</v>
      </c>
      <c r="M1927" s="812">
        <f t="shared" si="48"/>
        <v>9.6411117987906945</v>
      </c>
      <c r="N1927" s="981">
        <f t="shared" si="48"/>
        <v>424.36967999999996</v>
      </c>
      <c r="O1927" s="981">
        <f t="shared" si="48"/>
        <v>-69.755031118848663</v>
      </c>
      <c r="P1927" s="807">
        <f t="shared" si="48"/>
        <v>0.5</v>
      </c>
      <c r="Q1927" s="23"/>
      <c r="W1927" s="4"/>
      <c r="X1927" s="4"/>
      <c r="Y1927" s="4"/>
      <c r="Z1927" s="4"/>
      <c r="AA1927" s="4"/>
      <c r="AB1927" s="4"/>
      <c r="AC1927" s="4"/>
      <c r="AD1927" s="4"/>
      <c r="AE1927" s="4"/>
    </row>
    <row r="1928" spans="2:31" hidden="1" outlineLevel="2" x14ac:dyDescent="0.15">
      <c r="B1928" s="1067" t="s">
        <v>1691</v>
      </c>
      <c r="C1928" s="981">
        <v>2421.9</v>
      </c>
      <c r="D1928" s="980">
        <v>846.61</v>
      </c>
      <c r="E1928" s="815">
        <v>977.06430000000012</v>
      </c>
      <c r="F1928" s="815">
        <v>601.17300000000012</v>
      </c>
      <c r="G1928" s="812">
        <v>0</v>
      </c>
      <c r="H1928" s="981">
        <v>28.365000000000002</v>
      </c>
      <c r="I1928" s="807">
        <v>0.5</v>
      </c>
      <c r="J1928" s="981">
        <f t="shared" ref="J1928:P1946" si="49">J$1914</f>
        <v>336.29740666869202</v>
      </c>
      <c r="K1928" s="980">
        <f t="shared" si="49"/>
        <v>34.430046666646</v>
      </c>
      <c r="L1928" s="815">
        <f t="shared" si="49"/>
        <v>292.2262482032553</v>
      </c>
      <c r="M1928" s="812">
        <f t="shared" si="49"/>
        <v>9.6411117987906945</v>
      </c>
      <c r="N1928" s="981">
        <f t="shared" si="49"/>
        <v>424.36967999999996</v>
      </c>
      <c r="O1928" s="981">
        <f t="shared" si="49"/>
        <v>-69.755031118848663</v>
      </c>
      <c r="P1928" s="807">
        <f t="shared" si="49"/>
        <v>0.5</v>
      </c>
      <c r="Q1928" s="23"/>
      <c r="W1928" s="4"/>
      <c r="X1928" s="4"/>
      <c r="Y1928" s="4"/>
      <c r="Z1928" s="4"/>
      <c r="AA1928" s="4"/>
      <c r="AB1928" s="4"/>
      <c r="AC1928" s="4"/>
      <c r="AD1928" s="4"/>
      <c r="AE1928" s="4"/>
    </row>
    <row r="1929" spans="2:31" hidden="1" outlineLevel="2" x14ac:dyDescent="0.15">
      <c r="B1929" s="1067" t="s">
        <v>1692</v>
      </c>
      <c r="C1929" s="981">
        <v>2468.6000000000004</v>
      </c>
      <c r="D1929" s="980">
        <v>816.39</v>
      </c>
      <c r="E1929" s="815">
        <v>1010.6382999999998</v>
      </c>
      <c r="F1929" s="815">
        <v>640.91300000000001</v>
      </c>
      <c r="G1929" s="812">
        <v>0</v>
      </c>
      <c r="H1929" s="981">
        <v>25.818000000000005</v>
      </c>
      <c r="I1929" s="807">
        <v>0.5</v>
      </c>
      <c r="J1929" s="981">
        <f t="shared" si="49"/>
        <v>336.29740666869202</v>
      </c>
      <c r="K1929" s="980">
        <f t="shared" si="49"/>
        <v>34.430046666646</v>
      </c>
      <c r="L1929" s="815">
        <f t="shared" si="49"/>
        <v>292.2262482032553</v>
      </c>
      <c r="M1929" s="812">
        <f t="shared" si="49"/>
        <v>9.6411117987906945</v>
      </c>
      <c r="N1929" s="981">
        <f t="shared" si="49"/>
        <v>424.36967999999996</v>
      </c>
      <c r="O1929" s="981">
        <f t="shared" si="49"/>
        <v>-69.755031118848663</v>
      </c>
      <c r="P1929" s="807">
        <f t="shared" si="49"/>
        <v>0.5</v>
      </c>
      <c r="Q1929" s="23"/>
      <c r="W1929" s="4"/>
      <c r="X1929" s="4"/>
      <c r="Y1929" s="4"/>
      <c r="Z1929" s="4"/>
      <c r="AA1929" s="4"/>
      <c r="AB1929" s="4"/>
      <c r="AC1929" s="4"/>
      <c r="AD1929" s="4"/>
      <c r="AE1929" s="4"/>
    </row>
    <row r="1930" spans="2:31" hidden="1" outlineLevel="2" x14ac:dyDescent="0.15">
      <c r="B1930" s="1067" t="s">
        <v>1693</v>
      </c>
      <c r="C1930" s="981">
        <v>2469.1999999999998</v>
      </c>
      <c r="D1930" s="980">
        <v>759.63</v>
      </c>
      <c r="E1930" s="815">
        <v>1037.7710999999999</v>
      </c>
      <c r="F1930" s="815">
        <v>678.39799999999991</v>
      </c>
      <c r="G1930" s="812">
        <v>0</v>
      </c>
      <c r="H1930" s="981">
        <v>22.576000000000001</v>
      </c>
      <c r="I1930" s="807">
        <v>0.5</v>
      </c>
      <c r="J1930" s="981">
        <f t="shared" si="49"/>
        <v>336.29740666869202</v>
      </c>
      <c r="K1930" s="980">
        <f t="shared" si="49"/>
        <v>34.430046666646</v>
      </c>
      <c r="L1930" s="815">
        <f t="shared" si="49"/>
        <v>292.2262482032553</v>
      </c>
      <c r="M1930" s="812">
        <f t="shared" si="49"/>
        <v>9.6411117987906945</v>
      </c>
      <c r="N1930" s="981">
        <f t="shared" si="49"/>
        <v>424.36967999999996</v>
      </c>
      <c r="O1930" s="981">
        <f t="shared" si="49"/>
        <v>-69.755031118848663</v>
      </c>
      <c r="P1930" s="807">
        <f t="shared" si="49"/>
        <v>0.5</v>
      </c>
      <c r="Q1930" s="23"/>
      <c r="W1930" s="4"/>
      <c r="X1930" s="4"/>
      <c r="Y1930" s="4"/>
      <c r="Z1930" s="4"/>
      <c r="AA1930" s="4"/>
      <c r="AB1930" s="4"/>
      <c r="AC1930" s="4"/>
      <c r="AD1930" s="4"/>
      <c r="AE1930" s="4"/>
    </row>
    <row r="1931" spans="2:31" hidden="1" outlineLevel="2" x14ac:dyDescent="0.15">
      <c r="B1931" s="1067" t="s">
        <v>1694</v>
      </c>
      <c r="C1931" s="981">
        <v>2854.5</v>
      </c>
      <c r="D1931" s="980">
        <v>834.13</v>
      </c>
      <c r="E1931" s="815">
        <v>1127.8561</v>
      </c>
      <c r="F1931" s="815">
        <v>892.30399999999997</v>
      </c>
      <c r="G1931" s="812">
        <v>0</v>
      </c>
      <c r="H1931" s="981">
        <v>24.995999999999999</v>
      </c>
      <c r="I1931" s="807">
        <v>0.5</v>
      </c>
      <c r="J1931" s="981">
        <f t="shared" si="49"/>
        <v>336.29740666869202</v>
      </c>
      <c r="K1931" s="980">
        <f t="shared" si="49"/>
        <v>34.430046666646</v>
      </c>
      <c r="L1931" s="815">
        <f t="shared" si="49"/>
        <v>292.2262482032553</v>
      </c>
      <c r="M1931" s="812">
        <f t="shared" si="49"/>
        <v>9.6411117987906945</v>
      </c>
      <c r="N1931" s="981">
        <f t="shared" si="49"/>
        <v>424.36967999999996</v>
      </c>
      <c r="O1931" s="981">
        <f t="shared" si="49"/>
        <v>-69.755031118848663</v>
      </c>
      <c r="P1931" s="807">
        <f t="shared" si="49"/>
        <v>0.5</v>
      </c>
      <c r="Q1931" s="23"/>
      <c r="W1931" s="4"/>
      <c r="X1931" s="4"/>
      <c r="Y1931" s="4"/>
      <c r="Z1931" s="4"/>
      <c r="AA1931" s="4"/>
      <c r="AB1931" s="4"/>
      <c r="AC1931" s="4"/>
      <c r="AD1931" s="4"/>
      <c r="AE1931" s="4"/>
    </row>
    <row r="1932" spans="2:31" hidden="1" outlineLevel="2" x14ac:dyDescent="0.15">
      <c r="B1932" s="1067" t="s">
        <v>1695</v>
      </c>
      <c r="C1932" s="981">
        <v>2160.33</v>
      </c>
      <c r="D1932" s="980">
        <v>820.28</v>
      </c>
      <c r="E1932" s="815">
        <v>420.69060999999999</v>
      </c>
      <c r="F1932" s="815">
        <v>921.16149999999982</v>
      </c>
      <c r="G1932" s="812">
        <v>0</v>
      </c>
      <c r="H1932" s="981">
        <v>25.833300000000005</v>
      </c>
      <c r="I1932" s="807">
        <v>0.5</v>
      </c>
      <c r="J1932" s="981">
        <f t="shared" si="49"/>
        <v>336.29740666869202</v>
      </c>
      <c r="K1932" s="980">
        <f t="shared" si="49"/>
        <v>34.430046666646</v>
      </c>
      <c r="L1932" s="815">
        <f t="shared" si="49"/>
        <v>292.2262482032553</v>
      </c>
      <c r="M1932" s="812">
        <f t="shared" si="49"/>
        <v>9.6411117987906945</v>
      </c>
      <c r="N1932" s="981">
        <f t="shared" si="49"/>
        <v>424.36967999999996</v>
      </c>
      <c r="O1932" s="981">
        <f t="shared" si="49"/>
        <v>-69.755031118848663</v>
      </c>
      <c r="P1932" s="807">
        <f t="shared" si="49"/>
        <v>0.5</v>
      </c>
      <c r="Q1932" s="23"/>
      <c r="W1932" s="4"/>
      <c r="X1932" s="4"/>
      <c r="Y1932" s="4"/>
      <c r="Z1932" s="4"/>
      <c r="AA1932" s="4"/>
      <c r="AB1932" s="4"/>
      <c r="AC1932" s="4"/>
      <c r="AD1932" s="4"/>
      <c r="AE1932" s="4"/>
    </row>
    <row r="1933" spans="2:31" hidden="1" outlineLevel="2" x14ac:dyDescent="0.15">
      <c r="B1933" s="1067" t="s">
        <v>1696</v>
      </c>
      <c r="C1933" s="981">
        <v>5429.3</v>
      </c>
      <c r="D1933" s="980">
        <v>1743.7999999999997</v>
      </c>
      <c r="E1933" s="815">
        <v>2863.424</v>
      </c>
      <c r="F1933" s="815">
        <v>820.90499999999986</v>
      </c>
      <c r="G1933" s="812">
        <v>0</v>
      </c>
      <c r="H1933" s="981">
        <v>43.440000000000005</v>
      </c>
      <c r="I1933" s="807">
        <v>0.5</v>
      </c>
      <c r="J1933" s="981">
        <f t="shared" si="48"/>
        <v>336.29740666869202</v>
      </c>
      <c r="K1933" s="980">
        <f t="shared" si="48"/>
        <v>34.430046666646</v>
      </c>
      <c r="L1933" s="815">
        <f t="shared" si="48"/>
        <v>292.2262482032553</v>
      </c>
      <c r="M1933" s="812">
        <f t="shared" si="48"/>
        <v>9.6411117987906945</v>
      </c>
      <c r="N1933" s="981">
        <f t="shared" si="48"/>
        <v>424.36967999999996</v>
      </c>
      <c r="O1933" s="981">
        <f t="shared" si="48"/>
        <v>-69.755031118848663</v>
      </c>
      <c r="P1933" s="807">
        <f t="shared" si="48"/>
        <v>0.5</v>
      </c>
      <c r="Q1933" s="23"/>
      <c r="W1933" s="4"/>
      <c r="X1933" s="4"/>
      <c r="Y1933" s="4"/>
      <c r="Z1933" s="4"/>
      <c r="AA1933" s="4"/>
      <c r="AB1933" s="4"/>
      <c r="AC1933" s="4"/>
      <c r="AD1933" s="4"/>
      <c r="AE1933" s="4"/>
    </row>
    <row r="1934" spans="2:31" hidden="1" outlineLevel="2" x14ac:dyDescent="0.15">
      <c r="B1934" s="1067" t="s">
        <v>1697</v>
      </c>
      <c r="C1934" s="981">
        <v>11600.6</v>
      </c>
      <c r="D1934" s="980">
        <v>1918.7999999999997</v>
      </c>
      <c r="E1934" s="815">
        <v>7193.6511</v>
      </c>
      <c r="F1934" s="815">
        <v>2484.8330000000001</v>
      </c>
      <c r="G1934" s="812">
        <v>0</v>
      </c>
      <c r="H1934" s="981">
        <v>33.25</v>
      </c>
      <c r="I1934" s="807">
        <v>0.5</v>
      </c>
      <c r="J1934" s="981">
        <f t="shared" si="48"/>
        <v>336.29740666869202</v>
      </c>
      <c r="K1934" s="980">
        <f t="shared" si="48"/>
        <v>34.430046666646</v>
      </c>
      <c r="L1934" s="815">
        <f t="shared" si="48"/>
        <v>292.2262482032553</v>
      </c>
      <c r="M1934" s="812">
        <f t="shared" si="48"/>
        <v>9.6411117987906945</v>
      </c>
      <c r="N1934" s="981">
        <f t="shared" si="48"/>
        <v>424.36967999999996</v>
      </c>
      <c r="O1934" s="981">
        <f t="shared" si="48"/>
        <v>-69.755031118848663</v>
      </c>
      <c r="P1934" s="807">
        <f t="shared" si="48"/>
        <v>0.5</v>
      </c>
      <c r="Q1934" s="23"/>
      <c r="W1934" s="4"/>
      <c r="X1934" s="4"/>
      <c r="Y1934" s="4"/>
      <c r="Z1934" s="4"/>
      <c r="AA1934" s="4"/>
      <c r="AB1934" s="4"/>
      <c r="AC1934" s="4"/>
      <c r="AD1934" s="4"/>
      <c r="AE1934" s="4"/>
    </row>
    <row r="1935" spans="2:31" hidden="1" outlineLevel="2" x14ac:dyDescent="0.15">
      <c r="B1935" s="1067" t="s">
        <v>1698</v>
      </c>
      <c r="C1935" s="981">
        <v>16085.699999999995</v>
      </c>
      <c r="D1935" s="980">
        <v>1731.9</v>
      </c>
      <c r="E1935" s="815">
        <v>11164.858609999999</v>
      </c>
      <c r="F1935" s="815">
        <v>3152.6763000000001</v>
      </c>
      <c r="G1935" s="812">
        <v>0</v>
      </c>
      <c r="H1935" s="981">
        <v>30.979999999999997</v>
      </c>
      <c r="I1935" s="807">
        <v>0.5</v>
      </c>
      <c r="J1935" s="981">
        <f t="shared" si="48"/>
        <v>336.29740666869202</v>
      </c>
      <c r="K1935" s="980">
        <f t="shared" si="48"/>
        <v>34.430046666646</v>
      </c>
      <c r="L1935" s="815">
        <f t="shared" si="48"/>
        <v>292.2262482032553</v>
      </c>
      <c r="M1935" s="812">
        <f t="shared" si="48"/>
        <v>9.6411117987906945</v>
      </c>
      <c r="N1935" s="981">
        <f t="shared" si="48"/>
        <v>424.36967999999996</v>
      </c>
      <c r="O1935" s="981">
        <f t="shared" si="48"/>
        <v>-69.755031118848663</v>
      </c>
      <c r="P1935" s="807">
        <f t="shared" si="48"/>
        <v>0.5</v>
      </c>
      <c r="Q1935" s="23"/>
      <c r="W1935" s="4"/>
      <c r="X1935" s="4"/>
      <c r="Y1935" s="4"/>
      <c r="Z1935" s="4"/>
      <c r="AA1935" s="4"/>
      <c r="AB1935" s="4"/>
      <c r="AC1935" s="4"/>
      <c r="AD1935" s="4"/>
      <c r="AE1935" s="4"/>
    </row>
    <row r="1936" spans="2:31" hidden="1" outlineLevel="2" x14ac:dyDescent="0.15">
      <c r="B1936" s="1067" t="s">
        <v>1741</v>
      </c>
      <c r="C1936" s="981">
        <v>5968.4</v>
      </c>
      <c r="D1936" s="980">
        <v>3117.3</v>
      </c>
      <c r="E1936" s="815">
        <v>959.51778960000001</v>
      </c>
      <c r="F1936" s="815">
        <v>1889.0502000000001</v>
      </c>
      <c r="G1936" s="812">
        <v>0</v>
      </c>
      <c r="H1936" s="981">
        <v>27.161300000000001</v>
      </c>
      <c r="I1936" s="807">
        <v>0.5</v>
      </c>
      <c r="J1936" s="981">
        <f t="shared" si="49"/>
        <v>336.29740666869202</v>
      </c>
      <c r="K1936" s="980">
        <f t="shared" si="49"/>
        <v>34.430046666646</v>
      </c>
      <c r="L1936" s="815">
        <f t="shared" si="49"/>
        <v>292.2262482032553</v>
      </c>
      <c r="M1936" s="812">
        <f t="shared" si="49"/>
        <v>9.6411117987906945</v>
      </c>
      <c r="N1936" s="981">
        <f t="shared" si="49"/>
        <v>424.36967999999996</v>
      </c>
      <c r="O1936" s="981">
        <f t="shared" si="49"/>
        <v>-69.755031118848663</v>
      </c>
      <c r="P1936" s="807">
        <f t="shared" si="49"/>
        <v>0.5</v>
      </c>
      <c r="Q1936" s="23"/>
      <c r="W1936" s="4"/>
      <c r="X1936" s="4"/>
      <c r="Y1936" s="4"/>
      <c r="Z1936" s="4"/>
      <c r="AA1936" s="4"/>
      <c r="AB1936" s="4"/>
      <c r="AC1936" s="4"/>
      <c r="AD1936" s="4"/>
      <c r="AE1936" s="4"/>
    </row>
    <row r="1937" spans="2:31" hidden="1" outlineLevel="2" x14ac:dyDescent="0.15">
      <c r="B1937" s="1067" t="s">
        <v>1699</v>
      </c>
      <c r="C1937" s="981">
        <v>9756.9999999999982</v>
      </c>
      <c r="D1937" s="980">
        <v>2894.9999999999995</v>
      </c>
      <c r="E1937" s="815">
        <v>4407.0239999999985</v>
      </c>
      <c r="F1937" s="815">
        <v>2447.306</v>
      </c>
      <c r="G1937" s="812">
        <v>0</v>
      </c>
      <c r="H1937" s="981">
        <v>76.59</v>
      </c>
      <c r="I1937" s="807">
        <v>0.5</v>
      </c>
      <c r="J1937" s="981">
        <f t="shared" si="49"/>
        <v>336.29740666869202</v>
      </c>
      <c r="K1937" s="980">
        <f t="shared" si="49"/>
        <v>34.430046666646</v>
      </c>
      <c r="L1937" s="815">
        <f t="shared" si="49"/>
        <v>292.2262482032553</v>
      </c>
      <c r="M1937" s="812">
        <f t="shared" si="49"/>
        <v>9.6411117987906945</v>
      </c>
      <c r="N1937" s="981">
        <f t="shared" si="49"/>
        <v>424.36967999999996</v>
      </c>
      <c r="O1937" s="981">
        <f t="shared" si="49"/>
        <v>-69.755031118848663</v>
      </c>
      <c r="P1937" s="807">
        <f t="shared" si="49"/>
        <v>0.5</v>
      </c>
      <c r="Q1937" s="23"/>
      <c r="W1937" s="4"/>
      <c r="X1937" s="4"/>
      <c r="Y1937" s="4"/>
      <c r="Z1937" s="4"/>
      <c r="AA1937" s="4"/>
      <c r="AB1937" s="4"/>
      <c r="AC1937" s="4"/>
      <c r="AD1937" s="4"/>
      <c r="AE1937" s="4"/>
    </row>
    <row r="1938" spans="2:31" hidden="1" outlineLevel="2" x14ac:dyDescent="0.15">
      <c r="B1938" s="1067" t="s">
        <v>1700</v>
      </c>
      <c r="C1938" s="981">
        <v>10318.000000000002</v>
      </c>
      <c r="D1938" s="980">
        <v>3758</v>
      </c>
      <c r="E1938" s="815">
        <v>4257.8939999999993</v>
      </c>
      <c r="F1938" s="815">
        <v>2308.306</v>
      </c>
      <c r="G1938" s="812">
        <v>0</v>
      </c>
      <c r="H1938" s="981">
        <v>92.31</v>
      </c>
      <c r="I1938" s="807">
        <v>0.5</v>
      </c>
      <c r="J1938" s="981">
        <f t="shared" si="49"/>
        <v>336.29740666869202</v>
      </c>
      <c r="K1938" s="980">
        <f t="shared" si="49"/>
        <v>34.430046666646</v>
      </c>
      <c r="L1938" s="815">
        <f t="shared" si="49"/>
        <v>292.2262482032553</v>
      </c>
      <c r="M1938" s="812">
        <f t="shared" si="49"/>
        <v>9.6411117987906945</v>
      </c>
      <c r="N1938" s="981">
        <f t="shared" si="49"/>
        <v>424.36967999999996</v>
      </c>
      <c r="O1938" s="981">
        <f t="shared" si="49"/>
        <v>-69.755031118848663</v>
      </c>
      <c r="P1938" s="807">
        <f t="shared" si="49"/>
        <v>0.5</v>
      </c>
      <c r="Q1938" s="23"/>
      <c r="W1938" s="4"/>
      <c r="X1938" s="4"/>
      <c r="Y1938" s="4"/>
      <c r="Z1938" s="4"/>
      <c r="AA1938" s="4"/>
      <c r="AB1938" s="4"/>
      <c r="AC1938" s="4"/>
      <c r="AD1938" s="4"/>
      <c r="AE1938" s="4"/>
    </row>
    <row r="1939" spans="2:31" hidden="1" outlineLevel="2" x14ac:dyDescent="0.15">
      <c r="B1939" s="1067" t="s">
        <v>1701</v>
      </c>
      <c r="C1939" s="981">
        <v>9688</v>
      </c>
      <c r="D1939" s="980">
        <v>2732</v>
      </c>
      <c r="E1939" s="815">
        <v>4365.165</v>
      </c>
      <c r="F1939" s="815">
        <v>2590.3750000000005</v>
      </c>
      <c r="G1939" s="812">
        <v>0</v>
      </c>
      <c r="H1939" s="981">
        <v>87.9</v>
      </c>
      <c r="I1939" s="807">
        <v>0.5</v>
      </c>
      <c r="J1939" s="981">
        <f t="shared" si="49"/>
        <v>336.29740666869202</v>
      </c>
      <c r="K1939" s="980">
        <f t="shared" si="49"/>
        <v>34.430046666646</v>
      </c>
      <c r="L1939" s="815">
        <f t="shared" si="49"/>
        <v>292.2262482032553</v>
      </c>
      <c r="M1939" s="812">
        <f t="shared" si="49"/>
        <v>9.6411117987906945</v>
      </c>
      <c r="N1939" s="981">
        <f t="shared" si="49"/>
        <v>424.36967999999996</v>
      </c>
      <c r="O1939" s="981">
        <f t="shared" si="49"/>
        <v>-69.755031118848663</v>
      </c>
      <c r="P1939" s="807">
        <f t="shared" si="49"/>
        <v>0.5</v>
      </c>
      <c r="Q1939" s="23"/>
      <c r="W1939" s="4"/>
      <c r="X1939" s="4"/>
      <c r="Y1939" s="4"/>
      <c r="Z1939" s="4"/>
      <c r="AA1939" s="4"/>
      <c r="AB1939" s="4"/>
      <c r="AC1939" s="4"/>
      <c r="AD1939" s="4"/>
      <c r="AE1939" s="4"/>
    </row>
    <row r="1940" spans="2:31" hidden="1" outlineLevel="2" x14ac:dyDescent="0.15">
      <c r="B1940" s="1067" t="s">
        <v>1702</v>
      </c>
      <c r="C1940" s="981">
        <v>9938</v>
      </c>
      <c r="D1940" s="980">
        <v>3269</v>
      </c>
      <c r="E1940" s="815">
        <v>4284.7839999999997</v>
      </c>
      <c r="F1940" s="815">
        <v>2384.306</v>
      </c>
      <c r="G1940" s="812">
        <v>0</v>
      </c>
      <c r="H1940" s="981">
        <v>89.509999999999991</v>
      </c>
      <c r="I1940" s="807">
        <v>0.5</v>
      </c>
      <c r="J1940" s="981">
        <f t="shared" si="49"/>
        <v>336.29740666869202</v>
      </c>
      <c r="K1940" s="980">
        <f t="shared" si="49"/>
        <v>34.430046666646</v>
      </c>
      <c r="L1940" s="815">
        <f t="shared" si="49"/>
        <v>292.2262482032553</v>
      </c>
      <c r="M1940" s="812">
        <f t="shared" si="49"/>
        <v>9.6411117987906945</v>
      </c>
      <c r="N1940" s="981">
        <f t="shared" si="49"/>
        <v>424.36967999999996</v>
      </c>
      <c r="O1940" s="981">
        <f t="shared" si="49"/>
        <v>-69.755031118848663</v>
      </c>
      <c r="P1940" s="807">
        <f t="shared" si="49"/>
        <v>0.5</v>
      </c>
      <c r="Q1940" s="23"/>
      <c r="W1940" s="4"/>
      <c r="X1940" s="4"/>
      <c r="Y1940" s="4"/>
      <c r="Z1940" s="4"/>
      <c r="AA1940" s="4"/>
      <c r="AB1940" s="4"/>
      <c r="AC1940" s="4"/>
      <c r="AD1940" s="4"/>
      <c r="AE1940" s="4"/>
    </row>
    <row r="1941" spans="2:31" hidden="1" outlineLevel="2" x14ac:dyDescent="0.15">
      <c r="B1941" s="1067" t="s">
        <v>1703</v>
      </c>
      <c r="C1941" s="981">
        <v>10433.999999999998</v>
      </c>
      <c r="D1941" s="980">
        <v>3027</v>
      </c>
      <c r="E1941" s="815">
        <v>4505.2240000000011</v>
      </c>
      <c r="F1941" s="815">
        <v>2899.8970000000004</v>
      </c>
      <c r="G1941" s="812">
        <v>0</v>
      </c>
      <c r="H1941" s="981">
        <v>84.06</v>
      </c>
      <c r="I1941" s="807">
        <v>0.5</v>
      </c>
      <c r="J1941" s="981">
        <f t="shared" si="49"/>
        <v>336.29740666869202</v>
      </c>
      <c r="K1941" s="980">
        <f t="shared" si="49"/>
        <v>34.430046666646</v>
      </c>
      <c r="L1941" s="815">
        <f t="shared" si="49"/>
        <v>292.2262482032553</v>
      </c>
      <c r="M1941" s="812">
        <f t="shared" si="49"/>
        <v>9.6411117987906945</v>
      </c>
      <c r="N1941" s="981">
        <f t="shared" si="49"/>
        <v>424.36967999999996</v>
      </c>
      <c r="O1941" s="981">
        <f t="shared" si="49"/>
        <v>-69.755031118848663</v>
      </c>
      <c r="P1941" s="807">
        <f t="shared" si="49"/>
        <v>0.5</v>
      </c>
      <c r="Q1941" s="23"/>
      <c r="W1941" s="4"/>
      <c r="X1941" s="4"/>
      <c r="Y1941" s="4"/>
      <c r="Z1941" s="4"/>
      <c r="AA1941" s="4"/>
      <c r="AB1941" s="4"/>
      <c r="AC1941" s="4"/>
      <c r="AD1941" s="4"/>
      <c r="AE1941" s="4"/>
    </row>
    <row r="1942" spans="2:31" hidden="1" outlineLevel="2" x14ac:dyDescent="0.15">
      <c r="B1942" s="1067" t="s">
        <v>1704</v>
      </c>
      <c r="C1942" s="981">
        <v>9895.0000000000018</v>
      </c>
      <c r="D1942" s="980">
        <v>2878</v>
      </c>
      <c r="E1942" s="815">
        <v>4589.8909999999996</v>
      </c>
      <c r="F1942" s="815">
        <v>2438.7349999999992</v>
      </c>
      <c r="G1942" s="812">
        <v>0</v>
      </c>
      <c r="H1942" s="981">
        <v>83.8</v>
      </c>
      <c r="I1942" s="807">
        <v>0.5</v>
      </c>
      <c r="J1942" s="981">
        <f t="shared" si="49"/>
        <v>336.29740666869202</v>
      </c>
      <c r="K1942" s="980">
        <f t="shared" si="49"/>
        <v>34.430046666646</v>
      </c>
      <c r="L1942" s="815">
        <f t="shared" si="49"/>
        <v>292.2262482032553</v>
      </c>
      <c r="M1942" s="812">
        <f t="shared" si="49"/>
        <v>9.6411117987906945</v>
      </c>
      <c r="N1942" s="981">
        <f t="shared" si="49"/>
        <v>424.36967999999996</v>
      </c>
      <c r="O1942" s="981">
        <f t="shared" si="49"/>
        <v>-69.755031118848663</v>
      </c>
      <c r="P1942" s="807">
        <f t="shared" si="49"/>
        <v>0.5</v>
      </c>
      <c r="Q1942" s="23"/>
      <c r="W1942" s="4"/>
      <c r="X1942" s="4"/>
      <c r="Y1942" s="4"/>
      <c r="Z1942" s="4"/>
      <c r="AA1942" s="4"/>
      <c r="AB1942" s="4"/>
      <c r="AC1942" s="4"/>
      <c r="AD1942" s="4"/>
      <c r="AE1942" s="4"/>
    </row>
    <row r="1943" spans="2:31" hidden="1" outlineLevel="2" x14ac:dyDescent="0.15">
      <c r="B1943" s="1067" t="s">
        <v>1705</v>
      </c>
      <c r="C1943" s="981">
        <v>5418.64</v>
      </c>
      <c r="D1943" s="980">
        <v>2315.83</v>
      </c>
      <c r="E1943" s="815">
        <v>723.49217999999996</v>
      </c>
      <c r="F1943" s="815">
        <v>2380.1621</v>
      </c>
      <c r="G1943" s="812">
        <v>0</v>
      </c>
      <c r="H1943" s="981">
        <v>59.475000000000001</v>
      </c>
      <c r="I1943" s="807">
        <v>0.5</v>
      </c>
      <c r="J1943" s="981">
        <f t="shared" si="49"/>
        <v>336.29740666869202</v>
      </c>
      <c r="K1943" s="980">
        <f t="shared" si="49"/>
        <v>34.430046666646</v>
      </c>
      <c r="L1943" s="815">
        <f t="shared" si="49"/>
        <v>292.2262482032553</v>
      </c>
      <c r="M1943" s="812">
        <f t="shared" si="49"/>
        <v>9.6411117987906945</v>
      </c>
      <c r="N1943" s="981">
        <f t="shared" si="49"/>
        <v>424.36967999999996</v>
      </c>
      <c r="O1943" s="981">
        <f t="shared" si="49"/>
        <v>-69.755031118848663</v>
      </c>
      <c r="P1943" s="807">
        <f t="shared" si="49"/>
        <v>0.5</v>
      </c>
      <c r="Q1943" s="23"/>
      <c r="W1943" s="4"/>
      <c r="X1943" s="4"/>
      <c r="Y1943" s="4"/>
      <c r="Z1943" s="4"/>
      <c r="AA1943" s="4"/>
      <c r="AB1943" s="4"/>
      <c r="AC1943" s="4"/>
      <c r="AD1943" s="4"/>
      <c r="AE1943" s="4"/>
    </row>
    <row r="1944" spans="2:31" hidden="1" outlineLevel="2" x14ac:dyDescent="0.15">
      <c r="B1944" s="1067" t="s">
        <v>1706</v>
      </c>
      <c r="C1944" s="981">
        <v>22941.000000000004</v>
      </c>
      <c r="D1944" s="980">
        <v>1693</v>
      </c>
      <c r="E1944" s="815">
        <v>16530.614700000002</v>
      </c>
      <c r="F1944" s="815">
        <v>4688.5940000000001</v>
      </c>
      <c r="G1944" s="812">
        <v>0</v>
      </c>
      <c r="H1944" s="981">
        <v>28.71</v>
      </c>
      <c r="I1944" s="807">
        <v>0.5</v>
      </c>
      <c r="J1944" s="981">
        <f t="shared" si="49"/>
        <v>336.29740666869202</v>
      </c>
      <c r="K1944" s="980">
        <f t="shared" si="49"/>
        <v>34.430046666646</v>
      </c>
      <c r="L1944" s="815">
        <f t="shared" si="49"/>
        <v>292.2262482032553</v>
      </c>
      <c r="M1944" s="812">
        <f t="shared" si="49"/>
        <v>9.6411117987906945</v>
      </c>
      <c r="N1944" s="981">
        <f t="shared" si="49"/>
        <v>424.36967999999996</v>
      </c>
      <c r="O1944" s="981">
        <f t="shared" si="49"/>
        <v>-69.755031118848663</v>
      </c>
      <c r="P1944" s="807">
        <f t="shared" si="49"/>
        <v>0.5</v>
      </c>
      <c r="Q1944" s="23"/>
      <c r="W1944" s="4"/>
      <c r="X1944" s="4"/>
      <c r="Y1944" s="4"/>
      <c r="Z1944" s="4"/>
      <c r="AA1944" s="4"/>
      <c r="AB1944" s="4"/>
      <c r="AC1944" s="4"/>
      <c r="AD1944" s="4"/>
      <c r="AE1944" s="4"/>
    </row>
    <row r="1945" spans="2:31" hidden="1" outlineLevel="2" x14ac:dyDescent="0.15">
      <c r="B1945" s="1067" t="s">
        <v>1707</v>
      </c>
      <c r="C1945" s="981">
        <v>17683.000000000004</v>
      </c>
      <c r="D1945" s="980">
        <v>1749</v>
      </c>
      <c r="E1945" s="815">
        <v>12061.507099999999</v>
      </c>
      <c r="F1945" s="815">
        <v>3873.0430000000001</v>
      </c>
      <c r="G1945" s="812">
        <v>0</v>
      </c>
      <c r="H1945" s="981">
        <v>23.7</v>
      </c>
      <c r="I1945" s="807">
        <v>0.5</v>
      </c>
      <c r="J1945" s="981">
        <f t="shared" si="49"/>
        <v>336.29740666869202</v>
      </c>
      <c r="K1945" s="980">
        <f t="shared" si="49"/>
        <v>34.430046666646</v>
      </c>
      <c r="L1945" s="815">
        <f t="shared" si="49"/>
        <v>292.2262482032553</v>
      </c>
      <c r="M1945" s="812">
        <f t="shared" si="49"/>
        <v>9.6411117987906945</v>
      </c>
      <c r="N1945" s="981">
        <f t="shared" si="49"/>
        <v>424.36967999999996</v>
      </c>
      <c r="O1945" s="981">
        <f t="shared" si="49"/>
        <v>-69.755031118848663</v>
      </c>
      <c r="P1945" s="807">
        <f t="shared" si="49"/>
        <v>0.5</v>
      </c>
      <c r="Q1945" s="23"/>
      <c r="W1945" s="4"/>
      <c r="X1945" s="4"/>
      <c r="Y1945" s="4"/>
      <c r="Z1945" s="4"/>
      <c r="AA1945" s="4"/>
      <c r="AB1945" s="4"/>
      <c r="AC1945" s="4"/>
      <c r="AD1945" s="4"/>
      <c r="AE1945" s="4"/>
    </row>
    <row r="1946" spans="2:31" hidden="1" outlineLevel="2" x14ac:dyDescent="0.15">
      <c r="B1946" s="1067" t="s">
        <v>1772</v>
      </c>
      <c r="C1946" s="981">
        <v>8629</v>
      </c>
      <c r="D1946" s="980">
        <v>861.49999999999989</v>
      </c>
      <c r="E1946" s="815">
        <v>6095.3558000000003</v>
      </c>
      <c r="F1946" s="815">
        <v>1671.924</v>
      </c>
      <c r="G1946" s="812">
        <v>0</v>
      </c>
      <c r="H1946" s="981">
        <v>9.6389999999999993</v>
      </c>
      <c r="I1946" s="807">
        <v>0.5</v>
      </c>
      <c r="J1946" s="981">
        <f t="shared" si="49"/>
        <v>336.29740666869202</v>
      </c>
      <c r="K1946" s="980">
        <f t="shared" si="49"/>
        <v>34.430046666646</v>
      </c>
      <c r="L1946" s="815">
        <f t="shared" si="49"/>
        <v>292.2262482032553</v>
      </c>
      <c r="M1946" s="812">
        <f t="shared" si="49"/>
        <v>9.6411117987906945</v>
      </c>
      <c r="N1946" s="981">
        <f t="shared" si="49"/>
        <v>424.36967999999996</v>
      </c>
      <c r="O1946" s="981">
        <f t="shared" si="49"/>
        <v>-69.755031118848663</v>
      </c>
      <c r="P1946" s="807">
        <f t="shared" si="49"/>
        <v>0.5</v>
      </c>
      <c r="Q1946" s="23"/>
      <c r="W1946" s="4"/>
      <c r="X1946" s="4"/>
      <c r="Y1946" s="4"/>
      <c r="Z1946" s="4"/>
      <c r="AA1946" s="4"/>
      <c r="AB1946" s="4"/>
      <c r="AC1946" s="4"/>
      <c r="AD1946" s="4"/>
      <c r="AE1946" s="4"/>
    </row>
    <row r="1947" spans="2:31" hidden="1" outlineLevel="2" x14ac:dyDescent="0.15">
      <c r="B1947" s="1067" t="s">
        <v>1757</v>
      </c>
      <c r="C1947" s="981">
        <v>12706</v>
      </c>
      <c r="D1947" s="980">
        <v>1041.9000000000001</v>
      </c>
      <c r="E1947" s="815">
        <v>9112.0512000000017</v>
      </c>
      <c r="F1947" s="815">
        <v>2550.0080000000003</v>
      </c>
      <c r="G1947" s="812">
        <v>0</v>
      </c>
      <c r="H1947" s="981">
        <v>13.645</v>
      </c>
      <c r="I1947" s="807">
        <v>0.5</v>
      </c>
      <c r="J1947" s="981">
        <f t="shared" ref="J1947:P1956" si="50">J$1914</f>
        <v>336.29740666869202</v>
      </c>
      <c r="K1947" s="980">
        <f t="shared" si="50"/>
        <v>34.430046666646</v>
      </c>
      <c r="L1947" s="815">
        <f t="shared" si="50"/>
        <v>292.2262482032553</v>
      </c>
      <c r="M1947" s="812">
        <f t="shared" si="50"/>
        <v>9.6411117987906945</v>
      </c>
      <c r="N1947" s="981">
        <f t="shared" si="50"/>
        <v>424.36967999999996</v>
      </c>
      <c r="O1947" s="981">
        <f t="shared" si="50"/>
        <v>-69.755031118848663</v>
      </c>
      <c r="P1947" s="807">
        <f t="shared" si="50"/>
        <v>0.5</v>
      </c>
      <c r="Q1947" s="23"/>
      <c r="W1947" s="4"/>
      <c r="X1947" s="4"/>
      <c r="Y1947" s="4"/>
      <c r="Z1947" s="4"/>
      <c r="AA1947" s="4"/>
      <c r="AB1947" s="4"/>
      <c r="AC1947" s="4"/>
      <c r="AD1947" s="4"/>
      <c r="AE1947" s="4"/>
    </row>
    <row r="1948" spans="2:31" hidden="1" outlineLevel="2" x14ac:dyDescent="0.15">
      <c r="B1948" s="1067" t="s">
        <v>1773</v>
      </c>
      <c r="C1948" s="981">
        <v>8979.9999999999982</v>
      </c>
      <c r="D1948" s="980">
        <v>1195</v>
      </c>
      <c r="E1948" s="815">
        <v>5897.5929999999998</v>
      </c>
      <c r="F1948" s="815">
        <v>1890.4789999999998</v>
      </c>
      <c r="G1948" s="812">
        <v>0</v>
      </c>
      <c r="H1948" s="981">
        <v>22.000999999999998</v>
      </c>
      <c r="I1948" s="807">
        <v>0.5</v>
      </c>
      <c r="J1948" s="981">
        <f t="shared" si="50"/>
        <v>336.29740666869202</v>
      </c>
      <c r="K1948" s="980">
        <f t="shared" si="50"/>
        <v>34.430046666646</v>
      </c>
      <c r="L1948" s="815">
        <f t="shared" si="50"/>
        <v>292.2262482032553</v>
      </c>
      <c r="M1948" s="812">
        <f t="shared" si="50"/>
        <v>9.6411117987906945</v>
      </c>
      <c r="N1948" s="981">
        <f t="shared" si="50"/>
        <v>424.36967999999996</v>
      </c>
      <c r="O1948" s="981">
        <f t="shared" si="50"/>
        <v>-69.755031118848663</v>
      </c>
      <c r="P1948" s="807">
        <f t="shared" si="50"/>
        <v>0.5</v>
      </c>
      <c r="Q1948" s="23"/>
      <c r="W1948" s="4"/>
      <c r="X1948" s="4"/>
      <c r="Y1948" s="4"/>
      <c r="Z1948" s="4"/>
      <c r="AA1948" s="4"/>
      <c r="AB1948" s="4"/>
      <c r="AC1948" s="4"/>
      <c r="AD1948" s="4"/>
      <c r="AE1948" s="4"/>
    </row>
    <row r="1949" spans="2:31" hidden="1" outlineLevel="2" x14ac:dyDescent="0.15">
      <c r="B1949" s="1067" t="s">
        <v>1761</v>
      </c>
      <c r="C1949" s="981">
        <v>7466</v>
      </c>
      <c r="D1949" s="980">
        <v>1042</v>
      </c>
      <c r="E1949" s="815">
        <v>4846.1379000000006</v>
      </c>
      <c r="F1949" s="815">
        <v>1580.8510000000001</v>
      </c>
      <c r="G1949" s="812">
        <v>0</v>
      </c>
      <c r="H1949" s="981">
        <v>16.491</v>
      </c>
      <c r="I1949" s="807">
        <v>0.5</v>
      </c>
      <c r="J1949" s="981">
        <f t="shared" si="50"/>
        <v>336.29740666869202</v>
      </c>
      <c r="K1949" s="980">
        <f t="shared" si="50"/>
        <v>34.430046666646</v>
      </c>
      <c r="L1949" s="815">
        <f t="shared" si="50"/>
        <v>292.2262482032553</v>
      </c>
      <c r="M1949" s="812">
        <f t="shared" si="50"/>
        <v>9.6411117987906945</v>
      </c>
      <c r="N1949" s="981">
        <f t="shared" si="50"/>
        <v>424.36967999999996</v>
      </c>
      <c r="O1949" s="981">
        <f t="shared" si="50"/>
        <v>-69.755031118848663</v>
      </c>
      <c r="P1949" s="807">
        <f t="shared" si="50"/>
        <v>0.5</v>
      </c>
      <c r="Q1949" s="23"/>
      <c r="W1949" s="4"/>
      <c r="X1949" s="4"/>
      <c r="Y1949" s="4"/>
      <c r="Z1949" s="4"/>
      <c r="AA1949" s="4"/>
      <c r="AB1949" s="4"/>
      <c r="AC1949" s="4"/>
      <c r="AD1949" s="4"/>
      <c r="AE1949" s="4"/>
    </row>
    <row r="1950" spans="2:31" hidden="1" outlineLevel="2" x14ac:dyDescent="0.15">
      <c r="B1950" s="1067" t="s">
        <v>1771</v>
      </c>
      <c r="C1950" s="981">
        <v>11431.000000000002</v>
      </c>
      <c r="D1950" s="980">
        <v>993.6</v>
      </c>
      <c r="E1950" s="815">
        <v>8158.3573999999999</v>
      </c>
      <c r="F1950" s="815">
        <v>2275.75</v>
      </c>
      <c r="G1950" s="812">
        <v>0</v>
      </c>
      <c r="H1950" s="981">
        <v>14.625999999999999</v>
      </c>
      <c r="I1950" s="807">
        <v>0.5</v>
      </c>
      <c r="J1950" s="981">
        <f t="shared" si="50"/>
        <v>336.29740666869202</v>
      </c>
      <c r="K1950" s="980">
        <f t="shared" si="50"/>
        <v>34.430046666646</v>
      </c>
      <c r="L1950" s="815">
        <f t="shared" si="50"/>
        <v>292.2262482032553</v>
      </c>
      <c r="M1950" s="812">
        <f t="shared" si="50"/>
        <v>9.6411117987906945</v>
      </c>
      <c r="N1950" s="981">
        <f t="shared" si="50"/>
        <v>424.36967999999996</v>
      </c>
      <c r="O1950" s="981">
        <f t="shared" si="50"/>
        <v>-69.755031118848663</v>
      </c>
      <c r="P1950" s="807">
        <f t="shared" si="50"/>
        <v>0.5</v>
      </c>
      <c r="Q1950" s="23"/>
      <c r="W1950" s="4"/>
      <c r="X1950" s="4"/>
      <c r="Y1950" s="4"/>
      <c r="Z1950" s="4"/>
      <c r="AA1950" s="4"/>
      <c r="AB1950" s="4"/>
      <c r="AC1950" s="4"/>
      <c r="AD1950" s="4"/>
      <c r="AE1950" s="4"/>
    </row>
    <row r="1951" spans="2:31" hidden="1" outlineLevel="2" x14ac:dyDescent="0.15">
      <c r="B1951" s="1067" t="s">
        <v>1770</v>
      </c>
      <c r="C1951" s="981">
        <v>5871.2</v>
      </c>
      <c r="D1951" s="980">
        <v>958.59999999999991</v>
      </c>
      <c r="E1951" s="815">
        <v>3609.6565699999996</v>
      </c>
      <c r="F1951" s="815">
        <v>1300.4662000000003</v>
      </c>
      <c r="G1951" s="812">
        <v>0</v>
      </c>
      <c r="H1951" s="981">
        <v>13.608100000000002</v>
      </c>
      <c r="I1951" s="807">
        <v>0.5</v>
      </c>
      <c r="J1951" s="981">
        <f t="shared" si="50"/>
        <v>336.29740666869202</v>
      </c>
      <c r="K1951" s="980">
        <f t="shared" si="50"/>
        <v>34.430046666646</v>
      </c>
      <c r="L1951" s="815">
        <f t="shared" si="50"/>
        <v>292.2262482032553</v>
      </c>
      <c r="M1951" s="812">
        <f t="shared" si="50"/>
        <v>9.6411117987906945</v>
      </c>
      <c r="N1951" s="981">
        <f t="shared" si="50"/>
        <v>424.36967999999996</v>
      </c>
      <c r="O1951" s="981">
        <f t="shared" si="50"/>
        <v>-69.755031118848663</v>
      </c>
      <c r="P1951" s="807">
        <f t="shared" si="50"/>
        <v>0.5</v>
      </c>
      <c r="Q1951" s="23"/>
      <c r="W1951" s="4"/>
      <c r="X1951" s="4"/>
      <c r="Y1951" s="4"/>
      <c r="Z1951" s="4"/>
      <c r="AA1951" s="4"/>
      <c r="AB1951" s="4"/>
      <c r="AC1951" s="4"/>
      <c r="AD1951" s="4"/>
      <c r="AE1951" s="4"/>
    </row>
    <row r="1952" spans="2:31" hidden="1" outlineLevel="2" x14ac:dyDescent="0.15">
      <c r="B1952" s="1067" t="s">
        <v>1762</v>
      </c>
      <c r="C1952" s="981">
        <v>6638.6</v>
      </c>
      <c r="D1952" s="980">
        <v>869</v>
      </c>
      <c r="E1952" s="815">
        <v>4225.3000500000007</v>
      </c>
      <c r="F1952" s="815">
        <v>1547.192</v>
      </c>
      <c r="G1952" s="812">
        <v>0</v>
      </c>
      <c r="H1952" s="981">
        <v>17.742699999999999</v>
      </c>
      <c r="I1952" s="807">
        <v>0.5</v>
      </c>
      <c r="J1952" s="981">
        <f t="shared" si="50"/>
        <v>336.29740666869202</v>
      </c>
      <c r="K1952" s="980">
        <f t="shared" si="50"/>
        <v>34.430046666646</v>
      </c>
      <c r="L1952" s="815">
        <f t="shared" si="50"/>
        <v>292.2262482032553</v>
      </c>
      <c r="M1952" s="812">
        <f t="shared" si="50"/>
        <v>9.6411117987906945</v>
      </c>
      <c r="N1952" s="981">
        <f t="shared" si="50"/>
        <v>424.36967999999996</v>
      </c>
      <c r="O1952" s="981">
        <f t="shared" si="50"/>
        <v>-69.755031118848663</v>
      </c>
      <c r="P1952" s="807">
        <f t="shared" si="50"/>
        <v>0.5</v>
      </c>
      <c r="Q1952" s="23"/>
      <c r="W1952" s="4"/>
      <c r="X1952" s="4"/>
      <c r="Y1952" s="4"/>
      <c r="Z1952" s="4"/>
      <c r="AA1952" s="4"/>
      <c r="AB1952" s="4"/>
      <c r="AC1952" s="4"/>
      <c r="AD1952" s="4"/>
      <c r="AE1952" s="4"/>
    </row>
    <row r="1953" spans="2:31" hidden="1" outlineLevel="2" x14ac:dyDescent="0.15">
      <c r="B1953" s="1067" t="s">
        <v>1769</v>
      </c>
      <c r="C1953" s="981">
        <v>6469.0199999999995</v>
      </c>
      <c r="D1953" s="980">
        <v>1728.03</v>
      </c>
      <c r="E1953" s="815">
        <v>3505.3447500000002</v>
      </c>
      <c r="F1953" s="815">
        <v>1230.7323999999999</v>
      </c>
      <c r="G1953" s="812">
        <v>0</v>
      </c>
      <c r="H1953" s="981">
        <v>38.076999999999998</v>
      </c>
      <c r="I1953" s="807">
        <v>0.5</v>
      </c>
      <c r="J1953" s="981">
        <f t="shared" si="50"/>
        <v>336.29740666869202</v>
      </c>
      <c r="K1953" s="980">
        <f t="shared" si="50"/>
        <v>34.430046666646</v>
      </c>
      <c r="L1953" s="815">
        <f t="shared" si="50"/>
        <v>292.2262482032553</v>
      </c>
      <c r="M1953" s="812">
        <f t="shared" si="50"/>
        <v>9.6411117987906945</v>
      </c>
      <c r="N1953" s="981">
        <f t="shared" si="50"/>
        <v>424.36967999999996</v>
      </c>
      <c r="O1953" s="981">
        <f t="shared" si="50"/>
        <v>-69.755031118848663</v>
      </c>
      <c r="P1953" s="807">
        <f t="shared" si="50"/>
        <v>0.5</v>
      </c>
      <c r="Q1953" s="23"/>
      <c r="W1953" s="4"/>
      <c r="X1953" s="4"/>
      <c r="Y1953" s="4"/>
      <c r="Z1953" s="4"/>
      <c r="AA1953" s="4"/>
      <c r="AB1953" s="4"/>
      <c r="AC1953" s="4"/>
      <c r="AD1953" s="4"/>
      <c r="AE1953" s="4"/>
    </row>
    <row r="1954" spans="2:31" hidden="1" outlineLevel="2" x14ac:dyDescent="0.15">
      <c r="B1954" s="1067" t="s">
        <v>1763</v>
      </c>
      <c r="C1954" s="981">
        <v>8130.12</v>
      </c>
      <c r="D1954" s="980">
        <v>1987.7299999999998</v>
      </c>
      <c r="E1954" s="815">
        <v>4734.5448699999997</v>
      </c>
      <c r="F1954" s="815">
        <v>1409.2718</v>
      </c>
      <c r="G1954" s="812">
        <v>0</v>
      </c>
      <c r="H1954" s="981">
        <v>42.536999999999999</v>
      </c>
      <c r="I1954" s="807">
        <v>0.5</v>
      </c>
      <c r="J1954" s="981">
        <f t="shared" si="50"/>
        <v>336.29740666869202</v>
      </c>
      <c r="K1954" s="980">
        <f t="shared" si="50"/>
        <v>34.430046666646</v>
      </c>
      <c r="L1954" s="815">
        <f t="shared" si="50"/>
        <v>292.2262482032553</v>
      </c>
      <c r="M1954" s="812">
        <f t="shared" si="50"/>
        <v>9.6411117987906945</v>
      </c>
      <c r="N1954" s="981">
        <f t="shared" si="50"/>
        <v>424.36967999999996</v>
      </c>
      <c r="O1954" s="981">
        <f t="shared" si="50"/>
        <v>-69.755031118848663</v>
      </c>
      <c r="P1954" s="807">
        <f t="shared" si="50"/>
        <v>0.5</v>
      </c>
      <c r="Q1954" s="23"/>
      <c r="W1954" s="4"/>
      <c r="X1954" s="4"/>
      <c r="Y1954" s="4"/>
      <c r="Z1954" s="4"/>
      <c r="AA1954" s="4"/>
      <c r="AB1954" s="4"/>
      <c r="AC1954" s="4"/>
      <c r="AD1954" s="4"/>
      <c r="AE1954" s="4"/>
    </row>
    <row r="1955" spans="2:31" hidden="1" outlineLevel="2" x14ac:dyDescent="0.15">
      <c r="B1955" s="1067" t="s">
        <v>1768</v>
      </c>
      <c r="C1955" s="981">
        <v>8833.119999999999</v>
      </c>
      <c r="D1955" s="980">
        <v>2552.2299999999996</v>
      </c>
      <c r="E1955" s="815">
        <v>4932.7089599999999</v>
      </c>
      <c r="F1955" s="815">
        <v>1342.9130999999998</v>
      </c>
      <c r="G1955" s="812">
        <v>0</v>
      </c>
      <c r="H1955" s="981">
        <v>54.9846</v>
      </c>
      <c r="I1955" s="807">
        <v>0.5</v>
      </c>
      <c r="J1955" s="981">
        <f t="shared" si="50"/>
        <v>336.29740666869202</v>
      </c>
      <c r="K1955" s="980">
        <f t="shared" si="50"/>
        <v>34.430046666646</v>
      </c>
      <c r="L1955" s="815">
        <f t="shared" si="50"/>
        <v>292.2262482032553</v>
      </c>
      <c r="M1955" s="812">
        <f t="shared" si="50"/>
        <v>9.6411117987906945</v>
      </c>
      <c r="N1955" s="981">
        <f t="shared" si="50"/>
        <v>424.36967999999996</v>
      </c>
      <c r="O1955" s="981">
        <f t="shared" si="50"/>
        <v>-69.755031118848663</v>
      </c>
      <c r="P1955" s="807">
        <f t="shared" si="50"/>
        <v>0.5</v>
      </c>
      <c r="Q1955" s="23"/>
      <c r="W1955" s="4"/>
      <c r="X1955" s="4"/>
      <c r="Y1955" s="4"/>
      <c r="Z1955" s="4"/>
      <c r="AA1955" s="4"/>
      <c r="AB1955" s="4"/>
      <c r="AC1955" s="4"/>
      <c r="AD1955" s="4"/>
      <c r="AE1955" s="4"/>
    </row>
    <row r="1956" spans="2:31" hidden="1" outlineLevel="2" x14ac:dyDescent="0.15">
      <c r="B1956" s="1067" t="s">
        <v>1708</v>
      </c>
      <c r="C1956" s="981">
        <v>6081.2</v>
      </c>
      <c r="D1956" s="980">
        <v>2523.9</v>
      </c>
      <c r="E1956" s="815">
        <v>2287.4481999999998</v>
      </c>
      <c r="F1956" s="815">
        <v>1275.9450000000002</v>
      </c>
      <c r="G1956" s="812">
        <v>0</v>
      </c>
      <c r="H1956" s="981">
        <v>252.07000000000002</v>
      </c>
      <c r="I1956" s="807">
        <v>0.5</v>
      </c>
      <c r="J1956" s="981">
        <f t="shared" si="50"/>
        <v>336.29740666869202</v>
      </c>
      <c r="K1956" s="980">
        <f t="shared" si="50"/>
        <v>34.430046666646</v>
      </c>
      <c r="L1956" s="815">
        <f t="shared" si="50"/>
        <v>292.2262482032553</v>
      </c>
      <c r="M1956" s="812">
        <f t="shared" si="50"/>
        <v>9.6411117987906945</v>
      </c>
      <c r="N1956" s="981">
        <f t="shared" si="50"/>
        <v>424.36967999999996</v>
      </c>
      <c r="O1956" s="981">
        <f t="shared" si="50"/>
        <v>-69.755031118848663</v>
      </c>
      <c r="P1956" s="807">
        <f t="shared" si="50"/>
        <v>0.5</v>
      </c>
      <c r="Q1956" s="23"/>
      <c r="W1956" s="4"/>
      <c r="X1956" s="4"/>
      <c r="Y1956" s="4"/>
      <c r="Z1956" s="4"/>
      <c r="AA1956" s="4"/>
      <c r="AB1956" s="4"/>
      <c r="AC1956" s="4"/>
      <c r="AD1956" s="4"/>
      <c r="AE1956" s="4"/>
    </row>
    <row r="1957" spans="2:31" hidden="1" outlineLevel="2" x14ac:dyDescent="0.15">
      <c r="B1957" s="1067"/>
      <c r="C1957" s="981"/>
      <c r="D1957" s="980"/>
      <c r="E1957" s="815"/>
      <c r="F1957" s="815"/>
      <c r="G1957" s="812"/>
      <c r="H1957" s="981"/>
      <c r="I1957" s="807"/>
      <c r="J1957" s="981"/>
      <c r="K1957" s="980"/>
      <c r="L1957" s="815"/>
      <c r="M1957" s="812"/>
      <c r="N1957" s="981"/>
      <c r="O1957" s="981"/>
      <c r="P1957" s="807"/>
      <c r="Q1957" s="23"/>
      <c r="W1957" s="4"/>
      <c r="X1957" s="4"/>
      <c r="Y1957" s="4"/>
      <c r="Z1957" s="4"/>
      <c r="AA1957" s="4"/>
      <c r="AB1957" s="4"/>
      <c r="AC1957" s="4"/>
      <c r="AD1957" s="4"/>
      <c r="AE1957" s="4"/>
    </row>
    <row r="1958" spans="2:31" hidden="1" outlineLevel="2" x14ac:dyDescent="0.15">
      <c r="B1958" s="1067" t="s">
        <v>1709</v>
      </c>
      <c r="C1958" s="981">
        <v>3169.4739999999997</v>
      </c>
      <c r="D1958" s="980">
        <v>1879.7549999999999</v>
      </c>
      <c r="E1958" s="815">
        <v>141.06311000000002</v>
      </c>
      <c r="F1958" s="815">
        <v>1146.4217800000001</v>
      </c>
      <c r="G1958" s="812">
        <v>0</v>
      </c>
      <c r="H1958" s="981">
        <v>41.997199999999999</v>
      </c>
      <c r="I1958" s="807">
        <v>0.5</v>
      </c>
      <c r="J1958" s="981">
        <f t="shared" ref="J1958:P1972" si="51">J$1914</f>
        <v>336.29740666869202</v>
      </c>
      <c r="K1958" s="980">
        <f t="shared" si="51"/>
        <v>34.430046666646</v>
      </c>
      <c r="L1958" s="815">
        <f t="shared" si="51"/>
        <v>292.2262482032553</v>
      </c>
      <c r="M1958" s="812">
        <f t="shared" si="51"/>
        <v>9.6411117987906945</v>
      </c>
      <c r="N1958" s="981">
        <f t="shared" si="51"/>
        <v>424.36967999999996</v>
      </c>
      <c r="O1958" s="981">
        <f t="shared" si="51"/>
        <v>-69.755031118848663</v>
      </c>
      <c r="P1958" s="807">
        <f t="shared" si="51"/>
        <v>0.5</v>
      </c>
      <c r="Q1958" s="23"/>
      <c r="W1958" s="4"/>
      <c r="X1958" s="4"/>
      <c r="Y1958" s="4"/>
      <c r="Z1958" s="4"/>
      <c r="AA1958" s="4"/>
      <c r="AB1958" s="4"/>
      <c r="AC1958" s="4"/>
      <c r="AD1958" s="4"/>
      <c r="AE1958" s="4"/>
    </row>
    <row r="1959" spans="2:31" hidden="1" outlineLevel="2" x14ac:dyDescent="0.15">
      <c r="B1959" s="1067" t="s">
        <v>1710</v>
      </c>
      <c r="C1959" s="981">
        <v>2832.9505999999997</v>
      </c>
      <c r="D1959" s="980">
        <v>1491.1470999999999</v>
      </c>
      <c r="E1959" s="815">
        <v>658.34927499999992</v>
      </c>
      <c r="F1959" s="815">
        <v>681.56331799999987</v>
      </c>
      <c r="G1959" s="812">
        <v>0</v>
      </c>
      <c r="H1959" s="981">
        <v>35.222110000000001</v>
      </c>
      <c r="I1959" s="807">
        <v>0.5</v>
      </c>
      <c r="J1959" s="981">
        <f t="shared" si="51"/>
        <v>336.29740666869202</v>
      </c>
      <c r="K1959" s="980">
        <f t="shared" si="51"/>
        <v>34.430046666646</v>
      </c>
      <c r="L1959" s="815">
        <f t="shared" si="51"/>
        <v>292.2262482032553</v>
      </c>
      <c r="M1959" s="812">
        <f t="shared" si="51"/>
        <v>9.6411117987906945</v>
      </c>
      <c r="N1959" s="981">
        <f t="shared" si="51"/>
        <v>424.36967999999996</v>
      </c>
      <c r="O1959" s="981">
        <f t="shared" si="51"/>
        <v>-69.755031118848663</v>
      </c>
      <c r="P1959" s="807">
        <f t="shared" si="51"/>
        <v>0.5</v>
      </c>
      <c r="Q1959" s="23"/>
      <c r="W1959" s="4"/>
      <c r="X1959" s="4"/>
      <c r="Y1959" s="4"/>
      <c r="Z1959" s="4"/>
      <c r="AA1959" s="4"/>
      <c r="AB1959" s="4"/>
      <c r="AC1959" s="4"/>
      <c r="AD1959" s="4"/>
      <c r="AE1959" s="4"/>
    </row>
    <row r="1960" spans="2:31" hidden="1" outlineLevel="2" x14ac:dyDescent="0.15">
      <c r="B1960" s="1067" t="s">
        <v>1711</v>
      </c>
      <c r="C1960" s="981">
        <v>2992.3270000000002</v>
      </c>
      <c r="D1960" s="980">
        <v>2020.203</v>
      </c>
      <c r="E1960" s="815">
        <v>131.27843000000004</v>
      </c>
      <c r="F1960" s="815">
        <v>840.39060000000006</v>
      </c>
      <c r="G1960" s="812">
        <v>0</v>
      </c>
      <c r="H1960" s="981">
        <v>58.026499999999999</v>
      </c>
      <c r="I1960" s="807">
        <v>0.5</v>
      </c>
      <c r="J1960" s="981">
        <f t="shared" si="51"/>
        <v>336.29740666869202</v>
      </c>
      <c r="K1960" s="980">
        <f t="shared" si="51"/>
        <v>34.430046666646</v>
      </c>
      <c r="L1960" s="815">
        <f t="shared" si="51"/>
        <v>292.2262482032553</v>
      </c>
      <c r="M1960" s="812">
        <f t="shared" si="51"/>
        <v>9.6411117987906945</v>
      </c>
      <c r="N1960" s="981">
        <f t="shared" si="51"/>
        <v>424.36967999999996</v>
      </c>
      <c r="O1960" s="981">
        <f t="shared" si="51"/>
        <v>-69.755031118848663</v>
      </c>
      <c r="P1960" s="807">
        <f t="shared" si="51"/>
        <v>0.5</v>
      </c>
      <c r="Q1960" s="23"/>
      <c r="W1960" s="4"/>
      <c r="X1960" s="4"/>
      <c r="Y1960" s="4"/>
      <c r="Z1960" s="4"/>
      <c r="AA1960" s="4"/>
      <c r="AB1960" s="4"/>
      <c r="AC1960" s="4"/>
      <c r="AD1960" s="4"/>
      <c r="AE1960" s="4"/>
    </row>
    <row r="1961" spans="2:31" hidden="1" outlineLevel="2" x14ac:dyDescent="0.15">
      <c r="B1961" s="1067" t="s">
        <v>1712</v>
      </c>
      <c r="C1961" s="981">
        <v>4163.2650000000003</v>
      </c>
      <c r="D1961" s="980">
        <v>2745.6390000000001</v>
      </c>
      <c r="E1961" s="815">
        <v>176.91626000000002</v>
      </c>
      <c r="F1961" s="815">
        <v>1239.96892</v>
      </c>
      <c r="G1961" s="812">
        <v>0</v>
      </c>
      <c r="H1961" s="981">
        <v>79.519900000000007</v>
      </c>
      <c r="I1961" s="807">
        <v>0.5</v>
      </c>
      <c r="J1961" s="981">
        <f t="shared" si="51"/>
        <v>336.29740666869202</v>
      </c>
      <c r="K1961" s="980">
        <f t="shared" si="51"/>
        <v>34.430046666646</v>
      </c>
      <c r="L1961" s="815">
        <f t="shared" si="51"/>
        <v>292.2262482032553</v>
      </c>
      <c r="M1961" s="812">
        <f t="shared" si="51"/>
        <v>9.6411117987906945</v>
      </c>
      <c r="N1961" s="981">
        <f t="shared" si="51"/>
        <v>424.36967999999996</v>
      </c>
      <c r="O1961" s="981">
        <f t="shared" si="51"/>
        <v>-69.755031118848663</v>
      </c>
      <c r="P1961" s="807">
        <f t="shared" si="51"/>
        <v>0.5</v>
      </c>
      <c r="Q1961" s="23"/>
      <c r="W1961" s="4"/>
      <c r="X1961" s="4"/>
      <c r="Y1961" s="4"/>
      <c r="Z1961" s="4"/>
      <c r="AA1961" s="4"/>
      <c r="AB1961" s="4"/>
      <c r="AC1961" s="4"/>
      <c r="AD1961" s="4"/>
      <c r="AE1961" s="4"/>
    </row>
    <row r="1962" spans="2:31" hidden="1" outlineLevel="2" x14ac:dyDescent="0.15">
      <c r="B1962" s="1067" t="s">
        <v>1713</v>
      </c>
      <c r="C1962" s="981">
        <v>3030.6279999999997</v>
      </c>
      <c r="D1962" s="980">
        <v>2041.404</v>
      </c>
      <c r="E1962" s="815">
        <v>132.77874</v>
      </c>
      <c r="F1962" s="815">
        <v>853.46559999999988</v>
      </c>
      <c r="G1962" s="812">
        <v>0</v>
      </c>
      <c r="H1962" s="981">
        <v>58.7376</v>
      </c>
      <c r="I1962" s="807">
        <v>0.5</v>
      </c>
      <c r="J1962" s="981">
        <f t="shared" si="51"/>
        <v>336.29740666869202</v>
      </c>
      <c r="K1962" s="980">
        <f t="shared" si="51"/>
        <v>34.430046666646</v>
      </c>
      <c r="L1962" s="815">
        <f t="shared" si="51"/>
        <v>292.2262482032553</v>
      </c>
      <c r="M1962" s="812">
        <f t="shared" si="51"/>
        <v>9.6411117987906945</v>
      </c>
      <c r="N1962" s="981">
        <f t="shared" si="51"/>
        <v>424.36967999999996</v>
      </c>
      <c r="O1962" s="981">
        <f t="shared" si="51"/>
        <v>-69.755031118848663</v>
      </c>
      <c r="P1962" s="807">
        <f t="shared" si="51"/>
        <v>0.5</v>
      </c>
      <c r="Q1962" s="23"/>
      <c r="W1962" s="4"/>
      <c r="X1962" s="4"/>
      <c r="Y1962" s="4"/>
      <c r="Z1962" s="4"/>
      <c r="AA1962" s="4"/>
      <c r="AB1962" s="4"/>
      <c r="AC1962" s="4"/>
      <c r="AD1962" s="4"/>
      <c r="AE1962" s="4"/>
    </row>
    <row r="1963" spans="2:31" hidden="1" outlineLevel="2" x14ac:dyDescent="0.15">
      <c r="B1963" s="1067" t="s">
        <v>1742</v>
      </c>
      <c r="C1963" s="981">
        <v>5144.2449999999999</v>
      </c>
      <c r="D1963" s="980">
        <v>3347.2280000000001</v>
      </c>
      <c r="E1963" s="815">
        <v>334.58736000000005</v>
      </c>
      <c r="F1963" s="815">
        <v>1463.07159</v>
      </c>
      <c r="G1963" s="812">
        <v>0</v>
      </c>
      <c r="H1963" s="981">
        <v>50.809900000000006</v>
      </c>
      <c r="I1963" s="807">
        <v>0.5</v>
      </c>
      <c r="J1963" s="981">
        <f t="shared" si="51"/>
        <v>336.29740666869202</v>
      </c>
      <c r="K1963" s="980">
        <f t="shared" si="51"/>
        <v>34.430046666646</v>
      </c>
      <c r="L1963" s="815">
        <f t="shared" si="51"/>
        <v>292.2262482032553</v>
      </c>
      <c r="M1963" s="812">
        <f t="shared" si="51"/>
        <v>9.6411117987906945</v>
      </c>
      <c r="N1963" s="981">
        <f t="shared" si="51"/>
        <v>424.36967999999996</v>
      </c>
      <c r="O1963" s="981">
        <f t="shared" si="51"/>
        <v>-69.755031118848663</v>
      </c>
      <c r="P1963" s="807">
        <f t="shared" si="51"/>
        <v>0.5</v>
      </c>
      <c r="Q1963" s="23"/>
      <c r="W1963" s="4"/>
      <c r="X1963" s="4"/>
      <c r="Y1963" s="4"/>
      <c r="Z1963" s="4"/>
      <c r="AA1963" s="4"/>
      <c r="AB1963" s="4"/>
      <c r="AC1963" s="4"/>
      <c r="AD1963" s="4"/>
      <c r="AE1963" s="4"/>
    </row>
    <row r="1964" spans="2:31" hidden="1" outlineLevel="2" x14ac:dyDescent="0.15">
      <c r="B1964" s="1067" t="s">
        <v>1716</v>
      </c>
      <c r="C1964" s="981">
        <v>5389.2560000000003</v>
      </c>
      <c r="D1964" s="980">
        <v>3494.2380000000003</v>
      </c>
      <c r="E1964" s="815">
        <v>349.23102</v>
      </c>
      <c r="F1964" s="815">
        <v>1549.69164</v>
      </c>
      <c r="G1964" s="812">
        <v>0</v>
      </c>
      <c r="H1964" s="981">
        <v>53.020799999999994</v>
      </c>
      <c r="I1964" s="807">
        <v>0.5</v>
      </c>
      <c r="J1964" s="981">
        <f t="shared" si="51"/>
        <v>336.29740666869202</v>
      </c>
      <c r="K1964" s="980">
        <f t="shared" si="51"/>
        <v>34.430046666646</v>
      </c>
      <c r="L1964" s="815">
        <f t="shared" si="51"/>
        <v>292.2262482032553</v>
      </c>
      <c r="M1964" s="812">
        <f t="shared" si="51"/>
        <v>9.6411117987906945</v>
      </c>
      <c r="N1964" s="981">
        <f t="shared" si="51"/>
        <v>424.36967999999996</v>
      </c>
      <c r="O1964" s="981">
        <f t="shared" si="51"/>
        <v>-69.755031118848663</v>
      </c>
      <c r="P1964" s="807">
        <f t="shared" si="51"/>
        <v>0.5</v>
      </c>
      <c r="Q1964" s="23"/>
      <c r="W1964" s="4"/>
      <c r="X1964" s="4"/>
      <c r="Y1964" s="4"/>
      <c r="Z1964" s="4"/>
      <c r="AA1964" s="4"/>
      <c r="AB1964" s="4"/>
      <c r="AC1964" s="4"/>
      <c r="AD1964" s="4"/>
      <c r="AE1964" s="4"/>
    </row>
    <row r="1965" spans="2:31" hidden="1" outlineLevel="2" x14ac:dyDescent="0.15">
      <c r="B1965" s="1067" t="s">
        <v>1717</v>
      </c>
      <c r="C1965" s="981">
        <v>4860.2349999999997</v>
      </c>
      <c r="D1965" s="980">
        <v>3161.2189999999996</v>
      </c>
      <c r="E1965" s="815">
        <v>315.77350000000001</v>
      </c>
      <c r="F1965" s="815">
        <v>1377.35151</v>
      </c>
      <c r="G1965" s="812">
        <v>0</v>
      </c>
      <c r="H1965" s="981">
        <v>47.619099999999996</v>
      </c>
      <c r="I1965" s="807">
        <v>0.5</v>
      </c>
      <c r="J1965" s="981">
        <f t="shared" si="51"/>
        <v>336.29740666869202</v>
      </c>
      <c r="K1965" s="980">
        <f t="shared" si="51"/>
        <v>34.430046666646</v>
      </c>
      <c r="L1965" s="815">
        <f t="shared" si="51"/>
        <v>292.2262482032553</v>
      </c>
      <c r="M1965" s="812">
        <f t="shared" si="51"/>
        <v>9.6411117987906945</v>
      </c>
      <c r="N1965" s="981">
        <f t="shared" si="51"/>
        <v>424.36967999999996</v>
      </c>
      <c r="O1965" s="981">
        <f t="shared" si="51"/>
        <v>-69.755031118848663</v>
      </c>
      <c r="P1965" s="807">
        <f t="shared" si="51"/>
        <v>0.5</v>
      </c>
      <c r="Q1965" s="23"/>
      <c r="W1965" s="4"/>
      <c r="X1965" s="4"/>
      <c r="Y1965" s="4"/>
      <c r="Z1965" s="4"/>
      <c r="AA1965" s="4"/>
      <c r="AB1965" s="4"/>
      <c r="AC1965" s="4"/>
      <c r="AD1965" s="4"/>
      <c r="AE1965" s="4"/>
    </row>
    <row r="1966" spans="2:31" hidden="1" outlineLevel="2" x14ac:dyDescent="0.15">
      <c r="B1966" s="1067" t="s">
        <v>1717</v>
      </c>
      <c r="C1966" s="981">
        <v>11512.243</v>
      </c>
      <c r="D1966" s="980">
        <v>6556.2259999999997</v>
      </c>
      <c r="E1966" s="815">
        <v>603.82431999999994</v>
      </c>
      <c r="F1966" s="815">
        <v>4345.9215599999998</v>
      </c>
      <c r="G1966" s="812">
        <v>0</v>
      </c>
      <c r="H1966" s="981">
        <v>120.22970000000001</v>
      </c>
      <c r="I1966" s="807">
        <v>0.5</v>
      </c>
      <c r="J1966" s="981">
        <f t="shared" si="51"/>
        <v>336.29740666869202</v>
      </c>
      <c r="K1966" s="980">
        <f t="shared" si="51"/>
        <v>34.430046666646</v>
      </c>
      <c r="L1966" s="815">
        <f t="shared" si="51"/>
        <v>292.2262482032553</v>
      </c>
      <c r="M1966" s="812">
        <f t="shared" si="51"/>
        <v>9.6411117987906945</v>
      </c>
      <c r="N1966" s="981">
        <f t="shared" si="51"/>
        <v>424.36967999999996</v>
      </c>
      <c r="O1966" s="981">
        <f t="shared" si="51"/>
        <v>-69.755031118848663</v>
      </c>
      <c r="P1966" s="807">
        <f t="shared" si="51"/>
        <v>0.5</v>
      </c>
      <c r="Q1966" s="23"/>
      <c r="W1966" s="4"/>
      <c r="X1966" s="4"/>
      <c r="Y1966" s="4"/>
      <c r="Z1966" s="4"/>
      <c r="AA1966" s="4"/>
      <c r="AB1966" s="4"/>
      <c r="AC1966" s="4"/>
      <c r="AD1966" s="4"/>
      <c r="AE1966" s="4"/>
    </row>
    <row r="1967" spans="2:31" hidden="1" outlineLevel="2" x14ac:dyDescent="0.15">
      <c r="B1967" s="1067" t="s">
        <v>1718</v>
      </c>
      <c r="C1967" s="981">
        <v>5351.2539999999999</v>
      </c>
      <c r="D1967" s="980">
        <v>3463.2359999999999</v>
      </c>
      <c r="E1967" s="815">
        <v>345.49789000000004</v>
      </c>
      <c r="F1967" s="815">
        <v>1536.5416400000001</v>
      </c>
      <c r="G1967" s="812">
        <v>0</v>
      </c>
      <c r="H1967" s="981">
        <v>52.520600000000002</v>
      </c>
      <c r="I1967" s="807">
        <v>0.5</v>
      </c>
      <c r="J1967" s="981">
        <f t="shared" si="51"/>
        <v>336.29740666869202</v>
      </c>
      <c r="K1967" s="980">
        <f t="shared" si="51"/>
        <v>34.430046666646</v>
      </c>
      <c r="L1967" s="815">
        <f t="shared" si="51"/>
        <v>292.2262482032553</v>
      </c>
      <c r="M1967" s="812">
        <f t="shared" si="51"/>
        <v>9.6411117987906945</v>
      </c>
      <c r="N1967" s="981">
        <f t="shared" si="51"/>
        <v>424.36967999999996</v>
      </c>
      <c r="O1967" s="981">
        <f t="shared" si="51"/>
        <v>-69.755031118848663</v>
      </c>
      <c r="P1967" s="807">
        <f t="shared" si="51"/>
        <v>0.5</v>
      </c>
      <c r="Q1967" s="23"/>
      <c r="W1967" s="4"/>
      <c r="X1967" s="4"/>
      <c r="Y1967" s="4"/>
      <c r="Z1967" s="4"/>
      <c r="AA1967" s="4"/>
      <c r="AB1967" s="4"/>
      <c r="AC1967" s="4"/>
      <c r="AD1967" s="4"/>
      <c r="AE1967" s="4"/>
    </row>
    <row r="1968" spans="2:31" hidden="1" outlineLevel="2" x14ac:dyDescent="0.15">
      <c r="B1968" s="1067" t="s">
        <v>1719</v>
      </c>
      <c r="C1968" s="981">
        <v>4926.2379999999994</v>
      </c>
      <c r="D1968" s="980">
        <v>3203.2219999999998</v>
      </c>
      <c r="E1968" s="815">
        <v>320.72704000000004</v>
      </c>
      <c r="F1968" s="815">
        <v>1403.6215399999999</v>
      </c>
      <c r="G1968" s="812">
        <v>0</v>
      </c>
      <c r="H1968" s="981">
        <v>48.439299999999996</v>
      </c>
      <c r="I1968" s="807">
        <v>0.5</v>
      </c>
      <c r="J1968" s="981">
        <f t="shared" si="51"/>
        <v>336.29740666869202</v>
      </c>
      <c r="K1968" s="980">
        <f t="shared" si="51"/>
        <v>34.430046666646</v>
      </c>
      <c r="L1968" s="815">
        <f t="shared" si="51"/>
        <v>292.2262482032553</v>
      </c>
      <c r="M1968" s="812">
        <f t="shared" si="51"/>
        <v>9.6411117987906945</v>
      </c>
      <c r="N1968" s="981">
        <f t="shared" si="51"/>
        <v>424.36967999999996</v>
      </c>
      <c r="O1968" s="981">
        <f t="shared" si="51"/>
        <v>-69.755031118848663</v>
      </c>
      <c r="P1968" s="807">
        <f t="shared" si="51"/>
        <v>0.5</v>
      </c>
      <c r="Q1968" s="23"/>
      <c r="W1968" s="4"/>
      <c r="X1968" s="4"/>
      <c r="Y1968" s="4"/>
      <c r="Z1968" s="4"/>
      <c r="AA1968" s="4"/>
      <c r="AB1968" s="4"/>
      <c r="AC1968" s="4"/>
      <c r="AD1968" s="4"/>
      <c r="AE1968" s="4"/>
    </row>
    <row r="1969" spans="2:31" hidden="1" outlineLevel="2" x14ac:dyDescent="0.15">
      <c r="B1969" s="1067" t="s">
        <v>1743</v>
      </c>
      <c r="C1969" s="981">
        <v>2402.4389999999999</v>
      </c>
      <c r="D1969" s="980">
        <v>1416.6290000000001</v>
      </c>
      <c r="E1969" s="815">
        <v>152.41077999999999</v>
      </c>
      <c r="F1969" s="815">
        <v>832.96090100000004</v>
      </c>
      <c r="G1969" s="812">
        <v>0</v>
      </c>
      <c r="H1969" s="981">
        <v>14.524199999999999</v>
      </c>
      <c r="I1969" s="807">
        <v>0.5</v>
      </c>
      <c r="J1969" s="981">
        <f t="shared" si="51"/>
        <v>336.29740666869202</v>
      </c>
      <c r="K1969" s="980">
        <f t="shared" si="51"/>
        <v>34.430046666646</v>
      </c>
      <c r="L1969" s="815">
        <f t="shared" si="51"/>
        <v>292.2262482032553</v>
      </c>
      <c r="M1969" s="812">
        <f t="shared" si="51"/>
        <v>9.6411117987906945</v>
      </c>
      <c r="N1969" s="981">
        <f t="shared" si="51"/>
        <v>424.36967999999996</v>
      </c>
      <c r="O1969" s="981">
        <f t="shared" si="51"/>
        <v>-69.755031118848663</v>
      </c>
      <c r="P1969" s="807">
        <f t="shared" si="51"/>
        <v>0.5</v>
      </c>
      <c r="Q1969" s="23"/>
      <c r="W1969" s="4"/>
      <c r="X1969" s="4"/>
      <c r="Y1969" s="4"/>
      <c r="Z1969" s="4"/>
      <c r="AA1969" s="4"/>
      <c r="AB1969" s="4"/>
      <c r="AC1969" s="4"/>
      <c r="AD1969" s="4"/>
      <c r="AE1969" s="4"/>
    </row>
    <row r="1970" spans="2:31" hidden="1" outlineLevel="2" x14ac:dyDescent="0.15">
      <c r="B1970" s="1067" t="s">
        <v>1714</v>
      </c>
      <c r="C1970" s="981">
        <v>1968.8532</v>
      </c>
      <c r="D1970" s="980">
        <v>1261.5495000000001</v>
      </c>
      <c r="E1970" s="815">
        <v>102.30149399999999</v>
      </c>
      <c r="F1970" s="815">
        <v>606.22134499999993</v>
      </c>
      <c r="G1970" s="812">
        <v>0</v>
      </c>
      <c r="H1970" s="981">
        <v>36.10031</v>
      </c>
      <c r="I1970" s="807">
        <v>0.5</v>
      </c>
      <c r="J1970" s="981">
        <f t="shared" si="51"/>
        <v>336.29740666869202</v>
      </c>
      <c r="K1970" s="980">
        <f t="shared" si="51"/>
        <v>34.430046666646</v>
      </c>
      <c r="L1970" s="815">
        <f t="shared" si="51"/>
        <v>292.2262482032553</v>
      </c>
      <c r="M1970" s="812">
        <f t="shared" si="51"/>
        <v>9.6411117987906945</v>
      </c>
      <c r="N1970" s="981">
        <f t="shared" si="51"/>
        <v>424.36967999999996</v>
      </c>
      <c r="O1970" s="981">
        <f t="shared" si="51"/>
        <v>-69.755031118848663</v>
      </c>
      <c r="P1970" s="807">
        <f t="shared" si="51"/>
        <v>0.5</v>
      </c>
      <c r="Q1970" s="23"/>
      <c r="W1970" s="4"/>
      <c r="X1970" s="4"/>
      <c r="Y1970" s="4"/>
      <c r="Z1970" s="4"/>
      <c r="AA1970" s="4"/>
      <c r="AB1970" s="4"/>
      <c r="AC1970" s="4"/>
      <c r="AD1970" s="4"/>
      <c r="AE1970" s="4"/>
    </row>
    <row r="1971" spans="2:31" hidden="1" outlineLevel="2" x14ac:dyDescent="0.15">
      <c r="B1971" s="1067" t="s">
        <v>1715</v>
      </c>
      <c r="C1971" s="981">
        <v>2895.3340000000003</v>
      </c>
      <c r="D1971" s="980">
        <v>1806.1249999999998</v>
      </c>
      <c r="E1971" s="815">
        <v>153.22872000000001</v>
      </c>
      <c r="F1971" s="815">
        <v>936.57787499999995</v>
      </c>
      <c r="G1971" s="812">
        <v>0</v>
      </c>
      <c r="H1971" s="981">
        <v>33.372900000000001</v>
      </c>
      <c r="I1971" s="807">
        <v>0.5</v>
      </c>
      <c r="J1971" s="981">
        <f t="shared" si="51"/>
        <v>336.29740666869202</v>
      </c>
      <c r="K1971" s="980">
        <f t="shared" si="51"/>
        <v>34.430046666646</v>
      </c>
      <c r="L1971" s="815">
        <f t="shared" si="51"/>
        <v>292.2262482032553</v>
      </c>
      <c r="M1971" s="812">
        <f t="shared" si="51"/>
        <v>9.6411117987906945</v>
      </c>
      <c r="N1971" s="981">
        <f t="shared" si="51"/>
        <v>424.36967999999996</v>
      </c>
      <c r="O1971" s="981">
        <f t="shared" si="51"/>
        <v>-69.755031118848663</v>
      </c>
      <c r="P1971" s="807">
        <f t="shared" si="51"/>
        <v>0.5</v>
      </c>
      <c r="Q1971" s="23"/>
      <c r="W1971" s="4"/>
      <c r="X1971" s="4"/>
      <c r="Y1971" s="4"/>
      <c r="Z1971" s="4"/>
      <c r="AA1971" s="4"/>
      <c r="AB1971" s="4"/>
      <c r="AC1971" s="4"/>
      <c r="AD1971" s="4"/>
      <c r="AE1971" s="4"/>
    </row>
    <row r="1972" spans="2:31" hidden="1" outlineLevel="2" x14ac:dyDescent="0.15">
      <c r="B1972" s="1067" t="s">
        <v>1720</v>
      </c>
      <c r="C1972" s="981">
        <v>2083.2633000000001</v>
      </c>
      <c r="D1972" s="980">
        <v>1327.0588999999998</v>
      </c>
      <c r="E1972" s="815">
        <v>108.64483399999999</v>
      </c>
      <c r="F1972" s="815">
        <v>646.76439799999991</v>
      </c>
      <c r="G1972" s="812">
        <v>0</v>
      </c>
      <c r="H1972" s="981">
        <v>35.684140000000006</v>
      </c>
      <c r="I1972" s="807">
        <v>0.5</v>
      </c>
      <c r="J1972" s="981">
        <f t="shared" si="51"/>
        <v>336.29740666869202</v>
      </c>
      <c r="K1972" s="980">
        <f t="shared" si="51"/>
        <v>34.430046666646</v>
      </c>
      <c r="L1972" s="815">
        <f t="shared" si="51"/>
        <v>292.2262482032553</v>
      </c>
      <c r="M1972" s="812">
        <f t="shared" si="51"/>
        <v>9.6411117987906945</v>
      </c>
      <c r="N1972" s="981">
        <f t="shared" si="51"/>
        <v>424.36967999999996</v>
      </c>
      <c r="O1972" s="981">
        <f t="shared" si="51"/>
        <v>-69.755031118848663</v>
      </c>
      <c r="P1972" s="807">
        <f t="shared" si="51"/>
        <v>0.5</v>
      </c>
      <c r="Q1972" s="23"/>
      <c r="W1972" s="4"/>
      <c r="X1972" s="4"/>
      <c r="Y1972" s="4"/>
      <c r="Z1972" s="4"/>
      <c r="AA1972" s="4"/>
      <c r="AB1972" s="4"/>
      <c r="AC1972" s="4"/>
      <c r="AD1972" s="4"/>
      <c r="AE1972" s="4"/>
    </row>
    <row r="1973" spans="2:31" hidden="1" outlineLevel="2" x14ac:dyDescent="0.15">
      <c r="B1973" s="1067"/>
      <c r="C1973" s="981"/>
      <c r="D1973" s="980"/>
      <c r="E1973" s="815"/>
      <c r="F1973" s="815"/>
      <c r="G1973" s="812"/>
      <c r="H1973" s="981"/>
      <c r="I1973" s="807"/>
      <c r="J1973" s="981"/>
      <c r="K1973" s="980"/>
      <c r="L1973" s="815"/>
      <c r="M1973" s="812"/>
      <c r="N1973" s="981"/>
      <c r="O1973" s="981"/>
      <c r="P1973" s="807"/>
      <c r="Q1973" s="23"/>
      <c r="W1973" s="4"/>
      <c r="X1973" s="4"/>
      <c r="Y1973" s="4"/>
      <c r="Z1973" s="4"/>
      <c r="AA1973" s="4"/>
      <c r="AB1973" s="4"/>
      <c r="AC1973" s="4"/>
      <c r="AD1973" s="4"/>
      <c r="AE1973" s="4"/>
    </row>
    <row r="1974" spans="2:31" hidden="1" outlineLevel="2" x14ac:dyDescent="0.15">
      <c r="B1974" s="1067" t="s">
        <v>1721</v>
      </c>
      <c r="C1974" s="981">
        <v>8066.9000000000005</v>
      </c>
      <c r="D1974" s="980">
        <v>802.03</v>
      </c>
      <c r="E1974" s="815">
        <v>5379.9898999999996</v>
      </c>
      <c r="F1974" s="815">
        <v>1888.806</v>
      </c>
      <c r="G1974" s="812">
        <v>0</v>
      </c>
      <c r="H1974" s="981">
        <v>14.329000000000001</v>
      </c>
      <c r="I1974" s="807">
        <v>0.5</v>
      </c>
      <c r="J1974" s="981">
        <f t="shared" ref="J1974:P1989" si="52">J$1914</f>
        <v>336.29740666869202</v>
      </c>
      <c r="K1974" s="980">
        <f t="shared" si="52"/>
        <v>34.430046666646</v>
      </c>
      <c r="L1974" s="815">
        <f t="shared" si="52"/>
        <v>292.2262482032553</v>
      </c>
      <c r="M1974" s="812">
        <f t="shared" si="52"/>
        <v>9.6411117987906945</v>
      </c>
      <c r="N1974" s="981">
        <f t="shared" si="52"/>
        <v>424.36967999999996</v>
      </c>
      <c r="O1974" s="981">
        <f t="shared" si="52"/>
        <v>-69.755031118848663</v>
      </c>
      <c r="P1974" s="807">
        <f t="shared" si="52"/>
        <v>0.5</v>
      </c>
      <c r="Q1974" s="23"/>
      <c r="W1974" s="4"/>
      <c r="X1974" s="4"/>
      <c r="Y1974" s="4"/>
      <c r="Z1974" s="4"/>
      <c r="AA1974" s="4"/>
      <c r="AB1974" s="4"/>
      <c r="AC1974" s="4"/>
      <c r="AD1974" s="4"/>
      <c r="AE1974" s="4"/>
    </row>
    <row r="1975" spans="2:31" hidden="1" outlineLevel="2" x14ac:dyDescent="0.15">
      <c r="B1975" s="1067" t="s">
        <v>1760</v>
      </c>
      <c r="C1975" s="981">
        <v>4195.7000000000007</v>
      </c>
      <c r="D1975" s="980">
        <v>369.90000000000003</v>
      </c>
      <c r="E1975" s="815">
        <v>2865.1509400000004</v>
      </c>
      <c r="F1975" s="815">
        <v>954.33889999999997</v>
      </c>
      <c r="G1975" s="812">
        <v>0</v>
      </c>
      <c r="H1975" s="981">
        <v>5.3889999999999993</v>
      </c>
      <c r="I1975" s="807">
        <v>0.5</v>
      </c>
      <c r="J1975" s="981">
        <f t="shared" si="52"/>
        <v>336.29740666869202</v>
      </c>
      <c r="K1975" s="980">
        <f t="shared" si="52"/>
        <v>34.430046666646</v>
      </c>
      <c r="L1975" s="815">
        <f t="shared" si="52"/>
        <v>292.2262482032553</v>
      </c>
      <c r="M1975" s="812">
        <f t="shared" si="52"/>
        <v>9.6411117987906945</v>
      </c>
      <c r="N1975" s="981">
        <f t="shared" si="52"/>
        <v>424.36967999999996</v>
      </c>
      <c r="O1975" s="981">
        <f t="shared" si="52"/>
        <v>-69.755031118848663</v>
      </c>
      <c r="P1975" s="807">
        <f t="shared" si="52"/>
        <v>0.5</v>
      </c>
      <c r="Q1975" s="23"/>
      <c r="W1975" s="4"/>
      <c r="X1975" s="4"/>
      <c r="Y1975" s="4"/>
      <c r="Z1975" s="4"/>
      <c r="AA1975" s="4"/>
      <c r="AB1975" s="4"/>
      <c r="AC1975" s="4"/>
      <c r="AD1975" s="4"/>
      <c r="AE1975" s="4"/>
    </row>
    <row r="1976" spans="2:31" hidden="1" outlineLevel="2" x14ac:dyDescent="0.15">
      <c r="B1976" s="1067" t="s">
        <v>1722</v>
      </c>
      <c r="C1976" s="981">
        <v>1618.6699999999998</v>
      </c>
      <c r="D1976" s="980">
        <v>150.35000000000002</v>
      </c>
      <c r="E1976" s="815">
        <v>1106.4652599999999</v>
      </c>
      <c r="F1976" s="815">
        <v>361.35699999999997</v>
      </c>
      <c r="G1976" s="812">
        <v>0</v>
      </c>
      <c r="H1976" s="981">
        <v>2.57</v>
      </c>
      <c r="I1976" s="807">
        <v>0.5</v>
      </c>
      <c r="J1976" s="981">
        <f t="shared" si="52"/>
        <v>336.29740666869202</v>
      </c>
      <c r="K1976" s="980">
        <f t="shared" si="52"/>
        <v>34.430046666646</v>
      </c>
      <c r="L1976" s="815">
        <f t="shared" si="52"/>
        <v>292.2262482032553</v>
      </c>
      <c r="M1976" s="812">
        <f t="shared" si="52"/>
        <v>9.6411117987906945</v>
      </c>
      <c r="N1976" s="981">
        <f t="shared" si="52"/>
        <v>424.36967999999996</v>
      </c>
      <c r="O1976" s="981">
        <f t="shared" si="52"/>
        <v>-69.755031118848663</v>
      </c>
      <c r="P1976" s="807">
        <f t="shared" si="52"/>
        <v>0.5</v>
      </c>
      <c r="Q1976" s="23"/>
      <c r="W1976" s="4"/>
      <c r="X1976" s="4"/>
      <c r="Y1976" s="4"/>
      <c r="Z1976" s="4"/>
      <c r="AA1976" s="4"/>
      <c r="AB1976" s="4"/>
      <c r="AC1976" s="4"/>
      <c r="AD1976" s="4"/>
      <c r="AE1976" s="4"/>
    </row>
    <row r="1977" spans="2:31" hidden="1" outlineLevel="2" x14ac:dyDescent="0.15">
      <c r="B1977" s="1067" t="s">
        <v>1723</v>
      </c>
      <c r="C1977" s="981">
        <v>936.1930000000001</v>
      </c>
      <c r="D1977" s="980">
        <v>468.75899999999996</v>
      </c>
      <c r="E1977" s="815">
        <v>200.48156000000003</v>
      </c>
      <c r="F1977" s="815">
        <v>267.15127999999999</v>
      </c>
      <c r="G1977" s="812">
        <v>0</v>
      </c>
      <c r="H1977" s="981">
        <v>4.383</v>
      </c>
      <c r="I1977" s="807">
        <v>0.5</v>
      </c>
      <c r="J1977" s="981">
        <f t="shared" si="52"/>
        <v>336.29740666869202</v>
      </c>
      <c r="K1977" s="980">
        <f t="shared" si="52"/>
        <v>34.430046666646</v>
      </c>
      <c r="L1977" s="815">
        <f t="shared" si="52"/>
        <v>292.2262482032553</v>
      </c>
      <c r="M1977" s="812">
        <f t="shared" si="52"/>
        <v>9.6411117987906945</v>
      </c>
      <c r="N1977" s="981">
        <f t="shared" si="52"/>
        <v>424.36967999999996</v>
      </c>
      <c r="O1977" s="981">
        <f t="shared" si="52"/>
        <v>-69.755031118848663</v>
      </c>
      <c r="P1977" s="807">
        <f t="shared" si="52"/>
        <v>0.5</v>
      </c>
      <c r="Q1977" s="23"/>
      <c r="W1977" s="4"/>
      <c r="X1977" s="4"/>
      <c r="Y1977" s="4"/>
      <c r="Z1977" s="4"/>
      <c r="AA1977" s="4"/>
      <c r="AB1977" s="4"/>
      <c r="AC1977" s="4"/>
      <c r="AD1977" s="4"/>
      <c r="AE1977" s="4"/>
    </row>
    <row r="1978" spans="2:31" hidden="1" outlineLevel="2" x14ac:dyDescent="0.15">
      <c r="B1978" s="1067" t="s">
        <v>1767</v>
      </c>
      <c r="C1978" s="981">
        <v>868.60032199999989</v>
      </c>
      <c r="D1978" s="980">
        <v>119.50030100000001</v>
      </c>
      <c r="E1978" s="815">
        <v>571.76926060000005</v>
      </c>
      <c r="F1978" s="815">
        <v>177.23979999999997</v>
      </c>
      <c r="G1978" s="812">
        <v>0</v>
      </c>
      <c r="H1978" s="981">
        <v>1.3570262</v>
      </c>
      <c r="I1978" s="807">
        <v>0.5</v>
      </c>
      <c r="J1978" s="981">
        <f t="shared" si="52"/>
        <v>336.29740666869202</v>
      </c>
      <c r="K1978" s="980">
        <f t="shared" si="52"/>
        <v>34.430046666646</v>
      </c>
      <c r="L1978" s="815">
        <f t="shared" si="52"/>
        <v>292.2262482032553</v>
      </c>
      <c r="M1978" s="812">
        <f t="shared" si="52"/>
        <v>9.6411117987906945</v>
      </c>
      <c r="N1978" s="981">
        <f t="shared" si="52"/>
        <v>424.36967999999996</v>
      </c>
      <c r="O1978" s="981">
        <f t="shared" si="52"/>
        <v>-69.755031118848663</v>
      </c>
      <c r="P1978" s="807">
        <f t="shared" si="52"/>
        <v>0.5</v>
      </c>
      <c r="Q1978" s="23"/>
      <c r="W1978" s="4"/>
      <c r="X1978" s="4"/>
      <c r="Y1978" s="4"/>
      <c r="Z1978" s="4"/>
      <c r="AA1978" s="4"/>
      <c r="AB1978" s="4"/>
      <c r="AC1978" s="4"/>
      <c r="AD1978" s="4"/>
      <c r="AE1978" s="4"/>
    </row>
    <row r="1979" spans="2:31" hidden="1" outlineLevel="2" x14ac:dyDescent="0.15">
      <c r="B1979" s="1067" t="s">
        <v>1724</v>
      </c>
      <c r="C1979" s="981">
        <v>1291.4002350000001</v>
      </c>
      <c r="D1979" s="980">
        <v>159.00021999999998</v>
      </c>
      <c r="E1979" s="815">
        <v>850.29559479999989</v>
      </c>
      <c r="F1979" s="815">
        <v>282.4282</v>
      </c>
      <c r="G1979" s="812">
        <v>0</v>
      </c>
      <c r="H1979" s="981">
        <v>3.2210191999999997</v>
      </c>
      <c r="I1979" s="807">
        <v>0.5</v>
      </c>
      <c r="J1979" s="981">
        <f t="shared" si="52"/>
        <v>336.29740666869202</v>
      </c>
      <c r="K1979" s="980">
        <f t="shared" si="52"/>
        <v>34.430046666646</v>
      </c>
      <c r="L1979" s="815">
        <f t="shared" si="52"/>
        <v>292.2262482032553</v>
      </c>
      <c r="M1979" s="812">
        <f t="shared" si="52"/>
        <v>9.6411117987906945</v>
      </c>
      <c r="N1979" s="981">
        <f t="shared" si="52"/>
        <v>424.36967999999996</v>
      </c>
      <c r="O1979" s="981">
        <f t="shared" si="52"/>
        <v>-69.755031118848663</v>
      </c>
      <c r="P1979" s="807">
        <f t="shared" si="52"/>
        <v>0.5</v>
      </c>
      <c r="Q1979" s="23"/>
      <c r="W1979" s="4"/>
      <c r="X1979" s="4"/>
      <c r="Y1979" s="4"/>
      <c r="Z1979" s="4"/>
      <c r="AA1979" s="4"/>
      <c r="AB1979" s="4"/>
      <c r="AC1979" s="4"/>
      <c r="AD1979" s="4"/>
      <c r="AE1979" s="4"/>
    </row>
    <row r="1980" spans="2:31" hidden="1" outlineLevel="2" x14ac:dyDescent="0.15">
      <c r="B1980" s="1067" t="s">
        <v>1764</v>
      </c>
      <c r="C1980" s="981">
        <v>898.24000000000012</v>
      </c>
      <c r="D1980" s="980">
        <v>212.29999999999998</v>
      </c>
      <c r="E1980" s="815">
        <v>527.10538000000008</v>
      </c>
      <c r="F1980" s="815">
        <v>158.74799999999999</v>
      </c>
      <c r="G1980" s="812">
        <v>0</v>
      </c>
      <c r="H1980" s="981">
        <v>4.5449999999999999</v>
      </c>
      <c r="I1980" s="807">
        <v>0.5</v>
      </c>
      <c r="J1980" s="981">
        <f t="shared" si="52"/>
        <v>336.29740666869202</v>
      </c>
      <c r="K1980" s="980">
        <f t="shared" si="52"/>
        <v>34.430046666646</v>
      </c>
      <c r="L1980" s="815">
        <f t="shared" si="52"/>
        <v>292.2262482032553</v>
      </c>
      <c r="M1980" s="812">
        <f t="shared" si="52"/>
        <v>9.6411117987906945</v>
      </c>
      <c r="N1980" s="981">
        <f t="shared" si="52"/>
        <v>424.36967999999996</v>
      </c>
      <c r="O1980" s="981">
        <f t="shared" si="52"/>
        <v>-69.755031118848663</v>
      </c>
      <c r="P1980" s="807">
        <f t="shared" si="52"/>
        <v>0.5</v>
      </c>
      <c r="Q1980" s="23"/>
      <c r="W1980" s="4"/>
      <c r="X1980" s="4"/>
      <c r="Y1980" s="4"/>
      <c r="Z1980" s="4"/>
      <c r="AA1980" s="4"/>
      <c r="AB1980" s="4"/>
      <c r="AC1980" s="4"/>
      <c r="AD1980" s="4"/>
      <c r="AE1980" s="4"/>
    </row>
    <row r="1981" spans="2:31" hidden="1" outlineLevel="2" x14ac:dyDescent="0.15">
      <c r="B1981" s="1067" t="s">
        <v>1765</v>
      </c>
      <c r="C1981" s="981">
        <v>958.62025899999992</v>
      </c>
      <c r="D1981" s="980">
        <v>230.74024399999999</v>
      </c>
      <c r="E1981" s="815">
        <v>577.83065679999993</v>
      </c>
      <c r="F1981" s="815">
        <v>150.2406</v>
      </c>
      <c r="G1981" s="812">
        <v>0</v>
      </c>
      <c r="H1981" s="981">
        <v>4.9580212000000001</v>
      </c>
      <c r="I1981" s="807">
        <v>0.5</v>
      </c>
      <c r="J1981" s="981">
        <f t="shared" si="52"/>
        <v>336.29740666869202</v>
      </c>
      <c r="K1981" s="980">
        <f t="shared" si="52"/>
        <v>34.430046666646</v>
      </c>
      <c r="L1981" s="815">
        <f t="shared" si="52"/>
        <v>292.2262482032553</v>
      </c>
      <c r="M1981" s="812">
        <f t="shared" si="52"/>
        <v>9.6411117987906945</v>
      </c>
      <c r="N1981" s="981">
        <f t="shared" si="52"/>
        <v>424.36967999999996</v>
      </c>
      <c r="O1981" s="981">
        <f t="shared" si="52"/>
        <v>-69.755031118848663</v>
      </c>
      <c r="P1981" s="807">
        <f t="shared" si="52"/>
        <v>0.5</v>
      </c>
      <c r="Q1981" s="23"/>
      <c r="W1981" s="4"/>
      <c r="X1981" s="4"/>
      <c r="Y1981" s="4"/>
      <c r="Z1981" s="4"/>
      <c r="AA1981" s="4"/>
      <c r="AB1981" s="4"/>
      <c r="AC1981" s="4"/>
      <c r="AD1981" s="4"/>
      <c r="AE1981" s="4"/>
    </row>
    <row r="1982" spans="2:31" hidden="1" outlineLevel="2" x14ac:dyDescent="0.15">
      <c r="B1982" s="1067" t="s">
        <v>1774</v>
      </c>
      <c r="C1982" s="981">
        <v>1108.950331</v>
      </c>
      <c r="D1982" s="980">
        <v>188.88031000000001</v>
      </c>
      <c r="E1982" s="815">
        <v>743.25179060000005</v>
      </c>
      <c r="F1982" s="815">
        <v>176.67750000000001</v>
      </c>
      <c r="G1982" s="812">
        <v>0</v>
      </c>
      <c r="H1982" s="981">
        <v>4.4510271000000001</v>
      </c>
      <c r="I1982" s="807">
        <v>0.5</v>
      </c>
      <c r="J1982" s="981">
        <f t="shared" si="52"/>
        <v>336.29740666869202</v>
      </c>
      <c r="K1982" s="980">
        <f t="shared" si="52"/>
        <v>34.430046666646</v>
      </c>
      <c r="L1982" s="815">
        <f t="shared" si="52"/>
        <v>292.2262482032553</v>
      </c>
      <c r="M1982" s="812">
        <f t="shared" si="52"/>
        <v>9.6411117987906945</v>
      </c>
      <c r="N1982" s="981">
        <f t="shared" si="52"/>
        <v>424.36967999999996</v>
      </c>
      <c r="O1982" s="981">
        <f t="shared" si="52"/>
        <v>-69.755031118848663</v>
      </c>
      <c r="P1982" s="807">
        <f t="shared" si="52"/>
        <v>0.5</v>
      </c>
      <c r="Q1982" s="23"/>
      <c r="W1982" s="4"/>
      <c r="X1982" s="4"/>
      <c r="Y1982" s="4"/>
      <c r="Z1982" s="4"/>
      <c r="AA1982" s="4"/>
      <c r="AB1982" s="4"/>
      <c r="AC1982" s="4"/>
      <c r="AD1982" s="4"/>
      <c r="AE1982" s="4"/>
    </row>
    <row r="1983" spans="2:31" hidden="1" outlineLevel="2" x14ac:dyDescent="0.15">
      <c r="B1983" s="1067" t="s">
        <v>1725</v>
      </c>
      <c r="C1983" s="981">
        <v>994.68021500000009</v>
      </c>
      <c r="D1983" s="980">
        <v>209.73020300000002</v>
      </c>
      <c r="E1983" s="815">
        <v>612.32288179999989</v>
      </c>
      <c r="F1983" s="815">
        <v>171.9605</v>
      </c>
      <c r="G1983" s="812">
        <v>0</v>
      </c>
      <c r="H1983" s="981">
        <v>4.4410176999999997</v>
      </c>
      <c r="I1983" s="807">
        <v>0.5</v>
      </c>
      <c r="J1983" s="981">
        <f t="shared" si="52"/>
        <v>336.29740666869202</v>
      </c>
      <c r="K1983" s="980">
        <f t="shared" si="52"/>
        <v>34.430046666646</v>
      </c>
      <c r="L1983" s="815">
        <f t="shared" si="52"/>
        <v>292.2262482032553</v>
      </c>
      <c r="M1983" s="812">
        <f t="shared" si="52"/>
        <v>9.6411117987906945</v>
      </c>
      <c r="N1983" s="981">
        <f t="shared" si="52"/>
        <v>424.36967999999996</v>
      </c>
      <c r="O1983" s="981">
        <f t="shared" si="52"/>
        <v>-69.755031118848663</v>
      </c>
      <c r="P1983" s="807">
        <f t="shared" si="52"/>
        <v>0.5</v>
      </c>
      <c r="Q1983" s="23"/>
      <c r="W1983" s="4"/>
      <c r="X1983" s="4"/>
      <c r="Y1983" s="4"/>
      <c r="Z1983" s="4"/>
      <c r="AA1983" s="4"/>
      <c r="AB1983" s="4"/>
      <c r="AC1983" s="4"/>
      <c r="AD1983" s="4"/>
      <c r="AE1983" s="4"/>
    </row>
    <row r="1984" spans="2:31" hidden="1" outlineLevel="2" x14ac:dyDescent="0.15">
      <c r="B1984" s="1067" t="s">
        <v>1729</v>
      </c>
      <c r="C1984" s="981">
        <v>2818.51</v>
      </c>
      <c r="D1984" s="980">
        <v>1306.4300000000003</v>
      </c>
      <c r="E1984" s="815">
        <v>1075.3894000000003</v>
      </c>
      <c r="F1984" s="815">
        <v>433.32286999999997</v>
      </c>
      <c r="G1984" s="812">
        <v>0</v>
      </c>
      <c r="H1984" s="981">
        <v>24.845699999999997</v>
      </c>
      <c r="I1984" s="807">
        <v>0.5</v>
      </c>
      <c r="J1984" s="981">
        <f t="shared" si="52"/>
        <v>336.29740666869202</v>
      </c>
      <c r="K1984" s="980">
        <f t="shared" si="52"/>
        <v>34.430046666646</v>
      </c>
      <c r="L1984" s="815">
        <f t="shared" si="52"/>
        <v>292.2262482032553</v>
      </c>
      <c r="M1984" s="812">
        <f t="shared" si="52"/>
        <v>9.6411117987906945</v>
      </c>
      <c r="N1984" s="981">
        <f t="shared" si="52"/>
        <v>424.36967999999996</v>
      </c>
      <c r="O1984" s="981">
        <f t="shared" si="52"/>
        <v>-69.755031118848663</v>
      </c>
      <c r="P1984" s="807">
        <f t="shared" si="52"/>
        <v>0.5</v>
      </c>
      <c r="Q1984" s="23"/>
      <c r="W1984" s="4"/>
      <c r="X1984" s="4"/>
      <c r="Y1984" s="4"/>
      <c r="Z1984" s="4"/>
      <c r="AA1984" s="4"/>
      <c r="AB1984" s="4"/>
      <c r="AC1984" s="4"/>
      <c r="AD1984" s="4"/>
      <c r="AE1984" s="4"/>
    </row>
    <row r="1985" spans="2:31" hidden="1" outlineLevel="2" x14ac:dyDescent="0.15">
      <c r="B1985" s="1067" t="s">
        <v>1730</v>
      </c>
      <c r="C1985" s="981">
        <v>9521.1</v>
      </c>
      <c r="D1985" s="980">
        <v>5671.0999999999995</v>
      </c>
      <c r="E1985" s="815">
        <v>2834.3489999999997</v>
      </c>
      <c r="F1985" s="815">
        <v>1022.6149999999998</v>
      </c>
      <c r="G1985" s="812">
        <v>0</v>
      </c>
      <c r="H1985" s="981">
        <v>75.920000000000016</v>
      </c>
      <c r="I1985" s="807">
        <v>0.5</v>
      </c>
      <c r="J1985" s="981">
        <f t="shared" si="52"/>
        <v>336.29740666869202</v>
      </c>
      <c r="K1985" s="980">
        <f t="shared" si="52"/>
        <v>34.430046666646</v>
      </c>
      <c r="L1985" s="815">
        <f t="shared" si="52"/>
        <v>292.2262482032553</v>
      </c>
      <c r="M1985" s="812">
        <f t="shared" si="52"/>
        <v>9.6411117987906945</v>
      </c>
      <c r="N1985" s="981">
        <f t="shared" si="52"/>
        <v>424.36967999999996</v>
      </c>
      <c r="O1985" s="981">
        <f t="shared" si="52"/>
        <v>-69.755031118848663</v>
      </c>
      <c r="P1985" s="807">
        <f t="shared" si="52"/>
        <v>0.5</v>
      </c>
      <c r="Q1985" s="23"/>
      <c r="W1985" s="4"/>
      <c r="X1985" s="4"/>
      <c r="Y1985" s="4"/>
      <c r="Z1985" s="4"/>
      <c r="AA1985" s="4"/>
      <c r="AB1985" s="4"/>
      <c r="AC1985" s="4"/>
      <c r="AD1985" s="4"/>
      <c r="AE1985" s="4"/>
    </row>
    <row r="1986" spans="2:31" hidden="1" outlineLevel="2" x14ac:dyDescent="0.15">
      <c r="B1986" s="1067" t="s">
        <v>1766</v>
      </c>
      <c r="C1986" s="981">
        <v>1480.9246000000001</v>
      </c>
      <c r="D1986" s="980">
        <v>819.2229000000001</v>
      </c>
      <c r="E1986" s="815">
        <v>113.39424600000002</v>
      </c>
      <c r="F1986" s="815">
        <v>547.87415900000008</v>
      </c>
      <c r="G1986" s="812">
        <v>0</v>
      </c>
      <c r="H1986" s="981">
        <v>9.8070000000000004</v>
      </c>
      <c r="I1986" s="807">
        <v>0.5</v>
      </c>
      <c r="J1986" s="981">
        <f t="shared" si="52"/>
        <v>336.29740666869202</v>
      </c>
      <c r="K1986" s="980">
        <f t="shared" si="52"/>
        <v>34.430046666646</v>
      </c>
      <c r="L1986" s="815">
        <f t="shared" si="52"/>
        <v>292.2262482032553</v>
      </c>
      <c r="M1986" s="812">
        <f t="shared" si="52"/>
        <v>9.6411117987906945</v>
      </c>
      <c r="N1986" s="981">
        <f t="shared" si="52"/>
        <v>424.36967999999996</v>
      </c>
      <c r="O1986" s="981">
        <f t="shared" si="52"/>
        <v>-69.755031118848663</v>
      </c>
      <c r="P1986" s="807">
        <f t="shared" si="52"/>
        <v>0.5</v>
      </c>
      <c r="Q1986" s="23"/>
      <c r="W1986" s="4"/>
      <c r="X1986" s="4"/>
      <c r="Y1986" s="4"/>
      <c r="Z1986" s="4"/>
      <c r="AA1986" s="4"/>
      <c r="AB1986" s="4"/>
      <c r="AC1986" s="4"/>
      <c r="AD1986" s="4"/>
      <c r="AE1986" s="4"/>
    </row>
    <row r="1987" spans="2:31" hidden="1" outlineLevel="2" x14ac:dyDescent="0.15">
      <c r="B1987" s="1067" t="s">
        <v>1727</v>
      </c>
      <c r="C1987" s="981">
        <v>2276.9204</v>
      </c>
      <c r="D1987" s="980">
        <v>1344.819</v>
      </c>
      <c r="E1987" s="815">
        <v>125.78578199999998</v>
      </c>
      <c r="F1987" s="815">
        <v>807.62913299999991</v>
      </c>
      <c r="G1987" s="812">
        <v>0</v>
      </c>
      <c r="H1987" s="981">
        <v>29.920660000000002</v>
      </c>
      <c r="I1987" s="807">
        <v>0.5</v>
      </c>
      <c r="J1987" s="981">
        <f t="shared" si="52"/>
        <v>336.29740666869202</v>
      </c>
      <c r="K1987" s="980">
        <f t="shared" si="52"/>
        <v>34.430046666646</v>
      </c>
      <c r="L1987" s="815">
        <f t="shared" si="52"/>
        <v>292.2262482032553</v>
      </c>
      <c r="M1987" s="812">
        <f t="shared" si="52"/>
        <v>9.6411117987906945</v>
      </c>
      <c r="N1987" s="981">
        <f t="shared" si="52"/>
        <v>424.36967999999996</v>
      </c>
      <c r="O1987" s="981">
        <f t="shared" si="52"/>
        <v>-69.755031118848663</v>
      </c>
      <c r="P1987" s="807">
        <f t="shared" si="52"/>
        <v>0.5</v>
      </c>
      <c r="Q1987" s="23"/>
      <c r="W1987" s="4"/>
      <c r="X1987" s="4"/>
      <c r="Y1987" s="4"/>
      <c r="Z1987" s="4"/>
      <c r="AA1987" s="4"/>
      <c r="AB1987" s="4"/>
      <c r="AC1987" s="4"/>
      <c r="AD1987" s="4"/>
      <c r="AE1987" s="4"/>
    </row>
    <row r="1988" spans="2:31" hidden="1" outlineLevel="2" x14ac:dyDescent="0.15">
      <c r="B1988" s="1067" t="s">
        <v>1728</v>
      </c>
      <c r="C1988" s="981">
        <v>1660.5408000000002</v>
      </c>
      <c r="D1988" s="980">
        <v>1085.3859000000002</v>
      </c>
      <c r="E1988" s="815">
        <v>88.048570000000012</v>
      </c>
      <c r="F1988" s="815">
        <v>482.887451</v>
      </c>
      <c r="G1988" s="812">
        <v>0</v>
      </c>
      <c r="H1988" s="981">
        <v>24.429239999999997</v>
      </c>
      <c r="I1988" s="807">
        <v>0.5</v>
      </c>
      <c r="J1988" s="981">
        <f t="shared" si="52"/>
        <v>336.29740666869202</v>
      </c>
      <c r="K1988" s="980">
        <f t="shared" si="52"/>
        <v>34.430046666646</v>
      </c>
      <c r="L1988" s="815">
        <f t="shared" si="52"/>
        <v>292.2262482032553</v>
      </c>
      <c r="M1988" s="812">
        <f t="shared" si="52"/>
        <v>9.6411117987906945</v>
      </c>
      <c r="N1988" s="981">
        <f t="shared" si="52"/>
        <v>424.36967999999996</v>
      </c>
      <c r="O1988" s="981">
        <f t="shared" si="52"/>
        <v>-69.755031118848663</v>
      </c>
      <c r="P1988" s="807">
        <f t="shared" si="52"/>
        <v>0.5</v>
      </c>
      <c r="Q1988" s="23"/>
      <c r="W1988" s="4"/>
      <c r="X1988" s="4"/>
      <c r="Y1988" s="4"/>
      <c r="Z1988" s="4"/>
      <c r="AA1988" s="4"/>
      <c r="AB1988" s="4"/>
      <c r="AC1988" s="4"/>
      <c r="AD1988" s="4"/>
      <c r="AE1988" s="4"/>
    </row>
    <row r="1989" spans="2:31" hidden="1" outlineLevel="2" x14ac:dyDescent="0.15">
      <c r="B1989" s="1067" t="s">
        <v>1728</v>
      </c>
      <c r="C1989" s="981">
        <v>1716.3507000000002</v>
      </c>
      <c r="D1989" s="980">
        <v>1122.5244</v>
      </c>
      <c r="E1989" s="815">
        <v>90.977119999999999</v>
      </c>
      <c r="F1989" s="815">
        <v>501.13558300000005</v>
      </c>
      <c r="G1989" s="812">
        <v>0</v>
      </c>
      <c r="H1989" s="981">
        <v>25.473050000000001</v>
      </c>
      <c r="I1989" s="807">
        <v>0.5</v>
      </c>
      <c r="J1989" s="981">
        <f t="shared" si="52"/>
        <v>336.29740666869202</v>
      </c>
      <c r="K1989" s="980">
        <f t="shared" si="52"/>
        <v>34.430046666646</v>
      </c>
      <c r="L1989" s="815">
        <f t="shared" si="52"/>
        <v>292.2262482032553</v>
      </c>
      <c r="M1989" s="812">
        <f t="shared" si="52"/>
        <v>9.6411117987906945</v>
      </c>
      <c r="N1989" s="981">
        <f t="shared" si="52"/>
        <v>424.36967999999996</v>
      </c>
      <c r="O1989" s="981">
        <f t="shared" si="52"/>
        <v>-69.755031118848663</v>
      </c>
      <c r="P1989" s="807">
        <f t="shared" si="52"/>
        <v>0.5</v>
      </c>
      <c r="Q1989" s="23"/>
      <c r="W1989" s="4"/>
      <c r="X1989" s="4"/>
      <c r="Y1989" s="4"/>
      <c r="Z1989" s="4"/>
      <c r="AA1989" s="4"/>
      <c r="AB1989" s="4"/>
      <c r="AC1989" s="4"/>
      <c r="AD1989" s="4"/>
      <c r="AE1989" s="4"/>
    </row>
    <row r="1990" spans="2:31" hidden="1" outlineLevel="2" x14ac:dyDescent="0.15">
      <c r="B1990" s="1067" t="s">
        <v>1731</v>
      </c>
      <c r="C1990" s="981">
        <v>2089.2205000000004</v>
      </c>
      <c r="D1990" s="980">
        <v>1266.6190999999999</v>
      </c>
      <c r="E1990" s="815">
        <v>118.09048799999999</v>
      </c>
      <c r="F1990" s="815">
        <v>703.45913300000007</v>
      </c>
      <c r="G1990" s="812">
        <v>0</v>
      </c>
      <c r="H1990" s="981">
        <v>27.943669999999997</v>
      </c>
      <c r="I1990" s="807">
        <v>0.5</v>
      </c>
      <c r="J1990" s="981">
        <f t="shared" ref="J1990:P1991" si="53">J$1914</f>
        <v>336.29740666869202</v>
      </c>
      <c r="K1990" s="980">
        <f t="shared" si="53"/>
        <v>34.430046666646</v>
      </c>
      <c r="L1990" s="815">
        <f t="shared" si="53"/>
        <v>292.2262482032553</v>
      </c>
      <c r="M1990" s="812">
        <f t="shared" si="53"/>
        <v>9.6411117987906945</v>
      </c>
      <c r="N1990" s="981">
        <f t="shared" si="53"/>
        <v>424.36967999999996</v>
      </c>
      <c r="O1990" s="981">
        <f t="shared" si="53"/>
        <v>-69.755031118848663</v>
      </c>
      <c r="P1990" s="807">
        <f t="shared" si="53"/>
        <v>0.5</v>
      </c>
      <c r="Q1990" s="23"/>
      <c r="W1990" s="4"/>
      <c r="X1990" s="4"/>
      <c r="Y1990" s="4"/>
      <c r="Z1990" s="4"/>
      <c r="AA1990" s="4"/>
      <c r="AB1990" s="4"/>
      <c r="AC1990" s="4"/>
      <c r="AD1990" s="4"/>
      <c r="AE1990" s="4"/>
    </row>
    <row r="1991" spans="2:31" hidden="1" outlineLevel="2" x14ac:dyDescent="0.15">
      <c r="B1991" s="1067" t="s">
        <v>1726</v>
      </c>
      <c r="C1991" s="981">
        <v>1716.0622999999998</v>
      </c>
      <c r="D1991" s="980">
        <v>1103.1279999999999</v>
      </c>
      <c r="E1991" s="815">
        <v>93.387509999999992</v>
      </c>
      <c r="F1991" s="815">
        <v>520.174398</v>
      </c>
      <c r="G1991" s="812">
        <v>0</v>
      </c>
      <c r="H1991" s="981">
        <v>24.587660000000003</v>
      </c>
      <c r="I1991" s="807">
        <v>0.5</v>
      </c>
      <c r="J1991" s="981">
        <f t="shared" si="53"/>
        <v>336.29740666869202</v>
      </c>
      <c r="K1991" s="980">
        <f t="shared" si="53"/>
        <v>34.430046666646</v>
      </c>
      <c r="L1991" s="815">
        <f t="shared" si="53"/>
        <v>292.2262482032553</v>
      </c>
      <c r="M1991" s="812">
        <f t="shared" si="53"/>
        <v>9.6411117987906945</v>
      </c>
      <c r="N1991" s="981">
        <f t="shared" si="53"/>
        <v>424.36967999999996</v>
      </c>
      <c r="O1991" s="981">
        <f t="shared" si="53"/>
        <v>-69.755031118848663</v>
      </c>
      <c r="P1991" s="807">
        <f t="shared" si="53"/>
        <v>0.5</v>
      </c>
      <c r="Q1991" s="23"/>
      <c r="W1991" s="4"/>
      <c r="X1991" s="4"/>
      <c r="Y1991" s="4"/>
      <c r="Z1991" s="4"/>
      <c r="AA1991" s="4"/>
      <c r="AB1991" s="4"/>
      <c r="AC1991" s="4"/>
      <c r="AD1991" s="4"/>
      <c r="AE1991" s="4"/>
    </row>
    <row r="1992" spans="2:31" hidden="1" outlineLevel="2" x14ac:dyDescent="0.15">
      <c r="B1992" s="1067"/>
      <c r="C1992" s="981"/>
      <c r="D1992" s="980"/>
      <c r="E1992" s="815"/>
      <c r="F1992" s="815"/>
      <c r="G1992" s="812"/>
      <c r="H1992" s="981"/>
      <c r="I1992" s="807"/>
      <c r="J1992" s="981"/>
      <c r="K1992" s="980"/>
      <c r="L1992" s="815"/>
      <c r="M1992" s="812"/>
      <c r="N1992" s="981"/>
      <c r="O1992" s="981"/>
      <c r="P1992" s="807"/>
      <c r="Q1992" s="23"/>
      <c r="W1992" s="4"/>
      <c r="X1992" s="4"/>
      <c r="Y1992" s="4"/>
      <c r="Z1992" s="4"/>
      <c r="AA1992" s="4"/>
      <c r="AB1992" s="4"/>
      <c r="AC1992" s="4"/>
      <c r="AD1992" s="4"/>
      <c r="AE1992" s="4"/>
    </row>
    <row r="1993" spans="2:31" hidden="1" outlineLevel="2" x14ac:dyDescent="0.15">
      <c r="B1993" s="1500" t="s">
        <v>1738</v>
      </c>
      <c r="C1993" s="981"/>
      <c r="D1993" s="980"/>
      <c r="E1993" s="815"/>
      <c r="F1993" s="815"/>
      <c r="G1993" s="812"/>
      <c r="H1993" s="981"/>
      <c r="I1993" s="807"/>
      <c r="J1993" s="981">
        <f t="shared" ref="J1993:P1997" si="54">J$1914</f>
        <v>336.29740666869202</v>
      </c>
      <c r="K1993" s="980">
        <f t="shared" si="54"/>
        <v>34.430046666646</v>
      </c>
      <c r="L1993" s="815">
        <f t="shared" si="54"/>
        <v>292.2262482032553</v>
      </c>
      <c r="M1993" s="812">
        <f t="shared" si="54"/>
        <v>9.6411117987906945</v>
      </c>
      <c r="N1993" s="981">
        <f t="shared" si="54"/>
        <v>424.36967999999996</v>
      </c>
      <c r="O1993" s="981">
        <f t="shared" si="54"/>
        <v>-69.755031118848663</v>
      </c>
      <c r="P1993" s="807">
        <f t="shared" si="54"/>
        <v>0.5</v>
      </c>
      <c r="Q1993" s="23"/>
      <c r="W1993" s="4"/>
      <c r="X1993" s="4"/>
      <c r="Y1993" s="4"/>
      <c r="Z1993" s="4"/>
      <c r="AA1993" s="4"/>
      <c r="AB1993" s="4"/>
      <c r="AC1993" s="4"/>
      <c r="AD1993" s="4"/>
      <c r="AE1993" s="4"/>
    </row>
    <row r="1994" spans="2:31" hidden="1" outlineLevel="2" x14ac:dyDescent="0.15">
      <c r="B1994" s="1067" t="s">
        <v>1734</v>
      </c>
      <c r="C1994" s="981">
        <v>4230.2690000000002</v>
      </c>
      <c r="D1994" s="980">
        <v>3940.7869999999998</v>
      </c>
      <c r="E1994" s="815">
        <v>173.25010600000002</v>
      </c>
      <c r="F1994" s="815">
        <v>121.09099999999999</v>
      </c>
      <c r="G1994" s="812">
        <v>0</v>
      </c>
      <c r="H1994" s="981">
        <v>452.30059999999997</v>
      </c>
      <c r="I1994" s="807">
        <v>0.5</v>
      </c>
      <c r="J1994" s="981">
        <f t="shared" si="54"/>
        <v>336.29740666869202</v>
      </c>
      <c r="K1994" s="980">
        <f t="shared" si="54"/>
        <v>34.430046666646</v>
      </c>
      <c r="L1994" s="815">
        <f t="shared" si="54"/>
        <v>292.2262482032553</v>
      </c>
      <c r="M1994" s="812">
        <f t="shared" si="54"/>
        <v>9.6411117987906945</v>
      </c>
      <c r="N1994" s="981">
        <f t="shared" si="54"/>
        <v>424.36967999999996</v>
      </c>
      <c r="O1994" s="981">
        <f t="shared" si="54"/>
        <v>-69.755031118848663</v>
      </c>
      <c r="P1994" s="807">
        <f t="shared" si="54"/>
        <v>0.5</v>
      </c>
      <c r="Q1994" s="23"/>
      <c r="W1994" s="4"/>
      <c r="X1994" s="4"/>
      <c r="Y1994" s="4"/>
      <c r="Z1994" s="4"/>
      <c r="AA1994" s="4"/>
      <c r="AB1994" s="4"/>
      <c r="AC1994" s="4"/>
      <c r="AD1994" s="4"/>
      <c r="AE1994" s="4"/>
    </row>
    <row r="1995" spans="2:31" hidden="1" outlineLevel="2" x14ac:dyDescent="0.15">
      <c r="B1995" s="1067" t="s">
        <v>1732</v>
      </c>
      <c r="C1995" s="981">
        <v>9270</v>
      </c>
      <c r="D1995" s="980"/>
      <c r="E1995" s="815"/>
      <c r="F1995" s="815"/>
      <c r="G1995" s="812"/>
      <c r="H1995" s="981"/>
      <c r="I1995" s="807">
        <v>0.5</v>
      </c>
      <c r="J1995" s="981">
        <f t="shared" si="54"/>
        <v>336.29740666869202</v>
      </c>
      <c r="K1995" s="980">
        <f t="shared" si="54"/>
        <v>34.430046666646</v>
      </c>
      <c r="L1995" s="815">
        <f t="shared" si="54"/>
        <v>292.2262482032553</v>
      </c>
      <c r="M1995" s="812">
        <f t="shared" si="54"/>
        <v>9.6411117987906945</v>
      </c>
      <c r="N1995" s="981">
        <f t="shared" si="54"/>
        <v>424.36967999999996</v>
      </c>
      <c r="O1995" s="981">
        <f t="shared" si="54"/>
        <v>-69.755031118848663</v>
      </c>
      <c r="P1995" s="807">
        <f t="shared" si="54"/>
        <v>0.5</v>
      </c>
      <c r="Q1995" s="23"/>
      <c r="W1995" s="4"/>
      <c r="X1995" s="4"/>
      <c r="Y1995" s="4"/>
      <c r="Z1995" s="4"/>
      <c r="AA1995" s="4"/>
      <c r="AB1995" s="4"/>
      <c r="AC1995" s="4"/>
      <c r="AD1995" s="4"/>
      <c r="AE1995" s="4"/>
    </row>
    <row r="1996" spans="2:31" hidden="1" outlineLevel="2" x14ac:dyDescent="0.15">
      <c r="B1996" s="1067" t="s">
        <v>1775</v>
      </c>
      <c r="C1996" s="981">
        <v>2396.0999999999995</v>
      </c>
      <c r="D1996" s="980">
        <v>2044.7000000000003</v>
      </c>
      <c r="E1996" s="815">
        <v>93.239450000000005</v>
      </c>
      <c r="F1996" s="815">
        <v>259.46100000000001</v>
      </c>
      <c r="G1996" s="812">
        <v>0</v>
      </c>
      <c r="H1996" s="981">
        <v>141.42300000000003</v>
      </c>
      <c r="I1996" s="807">
        <v>0.5</v>
      </c>
      <c r="J1996" s="981">
        <f t="shared" si="54"/>
        <v>336.29740666869202</v>
      </c>
      <c r="K1996" s="980">
        <f t="shared" si="54"/>
        <v>34.430046666646</v>
      </c>
      <c r="L1996" s="815">
        <f t="shared" si="54"/>
        <v>292.2262482032553</v>
      </c>
      <c r="M1996" s="812">
        <f t="shared" si="54"/>
        <v>9.6411117987906945</v>
      </c>
      <c r="N1996" s="981">
        <f t="shared" si="54"/>
        <v>424.36967999999996</v>
      </c>
      <c r="O1996" s="981">
        <f t="shared" si="54"/>
        <v>-69.755031118848663</v>
      </c>
      <c r="P1996" s="807">
        <f t="shared" si="54"/>
        <v>0.5</v>
      </c>
      <c r="Q1996" s="23"/>
      <c r="W1996" s="4"/>
      <c r="X1996" s="4"/>
      <c r="Y1996" s="4"/>
      <c r="Z1996" s="4"/>
      <c r="AA1996" s="4"/>
      <c r="AB1996" s="4"/>
      <c r="AC1996" s="4"/>
      <c r="AD1996" s="4"/>
      <c r="AE1996" s="4"/>
    </row>
    <row r="1997" spans="2:31" hidden="1" outlineLevel="2" x14ac:dyDescent="0.15">
      <c r="B1997" s="1067" t="s">
        <v>1733</v>
      </c>
      <c r="C1997" s="981">
        <v>1972.8</v>
      </c>
      <c r="D1997" s="980">
        <v>1694.6</v>
      </c>
      <c r="E1997" s="815">
        <v>74.555000000000007</v>
      </c>
      <c r="F1997" s="815">
        <v>206.77</v>
      </c>
      <c r="G1997" s="812">
        <v>0</v>
      </c>
      <c r="H1997" s="981">
        <v>156.82</v>
      </c>
      <c r="I1997" s="807">
        <v>0.5</v>
      </c>
      <c r="J1997" s="981">
        <f t="shared" si="54"/>
        <v>336.29740666869202</v>
      </c>
      <c r="K1997" s="980">
        <f t="shared" si="54"/>
        <v>34.430046666646</v>
      </c>
      <c r="L1997" s="815">
        <f t="shared" si="54"/>
        <v>292.2262482032553</v>
      </c>
      <c r="M1997" s="812">
        <f t="shared" si="54"/>
        <v>9.6411117987906945</v>
      </c>
      <c r="N1997" s="981">
        <f t="shared" si="54"/>
        <v>424.36967999999996</v>
      </c>
      <c r="O1997" s="981">
        <f t="shared" si="54"/>
        <v>-69.755031118848663</v>
      </c>
      <c r="P1997" s="807">
        <f t="shared" si="54"/>
        <v>0.5</v>
      </c>
      <c r="Q1997" s="23"/>
      <c r="W1997" s="4"/>
      <c r="X1997" s="4"/>
      <c r="Y1997" s="4"/>
      <c r="Z1997" s="4"/>
      <c r="AA1997" s="4"/>
      <c r="AB1997" s="4"/>
      <c r="AC1997" s="4"/>
      <c r="AD1997" s="4"/>
      <c r="AE1997" s="4"/>
    </row>
    <row r="1998" spans="2:31" hidden="1" outlineLevel="2" x14ac:dyDescent="0.15">
      <c r="B1998" s="1067"/>
      <c r="C1998" s="981"/>
      <c r="D1998" s="980"/>
      <c r="E1998" s="815"/>
      <c r="F1998" s="815"/>
      <c r="G1998" s="812"/>
      <c r="H1998" s="981"/>
      <c r="I1998" s="807"/>
      <c r="J1998" s="981"/>
      <c r="K1998" s="980"/>
      <c r="L1998" s="815"/>
      <c r="M1998" s="812"/>
      <c r="N1998" s="981"/>
      <c r="O1998" s="981"/>
      <c r="P1998" s="807"/>
      <c r="Q1998" s="23"/>
      <c r="W1998" s="4"/>
      <c r="X1998" s="4"/>
      <c r="Y1998" s="4"/>
      <c r="Z1998" s="4"/>
      <c r="AA1998" s="4"/>
      <c r="AB1998" s="4"/>
      <c r="AC1998" s="4"/>
      <c r="AD1998" s="4"/>
      <c r="AE1998" s="4"/>
    </row>
    <row r="1999" spans="2:31" hidden="1" outlineLevel="2" x14ac:dyDescent="0.15">
      <c r="B1999" s="1067" t="s">
        <v>1735</v>
      </c>
      <c r="C1999" s="981">
        <v>1910</v>
      </c>
      <c r="D1999" s="980"/>
      <c r="E1999" s="815"/>
      <c r="F1999" s="815"/>
      <c r="G1999" s="812"/>
      <c r="H1999" s="981"/>
      <c r="I1999" s="807">
        <v>0.5</v>
      </c>
      <c r="J1999" s="981">
        <f t="shared" ref="J1999:P2000" si="55">J$1914</f>
        <v>336.29740666869202</v>
      </c>
      <c r="K1999" s="980">
        <f t="shared" si="55"/>
        <v>34.430046666646</v>
      </c>
      <c r="L1999" s="815">
        <f t="shared" si="55"/>
        <v>292.2262482032553</v>
      </c>
      <c r="M1999" s="812">
        <f t="shared" si="55"/>
        <v>9.6411117987906945</v>
      </c>
      <c r="N1999" s="981">
        <f t="shared" si="55"/>
        <v>424.36967999999996</v>
      </c>
      <c r="O1999" s="981">
        <f t="shared" si="55"/>
        <v>-69.755031118848663</v>
      </c>
      <c r="P1999" s="807">
        <f t="shared" si="55"/>
        <v>0.5</v>
      </c>
      <c r="Q1999" s="23"/>
      <c r="W1999" s="4"/>
      <c r="X1999" s="4"/>
      <c r="Y1999" s="4"/>
      <c r="Z1999" s="4"/>
      <c r="AA1999" s="4"/>
      <c r="AB1999" s="4"/>
      <c r="AC1999" s="4"/>
      <c r="AD1999" s="4"/>
      <c r="AE1999" s="4"/>
    </row>
    <row r="2000" spans="2:31" hidden="1" outlineLevel="2" x14ac:dyDescent="0.15">
      <c r="B2000" s="1067" t="s">
        <v>1736</v>
      </c>
      <c r="C2000" s="981">
        <v>3830</v>
      </c>
      <c r="D2000" s="980"/>
      <c r="E2000" s="815"/>
      <c r="F2000" s="815"/>
      <c r="G2000" s="812"/>
      <c r="H2000" s="981"/>
      <c r="I2000" s="807">
        <v>0.5</v>
      </c>
      <c r="J2000" s="981">
        <f t="shared" si="55"/>
        <v>336.29740666869202</v>
      </c>
      <c r="K2000" s="980">
        <f t="shared" si="55"/>
        <v>34.430046666646</v>
      </c>
      <c r="L2000" s="815">
        <f t="shared" si="55"/>
        <v>292.2262482032553</v>
      </c>
      <c r="M2000" s="812">
        <f t="shared" si="55"/>
        <v>9.6411117987906945</v>
      </c>
      <c r="N2000" s="981">
        <f t="shared" si="55"/>
        <v>424.36967999999996</v>
      </c>
      <c r="O2000" s="981">
        <f t="shared" si="55"/>
        <v>-69.755031118848663</v>
      </c>
      <c r="P2000" s="807">
        <f t="shared" si="55"/>
        <v>0.5</v>
      </c>
      <c r="Q2000" s="23"/>
      <c r="W2000" s="4"/>
      <c r="X2000" s="4"/>
      <c r="Y2000" s="4"/>
      <c r="Z2000" s="4"/>
      <c r="AA2000" s="4"/>
      <c r="AB2000" s="4"/>
      <c r="AC2000" s="4"/>
      <c r="AD2000" s="4"/>
      <c r="AE2000" s="4"/>
    </row>
    <row r="2001" spans="2:31" hidden="1" outlineLevel="2" x14ac:dyDescent="0.15">
      <c r="B2001" s="1067"/>
      <c r="C2001" s="981"/>
      <c r="D2001" s="980"/>
      <c r="E2001" s="815"/>
      <c r="F2001" s="815"/>
      <c r="G2001" s="812"/>
      <c r="H2001" s="981"/>
      <c r="I2001" s="807"/>
      <c r="J2001" s="981"/>
      <c r="K2001" s="980"/>
      <c r="L2001" s="815"/>
      <c r="M2001" s="812"/>
      <c r="N2001" s="981"/>
      <c r="O2001" s="981"/>
      <c r="P2001" s="807"/>
      <c r="Q2001" s="23"/>
      <c r="W2001" s="4"/>
      <c r="X2001" s="4"/>
      <c r="Y2001" s="4"/>
      <c r="Z2001" s="4"/>
      <c r="AA2001" s="4"/>
      <c r="AB2001" s="4"/>
      <c r="AC2001" s="4"/>
      <c r="AD2001" s="4"/>
      <c r="AE2001" s="4"/>
    </row>
    <row r="2002" spans="2:31" hidden="1" outlineLevel="2" x14ac:dyDescent="0.15">
      <c r="B2002" s="1500" t="s">
        <v>1739</v>
      </c>
      <c r="C2002" s="981"/>
      <c r="D2002" s="980"/>
      <c r="E2002" s="815"/>
      <c r="F2002" s="815"/>
      <c r="G2002" s="812"/>
      <c r="H2002" s="981"/>
      <c r="I2002" s="807"/>
      <c r="J2002" s="981">
        <f t="shared" ref="J2002:P2005" si="56">J$1914</f>
        <v>336.29740666869202</v>
      </c>
      <c r="K2002" s="980">
        <f t="shared" si="56"/>
        <v>34.430046666646</v>
      </c>
      <c r="L2002" s="815">
        <f t="shared" si="56"/>
        <v>292.2262482032553</v>
      </c>
      <c r="M2002" s="812">
        <f t="shared" si="56"/>
        <v>9.6411117987906945</v>
      </c>
      <c r="N2002" s="981">
        <f t="shared" si="56"/>
        <v>424.36967999999996</v>
      </c>
      <c r="O2002" s="981">
        <f t="shared" si="56"/>
        <v>-69.755031118848663</v>
      </c>
      <c r="P2002" s="807">
        <f t="shared" si="56"/>
        <v>0.5</v>
      </c>
      <c r="Q2002" s="23"/>
      <c r="W2002" s="4"/>
      <c r="X2002" s="4"/>
      <c r="Y2002" s="4"/>
      <c r="Z2002" s="4"/>
      <c r="AA2002" s="4"/>
      <c r="AB2002" s="4"/>
      <c r="AC2002" s="4"/>
      <c r="AD2002" s="4"/>
      <c r="AE2002" s="4"/>
    </row>
    <row r="2003" spans="2:31" hidden="1" outlineLevel="2" x14ac:dyDescent="0.15">
      <c r="B2003" s="1067" t="s">
        <v>1744</v>
      </c>
      <c r="C2003" s="981">
        <v>60.424999999999997</v>
      </c>
      <c r="D2003" s="980">
        <v>57.88600000000001</v>
      </c>
      <c r="E2003" s="815">
        <v>1.981115</v>
      </c>
      <c r="F2003" s="815">
        <v>0.54627600000000021</v>
      </c>
      <c r="G2003" s="812">
        <v>0</v>
      </c>
      <c r="H2003" s="981">
        <v>0.39925299999999997</v>
      </c>
      <c r="I2003" s="807">
        <v>0.5</v>
      </c>
      <c r="J2003" s="981">
        <f t="shared" si="56"/>
        <v>336.29740666869202</v>
      </c>
      <c r="K2003" s="980">
        <f t="shared" si="56"/>
        <v>34.430046666646</v>
      </c>
      <c r="L2003" s="815">
        <f t="shared" si="56"/>
        <v>292.2262482032553</v>
      </c>
      <c r="M2003" s="812">
        <f t="shared" si="56"/>
        <v>9.6411117987906945</v>
      </c>
      <c r="N2003" s="981">
        <f t="shared" si="56"/>
        <v>424.36967999999996</v>
      </c>
      <c r="O2003" s="981">
        <f t="shared" si="56"/>
        <v>-69.755031118848663</v>
      </c>
      <c r="P2003" s="807">
        <f t="shared" si="56"/>
        <v>0.5</v>
      </c>
      <c r="Q2003" s="23"/>
      <c r="W2003" s="4"/>
      <c r="X2003" s="4"/>
      <c r="Y2003" s="4"/>
      <c r="Z2003" s="4"/>
      <c r="AA2003" s="4"/>
      <c r="AB2003" s="4"/>
      <c r="AC2003" s="4"/>
      <c r="AD2003" s="4"/>
      <c r="AE2003" s="4"/>
    </row>
    <row r="2004" spans="2:31" hidden="1" outlineLevel="2" x14ac:dyDescent="0.15">
      <c r="B2004" s="1067" t="s">
        <v>1745</v>
      </c>
      <c r="C2004" s="981">
        <v>72.756800000000013</v>
      </c>
      <c r="D2004" s="980">
        <v>47.840200000000003</v>
      </c>
      <c r="E2004" s="815">
        <v>2.7301336000000003</v>
      </c>
      <c r="F2004" s="815">
        <v>22.201859499999998</v>
      </c>
      <c r="G2004" s="812">
        <v>0</v>
      </c>
      <c r="H2004" s="981">
        <v>0.61864000000000008</v>
      </c>
      <c r="I2004" s="807">
        <v>0.5</v>
      </c>
      <c r="J2004" s="981">
        <f t="shared" si="56"/>
        <v>336.29740666869202</v>
      </c>
      <c r="K2004" s="980">
        <f t="shared" si="56"/>
        <v>34.430046666646</v>
      </c>
      <c r="L2004" s="815">
        <f t="shared" si="56"/>
        <v>292.2262482032553</v>
      </c>
      <c r="M2004" s="812">
        <f t="shared" si="56"/>
        <v>9.6411117987906945</v>
      </c>
      <c r="N2004" s="981">
        <f t="shared" si="56"/>
        <v>424.36967999999996</v>
      </c>
      <c r="O2004" s="981">
        <f t="shared" si="56"/>
        <v>-69.755031118848663</v>
      </c>
      <c r="P2004" s="807">
        <f t="shared" si="56"/>
        <v>0.5</v>
      </c>
      <c r="Q2004" s="23"/>
      <c r="W2004" s="4"/>
      <c r="X2004" s="4"/>
      <c r="Y2004" s="4"/>
      <c r="Z2004" s="4"/>
      <c r="AA2004" s="4"/>
      <c r="AB2004" s="4"/>
      <c r="AC2004" s="4"/>
      <c r="AD2004" s="4"/>
      <c r="AE2004" s="4"/>
    </row>
    <row r="2005" spans="2:31" hidden="1" outlineLevel="2" x14ac:dyDescent="0.15">
      <c r="B2005" s="1067" t="s">
        <v>1749</v>
      </c>
      <c r="C2005" s="981">
        <v>63.017900000000004</v>
      </c>
      <c r="D2005" s="980">
        <v>43.5364</v>
      </c>
      <c r="E2005" s="815">
        <v>2.8962250000000003</v>
      </c>
      <c r="F2005" s="815">
        <v>16.550623999999996</v>
      </c>
      <c r="G2005" s="812">
        <v>0</v>
      </c>
      <c r="H2005" s="981">
        <v>0.77191810000000016</v>
      </c>
      <c r="I2005" s="807">
        <v>0.5</v>
      </c>
      <c r="J2005" s="981">
        <f t="shared" si="56"/>
        <v>336.29740666869202</v>
      </c>
      <c r="K2005" s="980">
        <f t="shared" si="56"/>
        <v>34.430046666646</v>
      </c>
      <c r="L2005" s="815">
        <f t="shared" si="56"/>
        <v>292.2262482032553</v>
      </c>
      <c r="M2005" s="812">
        <f t="shared" si="56"/>
        <v>9.6411117987906945</v>
      </c>
      <c r="N2005" s="981">
        <f t="shared" si="56"/>
        <v>424.36967999999996</v>
      </c>
      <c r="O2005" s="981">
        <f t="shared" si="56"/>
        <v>-69.755031118848663</v>
      </c>
      <c r="P2005" s="807">
        <f t="shared" si="56"/>
        <v>0.5</v>
      </c>
      <c r="Q2005" s="23"/>
      <c r="W2005" s="4"/>
      <c r="X2005" s="4"/>
      <c r="Y2005" s="4"/>
      <c r="Z2005" s="4"/>
      <c r="AA2005" s="4"/>
      <c r="AB2005" s="4"/>
      <c r="AC2005" s="4"/>
      <c r="AD2005" s="4"/>
      <c r="AE2005" s="4"/>
    </row>
    <row r="2006" spans="2:31" hidden="1" outlineLevel="2" x14ac:dyDescent="0.15">
      <c r="B2006" s="1067" t="s">
        <v>1750</v>
      </c>
      <c r="C2006" s="981">
        <v>65.534999999999997</v>
      </c>
      <c r="D2006" s="980">
        <v>44.521999999999998</v>
      </c>
      <c r="E2006" s="815">
        <v>2.8284906000000003</v>
      </c>
      <c r="F2006" s="815">
        <v>18.148399999999995</v>
      </c>
      <c r="G2006" s="812">
        <v>0</v>
      </c>
      <c r="H2006" s="981">
        <v>0.71920000000000006</v>
      </c>
      <c r="I2006" s="807">
        <v>0.5</v>
      </c>
      <c r="J2006" s="981">
        <f t="shared" ref="J2006:P2006" si="57">J$1914</f>
        <v>336.29740666869202</v>
      </c>
      <c r="K2006" s="980">
        <f t="shared" si="57"/>
        <v>34.430046666646</v>
      </c>
      <c r="L2006" s="815">
        <f t="shared" si="57"/>
        <v>292.2262482032553</v>
      </c>
      <c r="M2006" s="812">
        <f t="shared" si="57"/>
        <v>9.6411117987906945</v>
      </c>
      <c r="N2006" s="981">
        <f t="shared" si="57"/>
        <v>424.36967999999996</v>
      </c>
      <c r="O2006" s="981">
        <f t="shared" si="57"/>
        <v>-69.755031118848663</v>
      </c>
      <c r="P2006" s="807">
        <f t="shared" si="57"/>
        <v>0.5</v>
      </c>
      <c r="Q2006" s="23"/>
      <c r="W2006" s="4"/>
      <c r="X2006" s="4"/>
      <c r="Y2006" s="4"/>
      <c r="Z2006" s="4"/>
      <c r="AA2006" s="4"/>
      <c r="AB2006" s="4"/>
      <c r="AC2006" s="4"/>
      <c r="AD2006" s="4"/>
      <c r="AE2006" s="4"/>
    </row>
    <row r="2007" spans="2:31" hidden="1" outlineLevel="2" x14ac:dyDescent="0.15">
      <c r="B2007" s="1681" t="s">
        <v>3185</v>
      </c>
      <c r="C2007" s="1682">
        <f>0.446*1000</f>
        <v>446</v>
      </c>
      <c r="D2007" s="980"/>
      <c r="E2007" s="815"/>
      <c r="F2007" s="815"/>
      <c r="G2007" s="812"/>
      <c r="H2007" s="981"/>
      <c r="I2007" s="807"/>
      <c r="J2007" s="981"/>
      <c r="K2007" s="980"/>
      <c r="L2007" s="815"/>
      <c r="M2007" s="812"/>
      <c r="N2007" s="981"/>
      <c r="O2007" s="981"/>
      <c r="P2007" s="807"/>
      <c r="Q2007" s="23"/>
      <c r="W2007" s="4"/>
      <c r="X2007" s="4"/>
      <c r="Y2007" s="4"/>
      <c r="Z2007" s="4"/>
      <c r="AA2007" s="4"/>
      <c r="AB2007" s="4"/>
      <c r="AC2007" s="4"/>
      <c r="AD2007" s="4"/>
      <c r="AE2007" s="4"/>
    </row>
    <row r="2008" spans="2:31" hidden="1" outlineLevel="2" x14ac:dyDescent="0.15">
      <c r="B2008" s="1681" t="s">
        <v>3186</v>
      </c>
      <c r="C2008" s="1682">
        <f>0.513*1000</f>
        <v>513</v>
      </c>
      <c r="D2008" s="980"/>
      <c r="E2008" s="815"/>
      <c r="F2008" s="815"/>
      <c r="G2008" s="812"/>
      <c r="H2008" s="981"/>
      <c r="I2008" s="807"/>
      <c r="J2008" s="981"/>
      <c r="K2008" s="980"/>
      <c r="L2008" s="815"/>
      <c r="M2008" s="812"/>
      <c r="N2008" s="981"/>
      <c r="O2008" s="981"/>
      <c r="P2008" s="807"/>
      <c r="Q2008" s="23"/>
      <c r="W2008" s="4"/>
      <c r="X2008" s="4"/>
      <c r="Y2008" s="4"/>
      <c r="Z2008" s="4"/>
      <c r="AA2008" s="4"/>
      <c r="AB2008" s="4"/>
      <c r="AC2008" s="4"/>
      <c r="AD2008" s="4"/>
      <c r="AE2008" s="4"/>
    </row>
    <row r="2009" spans="2:31" hidden="1" outlineLevel="2" x14ac:dyDescent="0.15">
      <c r="B2009" s="1681" t="s">
        <v>3187</v>
      </c>
      <c r="C2009" s="1682">
        <f>0.524*1000</f>
        <v>524</v>
      </c>
      <c r="D2009" s="980"/>
      <c r="E2009" s="815"/>
      <c r="F2009" s="815"/>
      <c r="G2009" s="812"/>
      <c r="H2009" s="981"/>
      <c r="I2009" s="807"/>
      <c r="J2009" s="981"/>
      <c r="K2009" s="980"/>
      <c r="L2009" s="815"/>
      <c r="M2009" s="812"/>
      <c r="N2009" s="981"/>
      <c r="O2009" s="981"/>
      <c r="P2009" s="807"/>
      <c r="Q2009" s="23"/>
      <c r="W2009" s="4"/>
      <c r="X2009" s="4"/>
      <c r="Y2009" s="4"/>
      <c r="Z2009" s="4"/>
      <c r="AA2009" s="4"/>
      <c r="AB2009" s="4"/>
      <c r="AC2009" s="4"/>
      <c r="AD2009" s="4"/>
      <c r="AE2009" s="4"/>
    </row>
    <row r="2010" spans="2:31" hidden="1" outlineLevel="2" x14ac:dyDescent="0.15">
      <c r="B2010" s="1681" t="s">
        <v>3188</v>
      </c>
      <c r="C2010" s="1682">
        <f>0.663*1000</f>
        <v>663</v>
      </c>
      <c r="D2010" s="980"/>
      <c r="E2010" s="815"/>
      <c r="F2010" s="815"/>
      <c r="G2010" s="812"/>
      <c r="H2010" s="981"/>
      <c r="I2010" s="807"/>
      <c r="J2010" s="981"/>
      <c r="K2010" s="980"/>
      <c r="L2010" s="815"/>
      <c r="M2010" s="812"/>
      <c r="N2010" s="981"/>
      <c r="O2010" s="981"/>
      <c r="P2010" s="807"/>
      <c r="Q2010" s="23"/>
      <c r="W2010" s="4"/>
      <c r="X2010" s="4"/>
      <c r="Y2010" s="4"/>
      <c r="Z2010" s="4"/>
      <c r="AA2010" s="4"/>
      <c r="AB2010" s="4"/>
      <c r="AC2010" s="4"/>
      <c r="AD2010" s="4"/>
      <c r="AE2010" s="4"/>
    </row>
    <row r="2011" spans="2:31" hidden="1" outlineLevel="2" x14ac:dyDescent="0.15">
      <c r="B2011" s="1681" t="s">
        <v>3189</v>
      </c>
      <c r="C2011" s="1682">
        <f>0.779*1000</f>
        <v>779</v>
      </c>
      <c r="D2011" s="980"/>
      <c r="E2011" s="815"/>
      <c r="F2011" s="815"/>
      <c r="G2011" s="812"/>
      <c r="H2011" s="981"/>
      <c r="I2011" s="807"/>
      <c r="J2011" s="981"/>
      <c r="K2011" s="980"/>
      <c r="L2011" s="815"/>
      <c r="M2011" s="812"/>
      <c r="N2011" s="981"/>
      <c r="O2011" s="981"/>
      <c r="P2011" s="807"/>
      <c r="Q2011" s="23"/>
      <c r="W2011" s="4"/>
      <c r="X2011" s="4"/>
      <c r="Y2011" s="4"/>
      <c r="Z2011" s="4"/>
      <c r="AA2011" s="4"/>
      <c r="AB2011" s="4"/>
      <c r="AC2011" s="4"/>
      <c r="AD2011" s="4"/>
      <c r="AE2011" s="4"/>
    </row>
    <row r="2012" spans="2:31" hidden="1" outlineLevel="2" x14ac:dyDescent="0.15">
      <c r="B2012" s="1681" t="s">
        <v>3190</v>
      </c>
      <c r="C2012" s="1682">
        <f>0.799*1000</f>
        <v>799</v>
      </c>
      <c r="D2012" s="980"/>
      <c r="E2012" s="815"/>
      <c r="F2012" s="815"/>
      <c r="G2012" s="812"/>
      <c r="H2012" s="981"/>
      <c r="I2012" s="807"/>
      <c r="J2012" s="981"/>
      <c r="K2012" s="980"/>
      <c r="L2012" s="815"/>
      <c r="M2012" s="812"/>
      <c r="N2012" s="981"/>
      <c r="O2012" s="981"/>
      <c r="P2012" s="807"/>
      <c r="Q2012" s="23"/>
      <c r="W2012" s="4"/>
      <c r="X2012" s="4"/>
      <c r="Y2012" s="4"/>
      <c r="Z2012" s="4"/>
      <c r="AA2012" s="4"/>
      <c r="AB2012" s="4"/>
      <c r="AC2012" s="4"/>
      <c r="AD2012" s="4"/>
      <c r="AE2012" s="4"/>
    </row>
    <row r="2013" spans="2:31" hidden="1" outlineLevel="2" x14ac:dyDescent="0.15">
      <c r="B2013" s="1681" t="s">
        <v>3191</v>
      </c>
      <c r="C2013" s="1682">
        <f>0.228*1000</f>
        <v>228</v>
      </c>
      <c r="D2013" s="980"/>
      <c r="E2013" s="815"/>
      <c r="F2013" s="815"/>
      <c r="G2013" s="812"/>
      <c r="H2013" s="981"/>
      <c r="I2013" s="807"/>
      <c r="J2013" s="981"/>
      <c r="K2013" s="980"/>
      <c r="L2013" s="815"/>
      <c r="M2013" s="812"/>
      <c r="N2013" s="981"/>
      <c r="O2013" s="981"/>
      <c r="P2013" s="807"/>
      <c r="Q2013" s="23"/>
      <c r="W2013" s="4"/>
      <c r="X2013" s="4"/>
      <c r="Y2013" s="4"/>
      <c r="Z2013" s="4"/>
      <c r="AA2013" s="4"/>
      <c r="AB2013" s="4"/>
      <c r="AC2013" s="4"/>
      <c r="AD2013" s="4"/>
      <c r="AE2013" s="4"/>
    </row>
    <row r="2014" spans="2:31" hidden="1" outlineLevel="2" x14ac:dyDescent="0.15">
      <c r="B2014" s="1681" t="s">
        <v>3192</v>
      </c>
      <c r="C2014" s="1682">
        <f>0.312*1000</f>
        <v>312</v>
      </c>
      <c r="D2014" s="980"/>
      <c r="E2014" s="815"/>
      <c r="F2014" s="815"/>
      <c r="G2014" s="812"/>
      <c r="H2014" s="981"/>
      <c r="I2014" s="807"/>
      <c r="J2014" s="981"/>
      <c r="K2014" s="980"/>
      <c r="L2014" s="815"/>
      <c r="M2014" s="812"/>
      <c r="N2014" s="981"/>
      <c r="O2014" s="981"/>
      <c r="P2014" s="807"/>
      <c r="Q2014" s="23"/>
      <c r="W2014" s="4"/>
      <c r="X2014" s="4"/>
      <c r="Y2014" s="4"/>
      <c r="Z2014" s="4"/>
      <c r="AA2014" s="4"/>
      <c r="AB2014" s="4"/>
      <c r="AC2014" s="4"/>
      <c r="AD2014" s="4"/>
      <c r="AE2014" s="4"/>
    </row>
    <row r="2015" spans="2:31" hidden="1" outlineLevel="2" x14ac:dyDescent="0.15">
      <c r="B2015" s="1681" t="s">
        <v>3193</v>
      </c>
      <c r="C2015" s="1682">
        <f>0.443*1000</f>
        <v>443</v>
      </c>
      <c r="D2015" s="980"/>
      <c r="E2015" s="815"/>
      <c r="F2015" s="815"/>
      <c r="G2015" s="812"/>
      <c r="H2015" s="981"/>
      <c r="I2015" s="807"/>
      <c r="J2015" s="981"/>
      <c r="K2015" s="980"/>
      <c r="L2015" s="815"/>
      <c r="M2015" s="812"/>
      <c r="N2015" s="981"/>
      <c r="O2015" s="981"/>
      <c r="P2015" s="807"/>
      <c r="Q2015" s="23"/>
      <c r="W2015" s="4"/>
      <c r="X2015" s="4"/>
      <c r="Y2015" s="4"/>
      <c r="Z2015" s="4"/>
      <c r="AA2015" s="4"/>
      <c r="AB2015" s="4"/>
      <c r="AC2015" s="4"/>
      <c r="AD2015" s="4"/>
      <c r="AE2015" s="4"/>
    </row>
    <row r="2016" spans="2:31" hidden="1" outlineLevel="2" x14ac:dyDescent="0.15">
      <c r="B2016" s="1681" t="s">
        <v>3194</v>
      </c>
      <c r="C2016" s="1682">
        <f>0.515*1000</f>
        <v>515</v>
      </c>
      <c r="D2016" s="980"/>
      <c r="E2016" s="815"/>
      <c r="F2016" s="815"/>
      <c r="G2016" s="812"/>
      <c r="H2016" s="981"/>
      <c r="I2016" s="807"/>
      <c r="J2016" s="981"/>
      <c r="K2016" s="980"/>
      <c r="L2016" s="815"/>
      <c r="M2016" s="812"/>
      <c r="N2016" s="981"/>
      <c r="O2016" s="981"/>
      <c r="P2016" s="807"/>
      <c r="Q2016" s="23"/>
      <c r="W2016" s="4"/>
      <c r="X2016" s="4"/>
      <c r="Y2016" s="4"/>
      <c r="Z2016" s="4"/>
      <c r="AA2016" s="4"/>
      <c r="AB2016" s="4"/>
      <c r="AC2016" s="4"/>
      <c r="AD2016" s="4"/>
      <c r="AE2016" s="4"/>
    </row>
    <row r="2017" spans="2:31" hidden="1" outlineLevel="2" x14ac:dyDescent="0.15">
      <c r="B2017" s="1681" t="s">
        <v>3195</v>
      </c>
      <c r="C2017" s="1682">
        <f>0.528*1000</f>
        <v>528</v>
      </c>
      <c r="D2017" s="980"/>
      <c r="E2017" s="815"/>
      <c r="F2017" s="815"/>
      <c r="G2017" s="812"/>
      <c r="H2017" s="981"/>
      <c r="I2017" s="807"/>
      <c r="J2017" s="981"/>
      <c r="K2017" s="980"/>
      <c r="L2017" s="815"/>
      <c r="M2017" s="812"/>
      <c r="N2017" s="981"/>
      <c r="O2017" s="981"/>
      <c r="P2017" s="807"/>
      <c r="Q2017" s="23"/>
      <c r="W2017" s="4"/>
      <c r="X2017" s="4"/>
      <c r="Y2017" s="4"/>
      <c r="Z2017" s="4"/>
      <c r="AA2017" s="4"/>
      <c r="AB2017" s="4"/>
      <c r="AC2017" s="4"/>
      <c r="AD2017" s="4"/>
      <c r="AE2017" s="4"/>
    </row>
    <row r="2018" spans="2:31" hidden="1" outlineLevel="2" x14ac:dyDescent="0.15">
      <c r="B2018" s="1681" t="s">
        <v>3196</v>
      </c>
      <c r="C2018" s="1682">
        <f>0.512*1000</f>
        <v>512</v>
      </c>
      <c r="D2018" s="980"/>
      <c r="E2018" s="815"/>
      <c r="F2018" s="815"/>
      <c r="G2018" s="812"/>
      <c r="H2018" s="981"/>
      <c r="I2018" s="807"/>
      <c r="J2018" s="981"/>
      <c r="K2018" s="980"/>
      <c r="L2018" s="815"/>
      <c r="M2018" s="812"/>
      <c r="N2018" s="981"/>
      <c r="O2018" s="981"/>
      <c r="P2018" s="807"/>
      <c r="Q2018" s="23"/>
      <c r="W2018" s="4"/>
      <c r="X2018" s="4"/>
      <c r="Y2018" s="4"/>
      <c r="Z2018" s="4"/>
      <c r="AA2018" s="4"/>
      <c r="AB2018" s="4"/>
      <c r="AC2018" s="4"/>
      <c r="AD2018" s="4"/>
      <c r="AE2018" s="4"/>
    </row>
    <row r="2019" spans="2:31" hidden="1" outlineLevel="2" x14ac:dyDescent="0.15">
      <c r="B2019" s="1681" t="s">
        <v>3197</v>
      </c>
      <c r="C2019" s="1682">
        <f>0.607*1000</f>
        <v>607</v>
      </c>
      <c r="D2019" s="980"/>
      <c r="E2019" s="815"/>
      <c r="F2019" s="815"/>
      <c r="G2019" s="812"/>
      <c r="H2019" s="981"/>
      <c r="I2019" s="807"/>
      <c r="J2019" s="981"/>
      <c r="K2019" s="980"/>
      <c r="L2019" s="815"/>
      <c r="M2019" s="812"/>
      <c r="N2019" s="981"/>
      <c r="O2019" s="981"/>
      <c r="P2019" s="807"/>
      <c r="Q2019" s="23"/>
      <c r="W2019" s="4"/>
      <c r="X2019" s="4"/>
      <c r="Y2019" s="4"/>
      <c r="Z2019" s="4"/>
      <c r="AA2019" s="4"/>
      <c r="AB2019" s="4"/>
      <c r="AC2019" s="4"/>
      <c r="AD2019" s="4"/>
      <c r="AE2019" s="4"/>
    </row>
    <row r="2020" spans="2:31" hidden="1" outlineLevel="2" x14ac:dyDescent="0.15">
      <c r="B2020" s="1681" t="s">
        <v>3198</v>
      </c>
      <c r="C2020" s="1682">
        <f>0.624*1000</f>
        <v>624</v>
      </c>
      <c r="D2020" s="980"/>
      <c r="E2020" s="815"/>
      <c r="F2020" s="815"/>
      <c r="G2020" s="812"/>
      <c r="H2020" s="981"/>
      <c r="I2020" s="807"/>
      <c r="J2020" s="981"/>
      <c r="K2020" s="980"/>
      <c r="L2020" s="815"/>
      <c r="M2020" s="812"/>
      <c r="N2020" s="981"/>
      <c r="O2020" s="981"/>
      <c r="P2020" s="807"/>
      <c r="Q2020" s="23"/>
      <c r="W2020" s="4"/>
      <c r="X2020" s="4"/>
      <c r="Y2020" s="4"/>
      <c r="Z2020" s="4"/>
      <c r="AA2020" s="4"/>
      <c r="AB2020" s="4"/>
      <c r="AC2020" s="4"/>
      <c r="AD2020" s="4"/>
      <c r="AE2020" s="4"/>
    </row>
    <row r="2021" spans="2:31" hidden="1" outlineLevel="2" x14ac:dyDescent="0.15">
      <c r="B2021" s="1067" t="s">
        <v>1746</v>
      </c>
      <c r="C2021" s="981">
        <v>66.900000000000006</v>
      </c>
      <c r="D2021" s="980">
        <v>66.900000000000006</v>
      </c>
      <c r="E2021" s="815">
        <v>0</v>
      </c>
      <c r="F2021" s="815">
        <v>0</v>
      </c>
      <c r="G2021" s="812">
        <v>0</v>
      </c>
      <c r="H2021" s="981">
        <v>0</v>
      </c>
      <c r="I2021" s="807">
        <v>0.5</v>
      </c>
      <c r="J2021" s="981">
        <f t="shared" ref="J2021:P2022" si="58">J$1914</f>
        <v>336.29740666869202</v>
      </c>
      <c r="K2021" s="980">
        <f t="shared" si="58"/>
        <v>34.430046666646</v>
      </c>
      <c r="L2021" s="815">
        <f t="shared" si="58"/>
        <v>292.2262482032553</v>
      </c>
      <c r="M2021" s="812">
        <f t="shared" si="58"/>
        <v>9.6411117987906945</v>
      </c>
      <c r="N2021" s="981">
        <f t="shared" si="58"/>
        <v>424.36967999999996</v>
      </c>
      <c r="O2021" s="981">
        <f t="shared" si="58"/>
        <v>-69.755031118848663</v>
      </c>
      <c r="P2021" s="807">
        <f t="shared" si="58"/>
        <v>0.5</v>
      </c>
      <c r="Q2021" s="23"/>
      <c r="W2021" s="4"/>
      <c r="X2021" s="4"/>
      <c r="Y2021" s="4"/>
      <c r="Z2021" s="4"/>
      <c r="AA2021" s="4"/>
      <c r="AB2021" s="4"/>
      <c r="AC2021" s="4"/>
      <c r="AD2021" s="4"/>
      <c r="AE2021" s="4"/>
    </row>
    <row r="2022" spans="2:31" hidden="1" outlineLevel="2" x14ac:dyDescent="0.15">
      <c r="B2022" s="1067" t="s">
        <v>1747</v>
      </c>
      <c r="C2022" s="981">
        <v>2220</v>
      </c>
      <c r="D2022" s="980">
        <v>2220</v>
      </c>
      <c r="E2022" s="815">
        <v>0</v>
      </c>
      <c r="F2022" s="815">
        <v>0</v>
      </c>
      <c r="G2022" s="812">
        <v>0</v>
      </c>
      <c r="H2022" s="981">
        <v>0</v>
      </c>
      <c r="I2022" s="807">
        <v>0.5</v>
      </c>
      <c r="J2022" s="981">
        <f t="shared" si="58"/>
        <v>336.29740666869202</v>
      </c>
      <c r="K2022" s="980">
        <f t="shared" si="58"/>
        <v>34.430046666646</v>
      </c>
      <c r="L2022" s="815">
        <f t="shared" si="58"/>
        <v>292.2262482032553</v>
      </c>
      <c r="M2022" s="812">
        <f t="shared" si="58"/>
        <v>9.6411117987906945</v>
      </c>
      <c r="N2022" s="981">
        <f t="shared" si="58"/>
        <v>424.36967999999996</v>
      </c>
      <c r="O2022" s="981">
        <f t="shared" si="58"/>
        <v>-69.755031118848663</v>
      </c>
      <c r="P2022" s="807">
        <f t="shared" si="58"/>
        <v>0.5</v>
      </c>
      <c r="Q2022" s="23"/>
      <c r="W2022" s="4"/>
      <c r="X2022" s="4"/>
      <c r="Y2022" s="4"/>
      <c r="Z2022" s="4"/>
      <c r="AA2022" s="4"/>
      <c r="AB2022" s="4"/>
      <c r="AC2022" s="4"/>
      <c r="AD2022" s="4"/>
      <c r="AE2022" s="4"/>
    </row>
    <row r="2023" spans="2:31" hidden="1" outlineLevel="2" x14ac:dyDescent="0.15">
      <c r="B2023" s="1067" t="s">
        <v>1788</v>
      </c>
      <c r="C2023" s="981">
        <v>181.48399999999998</v>
      </c>
      <c r="D2023" s="980">
        <v>71.930999999999997</v>
      </c>
      <c r="E2023" s="815">
        <v>2.6575599999999993</v>
      </c>
      <c r="F2023" s="815">
        <v>106.8806</v>
      </c>
      <c r="G2023" s="812">
        <v>0</v>
      </c>
      <c r="H2023" s="981">
        <v>0.50219999999999998</v>
      </c>
      <c r="I2023" s="807">
        <v>0.5</v>
      </c>
      <c r="J2023" s="981">
        <f t="shared" ref="J2023:P2031" si="59">J$1914</f>
        <v>336.29740666869202</v>
      </c>
      <c r="K2023" s="980">
        <f t="shared" si="59"/>
        <v>34.430046666646</v>
      </c>
      <c r="L2023" s="815">
        <f t="shared" si="59"/>
        <v>292.2262482032553</v>
      </c>
      <c r="M2023" s="812">
        <f t="shared" si="59"/>
        <v>9.6411117987906945</v>
      </c>
      <c r="N2023" s="981">
        <f t="shared" si="59"/>
        <v>424.36967999999996</v>
      </c>
      <c r="O2023" s="981">
        <f t="shared" si="59"/>
        <v>-69.755031118848663</v>
      </c>
      <c r="P2023" s="807">
        <f t="shared" si="59"/>
        <v>0.5</v>
      </c>
      <c r="Q2023" s="23"/>
      <c r="W2023" s="4"/>
      <c r="X2023" s="4"/>
      <c r="Y2023" s="4"/>
      <c r="Z2023" s="4"/>
      <c r="AA2023" s="4"/>
      <c r="AB2023" s="4"/>
      <c r="AC2023" s="4"/>
      <c r="AD2023" s="4"/>
      <c r="AE2023" s="4"/>
    </row>
    <row r="2024" spans="2:31" hidden="1" outlineLevel="2" x14ac:dyDescent="0.15">
      <c r="B2024" s="1067" t="s">
        <v>1787</v>
      </c>
      <c r="C2024" s="981">
        <v>298.98</v>
      </c>
      <c r="D2024" s="980">
        <v>113.67</v>
      </c>
      <c r="E2024" s="815">
        <v>5.2950430000000015</v>
      </c>
      <c r="F2024" s="815">
        <v>179.75339999999997</v>
      </c>
      <c r="G2024" s="812">
        <v>0</v>
      </c>
      <c r="H2024" s="981">
        <v>1.2027000000000001</v>
      </c>
      <c r="I2024" s="807">
        <v>0.5</v>
      </c>
      <c r="J2024" s="981">
        <f t="shared" si="59"/>
        <v>336.29740666869202</v>
      </c>
      <c r="K2024" s="980">
        <f t="shared" si="59"/>
        <v>34.430046666646</v>
      </c>
      <c r="L2024" s="815">
        <f t="shared" si="59"/>
        <v>292.2262482032553</v>
      </c>
      <c r="M2024" s="812">
        <f t="shared" si="59"/>
        <v>9.6411117987906945</v>
      </c>
      <c r="N2024" s="981">
        <f t="shared" si="59"/>
        <v>424.36967999999996</v>
      </c>
      <c r="O2024" s="981">
        <f t="shared" si="59"/>
        <v>-69.755031118848663</v>
      </c>
      <c r="P2024" s="807">
        <f t="shared" si="59"/>
        <v>0.5</v>
      </c>
      <c r="Q2024" s="23"/>
      <c r="W2024" s="4"/>
      <c r="X2024" s="4"/>
      <c r="Y2024" s="4"/>
      <c r="Z2024" s="4"/>
      <c r="AA2024" s="4"/>
      <c r="AB2024" s="4"/>
      <c r="AC2024" s="4"/>
      <c r="AD2024" s="4"/>
      <c r="AE2024" s="4"/>
    </row>
    <row r="2025" spans="2:31" hidden="1" outlineLevel="2" x14ac:dyDescent="0.15">
      <c r="B2025" s="1067" t="s">
        <v>1756</v>
      </c>
      <c r="C2025" s="981">
        <v>204.893</v>
      </c>
      <c r="D2025" s="980">
        <v>122.34100000000001</v>
      </c>
      <c r="E2025" s="815">
        <v>3.9104120000000004</v>
      </c>
      <c r="F2025" s="815">
        <v>78.685589999999991</v>
      </c>
      <c r="G2025" s="812">
        <v>0</v>
      </c>
      <c r="H2025" s="981">
        <v>0.86169999999999991</v>
      </c>
      <c r="I2025" s="807">
        <v>0.5</v>
      </c>
      <c r="J2025" s="981">
        <f t="shared" si="59"/>
        <v>336.29740666869202</v>
      </c>
      <c r="K2025" s="980">
        <f t="shared" si="59"/>
        <v>34.430046666646</v>
      </c>
      <c r="L2025" s="815">
        <f t="shared" si="59"/>
        <v>292.2262482032553</v>
      </c>
      <c r="M2025" s="812">
        <f t="shared" si="59"/>
        <v>9.6411117987906945</v>
      </c>
      <c r="N2025" s="981">
        <f t="shared" si="59"/>
        <v>424.36967999999996</v>
      </c>
      <c r="O2025" s="981">
        <f t="shared" si="59"/>
        <v>-69.755031118848663</v>
      </c>
      <c r="P2025" s="807">
        <f t="shared" si="59"/>
        <v>0.5</v>
      </c>
      <c r="Q2025" s="23"/>
      <c r="W2025" s="4"/>
      <c r="X2025" s="4"/>
      <c r="Y2025" s="4"/>
      <c r="Z2025" s="4"/>
      <c r="AA2025" s="4"/>
      <c r="AB2025" s="4"/>
      <c r="AC2025" s="4"/>
      <c r="AD2025" s="4"/>
      <c r="AE2025" s="4"/>
    </row>
    <row r="2026" spans="2:31" hidden="1" outlineLevel="2" x14ac:dyDescent="0.15">
      <c r="B2026" s="1067" t="s">
        <v>1755</v>
      </c>
      <c r="C2026" s="981">
        <v>188.54399999999998</v>
      </c>
      <c r="D2026" s="980">
        <v>112.161</v>
      </c>
      <c r="E2026" s="815">
        <v>3.6401589999999993</v>
      </c>
      <c r="F2026" s="815">
        <v>72.761930000000007</v>
      </c>
      <c r="G2026" s="812">
        <v>0</v>
      </c>
      <c r="H2026" s="981">
        <v>0.80940000000000001</v>
      </c>
      <c r="I2026" s="807">
        <v>0.5</v>
      </c>
      <c r="J2026" s="981">
        <f t="shared" si="59"/>
        <v>336.29740666869202</v>
      </c>
      <c r="K2026" s="980">
        <f t="shared" si="59"/>
        <v>34.430046666646</v>
      </c>
      <c r="L2026" s="815">
        <f t="shared" si="59"/>
        <v>292.2262482032553</v>
      </c>
      <c r="M2026" s="812">
        <f t="shared" si="59"/>
        <v>9.6411117987906945</v>
      </c>
      <c r="N2026" s="981">
        <f t="shared" si="59"/>
        <v>424.36967999999996</v>
      </c>
      <c r="O2026" s="981">
        <f t="shared" si="59"/>
        <v>-69.755031118848663</v>
      </c>
      <c r="P2026" s="807">
        <f t="shared" si="59"/>
        <v>0.5</v>
      </c>
      <c r="Q2026" s="23"/>
      <c r="W2026" s="4"/>
      <c r="X2026" s="4"/>
      <c r="Y2026" s="4"/>
      <c r="Z2026" s="4"/>
      <c r="AA2026" s="4"/>
      <c r="AB2026" s="4"/>
      <c r="AC2026" s="4"/>
      <c r="AD2026" s="4"/>
      <c r="AE2026" s="4"/>
    </row>
    <row r="2027" spans="2:31" hidden="1" outlineLevel="2" x14ac:dyDescent="0.15">
      <c r="B2027" s="1067" t="s">
        <v>1753</v>
      </c>
      <c r="C2027" s="981">
        <v>79.513999999999996</v>
      </c>
      <c r="D2027" s="980">
        <v>39.969999999999992</v>
      </c>
      <c r="E2027" s="815">
        <v>1.7460929999999999</v>
      </c>
      <c r="F2027" s="815">
        <v>37.799529999999997</v>
      </c>
      <c r="G2027" s="812">
        <v>0</v>
      </c>
      <c r="H2027" s="981">
        <v>3.8490899999999995</v>
      </c>
      <c r="I2027" s="807">
        <v>0.5</v>
      </c>
      <c r="J2027" s="981">
        <f t="shared" si="59"/>
        <v>336.29740666869202</v>
      </c>
      <c r="K2027" s="980">
        <f t="shared" si="59"/>
        <v>34.430046666646</v>
      </c>
      <c r="L2027" s="815">
        <f t="shared" si="59"/>
        <v>292.2262482032553</v>
      </c>
      <c r="M2027" s="812">
        <f t="shared" si="59"/>
        <v>9.6411117987906945</v>
      </c>
      <c r="N2027" s="981">
        <f t="shared" si="59"/>
        <v>424.36967999999996</v>
      </c>
      <c r="O2027" s="981">
        <f t="shared" si="59"/>
        <v>-69.755031118848663</v>
      </c>
      <c r="P2027" s="807">
        <f t="shared" si="59"/>
        <v>0.5</v>
      </c>
      <c r="Q2027" s="23"/>
      <c r="W2027" s="4"/>
      <c r="X2027" s="4"/>
      <c r="Y2027" s="4"/>
      <c r="Z2027" s="4"/>
      <c r="AA2027" s="4"/>
      <c r="AB2027" s="4"/>
      <c r="AC2027" s="4"/>
      <c r="AD2027" s="4"/>
      <c r="AE2027" s="4"/>
    </row>
    <row r="2028" spans="2:31" hidden="1" outlineLevel="2" x14ac:dyDescent="0.15">
      <c r="B2028" s="1067" t="s">
        <v>1752</v>
      </c>
      <c r="C2028" s="981">
        <v>89.653999999999996</v>
      </c>
      <c r="D2028" s="980">
        <v>46.966999999999999</v>
      </c>
      <c r="E2028" s="815">
        <v>2.0134250000000007</v>
      </c>
      <c r="F2028" s="815">
        <v>40.76023</v>
      </c>
      <c r="G2028" s="812">
        <v>0</v>
      </c>
      <c r="H2028" s="981">
        <v>4.7843099999999987</v>
      </c>
      <c r="I2028" s="807">
        <v>0.5</v>
      </c>
      <c r="J2028" s="981">
        <f t="shared" si="59"/>
        <v>336.29740666869202</v>
      </c>
      <c r="K2028" s="980">
        <f t="shared" si="59"/>
        <v>34.430046666646</v>
      </c>
      <c r="L2028" s="815">
        <f t="shared" si="59"/>
        <v>292.2262482032553</v>
      </c>
      <c r="M2028" s="812">
        <f t="shared" si="59"/>
        <v>9.6411117987906945</v>
      </c>
      <c r="N2028" s="981">
        <f t="shared" si="59"/>
        <v>424.36967999999996</v>
      </c>
      <c r="O2028" s="981">
        <f t="shared" si="59"/>
        <v>-69.755031118848663</v>
      </c>
      <c r="P2028" s="807">
        <f t="shared" si="59"/>
        <v>0.5</v>
      </c>
      <c r="Q2028" s="23"/>
      <c r="W2028" s="4"/>
      <c r="X2028" s="4"/>
      <c r="Y2028" s="4"/>
      <c r="Z2028" s="4"/>
      <c r="AA2028" s="4"/>
      <c r="AB2028" s="4"/>
      <c r="AC2028" s="4"/>
      <c r="AD2028" s="4"/>
      <c r="AE2028" s="4"/>
    </row>
    <row r="2029" spans="2:31" hidden="1" outlineLevel="2" x14ac:dyDescent="0.15">
      <c r="B2029" s="1067" t="s">
        <v>1751</v>
      </c>
      <c r="C2029" s="981">
        <v>79.524000000000001</v>
      </c>
      <c r="D2029" s="980">
        <v>39.979999999999997</v>
      </c>
      <c r="E2029" s="815">
        <v>1.7432430000000001</v>
      </c>
      <c r="F2029" s="815">
        <v>37.798730000000006</v>
      </c>
      <c r="G2029" s="812">
        <v>0</v>
      </c>
      <c r="H2029" s="981">
        <v>3.8431899999999999</v>
      </c>
      <c r="I2029" s="807">
        <v>0.5</v>
      </c>
      <c r="J2029" s="981">
        <f t="shared" si="59"/>
        <v>336.29740666869202</v>
      </c>
      <c r="K2029" s="980">
        <f t="shared" si="59"/>
        <v>34.430046666646</v>
      </c>
      <c r="L2029" s="815">
        <f t="shared" si="59"/>
        <v>292.2262482032553</v>
      </c>
      <c r="M2029" s="812">
        <f t="shared" si="59"/>
        <v>9.6411117987906945</v>
      </c>
      <c r="N2029" s="981">
        <f t="shared" si="59"/>
        <v>424.36967999999996</v>
      </c>
      <c r="O2029" s="981">
        <f t="shared" si="59"/>
        <v>-69.755031118848663</v>
      </c>
      <c r="P2029" s="807">
        <f t="shared" si="59"/>
        <v>0.5</v>
      </c>
      <c r="Q2029" s="23"/>
      <c r="W2029" s="4"/>
      <c r="X2029" s="4"/>
      <c r="Y2029" s="4"/>
      <c r="Z2029" s="4"/>
      <c r="AA2029" s="4"/>
      <c r="AB2029" s="4"/>
      <c r="AC2029" s="4"/>
      <c r="AD2029" s="4"/>
      <c r="AE2029" s="4"/>
    </row>
    <row r="2030" spans="2:31" hidden="1" outlineLevel="2" x14ac:dyDescent="0.15">
      <c r="B2030" s="1067" t="s">
        <v>1754</v>
      </c>
      <c r="C2030" s="981">
        <v>68.742899999999992</v>
      </c>
      <c r="D2030" s="980">
        <v>35.655499999999996</v>
      </c>
      <c r="E2030" s="815">
        <v>1.491811</v>
      </c>
      <c r="F2030" s="815">
        <v>31.54449</v>
      </c>
      <c r="G2030" s="812">
        <v>0</v>
      </c>
      <c r="H2030" s="981">
        <v>3.5541399999999999</v>
      </c>
      <c r="I2030" s="807">
        <v>0.5</v>
      </c>
      <c r="J2030" s="981">
        <f t="shared" si="59"/>
        <v>336.29740666869202</v>
      </c>
      <c r="K2030" s="980">
        <f t="shared" si="59"/>
        <v>34.430046666646</v>
      </c>
      <c r="L2030" s="815">
        <f t="shared" si="59"/>
        <v>292.2262482032553</v>
      </c>
      <c r="M2030" s="812">
        <f t="shared" si="59"/>
        <v>9.6411117987906945</v>
      </c>
      <c r="N2030" s="981">
        <f t="shared" si="59"/>
        <v>424.36967999999996</v>
      </c>
      <c r="O2030" s="981">
        <f t="shared" si="59"/>
        <v>-69.755031118848663</v>
      </c>
      <c r="P2030" s="807">
        <f t="shared" si="59"/>
        <v>0.5</v>
      </c>
      <c r="Q2030" s="23"/>
      <c r="W2030" s="4"/>
      <c r="X2030" s="4"/>
      <c r="Y2030" s="4"/>
      <c r="Z2030" s="4"/>
      <c r="AA2030" s="4"/>
      <c r="AB2030" s="4"/>
      <c r="AC2030" s="4"/>
      <c r="AD2030" s="4"/>
      <c r="AE2030" s="4"/>
    </row>
    <row r="2031" spans="2:31" hidden="1" outlineLevel="2" x14ac:dyDescent="0.15">
      <c r="B2031" s="1067" t="s">
        <v>1748</v>
      </c>
      <c r="C2031" s="981">
        <v>77.353999999999999</v>
      </c>
      <c r="D2031" s="980">
        <v>39.121000000000002</v>
      </c>
      <c r="E2031" s="815">
        <v>1.6945530000000004</v>
      </c>
      <c r="F2031" s="815">
        <v>36.514250000000004</v>
      </c>
      <c r="G2031" s="812">
        <v>0</v>
      </c>
      <c r="H2031" s="981">
        <v>3.7869999999999999</v>
      </c>
      <c r="I2031" s="807">
        <v>0.5</v>
      </c>
      <c r="J2031" s="981">
        <f t="shared" si="59"/>
        <v>336.29740666869202</v>
      </c>
      <c r="K2031" s="980">
        <f t="shared" si="59"/>
        <v>34.430046666646</v>
      </c>
      <c r="L2031" s="815">
        <f t="shared" si="59"/>
        <v>292.2262482032553</v>
      </c>
      <c r="M2031" s="812">
        <f t="shared" si="59"/>
        <v>9.6411117987906945</v>
      </c>
      <c r="N2031" s="981">
        <f t="shared" si="59"/>
        <v>424.36967999999996</v>
      </c>
      <c r="O2031" s="981">
        <f t="shared" si="59"/>
        <v>-69.755031118848663</v>
      </c>
      <c r="P2031" s="807">
        <f t="shared" si="59"/>
        <v>0.5</v>
      </c>
      <c r="Q2031" s="23"/>
      <c r="W2031" s="4"/>
      <c r="X2031" s="4"/>
      <c r="Y2031" s="4"/>
      <c r="Z2031" s="4"/>
      <c r="AA2031" s="4"/>
      <c r="AB2031" s="4"/>
      <c r="AC2031" s="4"/>
      <c r="AD2031" s="4"/>
      <c r="AE2031" s="4"/>
    </row>
    <row r="2032" spans="2:31" hidden="1" outlineLevel="2" x14ac:dyDescent="0.15">
      <c r="B2032" s="1067"/>
      <c r="C2032" s="981"/>
      <c r="D2032" s="980"/>
      <c r="E2032" s="815"/>
      <c r="F2032" s="815"/>
      <c r="G2032" s="812"/>
      <c r="H2032" s="981"/>
      <c r="I2032" s="807"/>
      <c r="J2032" s="981"/>
      <c r="K2032" s="980"/>
      <c r="L2032" s="815"/>
      <c r="M2032" s="812"/>
      <c r="N2032" s="981"/>
      <c r="O2032" s="981"/>
      <c r="P2032" s="807"/>
      <c r="Q2032" s="23"/>
      <c r="W2032" s="4"/>
      <c r="X2032" s="4"/>
      <c r="Y2032" s="4"/>
      <c r="Z2032" s="4"/>
      <c r="AA2032" s="4"/>
      <c r="AB2032" s="4"/>
      <c r="AC2032" s="4"/>
      <c r="AD2032" s="4"/>
      <c r="AE2032" s="4"/>
    </row>
    <row r="2033" spans="2:31" hidden="1" outlineLevel="2" x14ac:dyDescent="0.15">
      <c r="B2033" s="1067" t="s">
        <v>1776</v>
      </c>
      <c r="C2033" s="981">
        <v>91.2</v>
      </c>
      <c r="D2033" s="980"/>
      <c r="E2033" s="815"/>
      <c r="F2033" s="815"/>
      <c r="G2033" s="812"/>
      <c r="H2033" s="981"/>
      <c r="I2033" s="807">
        <v>0.5</v>
      </c>
      <c r="J2033" s="981">
        <f t="shared" ref="J2033:P2033" si="60">J$1914</f>
        <v>336.29740666869202</v>
      </c>
      <c r="K2033" s="980">
        <f t="shared" si="60"/>
        <v>34.430046666646</v>
      </c>
      <c r="L2033" s="815">
        <f t="shared" si="60"/>
        <v>292.2262482032553</v>
      </c>
      <c r="M2033" s="812">
        <f t="shared" si="60"/>
        <v>9.6411117987906945</v>
      </c>
      <c r="N2033" s="981">
        <f t="shared" si="60"/>
        <v>424.36967999999996</v>
      </c>
      <c r="O2033" s="981">
        <f t="shared" si="60"/>
        <v>-69.755031118848663</v>
      </c>
      <c r="P2033" s="807">
        <f t="shared" si="60"/>
        <v>0.5</v>
      </c>
      <c r="Q2033" s="23"/>
      <c r="W2033" s="4"/>
      <c r="X2033" s="4"/>
      <c r="Y2033" s="4"/>
      <c r="Z2033" s="4"/>
      <c r="AA2033" s="4"/>
      <c r="AB2033" s="4"/>
      <c r="AC2033" s="4"/>
      <c r="AD2033" s="4"/>
      <c r="AE2033" s="4"/>
    </row>
    <row r="2034" spans="2:31" hidden="1" outlineLevel="2" x14ac:dyDescent="0.15">
      <c r="B2034" s="1067" t="s">
        <v>1789</v>
      </c>
      <c r="C2034" s="981">
        <v>31.848000000000003</v>
      </c>
      <c r="D2034" s="980">
        <v>11.622999999999999</v>
      </c>
      <c r="E2034" s="815">
        <v>1.0038809999999998</v>
      </c>
      <c r="F2034" s="815">
        <v>19.254349999999999</v>
      </c>
      <c r="G2034" s="812">
        <v>0</v>
      </c>
      <c r="H2034" s="981">
        <v>1.3754400000000002</v>
      </c>
      <c r="I2034" s="807">
        <v>0.5</v>
      </c>
      <c r="J2034" s="981">
        <f t="shared" ref="J2034:P2036" si="61">J$1914</f>
        <v>336.29740666869202</v>
      </c>
      <c r="K2034" s="980">
        <f t="shared" si="61"/>
        <v>34.430046666646</v>
      </c>
      <c r="L2034" s="815">
        <f t="shared" si="61"/>
        <v>292.2262482032553</v>
      </c>
      <c r="M2034" s="812">
        <f t="shared" si="61"/>
        <v>9.6411117987906945</v>
      </c>
      <c r="N2034" s="981">
        <f t="shared" si="61"/>
        <v>424.36967999999996</v>
      </c>
      <c r="O2034" s="981">
        <f t="shared" si="61"/>
        <v>-69.755031118848663</v>
      </c>
      <c r="P2034" s="807">
        <f t="shared" si="61"/>
        <v>0.5</v>
      </c>
      <c r="Q2034" s="23"/>
      <c r="W2034" s="4"/>
      <c r="X2034" s="4"/>
      <c r="Y2034" s="4"/>
      <c r="Z2034" s="4"/>
      <c r="AA2034" s="4"/>
      <c r="AB2034" s="4"/>
      <c r="AC2034" s="4"/>
      <c r="AD2034" s="4"/>
      <c r="AE2034" s="4"/>
    </row>
    <row r="2035" spans="2:31" hidden="1" outlineLevel="2" x14ac:dyDescent="0.15">
      <c r="B2035" s="1067" t="s">
        <v>1790</v>
      </c>
      <c r="C2035" s="981">
        <v>376.25799999999998</v>
      </c>
      <c r="D2035" s="980">
        <v>273.90300000000002</v>
      </c>
      <c r="E2035" s="815">
        <v>11.928823999999999</v>
      </c>
      <c r="F2035" s="815">
        <v>90.357379999999992</v>
      </c>
      <c r="G2035" s="812">
        <v>0</v>
      </c>
      <c r="H2035" s="981">
        <v>2.9396789999999999</v>
      </c>
      <c r="I2035" s="807">
        <v>0.5</v>
      </c>
      <c r="J2035" s="981">
        <f t="shared" si="61"/>
        <v>336.29740666869202</v>
      </c>
      <c r="K2035" s="980">
        <f t="shared" si="61"/>
        <v>34.430046666646</v>
      </c>
      <c r="L2035" s="815">
        <f t="shared" si="61"/>
        <v>292.2262482032553</v>
      </c>
      <c r="M2035" s="812">
        <f t="shared" si="61"/>
        <v>9.6411117987906945</v>
      </c>
      <c r="N2035" s="981">
        <f t="shared" si="61"/>
        <v>424.36967999999996</v>
      </c>
      <c r="O2035" s="981">
        <f t="shared" si="61"/>
        <v>-69.755031118848663</v>
      </c>
      <c r="P2035" s="807">
        <f t="shared" si="61"/>
        <v>0.5</v>
      </c>
      <c r="Q2035" s="23"/>
      <c r="W2035" s="4"/>
      <c r="X2035" s="4"/>
      <c r="Y2035" s="4"/>
      <c r="Z2035" s="4"/>
      <c r="AA2035" s="4"/>
      <c r="AB2035" s="4"/>
      <c r="AC2035" s="4"/>
      <c r="AD2035" s="4"/>
      <c r="AE2035" s="4"/>
    </row>
    <row r="2036" spans="2:31" hidden="1" outlineLevel="2" x14ac:dyDescent="0.15">
      <c r="B2036" s="1067" t="s">
        <v>1791</v>
      </c>
      <c r="C2036" s="981">
        <v>135.21800000000002</v>
      </c>
      <c r="D2036" s="980">
        <v>88.065999999999988</v>
      </c>
      <c r="E2036" s="815">
        <v>6.5343415999999994</v>
      </c>
      <c r="F2036" s="815">
        <v>40.540029999999994</v>
      </c>
      <c r="G2036" s="812">
        <v>0</v>
      </c>
      <c r="H2036" s="981">
        <v>1.61392</v>
      </c>
      <c r="I2036" s="807">
        <v>0.5</v>
      </c>
      <c r="J2036" s="981">
        <f t="shared" si="61"/>
        <v>336.29740666869202</v>
      </c>
      <c r="K2036" s="980">
        <f t="shared" si="61"/>
        <v>34.430046666646</v>
      </c>
      <c r="L2036" s="815">
        <f t="shared" si="61"/>
        <v>292.2262482032553</v>
      </c>
      <c r="M2036" s="812">
        <f t="shared" si="61"/>
        <v>9.6411117987906945</v>
      </c>
      <c r="N2036" s="981">
        <f t="shared" si="61"/>
        <v>424.36967999999996</v>
      </c>
      <c r="O2036" s="981">
        <f t="shared" si="61"/>
        <v>-69.755031118848663</v>
      </c>
      <c r="P2036" s="807">
        <f t="shared" si="61"/>
        <v>0.5</v>
      </c>
      <c r="Q2036" s="23"/>
      <c r="W2036" s="4"/>
      <c r="X2036" s="4"/>
      <c r="Y2036" s="4"/>
      <c r="Z2036" s="4"/>
      <c r="AA2036" s="4"/>
      <c r="AB2036" s="4"/>
      <c r="AC2036" s="4"/>
      <c r="AD2036" s="4"/>
      <c r="AE2036" s="4"/>
    </row>
    <row r="2037" spans="2:31" hidden="1" outlineLevel="2" x14ac:dyDescent="0.15">
      <c r="B2037" s="1067" t="s">
        <v>1792</v>
      </c>
      <c r="C2037" s="981">
        <v>2.99</v>
      </c>
      <c r="D2037" s="980"/>
      <c r="E2037" s="815"/>
      <c r="F2037" s="815"/>
      <c r="G2037" s="812"/>
      <c r="H2037" s="981"/>
      <c r="I2037" s="807">
        <v>0.5</v>
      </c>
      <c r="J2037" s="981">
        <f t="shared" ref="J2037:P2037" si="62">J$1914</f>
        <v>336.29740666869202</v>
      </c>
      <c r="K2037" s="980">
        <f t="shared" si="62"/>
        <v>34.430046666646</v>
      </c>
      <c r="L2037" s="815">
        <f t="shared" si="62"/>
        <v>292.2262482032553</v>
      </c>
      <c r="M2037" s="812">
        <f t="shared" si="62"/>
        <v>9.6411117987906945</v>
      </c>
      <c r="N2037" s="981">
        <f t="shared" si="62"/>
        <v>424.36967999999996</v>
      </c>
      <c r="O2037" s="981">
        <f t="shared" si="62"/>
        <v>-69.755031118848663</v>
      </c>
      <c r="P2037" s="807">
        <f t="shared" si="62"/>
        <v>0.5</v>
      </c>
      <c r="Q2037" s="23"/>
      <c r="W2037" s="4"/>
      <c r="X2037" s="4"/>
      <c r="Y2037" s="4"/>
      <c r="Z2037" s="4"/>
      <c r="AA2037" s="4"/>
      <c r="AB2037" s="4"/>
      <c r="AC2037" s="4"/>
      <c r="AD2037" s="4"/>
      <c r="AE2037" s="4"/>
    </row>
    <row r="2038" spans="2:31" hidden="1" outlineLevel="2" x14ac:dyDescent="0.15">
      <c r="B2038" s="1067" t="s">
        <v>1793</v>
      </c>
      <c r="C2038" s="981">
        <v>194.071</v>
      </c>
      <c r="D2038" s="980">
        <v>91.040660000000003</v>
      </c>
      <c r="E2038" s="815">
        <v>39.444402399999994</v>
      </c>
      <c r="F2038" s="815">
        <v>63.571210000000015</v>
      </c>
      <c r="G2038" s="812">
        <v>0</v>
      </c>
      <c r="H2038" s="981">
        <v>69.142978999999997</v>
      </c>
      <c r="I2038" s="807">
        <v>0.5</v>
      </c>
      <c r="J2038" s="981">
        <f t="shared" ref="J2038:P2050" si="63">J$1914</f>
        <v>336.29740666869202</v>
      </c>
      <c r="K2038" s="980">
        <f t="shared" si="63"/>
        <v>34.430046666646</v>
      </c>
      <c r="L2038" s="815">
        <f t="shared" si="63"/>
        <v>292.2262482032553</v>
      </c>
      <c r="M2038" s="812">
        <f t="shared" si="63"/>
        <v>9.6411117987906945</v>
      </c>
      <c r="N2038" s="981">
        <f t="shared" si="63"/>
        <v>424.36967999999996</v>
      </c>
      <c r="O2038" s="981">
        <f t="shared" si="63"/>
        <v>-69.755031118848663</v>
      </c>
      <c r="P2038" s="807">
        <f t="shared" si="63"/>
        <v>0.5</v>
      </c>
      <c r="Q2038" s="23"/>
      <c r="W2038" s="4"/>
      <c r="X2038" s="4"/>
      <c r="Y2038" s="4"/>
      <c r="Z2038" s="4"/>
      <c r="AA2038" s="4"/>
      <c r="AB2038" s="4"/>
      <c r="AC2038" s="4"/>
      <c r="AD2038" s="4"/>
      <c r="AE2038" s="4"/>
    </row>
    <row r="2039" spans="2:31" hidden="1" outlineLevel="2" x14ac:dyDescent="0.15">
      <c r="B2039" s="1067" t="s">
        <v>1794</v>
      </c>
      <c r="C2039" s="981">
        <v>169.28700000000001</v>
      </c>
      <c r="D2039" s="980">
        <v>88.894000000000005</v>
      </c>
      <c r="E2039" s="815">
        <v>28.447845999999998</v>
      </c>
      <c r="F2039" s="815">
        <v>51.894860000000001</v>
      </c>
      <c r="G2039" s="812">
        <v>0</v>
      </c>
      <c r="H2039" s="981">
        <v>47.283319999999989</v>
      </c>
      <c r="I2039" s="807">
        <v>0.5</v>
      </c>
      <c r="J2039" s="981">
        <f t="shared" si="63"/>
        <v>336.29740666869202</v>
      </c>
      <c r="K2039" s="980">
        <f t="shared" si="63"/>
        <v>34.430046666646</v>
      </c>
      <c r="L2039" s="815">
        <f t="shared" si="63"/>
        <v>292.2262482032553</v>
      </c>
      <c r="M2039" s="812">
        <f t="shared" si="63"/>
        <v>9.6411117987906945</v>
      </c>
      <c r="N2039" s="981">
        <f t="shared" si="63"/>
        <v>424.36967999999996</v>
      </c>
      <c r="O2039" s="981">
        <f t="shared" si="63"/>
        <v>-69.755031118848663</v>
      </c>
      <c r="P2039" s="807">
        <f t="shared" si="63"/>
        <v>0.5</v>
      </c>
      <c r="Q2039" s="23"/>
      <c r="W2039" s="4"/>
      <c r="X2039" s="4"/>
      <c r="Y2039" s="4"/>
      <c r="Z2039" s="4"/>
      <c r="AA2039" s="4"/>
      <c r="AB2039" s="4"/>
      <c r="AC2039" s="4"/>
      <c r="AD2039" s="4"/>
      <c r="AE2039" s="4"/>
    </row>
    <row r="2040" spans="2:31" hidden="1" outlineLevel="2" x14ac:dyDescent="0.15">
      <c r="B2040" s="1067" t="s">
        <v>1795</v>
      </c>
      <c r="C2040" s="981">
        <v>169.654</v>
      </c>
      <c r="D2040" s="980">
        <v>88.891999999999996</v>
      </c>
      <c r="E2040" s="815">
        <v>28.624974000000005</v>
      </c>
      <c r="F2040" s="815">
        <v>52.098840000000003</v>
      </c>
      <c r="G2040" s="812">
        <v>0</v>
      </c>
      <c r="H2040" s="981">
        <v>47.590939999999989</v>
      </c>
      <c r="I2040" s="807">
        <v>0.5</v>
      </c>
      <c r="J2040" s="981">
        <f t="shared" si="63"/>
        <v>336.29740666869202</v>
      </c>
      <c r="K2040" s="980">
        <f t="shared" si="63"/>
        <v>34.430046666646</v>
      </c>
      <c r="L2040" s="815">
        <f t="shared" si="63"/>
        <v>292.2262482032553</v>
      </c>
      <c r="M2040" s="812">
        <f t="shared" si="63"/>
        <v>9.6411117987906945</v>
      </c>
      <c r="N2040" s="981">
        <f t="shared" si="63"/>
        <v>424.36967999999996</v>
      </c>
      <c r="O2040" s="981">
        <f t="shared" si="63"/>
        <v>-69.755031118848663</v>
      </c>
      <c r="P2040" s="807">
        <f t="shared" si="63"/>
        <v>0.5</v>
      </c>
      <c r="Q2040" s="23"/>
      <c r="W2040" s="4"/>
      <c r="X2040" s="4"/>
      <c r="Y2040" s="4"/>
      <c r="Z2040" s="4"/>
      <c r="AA2040" s="4"/>
      <c r="AB2040" s="4"/>
      <c r="AC2040" s="4"/>
      <c r="AD2040" s="4"/>
      <c r="AE2040" s="4"/>
    </row>
    <row r="2041" spans="2:31" hidden="1" outlineLevel="2" x14ac:dyDescent="0.15">
      <c r="B2041" s="1067" t="s">
        <v>1796</v>
      </c>
      <c r="C2041" s="981">
        <v>81.963999999999999</v>
      </c>
      <c r="D2041" s="980">
        <v>63.238600000000005</v>
      </c>
      <c r="E2041" s="815">
        <v>1.845018</v>
      </c>
      <c r="F2041" s="815">
        <v>16.91921</v>
      </c>
      <c r="G2041" s="812">
        <v>0</v>
      </c>
      <c r="H2041" s="981">
        <v>0.28321999999999997</v>
      </c>
      <c r="I2041" s="807">
        <v>0.5</v>
      </c>
      <c r="J2041" s="981">
        <f t="shared" si="63"/>
        <v>336.29740666869202</v>
      </c>
      <c r="K2041" s="980">
        <f t="shared" si="63"/>
        <v>34.430046666646</v>
      </c>
      <c r="L2041" s="815">
        <f t="shared" si="63"/>
        <v>292.2262482032553</v>
      </c>
      <c r="M2041" s="812">
        <f t="shared" si="63"/>
        <v>9.6411117987906945</v>
      </c>
      <c r="N2041" s="981">
        <f t="shared" si="63"/>
        <v>424.36967999999996</v>
      </c>
      <c r="O2041" s="981">
        <f t="shared" si="63"/>
        <v>-69.755031118848663</v>
      </c>
      <c r="P2041" s="807">
        <f t="shared" si="63"/>
        <v>0.5</v>
      </c>
      <c r="Q2041" s="23"/>
      <c r="W2041" s="4"/>
      <c r="X2041" s="4"/>
      <c r="Y2041" s="4"/>
      <c r="Z2041" s="4"/>
      <c r="AA2041" s="4"/>
      <c r="AB2041" s="4"/>
      <c r="AC2041" s="4"/>
      <c r="AD2041" s="4"/>
      <c r="AE2041" s="4"/>
    </row>
    <row r="2042" spans="2:31" hidden="1" outlineLevel="2" x14ac:dyDescent="0.15">
      <c r="B2042" s="1067" t="s">
        <v>1797</v>
      </c>
      <c r="C2042" s="981">
        <v>109.52000000000001</v>
      </c>
      <c r="D2042" s="980">
        <v>85.533000000000001</v>
      </c>
      <c r="E2042" s="815">
        <v>6.2046312000000006</v>
      </c>
      <c r="F2042" s="815">
        <v>17.828139999999994</v>
      </c>
      <c r="G2042" s="812">
        <v>0</v>
      </c>
      <c r="H2042" s="981">
        <v>7.2876799999999999</v>
      </c>
      <c r="I2042" s="807">
        <v>0.5</v>
      </c>
      <c r="J2042" s="981">
        <f t="shared" si="63"/>
        <v>336.29740666869202</v>
      </c>
      <c r="K2042" s="980">
        <f t="shared" si="63"/>
        <v>34.430046666646</v>
      </c>
      <c r="L2042" s="815">
        <f t="shared" si="63"/>
        <v>292.2262482032553</v>
      </c>
      <c r="M2042" s="812">
        <f t="shared" si="63"/>
        <v>9.6411117987906945</v>
      </c>
      <c r="N2042" s="981">
        <f t="shared" si="63"/>
        <v>424.36967999999996</v>
      </c>
      <c r="O2042" s="981">
        <f t="shared" si="63"/>
        <v>-69.755031118848663</v>
      </c>
      <c r="P2042" s="807">
        <f t="shared" si="63"/>
        <v>0.5</v>
      </c>
      <c r="Q2042" s="23"/>
      <c r="W2042" s="4"/>
      <c r="X2042" s="4"/>
      <c r="Y2042" s="4"/>
      <c r="Z2042" s="4"/>
      <c r="AA2042" s="4"/>
      <c r="AB2042" s="4"/>
      <c r="AC2042" s="4"/>
      <c r="AD2042" s="4"/>
      <c r="AE2042" s="4"/>
    </row>
    <row r="2043" spans="2:31" ht="13.5" hidden="1" customHeight="1" outlineLevel="2" x14ac:dyDescent="0.15">
      <c r="B2043" s="1067" t="s">
        <v>1798</v>
      </c>
      <c r="C2043" s="981">
        <v>67.50500000000001</v>
      </c>
      <c r="D2043" s="980">
        <v>49.961600000000004</v>
      </c>
      <c r="E2043" s="815">
        <v>5.7355856000000003</v>
      </c>
      <c r="F2043" s="815">
        <v>11.76538</v>
      </c>
      <c r="G2043" s="812">
        <v>0</v>
      </c>
      <c r="H2043" s="981">
        <v>7.55206</v>
      </c>
      <c r="I2043" s="807">
        <v>0.5</v>
      </c>
      <c r="J2043" s="981">
        <f t="shared" si="63"/>
        <v>336.29740666869202</v>
      </c>
      <c r="K2043" s="980">
        <f t="shared" si="63"/>
        <v>34.430046666646</v>
      </c>
      <c r="L2043" s="815">
        <f t="shared" si="63"/>
        <v>292.2262482032553</v>
      </c>
      <c r="M2043" s="812">
        <f t="shared" si="63"/>
        <v>9.6411117987906945</v>
      </c>
      <c r="N2043" s="981">
        <f t="shared" si="63"/>
        <v>424.36967999999996</v>
      </c>
      <c r="O2043" s="981">
        <f t="shared" si="63"/>
        <v>-69.755031118848663</v>
      </c>
      <c r="P2043" s="807">
        <f t="shared" si="63"/>
        <v>0.5</v>
      </c>
      <c r="Q2043" s="23"/>
      <c r="W2043" s="4"/>
      <c r="X2043" s="4"/>
      <c r="Y2043" s="4"/>
      <c r="Z2043" s="4"/>
      <c r="AA2043" s="4"/>
      <c r="AB2043" s="4"/>
      <c r="AC2043" s="4"/>
      <c r="AD2043" s="4"/>
      <c r="AE2043" s="4"/>
    </row>
    <row r="2044" spans="2:31" hidden="1" outlineLevel="2" x14ac:dyDescent="0.15">
      <c r="B2044" s="1067" t="s">
        <v>1799</v>
      </c>
      <c r="C2044" s="981">
        <v>68.090999999999994</v>
      </c>
      <c r="D2044" s="980">
        <v>50.465899999999991</v>
      </c>
      <c r="E2044" s="815">
        <v>5.7369955999999993</v>
      </c>
      <c r="F2044" s="815">
        <v>11.850529999999999</v>
      </c>
      <c r="G2044" s="812">
        <v>0</v>
      </c>
      <c r="H2044" s="981">
        <v>7.5471999999999992</v>
      </c>
      <c r="I2044" s="807">
        <v>0.5</v>
      </c>
      <c r="J2044" s="981">
        <f t="shared" si="63"/>
        <v>336.29740666869202</v>
      </c>
      <c r="K2044" s="980">
        <f t="shared" si="63"/>
        <v>34.430046666646</v>
      </c>
      <c r="L2044" s="815">
        <f t="shared" si="63"/>
        <v>292.2262482032553</v>
      </c>
      <c r="M2044" s="812">
        <f t="shared" si="63"/>
        <v>9.6411117987906945</v>
      </c>
      <c r="N2044" s="981">
        <f t="shared" si="63"/>
        <v>424.36967999999996</v>
      </c>
      <c r="O2044" s="981">
        <f t="shared" si="63"/>
        <v>-69.755031118848663</v>
      </c>
      <c r="P2044" s="807">
        <f t="shared" si="63"/>
        <v>0.5</v>
      </c>
      <c r="Q2044" s="23"/>
      <c r="W2044" s="4"/>
      <c r="X2044" s="4"/>
      <c r="Y2044" s="4"/>
      <c r="Z2044" s="4"/>
      <c r="AA2044" s="4"/>
      <c r="AB2044" s="4"/>
      <c r="AC2044" s="4"/>
      <c r="AD2044" s="4"/>
      <c r="AE2044" s="4"/>
    </row>
    <row r="2045" spans="2:31" hidden="1" outlineLevel="2" x14ac:dyDescent="0.15">
      <c r="B2045" s="1067" t="s">
        <v>1800</v>
      </c>
      <c r="C2045" s="981">
        <v>67.665999999999997</v>
      </c>
      <c r="D2045" s="980">
        <v>50.232300000000009</v>
      </c>
      <c r="E2045" s="815">
        <v>5.7152756</v>
      </c>
      <c r="F2045" s="815">
        <v>11.688800000000001</v>
      </c>
      <c r="G2045" s="812">
        <v>0</v>
      </c>
      <c r="H2045" s="981">
        <v>7.5119700000000016</v>
      </c>
      <c r="I2045" s="807">
        <v>0.5</v>
      </c>
      <c r="J2045" s="981">
        <f t="shared" si="63"/>
        <v>336.29740666869202</v>
      </c>
      <c r="K2045" s="980">
        <f t="shared" si="63"/>
        <v>34.430046666646</v>
      </c>
      <c r="L2045" s="815">
        <f t="shared" si="63"/>
        <v>292.2262482032553</v>
      </c>
      <c r="M2045" s="812">
        <f t="shared" si="63"/>
        <v>9.6411117987906945</v>
      </c>
      <c r="N2045" s="981">
        <f t="shared" si="63"/>
        <v>424.36967999999996</v>
      </c>
      <c r="O2045" s="981">
        <f t="shared" si="63"/>
        <v>-69.755031118848663</v>
      </c>
      <c r="P2045" s="807">
        <f t="shared" si="63"/>
        <v>0.5</v>
      </c>
      <c r="Q2045" s="23"/>
      <c r="W2045" s="4"/>
      <c r="X2045" s="4"/>
      <c r="Y2045" s="4"/>
      <c r="Z2045" s="4"/>
      <c r="AA2045" s="4"/>
      <c r="AB2045" s="4"/>
      <c r="AC2045" s="4"/>
      <c r="AD2045" s="4"/>
      <c r="AE2045" s="4"/>
    </row>
    <row r="2046" spans="2:31" hidden="1" outlineLevel="2" x14ac:dyDescent="0.15">
      <c r="B2046" s="1067" t="s">
        <v>1801</v>
      </c>
      <c r="C2046" s="981">
        <v>65.791999999999987</v>
      </c>
      <c r="D2046" s="980">
        <v>47.630700000000004</v>
      </c>
      <c r="E2046" s="815">
        <v>5.8334799999999998</v>
      </c>
      <c r="F2046" s="815">
        <v>12.382269999999998</v>
      </c>
      <c r="G2046" s="812">
        <v>0</v>
      </c>
      <c r="H2046" s="981">
        <v>7.8908999999999994</v>
      </c>
      <c r="I2046" s="807">
        <v>0.5</v>
      </c>
      <c r="J2046" s="981">
        <f t="shared" si="63"/>
        <v>336.29740666869202</v>
      </c>
      <c r="K2046" s="980">
        <f t="shared" si="63"/>
        <v>34.430046666646</v>
      </c>
      <c r="L2046" s="815">
        <f t="shared" si="63"/>
        <v>292.2262482032553</v>
      </c>
      <c r="M2046" s="812">
        <f t="shared" si="63"/>
        <v>9.6411117987906945</v>
      </c>
      <c r="N2046" s="981">
        <f t="shared" si="63"/>
        <v>424.36967999999996</v>
      </c>
      <c r="O2046" s="981">
        <f t="shared" si="63"/>
        <v>-69.755031118848663</v>
      </c>
      <c r="P2046" s="807">
        <f t="shared" si="63"/>
        <v>0.5</v>
      </c>
      <c r="Q2046" s="23"/>
      <c r="W2046" s="4"/>
      <c r="X2046" s="4"/>
      <c r="Y2046" s="4"/>
      <c r="Z2046" s="4"/>
      <c r="AA2046" s="4"/>
      <c r="AB2046" s="4"/>
      <c r="AC2046" s="4"/>
      <c r="AD2046" s="4"/>
      <c r="AE2046" s="4"/>
    </row>
    <row r="2047" spans="2:31" hidden="1" outlineLevel="2" x14ac:dyDescent="0.15">
      <c r="B2047" s="1067" t="s">
        <v>1802</v>
      </c>
      <c r="C2047" s="981">
        <v>267.2396</v>
      </c>
      <c r="D2047" s="980">
        <v>190.48989999999998</v>
      </c>
      <c r="E2047" s="815">
        <v>40.275533999999986</v>
      </c>
      <c r="F2047" s="815">
        <v>36.555980000000005</v>
      </c>
      <c r="G2047" s="812">
        <v>0</v>
      </c>
      <c r="H2047" s="981">
        <v>54.187039999999996</v>
      </c>
      <c r="I2047" s="807">
        <v>0.5</v>
      </c>
      <c r="J2047" s="981">
        <f t="shared" si="63"/>
        <v>336.29740666869202</v>
      </c>
      <c r="K2047" s="980">
        <f t="shared" si="63"/>
        <v>34.430046666646</v>
      </c>
      <c r="L2047" s="815">
        <f t="shared" si="63"/>
        <v>292.2262482032553</v>
      </c>
      <c r="M2047" s="812">
        <f t="shared" si="63"/>
        <v>9.6411117987906945</v>
      </c>
      <c r="N2047" s="981">
        <f t="shared" si="63"/>
        <v>424.36967999999996</v>
      </c>
      <c r="O2047" s="981">
        <f t="shared" si="63"/>
        <v>-69.755031118848663</v>
      </c>
      <c r="P2047" s="807">
        <f t="shared" si="63"/>
        <v>0.5</v>
      </c>
      <c r="Q2047" s="23"/>
      <c r="W2047" s="4"/>
      <c r="X2047" s="4"/>
      <c r="Y2047" s="4"/>
      <c r="Z2047" s="4"/>
      <c r="AA2047" s="4"/>
      <c r="AB2047" s="4"/>
      <c r="AC2047" s="4"/>
      <c r="AD2047" s="4"/>
      <c r="AE2047" s="4"/>
    </row>
    <row r="2048" spans="2:31" hidden="1" outlineLevel="2" x14ac:dyDescent="0.15">
      <c r="B2048" s="1067" t="s">
        <v>1803</v>
      </c>
      <c r="C2048" s="981">
        <v>552.00599999999997</v>
      </c>
      <c r="D2048" s="980">
        <v>499.53199999999998</v>
      </c>
      <c r="E2048" s="815">
        <v>29.294436999999995</v>
      </c>
      <c r="F2048" s="815">
        <v>23.477490000000003</v>
      </c>
      <c r="G2048" s="812">
        <v>0</v>
      </c>
      <c r="H2048" s="981">
        <v>3.5319000000000003</v>
      </c>
      <c r="I2048" s="807">
        <v>0.5</v>
      </c>
      <c r="J2048" s="981">
        <f t="shared" si="63"/>
        <v>336.29740666869202</v>
      </c>
      <c r="K2048" s="980">
        <f t="shared" si="63"/>
        <v>34.430046666646</v>
      </c>
      <c r="L2048" s="815">
        <f t="shared" si="63"/>
        <v>292.2262482032553</v>
      </c>
      <c r="M2048" s="812">
        <f t="shared" si="63"/>
        <v>9.6411117987906945</v>
      </c>
      <c r="N2048" s="981">
        <f t="shared" si="63"/>
        <v>424.36967999999996</v>
      </c>
      <c r="O2048" s="981">
        <f t="shared" si="63"/>
        <v>-69.755031118848663</v>
      </c>
      <c r="P2048" s="807">
        <f t="shared" si="63"/>
        <v>0.5</v>
      </c>
      <c r="Q2048" s="23"/>
      <c r="W2048" s="4"/>
      <c r="X2048" s="4"/>
      <c r="Y2048" s="4"/>
      <c r="Z2048" s="4"/>
      <c r="AA2048" s="4"/>
      <c r="AB2048" s="4"/>
      <c r="AC2048" s="4"/>
      <c r="AD2048" s="4"/>
      <c r="AE2048" s="4"/>
    </row>
    <row r="2049" spans="2:31" hidden="1" outlineLevel="2" x14ac:dyDescent="0.15">
      <c r="B2049" s="1067" t="s">
        <v>1805</v>
      </c>
      <c r="C2049" s="981">
        <v>293.35129999999998</v>
      </c>
      <c r="D2049" s="980">
        <v>206.48370000000003</v>
      </c>
      <c r="E2049" s="815">
        <v>38.705838</v>
      </c>
      <c r="F2049" s="815">
        <v>47.724310000000003</v>
      </c>
      <c r="G2049" s="812">
        <v>0</v>
      </c>
      <c r="H2049" s="981">
        <v>50.355919999999998</v>
      </c>
      <c r="I2049" s="807">
        <v>0.5</v>
      </c>
      <c r="J2049" s="981">
        <f t="shared" si="63"/>
        <v>336.29740666869202</v>
      </c>
      <c r="K2049" s="980">
        <f t="shared" si="63"/>
        <v>34.430046666646</v>
      </c>
      <c r="L2049" s="815">
        <f t="shared" si="63"/>
        <v>292.2262482032553</v>
      </c>
      <c r="M2049" s="812">
        <f t="shared" si="63"/>
        <v>9.6411117987906945</v>
      </c>
      <c r="N2049" s="981">
        <f t="shared" si="63"/>
        <v>424.36967999999996</v>
      </c>
      <c r="O2049" s="981">
        <f t="shared" si="63"/>
        <v>-69.755031118848663</v>
      </c>
      <c r="P2049" s="807">
        <f t="shared" si="63"/>
        <v>0.5</v>
      </c>
      <c r="Q2049" s="23"/>
      <c r="W2049" s="4"/>
      <c r="X2049" s="4"/>
      <c r="Y2049" s="4"/>
      <c r="Z2049" s="4"/>
      <c r="AA2049" s="4"/>
      <c r="AB2049" s="4"/>
      <c r="AC2049" s="4"/>
      <c r="AD2049" s="4"/>
      <c r="AE2049" s="4"/>
    </row>
    <row r="2050" spans="2:31" hidden="1" outlineLevel="2" x14ac:dyDescent="0.15">
      <c r="B2050" s="1067" t="s">
        <v>1804</v>
      </c>
      <c r="C2050" s="981">
        <v>497.74900000000002</v>
      </c>
      <c r="D2050" s="980">
        <v>447.101</v>
      </c>
      <c r="E2050" s="815">
        <v>28.236933000000001</v>
      </c>
      <c r="F2050" s="815">
        <v>21.78199</v>
      </c>
      <c r="G2050" s="812">
        <v>0</v>
      </c>
      <c r="H2050" s="981">
        <v>3.31202</v>
      </c>
      <c r="I2050" s="807">
        <v>0.5</v>
      </c>
      <c r="J2050" s="981">
        <f t="shared" si="63"/>
        <v>336.29740666869202</v>
      </c>
      <c r="K2050" s="980">
        <f t="shared" si="63"/>
        <v>34.430046666646</v>
      </c>
      <c r="L2050" s="815">
        <f t="shared" si="63"/>
        <v>292.2262482032553</v>
      </c>
      <c r="M2050" s="812">
        <f t="shared" si="63"/>
        <v>9.6411117987906945</v>
      </c>
      <c r="N2050" s="981">
        <f t="shared" si="63"/>
        <v>424.36967999999996</v>
      </c>
      <c r="O2050" s="981">
        <f t="shared" si="63"/>
        <v>-69.755031118848663</v>
      </c>
      <c r="P2050" s="807">
        <f t="shared" si="63"/>
        <v>0.5</v>
      </c>
      <c r="Q2050" s="23"/>
      <c r="W2050" s="4"/>
      <c r="X2050" s="4"/>
      <c r="Y2050" s="4"/>
      <c r="Z2050" s="4"/>
      <c r="AA2050" s="4"/>
      <c r="AB2050" s="4"/>
      <c r="AC2050" s="4"/>
      <c r="AD2050" s="4"/>
      <c r="AE2050" s="4"/>
    </row>
    <row r="2051" spans="2:31" hidden="1" outlineLevel="2" x14ac:dyDescent="0.15">
      <c r="B2051" s="1067" t="s">
        <v>1806</v>
      </c>
      <c r="C2051" s="981">
        <v>326</v>
      </c>
      <c r="D2051" s="980">
        <v>326</v>
      </c>
      <c r="E2051" s="815">
        <v>0</v>
      </c>
      <c r="F2051" s="815">
        <v>0</v>
      </c>
      <c r="G2051" s="812">
        <v>0</v>
      </c>
      <c r="H2051" s="981">
        <v>0</v>
      </c>
      <c r="I2051" s="807">
        <v>0.5</v>
      </c>
      <c r="J2051" s="981">
        <f t="shared" ref="J2051:P2052" si="64">J$1914</f>
        <v>336.29740666869202</v>
      </c>
      <c r="K2051" s="980">
        <f t="shared" si="64"/>
        <v>34.430046666646</v>
      </c>
      <c r="L2051" s="815">
        <f t="shared" si="64"/>
        <v>292.2262482032553</v>
      </c>
      <c r="M2051" s="812">
        <f t="shared" si="64"/>
        <v>9.6411117987906945</v>
      </c>
      <c r="N2051" s="981">
        <f t="shared" si="64"/>
        <v>424.36967999999996</v>
      </c>
      <c r="O2051" s="981">
        <f t="shared" si="64"/>
        <v>-69.755031118848663</v>
      </c>
      <c r="P2051" s="807">
        <f t="shared" si="64"/>
        <v>0.5</v>
      </c>
      <c r="Q2051" s="23"/>
      <c r="W2051" s="4"/>
      <c r="X2051" s="4"/>
      <c r="Y2051" s="4"/>
      <c r="Z2051" s="4"/>
      <c r="AA2051" s="4"/>
      <c r="AB2051" s="4"/>
      <c r="AC2051" s="4"/>
      <c r="AD2051" s="4"/>
      <c r="AE2051" s="4"/>
    </row>
    <row r="2052" spans="2:31" hidden="1" outlineLevel="2" x14ac:dyDescent="0.15">
      <c r="B2052" s="1067" t="s">
        <v>1807</v>
      </c>
      <c r="C2052" s="981">
        <v>11100</v>
      </c>
      <c r="D2052" s="980">
        <v>11100</v>
      </c>
      <c r="E2052" s="815">
        <v>0</v>
      </c>
      <c r="F2052" s="815">
        <v>0</v>
      </c>
      <c r="G2052" s="812">
        <v>0</v>
      </c>
      <c r="H2052" s="981">
        <v>0</v>
      </c>
      <c r="I2052" s="807">
        <v>0.5</v>
      </c>
      <c r="J2052" s="981">
        <f t="shared" si="64"/>
        <v>336.29740666869202</v>
      </c>
      <c r="K2052" s="980">
        <f t="shared" si="64"/>
        <v>34.430046666646</v>
      </c>
      <c r="L2052" s="815">
        <f t="shared" si="64"/>
        <v>292.2262482032553</v>
      </c>
      <c r="M2052" s="812">
        <f t="shared" si="64"/>
        <v>9.6411117987906945</v>
      </c>
      <c r="N2052" s="981">
        <f t="shared" si="64"/>
        <v>424.36967999999996</v>
      </c>
      <c r="O2052" s="981">
        <f t="shared" si="64"/>
        <v>-69.755031118848663</v>
      </c>
      <c r="P2052" s="807">
        <f t="shared" si="64"/>
        <v>0.5</v>
      </c>
      <c r="Q2052" s="23"/>
      <c r="W2052" s="4"/>
      <c r="X2052" s="4"/>
      <c r="Y2052" s="4"/>
      <c r="Z2052" s="4"/>
      <c r="AA2052" s="4"/>
      <c r="AB2052" s="4"/>
      <c r="AC2052" s="4"/>
      <c r="AD2052" s="4"/>
      <c r="AE2052" s="4"/>
    </row>
    <row r="2053" spans="2:31" hidden="1" outlineLevel="2" x14ac:dyDescent="0.15">
      <c r="B2053" s="1067" t="s">
        <v>1808</v>
      </c>
      <c r="C2053" s="981">
        <v>202.30439999999999</v>
      </c>
      <c r="D2053" s="980">
        <v>161.55530000000002</v>
      </c>
      <c r="E2053" s="815">
        <v>26.694580999999999</v>
      </c>
      <c r="F2053" s="815">
        <v>14.074430000000001</v>
      </c>
      <c r="G2053" s="812">
        <v>0</v>
      </c>
      <c r="H2053" s="981">
        <v>32.133419999999994</v>
      </c>
      <c r="I2053" s="807">
        <v>0.5</v>
      </c>
      <c r="J2053" s="981">
        <f t="shared" ref="J2053:P2056" si="65">J$1914</f>
        <v>336.29740666869202</v>
      </c>
      <c r="K2053" s="980">
        <f t="shared" si="65"/>
        <v>34.430046666646</v>
      </c>
      <c r="L2053" s="815">
        <f t="shared" si="65"/>
        <v>292.2262482032553</v>
      </c>
      <c r="M2053" s="812">
        <f t="shared" si="65"/>
        <v>9.6411117987906945</v>
      </c>
      <c r="N2053" s="981">
        <f t="shared" si="65"/>
        <v>424.36967999999996</v>
      </c>
      <c r="O2053" s="981">
        <f t="shared" si="65"/>
        <v>-69.755031118848663</v>
      </c>
      <c r="P2053" s="807">
        <f t="shared" si="65"/>
        <v>0.5</v>
      </c>
      <c r="Q2053" s="23"/>
      <c r="W2053" s="4"/>
      <c r="X2053" s="4"/>
      <c r="Y2053" s="4"/>
      <c r="Z2053" s="4"/>
      <c r="AA2053" s="4"/>
      <c r="AB2053" s="4"/>
      <c r="AC2053" s="4"/>
      <c r="AD2053" s="4"/>
      <c r="AE2053" s="4"/>
    </row>
    <row r="2054" spans="2:31" hidden="1" outlineLevel="2" x14ac:dyDescent="0.15">
      <c r="B2054" s="1067" t="s">
        <v>1809</v>
      </c>
      <c r="C2054" s="981">
        <v>168.35909999999998</v>
      </c>
      <c r="D2054" s="980">
        <v>136.6609</v>
      </c>
      <c r="E2054" s="815">
        <v>11.980008</v>
      </c>
      <c r="F2054" s="815">
        <v>19.724319999999995</v>
      </c>
      <c r="G2054" s="812">
        <v>0</v>
      </c>
      <c r="H2054" s="981">
        <v>6.5328200000000001</v>
      </c>
      <c r="I2054" s="807">
        <v>0.5</v>
      </c>
      <c r="J2054" s="981">
        <f t="shared" si="65"/>
        <v>336.29740666869202</v>
      </c>
      <c r="K2054" s="980">
        <f t="shared" si="65"/>
        <v>34.430046666646</v>
      </c>
      <c r="L2054" s="815">
        <f t="shared" si="65"/>
        <v>292.2262482032553</v>
      </c>
      <c r="M2054" s="812">
        <f t="shared" si="65"/>
        <v>9.6411117987906945</v>
      </c>
      <c r="N2054" s="981">
        <f t="shared" si="65"/>
        <v>424.36967999999996</v>
      </c>
      <c r="O2054" s="981">
        <f t="shared" si="65"/>
        <v>-69.755031118848663</v>
      </c>
      <c r="P2054" s="807">
        <f t="shared" si="65"/>
        <v>0.5</v>
      </c>
      <c r="Q2054" s="23"/>
      <c r="W2054" s="4"/>
      <c r="X2054" s="4"/>
      <c r="Y2054" s="4"/>
      <c r="Z2054" s="4"/>
      <c r="AA2054" s="4"/>
      <c r="AB2054" s="4"/>
      <c r="AC2054" s="4"/>
      <c r="AD2054" s="4"/>
      <c r="AE2054" s="4"/>
    </row>
    <row r="2055" spans="2:31" hidden="1" outlineLevel="2" x14ac:dyDescent="0.15">
      <c r="B2055" s="1067" t="s">
        <v>1810</v>
      </c>
      <c r="C2055" s="981">
        <v>2084.0449999999996</v>
      </c>
      <c r="D2055" s="980">
        <v>1898.0652399999999</v>
      </c>
      <c r="E2055" s="815">
        <v>135.27656499999995</v>
      </c>
      <c r="F2055" s="815">
        <v>51.062870000000004</v>
      </c>
      <c r="G2055" s="812">
        <v>0</v>
      </c>
      <c r="H2055" s="981">
        <v>13.935003000000002</v>
      </c>
      <c r="I2055" s="807">
        <v>0.5</v>
      </c>
      <c r="J2055" s="981">
        <f t="shared" si="65"/>
        <v>336.29740666869202</v>
      </c>
      <c r="K2055" s="980">
        <f t="shared" si="65"/>
        <v>34.430046666646</v>
      </c>
      <c r="L2055" s="815">
        <f t="shared" si="65"/>
        <v>292.2262482032553</v>
      </c>
      <c r="M2055" s="812">
        <f t="shared" si="65"/>
        <v>9.6411117987906945</v>
      </c>
      <c r="N2055" s="981">
        <f t="shared" si="65"/>
        <v>424.36967999999996</v>
      </c>
      <c r="O2055" s="981">
        <f t="shared" si="65"/>
        <v>-69.755031118848663</v>
      </c>
      <c r="P2055" s="807">
        <f t="shared" si="65"/>
        <v>0.5</v>
      </c>
      <c r="Q2055" s="23"/>
      <c r="W2055" s="4"/>
      <c r="X2055" s="4"/>
      <c r="Y2055" s="4"/>
      <c r="Z2055" s="4"/>
      <c r="AA2055" s="4"/>
      <c r="AB2055" s="4"/>
      <c r="AC2055" s="4"/>
      <c r="AD2055" s="4"/>
      <c r="AE2055" s="4"/>
    </row>
    <row r="2056" spans="2:31" hidden="1" outlineLevel="2" x14ac:dyDescent="0.15">
      <c r="B2056" s="1067" t="s">
        <v>1810</v>
      </c>
      <c r="C2056" s="981">
        <v>2063.0122499999998</v>
      </c>
      <c r="D2056" s="980">
        <v>1877.4384199999997</v>
      </c>
      <c r="E2056" s="815">
        <v>133.44421900000003</v>
      </c>
      <c r="F2056" s="815">
        <v>50.519720000000007</v>
      </c>
      <c r="G2056" s="812">
        <v>0</v>
      </c>
      <c r="H2056" s="981">
        <v>14.218521000000001</v>
      </c>
      <c r="I2056" s="807">
        <v>0.5</v>
      </c>
      <c r="J2056" s="981">
        <f t="shared" si="65"/>
        <v>336.29740666869202</v>
      </c>
      <c r="K2056" s="980">
        <f t="shared" si="65"/>
        <v>34.430046666646</v>
      </c>
      <c r="L2056" s="815">
        <f t="shared" si="65"/>
        <v>292.2262482032553</v>
      </c>
      <c r="M2056" s="812">
        <f t="shared" si="65"/>
        <v>9.6411117987906945</v>
      </c>
      <c r="N2056" s="981">
        <f t="shared" si="65"/>
        <v>424.36967999999996</v>
      </c>
      <c r="O2056" s="981">
        <f t="shared" si="65"/>
        <v>-69.755031118848663</v>
      </c>
      <c r="P2056" s="807">
        <f t="shared" si="65"/>
        <v>0.5</v>
      </c>
      <c r="Q2056" s="23"/>
      <c r="W2056" s="4"/>
      <c r="X2056" s="4"/>
      <c r="Y2056" s="4"/>
      <c r="Z2056" s="4"/>
      <c r="AA2056" s="4"/>
      <c r="AB2056" s="4"/>
      <c r="AC2056" s="4"/>
      <c r="AD2056" s="4"/>
      <c r="AE2056" s="4"/>
    </row>
    <row r="2057" spans="2:31" hidden="1" outlineLevel="2" x14ac:dyDescent="0.15">
      <c r="B2057" s="1067"/>
      <c r="C2057" s="981"/>
      <c r="D2057" s="980"/>
      <c r="E2057" s="815"/>
      <c r="F2057" s="815"/>
      <c r="G2057" s="812"/>
      <c r="H2057" s="981"/>
      <c r="I2057" s="807"/>
      <c r="J2057" s="981"/>
      <c r="K2057" s="980"/>
      <c r="L2057" s="815"/>
      <c r="M2057" s="812"/>
      <c r="N2057" s="981"/>
      <c r="O2057" s="981"/>
      <c r="P2057" s="807"/>
      <c r="Q2057" s="23"/>
      <c r="W2057" s="4"/>
      <c r="X2057" s="4"/>
      <c r="Y2057" s="4"/>
      <c r="Z2057" s="4"/>
      <c r="AA2057" s="4"/>
      <c r="AB2057" s="4"/>
      <c r="AC2057" s="4"/>
      <c r="AD2057" s="4"/>
      <c r="AE2057" s="4"/>
    </row>
    <row r="2058" spans="2:31" hidden="1" outlineLevel="2" x14ac:dyDescent="0.15">
      <c r="B2058" s="1067" t="s">
        <v>1779</v>
      </c>
      <c r="C2058" s="981">
        <v>638.89800000000002</v>
      </c>
      <c r="D2058" s="980">
        <v>208.565</v>
      </c>
      <c r="E2058" s="815">
        <v>9.9750599999999991</v>
      </c>
      <c r="F2058" s="815">
        <v>420.27781999999996</v>
      </c>
      <c r="G2058" s="812">
        <v>0</v>
      </c>
      <c r="H2058" s="981">
        <v>1.9708999999999999</v>
      </c>
      <c r="I2058" s="807">
        <v>0.5</v>
      </c>
      <c r="J2058" s="981">
        <f t="shared" ref="J2058:P2066" si="66">J$1914</f>
        <v>336.29740666869202</v>
      </c>
      <c r="K2058" s="980">
        <f t="shared" si="66"/>
        <v>34.430046666646</v>
      </c>
      <c r="L2058" s="815">
        <f t="shared" si="66"/>
        <v>292.2262482032553</v>
      </c>
      <c r="M2058" s="812">
        <f t="shared" si="66"/>
        <v>9.6411117987906945</v>
      </c>
      <c r="N2058" s="981">
        <f t="shared" si="66"/>
        <v>424.36967999999996</v>
      </c>
      <c r="O2058" s="981">
        <f t="shared" si="66"/>
        <v>-69.755031118848663</v>
      </c>
      <c r="P2058" s="807">
        <f t="shared" si="66"/>
        <v>0.5</v>
      </c>
      <c r="Q2058" s="23"/>
      <c r="W2058" s="4"/>
      <c r="X2058" s="4"/>
      <c r="Y2058" s="4"/>
      <c r="Z2058" s="4"/>
      <c r="AA2058" s="4"/>
      <c r="AB2058" s="4"/>
      <c r="AC2058" s="4"/>
      <c r="AD2058" s="4"/>
      <c r="AE2058" s="4"/>
    </row>
    <row r="2059" spans="2:31" hidden="1" outlineLevel="2" x14ac:dyDescent="0.15">
      <c r="B2059" s="1067" t="s">
        <v>1781</v>
      </c>
      <c r="C2059" s="981">
        <v>334.45</v>
      </c>
      <c r="D2059" s="980">
        <v>161.78700000000001</v>
      </c>
      <c r="E2059" s="815">
        <v>5.1911544000000003</v>
      </c>
      <c r="F2059" s="815">
        <v>167.06054999999998</v>
      </c>
      <c r="G2059" s="812">
        <v>0</v>
      </c>
      <c r="H2059" s="981">
        <v>0.79191999999999996</v>
      </c>
      <c r="I2059" s="807">
        <v>0.5</v>
      </c>
      <c r="J2059" s="981">
        <f t="shared" si="66"/>
        <v>336.29740666869202</v>
      </c>
      <c r="K2059" s="980">
        <f t="shared" si="66"/>
        <v>34.430046666646</v>
      </c>
      <c r="L2059" s="815">
        <f t="shared" si="66"/>
        <v>292.2262482032553</v>
      </c>
      <c r="M2059" s="812">
        <f t="shared" si="66"/>
        <v>9.6411117987906945</v>
      </c>
      <c r="N2059" s="981">
        <f t="shared" si="66"/>
        <v>424.36967999999996</v>
      </c>
      <c r="O2059" s="981">
        <f t="shared" si="66"/>
        <v>-69.755031118848663</v>
      </c>
      <c r="P2059" s="807">
        <f t="shared" si="66"/>
        <v>0.5</v>
      </c>
      <c r="Q2059" s="23"/>
      <c r="W2059" s="4"/>
      <c r="X2059" s="4"/>
      <c r="Y2059" s="4"/>
      <c r="Z2059" s="4"/>
      <c r="AA2059" s="4"/>
      <c r="AB2059" s="4"/>
      <c r="AC2059" s="4"/>
      <c r="AD2059" s="4"/>
      <c r="AE2059" s="4"/>
    </row>
    <row r="2060" spans="2:31" hidden="1" outlineLevel="2" x14ac:dyDescent="0.15">
      <c r="B2060" s="1067" t="s">
        <v>1782</v>
      </c>
      <c r="C2060" s="981">
        <v>157.40500000000003</v>
      </c>
      <c r="D2060" s="980">
        <v>73.803899999999999</v>
      </c>
      <c r="E2060" s="815">
        <v>1.6274608000000002</v>
      </c>
      <c r="F2060" s="815">
        <v>81.966318000000001</v>
      </c>
      <c r="G2060" s="812">
        <v>0</v>
      </c>
      <c r="H2060" s="981">
        <v>0.24814999999999998</v>
      </c>
      <c r="I2060" s="807">
        <v>0.5</v>
      </c>
      <c r="J2060" s="981">
        <f t="shared" si="66"/>
        <v>336.29740666869202</v>
      </c>
      <c r="K2060" s="980">
        <f t="shared" si="66"/>
        <v>34.430046666646</v>
      </c>
      <c r="L2060" s="815">
        <f t="shared" si="66"/>
        <v>292.2262482032553</v>
      </c>
      <c r="M2060" s="812">
        <f t="shared" si="66"/>
        <v>9.6411117987906945</v>
      </c>
      <c r="N2060" s="981">
        <f t="shared" si="66"/>
        <v>424.36967999999996</v>
      </c>
      <c r="O2060" s="981">
        <f t="shared" si="66"/>
        <v>-69.755031118848663</v>
      </c>
      <c r="P2060" s="807">
        <f t="shared" si="66"/>
        <v>0.5</v>
      </c>
      <c r="Q2060" s="23"/>
      <c r="W2060" s="4"/>
      <c r="X2060" s="4"/>
      <c r="Y2060" s="4"/>
      <c r="Z2060" s="4"/>
      <c r="AA2060" s="4"/>
      <c r="AB2060" s="4"/>
      <c r="AC2060" s="4"/>
      <c r="AD2060" s="4"/>
      <c r="AE2060" s="4"/>
    </row>
    <row r="2061" spans="2:31" hidden="1" outlineLevel="2" x14ac:dyDescent="0.15">
      <c r="B2061" s="1067" t="s">
        <v>1778</v>
      </c>
      <c r="C2061" s="981">
        <v>389.43099999999998</v>
      </c>
      <c r="D2061" s="980">
        <v>136.637</v>
      </c>
      <c r="E2061" s="815">
        <v>6.442228000000001</v>
      </c>
      <c r="F2061" s="815">
        <v>245.87611000000004</v>
      </c>
      <c r="G2061" s="812">
        <v>0</v>
      </c>
      <c r="H2061" s="981">
        <v>1.1076999999999999</v>
      </c>
      <c r="I2061" s="807">
        <v>0.5</v>
      </c>
      <c r="J2061" s="981">
        <f t="shared" si="66"/>
        <v>336.29740666869202</v>
      </c>
      <c r="K2061" s="980">
        <f t="shared" si="66"/>
        <v>34.430046666646</v>
      </c>
      <c r="L2061" s="815">
        <f t="shared" si="66"/>
        <v>292.2262482032553</v>
      </c>
      <c r="M2061" s="812">
        <f t="shared" si="66"/>
        <v>9.6411117987906945</v>
      </c>
      <c r="N2061" s="981">
        <f t="shared" si="66"/>
        <v>424.36967999999996</v>
      </c>
      <c r="O2061" s="981">
        <f t="shared" si="66"/>
        <v>-69.755031118848663</v>
      </c>
      <c r="P2061" s="807">
        <f t="shared" si="66"/>
        <v>0.5</v>
      </c>
      <c r="Q2061" s="23"/>
      <c r="W2061" s="4"/>
      <c r="X2061" s="4"/>
      <c r="Y2061" s="4"/>
      <c r="Z2061" s="4"/>
      <c r="AA2061" s="4"/>
      <c r="AB2061" s="4"/>
      <c r="AC2061" s="4"/>
      <c r="AD2061" s="4"/>
      <c r="AE2061" s="4"/>
    </row>
    <row r="2062" spans="2:31" hidden="1" outlineLevel="2" x14ac:dyDescent="0.15">
      <c r="B2062" s="1067" t="s">
        <v>1783</v>
      </c>
      <c r="C2062" s="981">
        <v>583.54399999999998</v>
      </c>
      <c r="D2062" s="980">
        <v>186.68500000000006</v>
      </c>
      <c r="E2062" s="815">
        <v>9.183503</v>
      </c>
      <c r="F2062" s="815">
        <v>387.68341000000004</v>
      </c>
      <c r="G2062" s="812">
        <v>0</v>
      </c>
      <c r="H2062" s="981">
        <v>1.7583</v>
      </c>
      <c r="I2062" s="807">
        <v>0.5</v>
      </c>
      <c r="J2062" s="981">
        <f t="shared" si="66"/>
        <v>336.29740666869202</v>
      </c>
      <c r="K2062" s="980">
        <f t="shared" si="66"/>
        <v>34.430046666646</v>
      </c>
      <c r="L2062" s="815">
        <f t="shared" si="66"/>
        <v>292.2262482032553</v>
      </c>
      <c r="M2062" s="812">
        <f t="shared" si="66"/>
        <v>9.6411117987906945</v>
      </c>
      <c r="N2062" s="981">
        <f t="shared" si="66"/>
        <v>424.36967999999996</v>
      </c>
      <c r="O2062" s="981">
        <f t="shared" si="66"/>
        <v>-69.755031118848663</v>
      </c>
      <c r="P2062" s="807">
        <f t="shared" si="66"/>
        <v>0.5</v>
      </c>
      <c r="Q2062" s="23"/>
      <c r="W2062" s="4"/>
      <c r="X2062" s="4"/>
      <c r="Y2062" s="4"/>
      <c r="Z2062" s="4"/>
      <c r="AA2062" s="4"/>
      <c r="AB2062" s="4"/>
      <c r="AC2062" s="4"/>
      <c r="AD2062" s="4"/>
      <c r="AE2062" s="4"/>
    </row>
    <row r="2063" spans="2:31" hidden="1" outlineLevel="2" x14ac:dyDescent="0.15">
      <c r="B2063" s="1067" t="s">
        <v>1784</v>
      </c>
      <c r="C2063" s="981">
        <v>389.8309999999999</v>
      </c>
      <c r="D2063" s="980">
        <v>136.76699999999997</v>
      </c>
      <c r="E2063" s="815">
        <v>6.4483060000000014</v>
      </c>
      <c r="F2063" s="815">
        <v>246.06611000000007</v>
      </c>
      <c r="G2063" s="812">
        <v>0</v>
      </c>
      <c r="H2063" s="981">
        <v>1.1087</v>
      </c>
      <c r="I2063" s="807">
        <v>0.5</v>
      </c>
      <c r="J2063" s="981">
        <f t="shared" si="66"/>
        <v>336.29740666869202</v>
      </c>
      <c r="K2063" s="980">
        <f t="shared" si="66"/>
        <v>34.430046666646</v>
      </c>
      <c r="L2063" s="815">
        <f t="shared" si="66"/>
        <v>292.2262482032553</v>
      </c>
      <c r="M2063" s="812">
        <f t="shared" si="66"/>
        <v>9.6411117987906945</v>
      </c>
      <c r="N2063" s="981">
        <f t="shared" si="66"/>
        <v>424.36967999999996</v>
      </c>
      <c r="O2063" s="981">
        <f t="shared" si="66"/>
        <v>-69.755031118848663</v>
      </c>
      <c r="P2063" s="807">
        <f t="shared" si="66"/>
        <v>0.5</v>
      </c>
      <c r="Q2063" s="23"/>
      <c r="W2063" s="4"/>
      <c r="X2063" s="4"/>
      <c r="Y2063" s="4"/>
      <c r="Z2063" s="4"/>
      <c r="AA2063" s="4"/>
      <c r="AB2063" s="4"/>
      <c r="AC2063" s="4"/>
      <c r="AD2063" s="4"/>
      <c r="AE2063" s="4"/>
    </row>
    <row r="2064" spans="2:31" hidden="1" outlineLevel="2" x14ac:dyDescent="0.15">
      <c r="B2064" s="1067" t="s">
        <v>1785</v>
      </c>
      <c r="C2064" s="981">
        <v>278.62220000000002</v>
      </c>
      <c r="D2064" s="980">
        <v>170.32150000000001</v>
      </c>
      <c r="E2064" s="815">
        <v>3.7681778000000001</v>
      </c>
      <c r="F2064" s="815">
        <v>104.370186</v>
      </c>
      <c r="G2064" s="812">
        <v>0</v>
      </c>
      <c r="H2064" s="981">
        <v>0.62019500000000005</v>
      </c>
      <c r="I2064" s="807">
        <v>0.5</v>
      </c>
      <c r="J2064" s="981">
        <f t="shared" si="66"/>
        <v>336.29740666869202</v>
      </c>
      <c r="K2064" s="980">
        <f t="shared" si="66"/>
        <v>34.430046666646</v>
      </c>
      <c r="L2064" s="815">
        <f t="shared" si="66"/>
        <v>292.2262482032553</v>
      </c>
      <c r="M2064" s="812">
        <f t="shared" si="66"/>
        <v>9.6411117987906945</v>
      </c>
      <c r="N2064" s="981">
        <f t="shared" si="66"/>
        <v>424.36967999999996</v>
      </c>
      <c r="O2064" s="981">
        <f t="shared" si="66"/>
        <v>-69.755031118848663</v>
      </c>
      <c r="P2064" s="807">
        <f t="shared" si="66"/>
        <v>0.5</v>
      </c>
      <c r="Q2064" s="23"/>
      <c r="W2064" s="4"/>
      <c r="X2064" s="4"/>
      <c r="Y2064" s="4"/>
      <c r="Z2064" s="4"/>
      <c r="AA2064" s="4"/>
      <c r="AB2064" s="4"/>
      <c r="AC2064" s="4"/>
      <c r="AD2064" s="4"/>
      <c r="AE2064" s="4"/>
    </row>
    <row r="2065" spans="2:31" hidden="1" outlineLevel="2" x14ac:dyDescent="0.15">
      <c r="B2065" s="1067" t="s">
        <v>1780</v>
      </c>
      <c r="C2065" s="981">
        <v>165.34900000000002</v>
      </c>
      <c r="D2065" s="980">
        <v>86.888999999999996</v>
      </c>
      <c r="E2065" s="815">
        <v>2.7506751999999999</v>
      </c>
      <c r="F2065" s="815">
        <v>75.733550000000008</v>
      </c>
      <c r="G2065" s="812">
        <v>0</v>
      </c>
      <c r="H2065" s="981">
        <v>0.57985999999999993</v>
      </c>
      <c r="I2065" s="807">
        <v>0.5</v>
      </c>
      <c r="J2065" s="981">
        <f t="shared" si="66"/>
        <v>336.29740666869202</v>
      </c>
      <c r="K2065" s="980">
        <f t="shared" si="66"/>
        <v>34.430046666646</v>
      </c>
      <c r="L2065" s="815">
        <f t="shared" si="66"/>
        <v>292.2262482032553</v>
      </c>
      <c r="M2065" s="812">
        <f t="shared" si="66"/>
        <v>9.6411117987906945</v>
      </c>
      <c r="N2065" s="981">
        <f t="shared" si="66"/>
        <v>424.36967999999996</v>
      </c>
      <c r="O2065" s="981">
        <f t="shared" si="66"/>
        <v>-69.755031118848663</v>
      </c>
      <c r="P2065" s="807">
        <f t="shared" si="66"/>
        <v>0.5</v>
      </c>
      <c r="Q2065" s="23"/>
      <c r="W2065" s="4"/>
      <c r="X2065" s="4"/>
      <c r="Y2065" s="4"/>
      <c r="Z2065" s="4"/>
      <c r="AA2065" s="4"/>
      <c r="AB2065" s="4"/>
      <c r="AC2065" s="4"/>
      <c r="AD2065" s="4"/>
      <c r="AE2065" s="4"/>
    </row>
    <row r="2066" spans="2:31" hidden="1" outlineLevel="2" x14ac:dyDescent="0.15">
      <c r="B2066" s="1067" t="s">
        <v>1786</v>
      </c>
      <c r="C2066" s="981">
        <v>162.49700000000001</v>
      </c>
      <c r="D2066" s="980">
        <v>84.197999999999993</v>
      </c>
      <c r="E2066" s="815">
        <v>2.6658351999999996</v>
      </c>
      <c r="F2066" s="815">
        <v>75.685550000000006</v>
      </c>
      <c r="G2066" s="812">
        <v>0</v>
      </c>
      <c r="H2066" s="981">
        <v>0.56790999999999991</v>
      </c>
      <c r="I2066" s="807">
        <v>0.5</v>
      </c>
      <c r="J2066" s="981">
        <f t="shared" si="66"/>
        <v>336.29740666869202</v>
      </c>
      <c r="K2066" s="980">
        <f t="shared" si="66"/>
        <v>34.430046666646</v>
      </c>
      <c r="L2066" s="815">
        <f t="shared" si="66"/>
        <v>292.2262482032553</v>
      </c>
      <c r="M2066" s="812">
        <f t="shared" si="66"/>
        <v>9.6411117987906945</v>
      </c>
      <c r="N2066" s="981">
        <f t="shared" si="66"/>
        <v>424.36967999999996</v>
      </c>
      <c r="O2066" s="981">
        <f t="shared" si="66"/>
        <v>-69.755031118848663</v>
      </c>
      <c r="P2066" s="807">
        <f t="shared" si="66"/>
        <v>0.5</v>
      </c>
      <c r="Q2066" s="23"/>
      <c r="W2066" s="4"/>
      <c r="X2066" s="4"/>
      <c r="Y2066" s="4"/>
      <c r="Z2066" s="4"/>
      <c r="AA2066" s="4"/>
      <c r="AB2066" s="4"/>
      <c r="AC2066" s="4"/>
      <c r="AD2066" s="4"/>
      <c r="AE2066" s="4"/>
    </row>
    <row r="2067" spans="2:31" hidden="1" outlineLevel="2" x14ac:dyDescent="0.15">
      <c r="B2067" s="1067" t="s">
        <v>1811</v>
      </c>
      <c r="C2067" s="981">
        <v>154</v>
      </c>
      <c r="D2067" s="980"/>
      <c r="E2067" s="815"/>
      <c r="F2067" s="815"/>
      <c r="G2067" s="812"/>
      <c r="H2067" s="981"/>
      <c r="I2067" s="807">
        <v>0.5</v>
      </c>
      <c r="J2067" s="981">
        <f t="shared" ref="J2067:P2070" si="67">J$1914</f>
        <v>336.29740666869202</v>
      </c>
      <c r="K2067" s="980">
        <f t="shared" si="67"/>
        <v>34.430046666646</v>
      </c>
      <c r="L2067" s="815">
        <f t="shared" si="67"/>
        <v>292.2262482032553</v>
      </c>
      <c r="M2067" s="812">
        <f t="shared" si="67"/>
        <v>9.6411117987906945</v>
      </c>
      <c r="N2067" s="981">
        <f t="shared" si="67"/>
        <v>424.36967999999996</v>
      </c>
      <c r="O2067" s="981">
        <f t="shared" si="67"/>
        <v>-69.755031118848663</v>
      </c>
      <c r="P2067" s="807">
        <f t="shared" si="67"/>
        <v>0.5</v>
      </c>
      <c r="Q2067" s="23"/>
      <c r="W2067" s="4"/>
      <c r="X2067" s="4"/>
      <c r="Y2067" s="4"/>
      <c r="Z2067" s="4"/>
      <c r="AA2067" s="4"/>
      <c r="AB2067" s="4"/>
      <c r="AC2067" s="4"/>
      <c r="AD2067" s="4"/>
      <c r="AE2067" s="4"/>
    </row>
    <row r="2068" spans="2:31" hidden="1" outlineLevel="2" x14ac:dyDescent="0.15">
      <c r="B2068" s="1067" t="s">
        <v>1812</v>
      </c>
      <c r="C2068" s="981">
        <v>180.86500000000001</v>
      </c>
      <c r="D2068" s="980">
        <v>79.929000000000002</v>
      </c>
      <c r="E2068" s="815">
        <v>3.5724260000000001</v>
      </c>
      <c r="F2068" s="815">
        <v>97.316360000000003</v>
      </c>
      <c r="G2068" s="812">
        <v>0</v>
      </c>
      <c r="H2068" s="981">
        <v>0.44070000000000004</v>
      </c>
      <c r="I2068" s="807">
        <v>0.5</v>
      </c>
      <c r="J2068" s="981">
        <f t="shared" si="67"/>
        <v>336.29740666869202</v>
      </c>
      <c r="K2068" s="980">
        <f t="shared" si="67"/>
        <v>34.430046666646</v>
      </c>
      <c r="L2068" s="815">
        <f t="shared" si="67"/>
        <v>292.2262482032553</v>
      </c>
      <c r="M2068" s="812">
        <f t="shared" si="67"/>
        <v>9.6411117987906945</v>
      </c>
      <c r="N2068" s="981">
        <f t="shared" si="67"/>
        <v>424.36967999999996</v>
      </c>
      <c r="O2068" s="981">
        <f t="shared" si="67"/>
        <v>-69.755031118848663</v>
      </c>
      <c r="P2068" s="807">
        <f t="shared" si="67"/>
        <v>0.5</v>
      </c>
      <c r="Q2068" s="23"/>
      <c r="W2068" s="4"/>
      <c r="X2068" s="4"/>
      <c r="Y2068" s="4"/>
      <c r="Z2068" s="4"/>
      <c r="AA2068" s="4"/>
      <c r="AB2068" s="4"/>
      <c r="AC2068" s="4"/>
      <c r="AD2068" s="4"/>
      <c r="AE2068" s="4"/>
    </row>
    <row r="2069" spans="2:31" hidden="1" outlineLevel="2" x14ac:dyDescent="0.15">
      <c r="B2069" s="1067" t="s">
        <v>1813</v>
      </c>
      <c r="C2069" s="981">
        <v>198.161</v>
      </c>
      <c r="D2069" s="980">
        <v>92.206000000000003</v>
      </c>
      <c r="E2069" s="815">
        <v>4.3858170000000003</v>
      </c>
      <c r="F2069" s="815">
        <v>101.58472</v>
      </c>
      <c r="G2069" s="812">
        <v>0</v>
      </c>
      <c r="H2069" s="981">
        <v>0.48170000000000002</v>
      </c>
      <c r="I2069" s="807">
        <v>0.5</v>
      </c>
      <c r="J2069" s="981">
        <f t="shared" si="67"/>
        <v>336.29740666869202</v>
      </c>
      <c r="K2069" s="980">
        <f t="shared" si="67"/>
        <v>34.430046666646</v>
      </c>
      <c r="L2069" s="815">
        <f t="shared" si="67"/>
        <v>292.2262482032553</v>
      </c>
      <c r="M2069" s="812">
        <f t="shared" si="67"/>
        <v>9.6411117987906945</v>
      </c>
      <c r="N2069" s="981">
        <f t="shared" si="67"/>
        <v>424.36967999999996</v>
      </c>
      <c r="O2069" s="981">
        <f t="shared" si="67"/>
        <v>-69.755031118848663</v>
      </c>
      <c r="P2069" s="807">
        <f t="shared" si="67"/>
        <v>0.5</v>
      </c>
      <c r="Q2069" s="23"/>
      <c r="W2069" s="4"/>
      <c r="X2069" s="4"/>
      <c r="Y2069" s="4"/>
      <c r="Z2069" s="4"/>
      <c r="AA2069" s="4"/>
      <c r="AB2069" s="4"/>
      <c r="AC2069" s="4"/>
      <c r="AD2069" s="4"/>
      <c r="AE2069" s="4"/>
    </row>
    <row r="2070" spans="2:31" hidden="1" outlineLevel="2" x14ac:dyDescent="0.15">
      <c r="B2070" s="1067" t="s">
        <v>1814</v>
      </c>
      <c r="C2070" s="981">
        <v>140.14500000000001</v>
      </c>
      <c r="D2070" s="980">
        <v>51.181000000000004</v>
      </c>
      <c r="E2070" s="815">
        <v>1.6657419999999998</v>
      </c>
      <c r="F2070" s="815">
        <v>87.229220000000026</v>
      </c>
      <c r="G2070" s="812">
        <v>0</v>
      </c>
      <c r="H2070" s="981">
        <v>0.3425999999999999</v>
      </c>
      <c r="I2070" s="807">
        <v>0.5</v>
      </c>
      <c r="J2070" s="981">
        <f t="shared" si="67"/>
        <v>336.29740666869202</v>
      </c>
      <c r="K2070" s="980">
        <f t="shared" si="67"/>
        <v>34.430046666646</v>
      </c>
      <c r="L2070" s="815">
        <f t="shared" si="67"/>
        <v>292.2262482032553</v>
      </c>
      <c r="M2070" s="812">
        <f t="shared" si="67"/>
        <v>9.6411117987906945</v>
      </c>
      <c r="N2070" s="981">
        <f t="shared" si="67"/>
        <v>424.36967999999996</v>
      </c>
      <c r="O2070" s="981">
        <f t="shared" si="67"/>
        <v>-69.755031118848663</v>
      </c>
      <c r="P2070" s="807">
        <f t="shared" si="67"/>
        <v>0.5</v>
      </c>
      <c r="Q2070" s="23"/>
      <c r="W2070" s="4"/>
      <c r="X2070" s="4"/>
      <c r="Y2070" s="4"/>
      <c r="Z2070" s="4"/>
      <c r="AA2070" s="4"/>
      <c r="AB2070" s="4"/>
      <c r="AC2070" s="4"/>
      <c r="AD2070" s="4"/>
      <c r="AE2070" s="4"/>
    </row>
    <row r="2071" spans="2:31" hidden="1" outlineLevel="2" x14ac:dyDescent="0.15">
      <c r="B2071" s="1067" t="s">
        <v>1815</v>
      </c>
      <c r="C2071" s="981">
        <v>366.62400000000002</v>
      </c>
      <c r="D2071" s="980">
        <v>134.92200000000003</v>
      </c>
      <c r="E2071" s="815">
        <v>6.1237060000000003</v>
      </c>
      <c r="F2071" s="815">
        <v>225.88640000000001</v>
      </c>
      <c r="G2071" s="812">
        <v>0</v>
      </c>
      <c r="H2071" s="981">
        <v>1.4633</v>
      </c>
      <c r="I2071" s="807">
        <v>0.5</v>
      </c>
      <c r="J2071" s="981">
        <f t="shared" ref="J2071:P2075" si="68">J$1914</f>
        <v>336.29740666869202</v>
      </c>
      <c r="K2071" s="980">
        <f t="shared" si="68"/>
        <v>34.430046666646</v>
      </c>
      <c r="L2071" s="815">
        <f t="shared" si="68"/>
        <v>292.2262482032553</v>
      </c>
      <c r="M2071" s="812">
        <f t="shared" si="68"/>
        <v>9.6411117987906945</v>
      </c>
      <c r="N2071" s="981">
        <f t="shared" si="68"/>
        <v>424.36967999999996</v>
      </c>
      <c r="O2071" s="981">
        <f t="shared" si="68"/>
        <v>-69.755031118848663</v>
      </c>
      <c r="P2071" s="807">
        <f t="shared" si="68"/>
        <v>0.5</v>
      </c>
      <c r="Q2071" s="23"/>
      <c r="W2071" s="4"/>
      <c r="X2071" s="4"/>
      <c r="Y2071" s="4"/>
      <c r="Z2071" s="4"/>
      <c r="AA2071" s="4"/>
      <c r="AB2071" s="4"/>
      <c r="AC2071" s="4"/>
      <c r="AD2071" s="4"/>
      <c r="AE2071" s="4"/>
    </row>
    <row r="2072" spans="2:31" hidden="1" outlineLevel="2" x14ac:dyDescent="0.15">
      <c r="B2072" s="1067" t="s">
        <v>1816</v>
      </c>
      <c r="C2072" s="981">
        <v>355.29599999999999</v>
      </c>
      <c r="D2072" s="980">
        <v>132.55700000000002</v>
      </c>
      <c r="E2072" s="815">
        <v>6.0449539999999988</v>
      </c>
      <c r="F2072" s="815">
        <v>216.84905999999995</v>
      </c>
      <c r="G2072" s="812">
        <v>0</v>
      </c>
      <c r="H2072" s="981">
        <v>1.2049099999999999</v>
      </c>
      <c r="I2072" s="807">
        <v>0.5</v>
      </c>
      <c r="J2072" s="981">
        <f t="shared" si="68"/>
        <v>336.29740666869202</v>
      </c>
      <c r="K2072" s="980">
        <f t="shared" si="68"/>
        <v>34.430046666646</v>
      </c>
      <c r="L2072" s="815">
        <f t="shared" si="68"/>
        <v>292.2262482032553</v>
      </c>
      <c r="M2072" s="812">
        <f t="shared" si="68"/>
        <v>9.6411117987906945</v>
      </c>
      <c r="N2072" s="981">
        <f t="shared" si="68"/>
        <v>424.36967999999996</v>
      </c>
      <c r="O2072" s="981">
        <f t="shared" si="68"/>
        <v>-69.755031118848663</v>
      </c>
      <c r="P2072" s="807">
        <f t="shared" si="68"/>
        <v>0.5</v>
      </c>
      <c r="Q2072" s="23"/>
      <c r="W2072" s="4"/>
      <c r="X2072" s="4"/>
      <c r="Y2072" s="4"/>
      <c r="Z2072" s="4"/>
      <c r="AA2072" s="4"/>
      <c r="AB2072" s="4"/>
      <c r="AC2072" s="4"/>
      <c r="AD2072" s="4"/>
      <c r="AE2072" s="4"/>
    </row>
    <row r="2073" spans="2:31" hidden="1" outlineLevel="2" x14ac:dyDescent="0.15">
      <c r="B2073" s="1067" t="s">
        <v>1817</v>
      </c>
      <c r="C2073" s="981">
        <v>3807.373</v>
      </c>
      <c r="D2073" s="980">
        <v>511.86200000000002</v>
      </c>
      <c r="E2073" s="815">
        <v>3039.6724250000007</v>
      </c>
      <c r="F2073" s="815">
        <v>257.68526000000003</v>
      </c>
      <c r="G2073" s="812">
        <v>0</v>
      </c>
      <c r="H2073" s="981">
        <v>3.4069699999999998</v>
      </c>
      <c r="I2073" s="807">
        <v>0.5</v>
      </c>
      <c r="J2073" s="981">
        <f t="shared" si="68"/>
        <v>336.29740666869202</v>
      </c>
      <c r="K2073" s="980">
        <f t="shared" si="68"/>
        <v>34.430046666646</v>
      </c>
      <c r="L2073" s="815">
        <f t="shared" si="68"/>
        <v>292.2262482032553</v>
      </c>
      <c r="M2073" s="812">
        <f t="shared" si="68"/>
        <v>9.6411117987906945</v>
      </c>
      <c r="N2073" s="981">
        <f t="shared" si="68"/>
        <v>424.36967999999996</v>
      </c>
      <c r="O2073" s="981">
        <f t="shared" si="68"/>
        <v>-69.755031118848663</v>
      </c>
      <c r="P2073" s="807">
        <f t="shared" si="68"/>
        <v>0.5</v>
      </c>
      <c r="Q2073" s="23"/>
      <c r="W2073" s="4"/>
      <c r="X2073" s="4"/>
      <c r="Y2073" s="4"/>
      <c r="Z2073" s="4"/>
      <c r="AA2073" s="4"/>
      <c r="AB2073" s="4"/>
      <c r="AC2073" s="4"/>
      <c r="AD2073" s="4"/>
      <c r="AE2073" s="4"/>
    </row>
    <row r="2074" spans="2:31" hidden="1" outlineLevel="2" x14ac:dyDescent="0.15">
      <c r="B2074" s="1067" t="s">
        <v>1818</v>
      </c>
      <c r="C2074" s="981">
        <v>275.96899999999994</v>
      </c>
      <c r="D2074" s="980">
        <v>150.541</v>
      </c>
      <c r="E2074" s="815">
        <v>4.5244795999999994</v>
      </c>
      <c r="F2074" s="815">
        <v>120.44096000000002</v>
      </c>
      <c r="G2074" s="812">
        <v>0</v>
      </c>
      <c r="H2074" s="981">
        <v>0.68634000000000017</v>
      </c>
      <c r="I2074" s="807">
        <v>0.5</v>
      </c>
      <c r="J2074" s="981">
        <f t="shared" si="68"/>
        <v>336.29740666869202</v>
      </c>
      <c r="K2074" s="980">
        <f t="shared" si="68"/>
        <v>34.430046666646</v>
      </c>
      <c r="L2074" s="815">
        <f t="shared" si="68"/>
        <v>292.2262482032553</v>
      </c>
      <c r="M2074" s="812">
        <f t="shared" si="68"/>
        <v>9.6411117987906945</v>
      </c>
      <c r="N2074" s="981">
        <f t="shared" si="68"/>
        <v>424.36967999999996</v>
      </c>
      <c r="O2074" s="981">
        <f t="shared" si="68"/>
        <v>-69.755031118848663</v>
      </c>
      <c r="P2074" s="807">
        <f t="shared" si="68"/>
        <v>0.5</v>
      </c>
      <c r="Q2074" s="23"/>
      <c r="W2074" s="4"/>
      <c r="X2074" s="4"/>
      <c r="Y2074" s="4"/>
      <c r="Z2074" s="4"/>
      <c r="AA2074" s="4"/>
      <c r="AB2074" s="4"/>
      <c r="AC2074" s="4"/>
      <c r="AD2074" s="4"/>
      <c r="AE2074" s="4"/>
    </row>
    <row r="2075" spans="2:31" hidden="1" outlineLevel="2" x14ac:dyDescent="0.15">
      <c r="B2075" s="1067" t="s">
        <v>1819</v>
      </c>
      <c r="C2075" s="981">
        <v>443.05599999999993</v>
      </c>
      <c r="D2075" s="980">
        <v>136.65899999999999</v>
      </c>
      <c r="E2075" s="815">
        <v>6.3779599999999999</v>
      </c>
      <c r="F2075" s="815">
        <v>299.62939999999998</v>
      </c>
      <c r="G2075" s="812">
        <v>0</v>
      </c>
      <c r="H2075" s="981">
        <v>1.2171000000000001</v>
      </c>
      <c r="I2075" s="807">
        <v>0.5</v>
      </c>
      <c r="J2075" s="981">
        <f t="shared" si="68"/>
        <v>336.29740666869202</v>
      </c>
      <c r="K2075" s="980">
        <f t="shared" si="68"/>
        <v>34.430046666646</v>
      </c>
      <c r="L2075" s="815">
        <f t="shared" si="68"/>
        <v>292.2262482032553</v>
      </c>
      <c r="M2075" s="812">
        <f t="shared" si="68"/>
        <v>9.6411117987906945</v>
      </c>
      <c r="N2075" s="981">
        <f t="shared" si="68"/>
        <v>424.36967999999996</v>
      </c>
      <c r="O2075" s="981">
        <f t="shared" si="68"/>
        <v>-69.755031118848663</v>
      </c>
      <c r="P2075" s="807">
        <f t="shared" si="68"/>
        <v>0.5</v>
      </c>
      <c r="Q2075" s="23"/>
      <c r="W2075" s="4"/>
      <c r="X2075" s="4"/>
      <c r="Y2075" s="4"/>
      <c r="Z2075" s="4"/>
      <c r="AA2075" s="4"/>
      <c r="AB2075" s="4"/>
      <c r="AC2075" s="4"/>
      <c r="AD2075" s="4"/>
      <c r="AE2075" s="4"/>
    </row>
    <row r="2076" spans="2:31" hidden="1" outlineLevel="2" x14ac:dyDescent="0.15">
      <c r="B2076" s="1067"/>
      <c r="C2076" s="981"/>
      <c r="D2076" s="980"/>
      <c r="E2076" s="815"/>
      <c r="F2076" s="815"/>
      <c r="G2076" s="812"/>
      <c r="H2076" s="981"/>
      <c r="I2076" s="807"/>
      <c r="J2076" s="981"/>
      <c r="K2076" s="980"/>
      <c r="L2076" s="815"/>
      <c r="M2076" s="812"/>
      <c r="N2076" s="981"/>
      <c r="O2076" s="981"/>
      <c r="P2076" s="807"/>
      <c r="Q2076" s="23"/>
      <c r="W2076" s="4"/>
      <c r="X2076" s="4"/>
      <c r="Y2076" s="4"/>
      <c r="Z2076" s="4"/>
      <c r="AA2076" s="4"/>
      <c r="AB2076" s="4"/>
      <c r="AC2076" s="4"/>
      <c r="AD2076" s="4"/>
      <c r="AE2076" s="4"/>
    </row>
    <row r="2077" spans="2:31" hidden="1" outlineLevel="2" x14ac:dyDescent="0.15">
      <c r="B2077" s="1067" t="s">
        <v>1821</v>
      </c>
      <c r="C2077" s="981">
        <v>3435.1000000000004</v>
      </c>
      <c r="D2077" s="980">
        <v>1882.4699999999998</v>
      </c>
      <c r="E2077" s="815">
        <v>102.60849999999999</v>
      </c>
      <c r="F2077" s="815">
        <v>1450.5599</v>
      </c>
      <c r="G2077" s="812">
        <v>0</v>
      </c>
      <c r="H2077" s="981">
        <v>24409.530999999999</v>
      </c>
      <c r="I2077" s="807">
        <v>0.5</v>
      </c>
      <c r="J2077" s="981">
        <f t="shared" ref="J2077:P2080" si="69">J$1914</f>
        <v>336.29740666869202</v>
      </c>
      <c r="K2077" s="980">
        <f t="shared" si="69"/>
        <v>34.430046666646</v>
      </c>
      <c r="L2077" s="815">
        <f t="shared" si="69"/>
        <v>292.2262482032553</v>
      </c>
      <c r="M2077" s="812">
        <f t="shared" si="69"/>
        <v>9.6411117987906945</v>
      </c>
      <c r="N2077" s="981">
        <f t="shared" si="69"/>
        <v>424.36967999999996</v>
      </c>
      <c r="O2077" s="981">
        <f t="shared" si="69"/>
        <v>-69.755031118848663</v>
      </c>
      <c r="P2077" s="807">
        <f t="shared" si="69"/>
        <v>0.5</v>
      </c>
      <c r="Q2077" s="23"/>
      <c r="W2077" s="4"/>
      <c r="X2077" s="4"/>
      <c r="Y2077" s="4"/>
      <c r="Z2077" s="4"/>
      <c r="AA2077" s="4"/>
      <c r="AB2077" s="4"/>
      <c r="AC2077" s="4"/>
      <c r="AD2077" s="4"/>
      <c r="AE2077" s="4"/>
    </row>
    <row r="2078" spans="2:31" hidden="1" outlineLevel="2" x14ac:dyDescent="0.15">
      <c r="B2078" s="1067" t="s">
        <v>1820</v>
      </c>
      <c r="C2078" s="981">
        <v>1337.33</v>
      </c>
      <c r="D2078" s="980">
        <v>625.47</v>
      </c>
      <c r="E2078" s="815">
        <v>35.341561999999996</v>
      </c>
      <c r="F2078" s="815">
        <v>675.70679999999993</v>
      </c>
      <c r="G2078" s="812">
        <v>0</v>
      </c>
      <c r="H2078" s="981">
        <v>5.3942800000000002</v>
      </c>
      <c r="I2078" s="807">
        <v>0.5</v>
      </c>
      <c r="J2078" s="981">
        <f t="shared" si="69"/>
        <v>336.29740666869202</v>
      </c>
      <c r="K2078" s="980">
        <f t="shared" si="69"/>
        <v>34.430046666646</v>
      </c>
      <c r="L2078" s="815">
        <f t="shared" si="69"/>
        <v>292.2262482032553</v>
      </c>
      <c r="M2078" s="812">
        <f t="shared" si="69"/>
        <v>9.6411117987906945</v>
      </c>
      <c r="N2078" s="981">
        <f t="shared" si="69"/>
        <v>424.36967999999996</v>
      </c>
      <c r="O2078" s="981">
        <f t="shared" si="69"/>
        <v>-69.755031118848663</v>
      </c>
      <c r="P2078" s="807">
        <f t="shared" si="69"/>
        <v>0.5</v>
      </c>
      <c r="Q2078" s="23"/>
      <c r="W2078" s="4"/>
      <c r="X2078" s="4"/>
      <c r="Y2078" s="4"/>
      <c r="Z2078" s="4"/>
      <c r="AA2078" s="4"/>
      <c r="AB2078" s="4"/>
      <c r="AC2078" s="4"/>
      <c r="AD2078" s="4"/>
      <c r="AE2078" s="4"/>
    </row>
    <row r="2079" spans="2:31" hidden="1" outlineLevel="2" x14ac:dyDescent="0.15">
      <c r="B2079" s="1067" t="s">
        <v>1822</v>
      </c>
      <c r="C2079" s="981">
        <v>842.04</v>
      </c>
      <c r="D2079" s="980">
        <v>295.72900000000004</v>
      </c>
      <c r="E2079" s="815">
        <v>32.742809999999992</v>
      </c>
      <c r="F2079" s="815">
        <v>513.26959999999997</v>
      </c>
      <c r="G2079" s="812">
        <v>0</v>
      </c>
      <c r="H2079" s="981">
        <v>41.2012</v>
      </c>
      <c r="I2079" s="807">
        <v>0.5</v>
      </c>
      <c r="J2079" s="981">
        <f t="shared" si="69"/>
        <v>336.29740666869202</v>
      </c>
      <c r="K2079" s="980">
        <f t="shared" si="69"/>
        <v>34.430046666646</v>
      </c>
      <c r="L2079" s="815">
        <f t="shared" si="69"/>
        <v>292.2262482032553</v>
      </c>
      <c r="M2079" s="812">
        <f t="shared" si="69"/>
        <v>9.6411117987906945</v>
      </c>
      <c r="N2079" s="981">
        <f t="shared" si="69"/>
        <v>424.36967999999996</v>
      </c>
      <c r="O2079" s="981">
        <f t="shared" si="69"/>
        <v>-69.755031118848663</v>
      </c>
      <c r="P2079" s="807">
        <f t="shared" si="69"/>
        <v>0.5</v>
      </c>
      <c r="Q2079" s="23"/>
      <c r="W2079" s="4"/>
      <c r="X2079" s="4"/>
      <c r="Y2079" s="4"/>
      <c r="Z2079" s="4"/>
      <c r="AA2079" s="4"/>
      <c r="AB2079" s="4"/>
      <c r="AC2079" s="4"/>
      <c r="AD2079" s="4"/>
      <c r="AE2079" s="4"/>
    </row>
    <row r="2080" spans="2:31" hidden="1" outlineLevel="2" x14ac:dyDescent="0.15">
      <c r="B2080" s="1067" t="s">
        <v>1823</v>
      </c>
      <c r="C2080" s="981">
        <v>499.8</v>
      </c>
      <c r="D2080" s="980">
        <v>221.44000000000003</v>
      </c>
      <c r="E2080" s="815">
        <v>31.61566400000001</v>
      </c>
      <c r="F2080" s="815">
        <v>247.28870000000001</v>
      </c>
      <c r="G2080" s="812">
        <v>0</v>
      </c>
      <c r="H2080" s="981">
        <v>44.710410000000003</v>
      </c>
      <c r="I2080" s="807">
        <v>0.5</v>
      </c>
      <c r="J2080" s="981">
        <f t="shared" si="69"/>
        <v>336.29740666869202</v>
      </c>
      <c r="K2080" s="980">
        <f t="shared" si="69"/>
        <v>34.430046666646</v>
      </c>
      <c r="L2080" s="815">
        <f t="shared" si="69"/>
        <v>292.2262482032553</v>
      </c>
      <c r="M2080" s="812">
        <f t="shared" si="69"/>
        <v>9.6411117987906945</v>
      </c>
      <c r="N2080" s="981">
        <f t="shared" si="69"/>
        <v>424.36967999999996</v>
      </c>
      <c r="O2080" s="981">
        <f t="shared" si="69"/>
        <v>-69.755031118848663</v>
      </c>
      <c r="P2080" s="807">
        <f t="shared" si="69"/>
        <v>0.5</v>
      </c>
      <c r="Q2080" s="23"/>
      <c r="W2080" s="4"/>
      <c r="X2080" s="4"/>
      <c r="Y2080" s="4"/>
      <c r="Z2080" s="4"/>
      <c r="AA2080" s="4"/>
      <c r="AB2080" s="4"/>
      <c r="AC2080" s="4"/>
      <c r="AD2080" s="4"/>
      <c r="AE2080" s="4"/>
    </row>
    <row r="2081" spans="2:31" hidden="1" outlineLevel="2" x14ac:dyDescent="0.15">
      <c r="B2081" s="1067"/>
      <c r="C2081" s="981"/>
      <c r="D2081" s="980"/>
      <c r="E2081" s="815"/>
      <c r="F2081" s="815"/>
      <c r="G2081" s="812"/>
      <c r="H2081" s="981"/>
      <c r="I2081" s="807"/>
      <c r="J2081" s="981"/>
      <c r="K2081" s="980"/>
      <c r="L2081" s="815"/>
      <c r="M2081" s="812"/>
      <c r="N2081" s="981"/>
      <c r="O2081" s="981"/>
      <c r="P2081" s="807"/>
      <c r="Q2081" s="23"/>
      <c r="W2081" s="4"/>
      <c r="X2081" s="4"/>
      <c r="Y2081" s="4"/>
      <c r="Z2081" s="4"/>
      <c r="AA2081" s="4"/>
      <c r="AB2081" s="4"/>
      <c r="AC2081" s="4"/>
      <c r="AD2081" s="4"/>
      <c r="AE2081" s="4"/>
    </row>
    <row r="2082" spans="2:31" hidden="1" outlineLevel="2" x14ac:dyDescent="0.15">
      <c r="B2082" s="1500" t="s">
        <v>1824</v>
      </c>
      <c r="C2082" s="981"/>
      <c r="D2082" s="980"/>
      <c r="E2082" s="815"/>
      <c r="F2082" s="815"/>
      <c r="G2082" s="812"/>
      <c r="H2082" s="981"/>
      <c r="I2082" s="807"/>
      <c r="J2082" s="981">
        <f t="shared" ref="J2082:P2087" si="70">J$1914</f>
        <v>336.29740666869202</v>
      </c>
      <c r="K2082" s="980">
        <f t="shared" si="70"/>
        <v>34.430046666646</v>
      </c>
      <c r="L2082" s="815">
        <f t="shared" si="70"/>
        <v>292.2262482032553</v>
      </c>
      <c r="M2082" s="812">
        <f t="shared" si="70"/>
        <v>9.6411117987906945</v>
      </c>
      <c r="N2082" s="981">
        <f t="shared" si="70"/>
        <v>424.36967999999996</v>
      </c>
      <c r="O2082" s="981">
        <f t="shared" si="70"/>
        <v>-69.755031118848663</v>
      </c>
      <c r="P2082" s="807">
        <f t="shared" si="70"/>
        <v>0.5</v>
      </c>
      <c r="Q2082" s="23"/>
      <c r="W2082" s="4"/>
      <c r="X2082" s="4"/>
      <c r="Y2082" s="4"/>
      <c r="Z2082" s="4"/>
      <c r="AA2082" s="4"/>
      <c r="AB2082" s="4"/>
      <c r="AC2082" s="4"/>
      <c r="AD2082" s="4"/>
      <c r="AE2082" s="4"/>
    </row>
    <row r="2083" spans="2:31" hidden="1" outlineLevel="2" x14ac:dyDescent="0.15">
      <c r="B2083" s="1067" t="s">
        <v>1825</v>
      </c>
      <c r="C2083" s="981">
        <v>12679.19</v>
      </c>
      <c r="D2083" s="980">
        <v>1580</v>
      </c>
      <c r="E2083" s="815">
        <v>6575.7</v>
      </c>
      <c r="F2083" s="815">
        <v>4520</v>
      </c>
      <c r="G2083" s="812">
        <v>3.49</v>
      </c>
      <c r="H2083" s="981">
        <v>22.2</v>
      </c>
      <c r="I2083" s="807">
        <v>0.5</v>
      </c>
      <c r="J2083" s="981">
        <f t="shared" si="70"/>
        <v>336.29740666869202</v>
      </c>
      <c r="K2083" s="980">
        <f t="shared" si="70"/>
        <v>34.430046666646</v>
      </c>
      <c r="L2083" s="815">
        <f t="shared" si="70"/>
        <v>292.2262482032553</v>
      </c>
      <c r="M2083" s="812">
        <f t="shared" si="70"/>
        <v>9.6411117987906945</v>
      </c>
      <c r="N2083" s="981">
        <f t="shared" si="70"/>
        <v>424.36967999999996</v>
      </c>
      <c r="O2083" s="981">
        <f t="shared" si="70"/>
        <v>-69.755031118848663</v>
      </c>
      <c r="P2083" s="807">
        <f t="shared" si="70"/>
        <v>0.5</v>
      </c>
      <c r="Q2083" s="23"/>
      <c r="W2083" s="4"/>
      <c r="X2083" s="4"/>
      <c r="Y2083" s="4"/>
      <c r="Z2083" s="4"/>
      <c r="AA2083" s="4"/>
      <c r="AB2083" s="4"/>
      <c r="AC2083" s="4"/>
      <c r="AD2083" s="4"/>
      <c r="AE2083" s="4"/>
    </row>
    <row r="2084" spans="2:31" hidden="1" outlineLevel="2" x14ac:dyDescent="0.15">
      <c r="B2084" s="1067" t="s">
        <v>1826</v>
      </c>
      <c r="C2084" s="981">
        <v>38372.79</v>
      </c>
      <c r="D2084" s="980">
        <v>4900</v>
      </c>
      <c r="E2084" s="815">
        <v>24293.000000000004</v>
      </c>
      <c r="F2084" s="815">
        <v>9170</v>
      </c>
      <c r="G2084" s="812">
        <v>9.7900000000000009</v>
      </c>
      <c r="H2084" s="981">
        <v>75.399999999999991</v>
      </c>
      <c r="I2084" s="807">
        <v>0.5</v>
      </c>
      <c r="J2084" s="981">
        <f t="shared" si="70"/>
        <v>336.29740666869202</v>
      </c>
      <c r="K2084" s="980">
        <f t="shared" si="70"/>
        <v>34.430046666646</v>
      </c>
      <c r="L2084" s="815">
        <f t="shared" si="70"/>
        <v>292.2262482032553</v>
      </c>
      <c r="M2084" s="812">
        <f t="shared" si="70"/>
        <v>9.6411117987906945</v>
      </c>
      <c r="N2084" s="981">
        <f t="shared" si="70"/>
        <v>424.36967999999996</v>
      </c>
      <c r="O2084" s="981">
        <f t="shared" si="70"/>
        <v>-69.755031118848663</v>
      </c>
      <c r="P2084" s="807">
        <f t="shared" si="70"/>
        <v>0.5</v>
      </c>
      <c r="Q2084" s="23"/>
      <c r="W2084" s="4"/>
      <c r="X2084" s="4"/>
      <c r="Y2084" s="4"/>
      <c r="Z2084" s="4"/>
      <c r="AA2084" s="4"/>
      <c r="AB2084" s="4"/>
      <c r="AC2084" s="4"/>
      <c r="AD2084" s="4"/>
      <c r="AE2084" s="4"/>
    </row>
    <row r="2085" spans="2:31" hidden="1" outlineLevel="2" x14ac:dyDescent="0.15">
      <c r="B2085" s="1067" t="s">
        <v>1827</v>
      </c>
      <c r="C2085" s="981">
        <v>19467.22</v>
      </c>
      <c r="D2085" s="980">
        <v>3020</v>
      </c>
      <c r="E2085" s="815">
        <v>10630</v>
      </c>
      <c r="F2085" s="815">
        <v>5810</v>
      </c>
      <c r="G2085" s="812">
        <v>7.22</v>
      </c>
      <c r="H2085" s="981">
        <v>62.5</v>
      </c>
      <c r="I2085" s="807">
        <v>0.5</v>
      </c>
      <c r="J2085" s="981">
        <f t="shared" si="70"/>
        <v>336.29740666869202</v>
      </c>
      <c r="K2085" s="980">
        <f t="shared" si="70"/>
        <v>34.430046666646</v>
      </c>
      <c r="L2085" s="815">
        <f t="shared" si="70"/>
        <v>292.2262482032553</v>
      </c>
      <c r="M2085" s="812">
        <f t="shared" si="70"/>
        <v>9.6411117987906945</v>
      </c>
      <c r="N2085" s="981">
        <f t="shared" si="70"/>
        <v>424.36967999999996</v>
      </c>
      <c r="O2085" s="981">
        <f t="shared" si="70"/>
        <v>-69.755031118848663</v>
      </c>
      <c r="P2085" s="807">
        <f t="shared" si="70"/>
        <v>0.5</v>
      </c>
      <c r="Q2085" s="23"/>
      <c r="W2085" s="4"/>
      <c r="X2085" s="4"/>
      <c r="Y2085" s="4"/>
      <c r="Z2085" s="4"/>
      <c r="AA2085" s="4"/>
      <c r="AB2085" s="4"/>
      <c r="AC2085" s="4"/>
      <c r="AD2085" s="4"/>
      <c r="AE2085" s="4"/>
    </row>
    <row r="2086" spans="2:31" hidden="1" outlineLevel="2" x14ac:dyDescent="0.15">
      <c r="B2086" s="1067" t="s">
        <v>1828</v>
      </c>
      <c r="C2086" s="981">
        <v>4219.96</v>
      </c>
      <c r="D2086" s="980">
        <v>2270</v>
      </c>
      <c r="E2086" s="815">
        <v>1001.0000000000001</v>
      </c>
      <c r="F2086" s="815">
        <v>945</v>
      </c>
      <c r="G2086" s="812">
        <v>3.96</v>
      </c>
      <c r="H2086" s="981">
        <v>53.3</v>
      </c>
      <c r="I2086" s="807">
        <v>0.5</v>
      </c>
      <c r="J2086" s="981">
        <f t="shared" si="70"/>
        <v>336.29740666869202</v>
      </c>
      <c r="K2086" s="980">
        <f t="shared" si="70"/>
        <v>34.430046666646</v>
      </c>
      <c r="L2086" s="815">
        <f t="shared" si="70"/>
        <v>292.2262482032553</v>
      </c>
      <c r="M2086" s="812">
        <f t="shared" si="70"/>
        <v>9.6411117987906945</v>
      </c>
      <c r="N2086" s="981">
        <f t="shared" si="70"/>
        <v>424.36967999999996</v>
      </c>
      <c r="O2086" s="981">
        <f t="shared" si="70"/>
        <v>-69.755031118848663</v>
      </c>
      <c r="P2086" s="807">
        <f t="shared" si="70"/>
        <v>0.5</v>
      </c>
      <c r="Q2086" s="23"/>
      <c r="W2086" s="4"/>
      <c r="X2086" s="4"/>
      <c r="Y2086" s="4"/>
      <c r="Z2086" s="4"/>
      <c r="AA2086" s="4"/>
      <c r="AB2086" s="4"/>
      <c r="AC2086" s="4"/>
      <c r="AD2086" s="4"/>
      <c r="AE2086" s="4"/>
    </row>
    <row r="2087" spans="2:31" hidden="1" outlineLevel="2" x14ac:dyDescent="0.15">
      <c r="B2087" s="1067" t="s">
        <v>1829</v>
      </c>
      <c r="C2087" s="981">
        <v>12804.96</v>
      </c>
      <c r="D2087" s="980">
        <v>2980</v>
      </c>
      <c r="E2087" s="815">
        <v>5188</v>
      </c>
      <c r="F2087" s="815">
        <v>4630</v>
      </c>
      <c r="G2087" s="812">
        <v>6.96</v>
      </c>
      <c r="H2087" s="981">
        <v>52.2</v>
      </c>
      <c r="I2087" s="807">
        <v>0.5</v>
      </c>
      <c r="J2087" s="981">
        <f t="shared" si="70"/>
        <v>336.29740666869202</v>
      </c>
      <c r="K2087" s="980">
        <f t="shared" si="70"/>
        <v>34.430046666646</v>
      </c>
      <c r="L2087" s="815">
        <f t="shared" si="70"/>
        <v>292.2262482032553</v>
      </c>
      <c r="M2087" s="812">
        <f t="shared" si="70"/>
        <v>9.6411117987906945</v>
      </c>
      <c r="N2087" s="981">
        <f t="shared" si="70"/>
        <v>424.36967999999996</v>
      </c>
      <c r="O2087" s="981">
        <f t="shared" si="70"/>
        <v>-69.755031118848663</v>
      </c>
      <c r="P2087" s="807">
        <f t="shared" si="70"/>
        <v>0.5</v>
      </c>
      <c r="Q2087" s="23"/>
      <c r="W2087" s="4"/>
      <c r="X2087" s="4"/>
      <c r="Y2087" s="4"/>
      <c r="Z2087" s="4"/>
      <c r="AA2087" s="4"/>
      <c r="AB2087" s="4"/>
      <c r="AC2087" s="4"/>
      <c r="AD2087" s="4"/>
      <c r="AE2087" s="4"/>
    </row>
    <row r="2088" spans="2:31" hidden="1" outlineLevel="2" x14ac:dyDescent="0.15">
      <c r="B2088" s="1067" t="s">
        <v>1830</v>
      </c>
      <c r="C2088" s="981">
        <v>14440.86</v>
      </c>
      <c r="D2088" s="980">
        <v>6700</v>
      </c>
      <c r="E2088" s="815">
        <v>4311</v>
      </c>
      <c r="F2088" s="815">
        <v>3420</v>
      </c>
      <c r="G2088" s="812">
        <v>9.8600000000000012</v>
      </c>
      <c r="H2088" s="981">
        <v>77.399999999999991</v>
      </c>
      <c r="I2088" s="807">
        <v>0.5</v>
      </c>
      <c r="J2088" s="981">
        <f t="shared" ref="J2088:O2088" si="71">J$1914</f>
        <v>336.29740666869202</v>
      </c>
      <c r="K2088" s="980">
        <f t="shared" si="71"/>
        <v>34.430046666646</v>
      </c>
      <c r="L2088" s="815">
        <f t="shared" si="71"/>
        <v>292.2262482032553</v>
      </c>
      <c r="M2088" s="812">
        <f t="shared" si="71"/>
        <v>9.6411117987906945</v>
      </c>
      <c r="N2088" s="981">
        <f t="shared" si="71"/>
        <v>424.36967999999996</v>
      </c>
      <c r="O2088" s="981">
        <f t="shared" si="71"/>
        <v>-69.755031118848663</v>
      </c>
      <c r="P2088" s="807">
        <f t="shared" ref="J2088:P2124" si="72">P$1914</f>
        <v>0.5</v>
      </c>
      <c r="Q2088" s="23"/>
      <c r="W2088" s="4"/>
      <c r="X2088" s="4"/>
      <c r="Y2088" s="4"/>
      <c r="Z2088" s="4"/>
      <c r="AA2088" s="4"/>
      <c r="AB2088" s="4"/>
      <c r="AC2088" s="4"/>
      <c r="AD2088" s="4"/>
      <c r="AE2088" s="4"/>
    </row>
    <row r="2089" spans="2:31" hidden="1" outlineLevel="2" x14ac:dyDescent="0.15">
      <c r="B2089" s="1067" t="s">
        <v>1831</v>
      </c>
      <c r="C2089" s="981">
        <v>4564.33</v>
      </c>
      <c r="D2089" s="980">
        <v>3100</v>
      </c>
      <c r="E2089" s="815">
        <v>198.49999999999997</v>
      </c>
      <c r="F2089" s="815">
        <v>1260</v>
      </c>
      <c r="G2089" s="812">
        <v>5.83</v>
      </c>
      <c r="H2089" s="981">
        <v>88.8</v>
      </c>
      <c r="I2089" s="807">
        <v>0.5</v>
      </c>
      <c r="J2089" s="981">
        <f t="shared" si="72"/>
        <v>336.29740666869202</v>
      </c>
      <c r="K2089" s="980">
        <f t="shared" si="72"/>
        <v>34.430046666646</v>
      </c>
      <c r="L2089" s="815">
        <f t="shared" si="72"/>
        <v>292.2262482032553</v>
      </c>
      <c r="M2089" s="812">
        <f t="shared" si="72"/>
        <v>9.6411117987906945</v>
      </c>
      <c r="N2089" s="981">
        <f t="shared" si="72"/>
        <v>424.36967999999996</v>
      </c>
      <c r="O2089" s="981">
        <f t="shared" si="72"/>
        <v>-69.755031118848663</v>
      </c>
      <c r="P2089" s="807">
        <f t="shared" si="72"/>
        <v>0.5</v>
      </c>
      <c r="Q2089" s="23"/>
      <c r="W2089" s="4"/>
      <c r="X2089" s="4"/>
      <c r="Y2089" s="4"/>
      <c r="Z2089" s="4"/>
      <c r="AA2089" s="4"/>
      <c r="AB2089" s="4"/>
      <c r="AC2089" s="4"/>
      <c r="AD2089" s="4"/>
      <c r="AE2089" s="4"/>
    </row>
    <row r="2090" spans="2:31" hidden="1" outlineLevel="2" x14ac:dyDescent="0.15">
      <c r="B2090" s="1067" t="s">
        <v>1832</v>
      </c>
      <c r="C2090" s="981">
        <v>4730.9399999999996</v>
      </c>
      <c r="D2090" s="980">
        <v>2300</v>
      </c>
      <c r="E2090" s="815">
        <v>1876</v>
      </c>
      <c r="F2090" s="815">
        <v>550</v>
      </c>
      <c r="G2090" s="812">
        <v>4.9399999999999995</v>
      </c>
      <c r="H2090" s="981">
        <v>43.5</v>
      </c>
      <c r="I2090" s="807">
        <v>0.5</v>
      </c>
      <c r="J2090" s="981">
        <f t="shared" si="72"/>
        <v>336.29740666869202</v>
      </c>
      <c r="K2090" s="980">
        <f t="shared" si="72"/>
        <v>34.430046666646</v>
      </c>
      <c r="L2090" s="815">
        <f t="shared" si="72"/>
        <v>292.2262482032553</v>
      </c>
      <c r="M2090" s="812">
        <f t="shared" si="72"/>
        <v>9.6411117987906945</v>
      </c>
      <c r="N2090" s="981">
        <f t="shared" si="72"/>
        <v>424.36967999999996</v>
      </c>
      <c r="O2090" s="981">
        <f t="shared" si="72"/>
        <v>-69.755031118848663</v>
      </c>
      <c r="P2090" s="807">
        <f t="shared" si="72"/>
        <v>0.5</v>
      </c>
      <c r="Q2090" s="23"/>
      <c r="W2090" s="4"/>
      <c r="X2090" s="4"/>
      <c r="Y2090" s="4"/>
      <c r="Z2090" s="4"/>
      <c r="AA2090" s="4"/>
      <c r="AB2090" s="4"/>
      <c r="AC2090" s="4"/>
      <c r="AD2090" s="4"/>
      <c r="AE2090" s="4"/>
    </row>
    <row r="2091" spans="2:31" hidden="1" outlineLevel="2" x14ac:dyDescent="0.15">
      <c r="B2091" s="1067" t="s">
        <v>1833</v>
      </c>
      <c r="C2091" s="981">
        <v>5189.54</v>
      </c>
      <c r="D2091" s="980">
        <v>1720</v>
      </c>
      <c r="E2091" s="815">
        <v>2155.5</v>
      </c>
      <c r="F2091" s="815">
        <v>1310</v>
      </c>
      <c r="G2091" s="812">
        <v>4.04</v>
      </c>
      <c r="H2091" s="981">
        <v>53.3</v>
      </c>
      <c r="I2091" s="807">
        <v>0.5</v>
      </c>
      <c r="J2091" s="981">
        <f t="shared" si="72"/>
        <v>336.29740666869202</v>
      </c>
      <c r="K2091" s="980">
        <f t="shared" si="72"/>
        <v>34.430046666646</v>
      </c>
      <c r="L2091" s="815">
        <f t="shared" si="72"/>
        <v>292.2262482032553</v>
      </c>
      <c r="M2091" s="812">
        <f t="shared" si="72"/>
        <v>9.6411117987906945</v>
      </c>
      <c r="N2091" s="981">
        <f t="shared" si="72"/>
        <v>424.36967999999996</v>
      </c>
      <c r="O2091" s="981">
        <f t="shared" si="72"/>
        <v>-69.755031118848663</v>
      </c>
      <c r="P2091" s="807">
        <f t="shared" si="72"/>
        <v>0.5</v>
      </c>
      <c r="Q2091" s="23"/>
      <c r="W2091" s="4"/>
      <c r="X2091" s="4"/>
      <c r="Y2091" s="4"/>
      <c r="Z2091" s="4"/>
      <c r="AA2091" s="4"/>
      <c r="AB2091" s="4"/>
      <c r="AC2091" s="4"/>
      <c r="AD2091" s="4"/>
      <c r="AE2091" s="4"/>
    </row>
    <row r="2092" spans="2:31" hidden="1" outlineLevel="2" x14ac:dyDescent="0.15">
      <c r="B2092" s="1067" t="s">
        <v>1834</v>
      </c>
      <c r="C2092" s="981">
        <v>2964.74</v>
      </c>
      <c r="D2092" s="980">
        <v>1910</v>
      </c>
      <c r="E2092" s="815">
        <v>150.10000000000002</v>
      </c>
      <c r="F2092" s="815">
        <v>901</v>
      </c>
      <c r="G2092" s="812">
        <v>3.64</v>
      </c>
      <c r="H2092" s="981">
        <v>54.6</v>
      </c>
      <c r="I2092" s="807">
        <v>0.5</v>
      </c>
      <c r="J2092" s="981">
        <f t="shared" si="72"/>
        <v>336.29740666869202</v>
      </c>
      <c r="K2092" s="980">
        <f t="shared" si="72"/>
        <v>34.430046666646</v>
      </c>
      <c r="L2092" s="815">
        <f t="shared" si="72"/>
        <v>292.2262482032553</v>
      </c>
      <c r="M2092" s="812">
        <f t="shared" si="72"/>
        <v>9.6411117987906945</v>
      </c>
      <c r="N2092" s="981">
        <f t="shared" si="72"/>
        <v>424.36967999999996</v>
      </c>
      <c r="O2092" s="981">
        <f t="shared" si="72"/>
        <v>-69.755031118848663</v>
      </c>
      <c r="P2092" s="807">
        <f t="shared" si="72"/>
        <v>0.5</v>
      </c>
      <c r="Q2092" s="23"/>
      <c r="W2092" s="4"/>
      <c r="X2092" s="4"/>
      <c r="Y2092" s="4"/>
      <c r="Z2092" s="4"/>
      <c r="AA2092" s="4"/>
      <c r="AB2092" s="4"/>
      <c r="AC2092" s="4"/>
      <c r="AD2092" s="4"/>
      <c r="AE2092" s="4"/>
    </row>
    <row r="2093" spans="2:31" hidden="1" outlineLevel="2" x14ac:dyDescent="0.15">
      <c r="B2093" s="1681" t="s">
        <v>3313</v>
      </c>
      <c r="C2093" s="1682">
        <f>19.58*1000</f>
        <v>19580</v>
      </c>
      <c r="D2093" s="980"/>
      <c r="E2093" s="815"/>
      <c r="F2093" s="815"/>
      <c r="G2093" s="812"/>
      <c r="H2093" s="981"/>
      <c r="I2093" s="807"/>
      <c r="J2093" s="981"/>
      <c r="K2093" s="980"/>
      <c r="L2093" s="815"/>
      <c r="M2093" s="812"/>
      <c r="N2093" s="981"/>
      <c r="O2093" s="981"/>
      <c r="P2093" s="807"/>
      <c r="Q2093" s="23"/>
      <c r="W2093" s="4"/>
      <c r="X2093" s="4"/>
      <c r="Y2093" s="4"/>
      <c r="Z2093" s="4"/>
      <c r="AA2093" s="4"/>
      <c r="AB2093" s="4"/>
      <c r="AC2093" s="4"/>
      <c r="AD2093" s="4"/>
      <c r="AE2093" s="4"/>
    </row>
    <row r="2094" spans="2:31" hidden="1" outlineLevel="2" x14ac:dyDescent="0.15">
      <c r="B2094" s="1681" t="s">
        <v>3314</v>
      </c>
      <c r="C2094" s="1682">
        <f>2.7*1000</f>
        <v>2700</v>
      </c>
      <c r="D2094" s="980"/>
      <c r="E2094" s="815"/>
      <c r="F2094" s="815"/>
      <c r="G2094" s="812"/>
      <c r="H2094" s="981"/>
      <c r="I2094" s="807"/>
      <c r="J2094" s="981"/>
      <c r="K2094" s="980"/>
      <c r="L2094" s="815"/>
      <c r="M2094" s="812"/>
      <c r="N2094" s="981"/>
      <c r="O2094" s="981"/>
      <c r="P2094" s="807"/>
      <c r="Q2094" s="23"/>
      <c r="W2094" s="4"/>
      <c r="X2094" s="4"/>
      <c r="Y2094" s="4"/>
      <c r="Z2094" s="4"/>
      <c r="AA2094" s="4"/>
      <c r="AB2094" s="4"/>
      <c r="AC2094" s="4"/>
      <c r="AD2094" s="4"/>
      <c r="AE2094" s="4"/>
    </row>
    <row r="2095" spans="2:31" hidden="1" outlineLevel="2" x14ac:dyDescent="0.15">
      <c r="B2095" s="1681" t="s">
        <v>3315</v>
      </c>
      <c r="C2095" s="1682">
        <f>1.5*1000</f>
        <v>1500</v>
      </c>
      <c r="D2095" s="980"/>
      <c r="E2095" s="815"/>
      <c r="F2095" s="815"/>
      <c r="G2095" s="812"/>
      <c r="H2095" s="981"/>
      <c r="I2095" s="807"/>
      <c r="J2095" s="981"/>
      <c r="K2095" s="980"/>
      <c r="L2095" s="815"/>
      <c r="M2095" s="812"/>
      <c r="N2095" s="981"/>
      <c r="O2095" s="981"/>
      <c r="P2095" s="807"/>
      <c r="Q2095" s="23"/>
      <c r="W2095" s="4"/>
      <c r="X2095" s="4"/>
      <c r="Y2095" s="4"/>
      <c r="Z2095" s="4"/>
      <c r="AA2095" s="4"/>
      <c r="AB2095" s="4"/>
      <c r="AC2095" s="4"/>
      <c r="AD2095" s="4"/>
      <c r="AE2095" s="4"/>
    </row>
    <row r="2096" spans="2:31" hidden="1" outlineLevel="2" x14ac:dyDescent="0.15">
      <c r="B2096" s="1681" t="s">
        <v>3318</v>
      </c>
      <c r="C2096" s="1682">
        <f>2.08*1000</f>
        <v>2080</v>
      </c>
      <c r="D2096" s="980"/>
      <c r="E2096" s="815"/>
      <c r="F2096" s="815"/>
      <c r="G2096" s="812"/>
      <c r="H2096" s="981"/>
      <c r="I2096" s="807"/>
      <c r="J2096" s="981"/>
      <c r="K2096" s="980"/>
      <c r="L2096" s="815"/>
      <c r="M2096" s="812"/>
      <c r="N2096" s="981"/>
      <c r="O2096" s="981"/>
      <c r="P2096" s="807"/>
      <c r="Q2096" s="23"/>
      <c r="W2096" s="4"/>
      <c r="X2096" s="4"/>
      <c r="Y2096" s="4"/>
      <c r="Z2096" s="4"/>
      <c r="AA2096" s="4"/>
      <c r="AB2096" s="4"/>
      <c r="AC2096" s="4"/>
      <c r="AD2096" s="4"/>
      <c r="AE2096" s="4"/>
    </row>
    <row r="2097" spans="2:31" hidden="1" outlineLevel="2" x14ac:dyDescent="0.15">
      <c r="B2097" s="1681" t="s">
        <v>3317</v>
      </c>
      <c r="C2097" s="1682">
        <f>1.06*1000</f>
        <v>1060</v>
      </c>
      <c r="D2097" s="980"/>
      <c r="E2097" s="815"/>
      <c r="F2097" s="815"/>
      <c r="G2097" s="812"/>
      <c r="H2097" s="981"/>
      <c r="I2097" s="807"/>
      <c r="J2097" s="981"/>
      <c r="K2097" s="980"/>
      <c r="L2097" s="815"/>
      <c r="M2097" s="812"/>
      <c r="N2097" s="981"/>
      <c r="O2097" s="981"/>
      <c r="P2097" s="807"/>
      <c r="Q2097" s="23"/>
      <c r="W2097" s="4"/>
      <c r="X2097" s="4"/>
      <c r="Y2097" s="4"/>
      <c r="Z2097" s="4"/>
      <c r="AA2097" s="4"/>
      <c r="AB2097" s="4"/>
      <c r="AC2097" s="4"/>
      <c r="AD2097" s="4"/>
      <c r="AE2097" s="4"/>
    </row>
    <row r="2098" spans="2:31" hidden="1" outlineLevel="2" x14ac:dyDescent="0.15">
      <c r="B2098" s="1681" t="s">
        <v>3316</v>
      </c>
      <c r="C2098" s="1682">
        <f>1.6*1000</f>
        <v>1600</v>
      </c>
      <c r="D2098" s="980"/>
      <c r="E2098" s="815"/>
      <c r="F2098" s="815"/>
      <c r="G2098" s="812"/>
      <c r="H2098" s="981"/>
      <c r="I2098" s="807"/>
      <c r="J2098" s="981"/>
      <c r="K2098" s="980"/>
      <c r="L2098" s="815"/>
      <c r="M2098" s="812"/>
      <c r="N2098" s="981"/>
      <c r="O2098" s="981"/>
      <c r="P2098" s="807"/>
      <c r="Q2098" s="23"/>
      <c r="W2098" s="4"/>
      <c r="X2098" s="4"/>
      <c r="Y2098" s="4"/>
      <c r="Z2098" s="4"/>
      <c r="AA2098" s="4"/>
      <c r="AB2098" s="4"/>
      <c r="AC2098" s="4"/>
      <c r="AD2098" s="4"/>
      <c r="AE2098" s="4"/>
    </row>
    <row r="2099" spans="2:31" hidden="1" outlineLevel="2" x14ac:dyDescent="0.15">
      <c r="B2099" s="1681" t="s">
        <v>3319</v>
      </c>
      <c r="C2099" s="1682">
        <f>0.99*1000</f>
        <v>990</v>
      </c>
      <c r="D2099" s="980"/>
      <c r="E2099" s="815"/>
      <c r="F2099" s="815"/>
      <c r="G2099" s="812"/>
      <c r="H2099" s="981"/>
      <c r="I2099" s="807"/>
      <c r="J2099" s="981"/>
      <c r="K2099" s="980"/>
      <c r="L2099" s="815"/>
      <c r="M2099" s="812"/>
      <c r="N2099" s="981"/>
      <c r="O2099" s="981"/>
      <c r="P2099" s="807"/>
      <c r="Q2099" s="23"/>
      <c r="W2099" s="4"/>
      <c r="X2099" s="4"/>
      <c r="Y2099" s="4"/>
      <c r="Z2099" s="4"/>
      <c r="AA2099" s="4"/>
      <c r="AB2099" s="4"/>
      <c r="AC2099" s="4"/>
      <c r="AD2099" s="4"/>
      <c r="AE2099" s="4"/>
    </row>
    <row r="2100" spans="2:31" hidden="1" outlineLevel="2" x14ac:dyDescent="0.15">
      <c r="B2100" s="1681" t="s">
        <v>3320</v>
      </c>
      <c r="C2100" s="1682">
        <f>1.74*1000</f>
        <v>1740</v>
      </c>
      <c r="D2100" s="980"/>
      <c r="E2100" s="815"/>
      <c r="F2100" s="815"/>
      <c r="G2100" s="812"/>
      <c r="H2100" s="981"/>
      <c r="I2100" s="807"/>
      <c r="J2100" s="981"/>
      <c r="K2100" s="980"/>
      <c r="L2100" s="815"/>
      <c r="M2100" s="812"/>
      <c r="N2100" s="981"/>
      <c r="O2100" s="981"/>
      <c r="P2100" s="807"/>
      <c r="Q2100" s="23"/>
      <c r="W2100" s="4"/>
      <c r="X2100" s="4"/>
      <c r="Y2100" s="4"/>
      <c r="Z2100" s="4"/>
      <c r="AA2100" s="4"/>
      <c r="AB2100" s="4"/>
      <c r="AC2100" s="4"/>
      <c r="AD2100" s="4"/>
      <c r="AE2100" s="4"/>
    </row>
    <row r="2101" spans="2:31" hidden="1" outlineLevel="2" x14ac:dyDescent="0.15">
      <c r="B2101" s="1681" t="s">
        <v>3321</v>
      </c>
      <c r="C2101" s="1682">
        <f>3.8*1000</f>
        <v>3800</v>
      </c>
      <c r="D2101" s="980"/>
      <c r="E2101" s="815"/>
      <c r="F2101" s="815"/>
      <c r="G2101" s="812"/>
      <c r="H2101" s="981"/>
      <c r="I2101" s="807"/>
      <c r="J2101" s="981"/>
      <c r="K2101" s="980"/>
      <c r="L2101" s="815"/>
      <c r="M2101" s="812"/>
      <c r="N2101" s="981"/>
      <c r="O2101" s="981"/>
      <c r="P2101" s="807"/>
      <c r="Q2101" s="23"/>
      <c r="W2101" s="4"/>
      <c r="X2101" s="4"/>
      <c r="Y2101" s="4"/>
      <c r="Z2101" s="4"/>
      <c r="AA2101" s="4"/>
      <c r="AB2101" s="4"/>
      <c r="AC2101" s="4"/>
      <c r="AD2101" s="4"/>
      <c r="AE2101" s="4"/>
    </row>
    <row r="2102" spans="2:31" hidden="1" outlineLevel="2" x14ac:dyDescent="0.15">
      <c r="B2102" s="1681" t="s">
        <v>3322</v>
      </c>
      <c r="C2102" s="1682">
        <f>3.16*1000</f>
        <v>3160</v>
      </c>
      <c r="D2102" s="980"/>
      <c r="E2102" s="815"/>
      <c r="F2102" s="815"/>
      <c r="G2102" s="812"/>
      <c r="H2102" s="981"/>
      <c r="I2102" s="807"/>
      <c r="J2102" s="981"/>
      <c r="K2102" s="980"/>
      <c r="L2102" s="815"/>
      <c r="M2102" s="812"/>
      <c r="N2102" s="981"/>
      <c r="O2102" s="981"/>
      <c r="P2102" s="807"/>
      <c r="Q2102" s="23"/>
      <c r="W2102" s="4"/>
      <c r="X2102" s="4"/>
      <c r="Y2102" s="4"/>
      <c r="Z2102" s="4"/>
      <c r="AA2102" s="4"/>
      <c r="AB2102" s="4"/>
      <c r="AC2102" s="4"/>
      <c r="AD2102" s="4"/>
      <c r="AE2102" s="4"/>
    </row>
    <row r="2103" spans="2:31" hidden="1" outlineLevel="2" x14ac:dyDescent="0.15">
      <c r="B2103" s="1681" t="s">
        <v>3323</v>
      </c>
      <c r="C2103" s="1682">
        <f>0.001*1000</f>
        <v>1</v>
      </c>
      <c r="D2103" s="980"/>
      <c r="E2103" s="815"/>
      <c r="F2103" s="815"/>
      <c r="G2103" s="812"/>
      <c r="H2103" s="981"/>
      <c r="I2103" s="807"/>
      <c r="J2103" s="981"/>
      <c r="K2103" s="980"/>
      <c r="L2103" s="815"/>
      <c r="M2103" s="812"/>
      <c r="N2103" s="981"/>
      <c r="O2103" s="981"/>
      <c r="P2103" s="807"/>
      <c r="Q2103" s="23"/>
      <c r="W2103" s="4"/>
      <c r="X2103" s="4"/>
      <c r="Y2103" s="4"/>
      <c r="Z2103" s="4"/>
      <c r="AA2103" s="4"/>
      <c r="AB2103" s="4"/>
      <c r="AC2103" s="4"/>
      <c r="AD2103" s="4"/>
      <c r="AE2103" s="4"/>
    </row>
    <row r="2104" spans="2:31" hidden="1" outlineLevel="2" x14ac:dyDescent="0.15">
      <c r="B2104" s="1681" t="s">
        <v>3324</v>
      </c>
      <c r="C2104" s="1682">
        <f>0.51*1000</f>
        <v>510</v>
      </c>
      <c r="D2104" s="980"/>
      <c r="E2104" s="815"/>
      <c r="F2104" s="815"/>
      <c r="G2104" s="812"/>
      <c r="H2104" s="981"/>
      <c r="I2104" s="807"/>
      <c r="J2104" s="981"/>
      <c r="K2104" s="980"/>
      <c r="L2104" s="815"/>
      <c r="M2104" s="812"/>
      <c r="N2104" s="981"/>
      <c r="O2104" s="981"/>
      <c r="P2104" s="807"/>
      <c r="Q2104" s="23"/>
      <c r="W2104" s="4"/>
      <c r="X2104" s="4"/>
      <c r="Y2104" s="4"/>
      <c r="Z2104" s="4"/>
      <c r="AA2104" s="4"/>
      <c r="AB2104" s="4"/>
      <c r="AC2104" s="4"/>
      <c r="AD2104" s="4"/>
      <c r="AE2104" s="4"/>
    </row>
    <row r="2105" spans="2:31" hidden="1" outlineLevel="2" x14ac:dyDescent="0.15">
      <c r="B2105" s="1681" t="s">
        <v>3325</v>
      </c>
      <c r="C2105" s="1682">
        <f>0.65*1000</f>
        <v>650</v>
      </c>
      <c r="D2105" s="980"/>
      <c r="E2105" s="815"/>
      <c r="F2105" s="815"/>
      <c r="G2105" s="812"/>
      <c r="H2105" s="981"/>
      <c r="I2105" s="807"/>
      <c r="J2105" s="981"/>
      <c r="K2105" s="980"/>
      <c r="L2105" s="815"/>
      <c r="M2105" s="812"/>
      <c r="N2105" s="981"/>
      <c r="O2105" s="981"/>
      <c r="P2105" s="807"/>
      <c r="Q2105" s="23"/>
      <c r="W2105" s="4"/>
      <c r="X2105" s="4"/>
      <c r="Y2105" s="4"/>
      <c r="Z2105" s="4"/>
      <c r="AA2105" s="4"/>
      <c r="AB2105" s="4"/>
      <c r="AC2105" s="4"/>
      <c r="AD2105" s="4"/>
      <c r="AE2105" s="4"/>
    </row>
    <row r="2106" spans="2:31" hidden="1" outlineLevel="2" x14ac:dyDescent="0.15">
      <c r="B2106" s="1681" t="s">
        <v>3326</v>
      </c>
      <c r="C2106" s="1682">
        <f>2.19*1000</f>
        <v>2190</v>
      </c>
      <c r="D2106" s="980"/>
      <c r="E2106" s="815"/>
      <c r="F2106" s="815"/>
      <c r="G2106" s="812"/>
      <c r="H2106" s="981"/>
      <c r="I2106" s="807"/>
      <c r="J2106" s="981"/>
      <c r="K2106" s="980"/>
      <c r="L2106" s="815"/>
      <c r="M2106" s="812"/>
      <c r="N2106" s="981"/>
      <c r="O2106" s="981"/>
      <c r="P2106" s="807"/>
      <c r="Q2106" s="23"/>
      <c r="W2106" s="4"/>
      <c r="X2106" s="4"/>
      <c r="Y2106" s="4"/>
      <c r="Z2106" s="4"/>
      <c r="AA2106" s="4"/>
      <c r="AB2106" s="4"/>
      <c r="AC2106" s="4"/>
      <c r="AD2106" s="4"/>
      <c r="AE2106" s="4"/>
    </row>
    <row r="2107" spans="2:31" hidden="1" outlineLevel="2" x14ac:dyDescent="0.15">
      <c r="B2107" s="1067" t="s">
        <v>1835</v>
      </c>
      <c r="C2107" s="981">
        <v>10970</v>
      </c>
      <c r="D2107" s="980">
        <v>1380</v>
      </c>
      <c r="E2107" s="815">
        <v>7190</v>
      </c>
      <c r="F2107" s="815">
        <v>2400</v>
      </c>
      <c r="G2107" s="812">
        <v>0</v>
      </c>
      <c r="H2107" s="981">
        <v>0</v>
      </c>
      <c r="I2107" s="807">
        <v>0.5</v>
      </c>
      <c r="J2107" s="981">
        <f t="shared" si="72"/>
        <v>336.29740666869202</v>
      </c>
      <c r="K2107" s="980">
        <f t="shared" si="72"/>
        <v>34.430046666646</v>
      </c>
      <c r="L2107" s="815">
        <f t="shared" si="72"/>
        <v>292.2262482032553</v>
      </c>
      <c r="M2107" s="812">
        <f t="shared" si="72"/>
        <v>9.6411117987906945</v>
      </c>
      <c r="N2107" s="981">
        <f t="shared" si="72"/>
        <v>424.36967999999996</v>
      </c>
      <c r="O2107" s="981">
        <f t="shared" si="72"/>
        <v>-69.755031118848663</v>
      </c>
      <c r="P2107" s="807">
        <f t="shared" si="72"/>
        <v>0.5</v>
      </c>
      <c r="Q2107" s="23"/>
      <c r="W2107" s="4"/>
      <c r="X2107" s="4"/>
      <c r="Y2107" s="4"/>
      <c r="Z2107" s="4"/>
      <c r="AA2107" s="4"/>
      <c r="AB2107" s="4"/>
      <c r="AC2107" s="4"/>
      <c r="AD2107" s="4"/>
      <c r="AE2107" s="4"/>
    </row>
    <row r="2108" spans="2:31" hidden="1" outlineLevel="2" x14ac:dyDescent="0.15">
      <c r="B2108" s="1067" t="s">
        <v>1836</v>
      </c>
      <c r="C2108" s="981">
        <v>15040</v>
      </c>
      <c r="D2108" s="980">
        <v>1890</v>
      </c>
      <c r="E2108" s="815">
        <v>9860</v>
      </c>
      <c r="F2108" s="815">
        <v>3290</v>
      </c>
      <c r="G2108" s="812">
        <v>0</v>
      </c>
      <c r="H2108" s="981">
        <v>0</v>
      </c>
      <c r="I2108" s="807">
        <v>0.5</v>
      </c>
      <c r="J2108" s="981">
        <f t="shared" si="72"/>
        <v>336.29740666869202</v>
      </c>
      <c r="K2108" s="980">
        <f t="shared" si="72"/>
        <v>34.430046666646</v>
      </c>
      <c r="L2108" s="815">
        <f t="shared" si="72"/>
        <v>292.2262482032553</v>
      </c>
      <c r="M2108" s="812">
        <f t="shared" si="72"/>
        <v>9.6411117987906945</v>
      </c>
      <c r="N2108" s="981">
        <f t="shared" si="72"/>
        <v>424.36967999999996</v>
      </c>
      <c r="O2108" s="981">
        <f t="shared" si="72"/>
        <v>-69.755031118848663</v>
      </c>
      <c r="P2108" s="807">
        <f t="shared" si="72"/>
        <v>0.5</v>
      </c>
      <c r="Q2108" s="23"/>
      <c r="W2108" s="4"/>
      <c r="X2108" s="4"/>
      <c r="Y2108" s="4"/>
      <c r="Z2108" s="4"/>
      <c r="AA2108" s="4"/>
      <c r="AB2108" s="4"/>
      <c r="AC2108" s="4"/>
      <c r="AD2108" s="4"/>
      <c r="AE2108" s="4"/>
    </row>
    <row r="2109" spans="2:31" hidden="1" outlineLevel="2" x14ac:dyDescent="0.15">
      <c r="B2109" s="1067" t="s">
        <v>1837</v>
      </c>
      <c r="C2109" s="981">
        <v>7902</v>
      </c>
      <c r="D2109" s="980">
        <v>992</v>
      </c>
      <c r="E2109" s="815">
        <v>5180</v>
      </c>
      <c r="F2109" s="815">
        <v>1730</v>
      </c>
      <c r="G2109" s="812">
        <v>0</v>
      </c>
      <c r="H2109" s="981">
        <v>0</v>
      </c>
      <c r="I2109" s="807">
        <v>0.5</v>
      </c>
      <c r="J2109" s="981">
        <f t="shared" si="72"/>
        <v>336.29740666869202</v>
      </c>
      <c r="K2109" s="980">
        <f t="shared" si="72"/>
        <v>34.430046666646</v>
      </c>
      <c r="L2109" s="815">
        <f t="shared" si="72"/>
        <v>292.2262482032553</v>
      </c>
      <c r="M2109" s="812">
        <f t="shared" si="72"/>
        <v>9.6411117987906945</v>
      </c>
      <c r="N2109" s="981">
        <f t="shared" si="72"/>
        <v>424.36967999999996</v>
      </c>
      <c r="O2109" s="981">
        <f t="shared" si="72"/>
        <v>-69.755031118848663</v>
      </c>
      <c r="P2109" s="807">
        <f t="shared" si="72"/>
        <v>0.5</v>
      </c>
      <c r="Q2109" s="23"/>
      <c r="W2109" s="4"/>
      <c r="X2109" s="4"/>
      <c r="Y2109" s="4"/>
      <c r="Z2109" s="4"/>
      <c r="AA2109" s="4"/>
      <c r="AB2109" s="4"/>
      <c r="AC2109" s="4"/>
      <c r="AD2109" s="4"/>
      <c r="AE2109" s="4"/>
    </row>
    <row r="2110" spans="2:31" hidden="1" outlineLevel="2" x14ac:dyDescent="0.15">
      <c r="B2110" s="1067" t="s">
        <v>1838</v>
      </c>
      <c r="C2110" s="981">
        <v>2521</v>
      </c>
      <c r="D2110" s="980">
        <v>1370</v>
      </c>
      <c r="E2110" s="815">
        <v>863</v>
      </c>
      <c r="F2110" s="815">
        <v>288</v>
      </c>
      <c r="G2110" s="812">
        <v>0</v>
      </c>
      <c r="H2110" s="981">
        <v>0</v>
      </c>
      <c r="I2110" s="807">
        <v>0.5</v>
      </c>
      <c r="J2110" s="981">
        <f t="shared" si="72"/>
        <v>336.29740666869202</v>
      </c>
      <c r="K2110" s="980">
        <f t="shared" si="72"/>
        <v>34.430046666646</v>
      </c>
      <c r="L2110" s="815">
        <f t="shared" si="72"/>
        <v>292.2262482032553</v>
      </c>
      <c r="M2110" s="812">
        <f t="shared" si="72"/>
        <v>9.6411117987906945</v>
      </c>
      <c r="N2110" s="981">
        <f t="shared" si="72"/>
        <v>424.36967999999996</v>
      </c>
      <c r="O2110" s="981">
        <f t="shared" si="72"/>
        <v>-69.755031118848663</v>
      </c>
      <c r="P2110" s="807">
        <f t="shared" si="72"/>
        <v>0.5</v>
      </c>
      <c r="Q2110" s="23"/>
      <c r="W2110" s="4"/>
      <c r="X2110" s="4"/>
      <c r="Y2110" s="4"/>
      <c r="Z2110" s="4"/>
      <c r="AA2110" s="4"/>
      <c r="AB2110" s="4"/>
      <c r="AC2110" s="4"/>
      <c r="AD2110" s="4"/>
      <c r="AE2110" s="4"/>
    </row>
    <row r="2111" spans="2:31" hidden="1" outlineLevel="2" x14ac:dyDescent="0.15">
      <c r="B2111" s="1067"/>
      <c r="C2111" s="981"/>
      <c r="D2111" s="980"/>
      <c r="E2111" s="815"/>
      <c r="F2111" s="815"/>
      <c r="G2111" s="812"/>
      <c r="H2111" s="981"/>
      <c r="I2111" s="807"/>
      <c r="J2111" s="981"/>
      <c r="K2111" s="980"/>
      <c r="L2111" s="815"/>
      <c r="M2111" s="812"/>
      <c r="N2111" s="981"/>
      <c r="O2111" s="981"/>
      <c r="P2111" s="807"/>
      <c r="Q2111" s="23"/>
      <c r="W2111" s="4"/>
      <c r="X2111" s="4"/>
      <c r="Y2111" s="4"/>
      <c r="Z2111" s="4"/>
      <c r="AA2111" s="4"/>
      <c r="AB2111" s="4"/>
      <c r="AC2111" s="4"/>
      <c r="AD2111" s="4"/>
      <c r="AE2111" s="4"/>
    </row>
    <row r="2112" spans="2:31" hidden="1" outlineLevel="2" x14ac:dyDescent="0.15">
      <c r="B2112" s="1067" t="s">
        <v>1839</v>
      </c>
      <c r="C2112" s="981">
        <v>430.21000000000004</v>
      </c>
      <c r="D2112" s="980">
        <v>192</v>
      </c>
      <c r="E2112" s="815">
        <v>6.21</v>
      </c>
      <c r="F2112" s="815">
        <v>232</v>
      </c>
      <c r="G2112" s="812">
        <v>0</v>
      </c>
      <c r="H2112" s="981">
        <v>0</v>
      </c>
      <c r="I2112" s="807">
        <v>0.5</v>
      </c>
      <c r="J2112" s="981">
        <f t="shared" si="72"/>
        <v>336.29740666869202</v>
      </c>
      <c r="K2112" s="980">
        <f t="shared" si="72"/>
        <v>34.430046666646</v>
      </c>
      <c r="L2112" s="815">
        <f t="shared" si="72"/>
        <v>292.2262482032553</v>
      </c>
      <c r="M2112" s="812">
        <f t="shared" si="72"/>
        <v>9.6411117987906945</v>
      </c>
      <c r="N2112" s="981">
        <f t="shared" si="72"/>
        <v>424.36967999999996</v>
      </c>
      <c r="O2112" s="981">
        <f t="shared" si="72"/>
        <v>-69.755031118848663</v>
      </c>
      <c r="P2112" s="807">
        <f t="shared" si="72"/>
        <v>0.5</v>
      </c>
      <c r="Q2112" s="23"/>
      <c r="W2112" s="4"/>
      <c r="X2112" s="4"/>
      <c r="Y2112" s="4"/>
      <c r="Z2112" s="4"/>
      <c r="AA2112" s="4"/>
      <c r="AB2112" s="4"/>
      <c r="AC2112" s="4"/>
      <c r="AD2112" s="4"/>
      <c r="AE2112" s="4"/>
    </row>
    <row r="2113" spans="2:31" hidden="1" outlineLevel="2" x14ac:dyDescent="0.15">
      <c r="B2113" s="1067" t="s">
        <v>1840</v>
      </c>
      <c r="C2113" s="981">
        <v>363</v>
      </c>
      <c r="D2113" s="980">
        <v>363</v>
      </c>
      <c r="E2113" s="815">
        <v>0</v>
      </c>
      <c r="F2113" s="815">
        <v>0</v>
      </c>
      <c r="G2113" s="812">
        <v>0</v>
      </c>
      <c r="H2113" s="981">
        <v>0</v>
      </c>
      <c r="I2113" s="807">
        <v>0.5</v>
      </c>
      <c r="J2113" s="981">
        <f t="shared" si="72"/>
        <v>336.29740666869202</v>
      </c>
      <c r="K2113" s="980">
        <f t="shared" si="72"/>
        <v>34.430046666646</v>
      </c>
      <c r="L2113" s="815">
        <f t="shared" si="72"/>
        <v>292.2262482032553</v>
      </c>
      <c r="M2113" s="812">
        <f t="shared" si="72"/>
        <v>9.6411117987906945</v>
      </c>
      <c r="N2113" s="981">
        <f t="shared" si="72"/>
        <v>424.36967999999996</v>
      </c>
      <c r="O2113" s="981">
        <f t="shared" si="72"/>
        <v>-69.755031118848663</v>
      </c>
      <c r="P2113" s="807">
        <f t="shared" si="72"/>
        <v>0.5</v>
      </c>
      <c r="Q2113" s="23"/>
      <c r="W2113" s="4"/>
      <c r="X2113" s="4"/>
      <c r="Y2113" s="4"/>
      <c r="Z2113" s="4"/>
      <c r="AA2113" s="4"/>
      <c r="AB2113" s="4"/>
      <c r="AC2113" s="4"/>
      <c r="AD2113" s="4"/>
      <c r="AE2113" s="4"/>
    </row>
    <row r="2114" spans="2:31" hidden="1" outlineLevel="2" x14ac:dyDescent="0.15">
      <c r="B2114" s="1067" t="s">
        <v>1841</v>
      </c>
      <c r="C2114" s="981">
        <v>734</v>
      </c>
      <c r="D2114" s="980">
        <v>734</v>
      </c>
      <c r="E2114" s="815">
        <v>0</v>
      </c>
      <c r="F2114" s="815">
        <v>0</v>
      </c>
      <c r="G2114" s="812">
        <v>0</v>
      </c>
      <c r="H2114" s="981">
        <v>0</v>
      </c>
      <c r="I2114" s="807">
        <v>0.5</v>
      </c>
      <c r="J2114" s="981">
        <f t="shared" si="72"/>
        <v>336.29740666869202</v>
      </c>
      <c r="K2114" s="980">
        <f t="shared" si="72"/>
        <v>34.430046666646</v>
      </c>
      <c r="L2114" s="815">
        <f t="shared" si="72"/>
        <v>292.2262482032553</v>
      </c>
      <c r="M2114" s="812">
        <f t="shared" si="72"/>
        <v>9.6411117987906945</v>
      </c>
      <c r="N2114" s="981">
        <f t="shared" si="72"/>
        <v>424.36967999999996</v>
      </c>
      <c r="O2114" s="981">
        <f t="shared" si="72"/>
        <v>-69.755031118848663</v>
      </c>
      <c r="P2114" s="807">
        <f t="shared" si="72"/>
        <v>0.5</v>
      </c>
      <c r="Q2114" s="23"/>
      <c r="W2114" s="4"/>
      <c r="X2114" s="4"/>
      <c r="Y2114" s="4"/>
      <c r="Z2114" s="4"/>
      <c r="AA2114" s="4"/>
      <c r="AB2114" s="4"/>
      <c r="AC2114" s="4"/>
      <c r="AD2114" s="4"/>
      <c r="AE2114" s="4"/>
    </row>
    <row r="2115" spans="2:31" hidden="1" outlineLevel="2" x14ac:dyDescent="0.15">
      <c r="B2115" s="1067" t="s">
        <v>1842</v>
      </c>
      <c r="C2115" s="981">
        <v>3200</v>
      </c>
      <c r="D2115" s="980">
        <v>3200</v>
      </c>
      <c r="E2115" s="815">
        <v>0</v>
      </c>
      <c r="F2115" s="815">
        <v>0</v>
      </c>
      <c r="G2115" s="812">
        <v>0</v>
      </c>
      <c r="H2115" s="981">
        <v>0</v>
      </c>
      <c r="I2115" s="807">
        <v>0.5</v>
      </c>
      <c r="J2115" s="981">
        <f t="shared" si="72"/>
        <v>336.29740666869202</v>
      </c>
      <c r="K2115" s="980">
        <f t="shared" si="72"/>
        <v>34.430046666646</v>
      </c>
      <c r="L2115" s="815">
        <f t="shared" si="72"/>
        <v>292.2262482032553</v>
      </c>
      <c r="M2115" s="812">
        <f t="shared" si="72"/>
        <v>9.6411117987906945</v>
      </c>
      <c r="N2115" s="981">
        <f t="shared" si="72"/>
        <v>424.36967999999996</v>
      </c>
      <c r="O2115" s="981">
        <f t="shared" si="72"/>
        <v>-69.755031118848663</v>
      </c>
      <c r="P2115" s="807">
        <f t="shared" si="72"/>
        <v>0.5</v>
      </c>
      <c r="Q2115" s="23"/>
      <c r="W2115" s="4"/>
      <c r="X2115" s="4"/>
      <c r="Y2115" s="4"/>
      <c r="Z2115" s="4"/>
      <c r="AA2115" s="4"/>
      <c r="AB2115" s="4"/>
      <c r="AC2115" s="4"/>
      <c r="AD2115" s="4"/>
      <c r="AE2115" s="4"/>
    </row>
    <row r="2116" spans="2:31" hidden="1" outlineLevel="2" x14ac:dyDescent="0.15">
      <c r="B2116" s="1067" t="s">
        <v>1843</v>
      </c>
      <c r="C2116" s="981">
        <v>430.21000000000004</v>
      </c>
      <c r="D2116" s="980">
        <v>192</v>
      </c>
      <c r="E2116" s="815">
        <v>6.21</v>
      </c>
      <c r="F2116" s="815">
        <v>232</v>
      </c>
      <c r="G2116" s="812">
        <v>0</v>
      </c>
      <c r="H2116" s="981">
        <v>0</v>
      </c>
      <c r="I2116" s="807">
        <v>0.5</v>
      </c>
      <c r="J2116" s="981">
        <f t="shared" si="72"/>
        <v>336.29740666869202</v>
      </c>
      <c r="K2116" s="980">
        <f t="shared" si="72"/>
        <v>34.430046666646</v>
      </c>
      <c r="L2116" s="815">
        <f t="shared" si="72"/>
        <v>292.2262482032553</v>
      </c>
      <c r="M2116" s="812">
        <f t="shared" si="72"/>
        <v>9.6411117987906945</v>
      </c>
      <c r="N2116" s="981">
        <f t="shared" si="72"/>
        <v>424.36967999999996</v>
      </c>
      <c r="O2116" s="981">
        <f t="shared" si="72"/>
        <v>-69.755031118848663</v>
      </c>
      <c r="P2116" s="807">
        <f t="shared" si="72"/>
        <v>0.5</v>
      </c>
      <c r="Q2116" s="23"/>
      <c r="W2116" s="4"/>
      <c r="X2116" s="4"/>
      <c r="Y2116" s="4"/>
      <c r="Z2116" s="4"/>
      <c r="AA2116" s="4"/>
      <c r="AB2116" s="4"/>
      <c r="AC2116" s="4"/>
      <c r="AD2116" s="4"/>
      <c r="AE2116" s="4"/>
    </row>
    <row r="2117" spans="2:31" hidden="1" outlineLevel="2" x14ac:dyDescent="0.15">
      <c r="B2117" s="1067" t="s">
        <v>1844</v>
      </c>
      <c r="C2117" s="981">
        <v>733</v>
      </c>
      <c r="D2117" s="980"/>
      <c r="E2117" s="815"/>
      <c r="F2117" s="815"/>
      <c r="G2117" s="812"/>
      <c r="H2117" s="981"/>
      <c r="I2117" s="807">
        <v>0.5</v>
      </c>
      <c r="J2117" s="981">
        <f t="shared" si="72"/>
        <v>336.29740666869202</v>
      </c>
      <c r="K2117" s="980">
        <f t="shared" si="72"/>
        <v>34.430046666646</v>
      </c>
      <c r="L2117" s="815">
        <f t="shared" si="72"/>
        <v>292.2262482032553</v>
      </c>
      <c r="M2117" s="812">
        <f t="shared" si="72"/>
        <v>9.6411117987906945</v>
      </c>
      <c r="N2117" s="981">
        <f t="shared" si="72"/>
        <v>424.36967999999996</v>
      </c>
      <c r="O2117" s="981">
        <f t="shared" si="72"/>
        <v>-69.755031118848663</v>
      </c>
      <c r="P2117" s="807">
        <f t="shared" si="72"/>
        <v>0.5</v>
      </c>
      <c r="Q2117" s="23"/>
      <c r="W2117" s="4"/>
      <c r="X2117" s="4"/>
      <c r="Y2117" s="4"/>
      <c r="Z2117" s="4"/>
      <c r="AA2117" s="4"/>
      <c r="AB2117" s="4"/>
      <c r="AC2117" s="4"/>
      <c r="AD2117" s="4"/>
      <c r="AE2117" s="4"/>
    </row>
    <row r="2118" spans="2:31" hidden="1" outlineLevel="2" x14ac:dyDescent="0.15">
      <c r="B2118" s="1067"/>
      <c r="C2118" s="981"/>
      <c r="D2118" s="980"/>
      <c r="E2118" s="815"/>
      <c r="F2118" s="815"/>
      <c r="G2118" s="812"/>
      <c r="H2118" s="981"/>
      <c r="I2118" s="807"/>
      <c r="J2118" s="981"/>
      <c r="K2118" s="980"/>
      <c r="L2118" s="815"/>
      <c r="M2118" s="812"/>
      <c r="N2118" s="981"/>
      <c r="O2118" s="981"/>
      <c r="P2118" s="807"/>
      <c r="Q2118" s="23"/>
      <c r="W2118" s="4"/>
      <c r="X2118" s="4"/>
      <c r="Y2118" s="4"/>
      <c r="Z2118" s="4"/>
      <c r="AA2118" s="4"/>
      <c r="AB2118" s="4"/>
      <c r="AC2118" s="4"/>
      <c r="AD2118" s="4"/>
      <c r="AE2118" s="4"/>
    </row>
    <row r="2119" spans="2:31" hidden="1" outlineLevel="2" x14ac:dyDescent="0.15">
      <c r="B2119" s="1067" t="s">
        <v>1845</v>
      </c>
      <c r="C2119" s="981">
        <v>1968.9</v>
      </c>
      <c r="D2119" s="980">
        <v>870</v>
      </c>
      <c r="E2119" s="815">
        <v>28.9</v>
      </c>
      <c r="F2119" s="815">
        <v>1070</v>
      </c>
      <c r="G2119" s="812">
        <v>0</v>
      </c>
      <c r="H2119" s="981">
        <v>0</v>
      </c>
      <c r="I2119" s="807">
        <v>0.5</v>
      </c>
      <c r="J2119" s="981">
        <f t="shared" si="72"/>
        <v>336.29740666869202</v>
      </c>
      <c r="K2119" s="980">
        <f t="shared" si="72"/>
        <v>34.430046666646</v>
      </c>
      <c r="L2119" s="815">
        <f t="shared" si="72"/>
        <v>292.2262482032553</v>
      </c>
      <c r="M2119" s="812">
        <f t="shared" si="72"/>
        <v>9.6411117987906945</v>
      </c>
      <c r="N2119" s="981">
        <f t="shared" si="72"/>
        <v>424.36967999999996</v>
      </c>
      <c r="O2119" s="981">
        <f t="shared" si="72"/>
        <v>-69.755031118848663</v>
      </c>
      <c r="P2119" s="807">
        <f t="shared" si="72"/>
        <v>0.5</v>
      </c>
      <c r="Q2119" s="23"/>
      <c r="W2119" s="4"/>
      <c r="X2119" s="4"/>
      <c r="Y2119" s="4"/>
      <c r="Z2119" s="4"/>
      <c r="AA2119" s="4"/>
      <c r="AB2119" s="4"/>
      <c r="AC2119" s="4"/>
      <c r="AD2119" s="4"/>
      <c r="AE2119" s="4"/>
    </row>
    <row r="2120" spans="2:31" hidden="1" outlineLevel="2" x14ac:dyDescent="0.15">
      <c r="B2120" s="1067" t="s">
        <v>1846</v>
      </c>
      <c r="C2120" s="981">
        <v>1047.3</v>
      </c>
      <c r="D2120" s="980">
        <v>720</v>
      </c>
      <c r="E2120" s="815">
        <v>10.3</v>
      </c>
      <c r="F2120" s="815">
        <v>317</v>
      </c>
      <c r="G2120" s="812">
        <v>0</v>
      </c>
      <c r="H2120" s="981">
        <v>0</v>
      </c>
      <c r="I2120" s="807">
        <v>0.5</v>
      </c>
      <c r="J2120" s="981">
        <f t="shared" si="72"/>
        <v>336.29740666869202</v>
      </c>
      <c r="K2120" s="980">
        <f t="shared" si="72"/>
        <v>34.430046666646</v>
      </c>
      <c r="L2120" s="815">
        <f t="shared" si="72"/>
        <v>292.2262482032553</v>
      </c>
      <c r="M2120" s="812">
        <f t="shared" si="72"/>
        <v>9.6411117987906945</v>
      </c>
      <c r="N2120" s="981">
        <f t="shared" si="72"/>
        <v>424.36967999999996</v>
      </c>
      <c r="O2120" s="981">
        <f t="shared" si="72"/>
        <v>-69.755031118848663</v>
      </c>
      <c r="P2120" s="807">
        <f t="shared" si="72"/>
        <v>0.5</v>
      </c>
      <c r="Q2120" s="23"/>
      <c r="W2120" s="4"/>
      <c r="X2120" s="4"/>
      <c r="Y2120" s="4"/>
      <c r="Z2120" s="4"/>
      <c r="AA2120" s="4"/>
      <c r="AB2120" s="4"/>
      <c r="AC2120" s="4"/>
      <c r="AD2120" s="4"/>
      <c r="AE2120" s="4"/>
    </row>
    <row r="2121" spans="2:31" hidden="1" outlineLevel="2" x14ac:dyDescent="0.15">
      <c r="B2121" s="1067"/>
      <c r="C2121" s="981"/>
      <c r="D2121" s="980"/>
      <c r="E2121" s="815"/>
      <c r="F2121" s="815"/>
      <c r="G2121" s="812"/>
      <c r="H2121" s="981"/>
      <c r="I2121" s="807"/>
      <c r="J2121" s="981"/>
      <c r="K2121" s="980"/>
      <c r="L2121" s="815"/>
      <c r="M2121" s="812"/>
      <c r="N2121" s="981"/>
      <c r="O2121" s="981"/>
      <c r="P2121" s="807"/>
      <c r="Q2121" s="23"/>
      <c r="W2121" s="4"/>
      <c r="X2121" s="4"/>
      <c r="Y2121" s="4"/>
      <c r="Z2121" s="4"/>
      <c r="AA2121" s="4"/>
      <c r="AB2121" s="4"/>
      <c r="AC2121" s="4"/>
      <c r="AD2121" s="4"/>
      <c r="AE2121" s="4"/>
    </row>
    <row r="2122" spans="2:31" hidden="1" outlineLevel="2" x14ac:dyDescent="0.15">
      <c r="B2122" s="1067" t="s">
        <v>1847</v>
      </c>
      <c r="C2122" s="981">
        <v>1504.5</v>
      </c>
      <c r="D2122" s="980">
        <v>1370</v>
      </c>
      <c r="E2122" s="815">
        <v>4.5</v>
      </c>
      <c r="F2122" s="815">
        <v>130</v>
      </c>
      <c r="G2122" s="812">
        <v>0</v>
      </c>
      <c r="H2122" s="981">
        <v>0</v>
      </c>
      <c r="I2122" s="807">
        <v>0.5</v>
      </c>
      <c r="J2122" s="981">
        <f t="shared" si="72"/>
        <v>336.29740666869202</v>
      </c>
      <c r="K2122" s="980">
        <f t="shared" si="72"/>
        <v>34.430046666646</v>
      </c>
      <c r="L2122" s="815">
        <f t="shared" si="72"/>
        <v>292.2262482032553</v>
      </c>
      <c r="M2122" s="812">
        <f t="shared" si="72"/>
        <v>9.6411117987906945</v>
      </c>
      <c r="N2122" s="981">
        <f t="shared" si="72"/>
        <v>424.36967999999996</v>
      </c>
      <c r="O2122" s="981">
        <f t="shared" si="72"/>
        <v>-69.755031118848663</v>
      </c>
      <c r="P2122" s="807">
        <f t="shared" si="72"/>
        <v>0.5</v>
      </c>
      <c r="Q2122" s="23"/>
      <c r="W2122" s="4"/>
      <c r="X2122" s="4"/>
      <c r="Y2122" s="4"/>
      <c r="Z2122" s="4"/>
      <c r="AA2122" s="4"/>
      <c r="AB2122" s="4"/>
      <c r="AC2122" s="4"/>
      <c r="AD2122" s="4"/>
      <c r="AE2122" s="4"/>
    </row>
    <row r="2123" spans="2:31" hidden="1" outlineLevel="2" x14ac:dyDescent="0.15">
      <c r="B2123" s="1067" t="s">
        <v>1848</v>
      </c>
      <c r="C2123" s="981">
        <v>2930</v>
      </c>
      <c r="D2123" s="980"/>
      <c r="E2123" s="815"/>
      <c r="F2123" s="815"/>
      <c r="G2123" s="812"/>
      <c r="H2123" s="981"/>
      <c r="I2123" s="807">
        <v>0.5</v>
      </c>
      <c r="J2123" s="981">
        <f t="shared" si="72"/>
        <v>336.29740666869202</v>
      </c>
      <c r="K2123" s="980">
        <f t="shared" si="72"/>
        <v>34.430046666646</v>
      </c>
      <c r="L2123" s="815">
        <f t="shared" si="72"/>
        <v>292.2262482032553</v>
      </c>
      <c r="M2123" s="812">
        <f t="shared" si="72"/>
        <v>9.6411117987906945</v>
      </c>
      <c r="N2123" s="981">
        <f t="shared" si="72"/>
        <v>424.36967999999996</v>
      </c>
      <c r="O2123" s="981">
        <f t="shared" si="72"/>
        <v>-69.755031118848663</v>
      </c>
      <c r="P2123" s="807">
        <f t="shared" si="72"/>
        <v>0.5</v>
      </c>
      <c r="Q2123" s="23"/>
      <c r="W2123" s="4"/>
      <c r="X2123" s="4"/>
      <c r="Y2123" s="4"/>
      <c r="Z2123" s="4"/>
      <c r="AA2123" s="4"/>
      <c r="AB2123" s="4"/>
      <c r="AC2123" s="4"/>
      <c r="AD2123" s="4"/>
      <c r="AE2123" s="4"/>
    </row>
    <row r="2124" spans="2:31" hidden="1" outlineLevel="2" x14ac:dyDescent="0.15">
      <c r="B2124" s="1067" t="s">
        <v>1849</v>
      </c>
      <c r="C2124" s="981">
        <v>1470</v>
      </c>
      <c r="D2124" s="980"/>
      <c r="E2124" s="815"/>
      <c r="F2124" s="815"/>
      <c r="G2124" s="812"/>
      <c r="H2124" s="981"/>
      <c r="I2124" s="807">
        <v>0.5</v>
      </c>
      <c r="J2124" s="981">
        <f t="shared" si="72"/>
        <v>336.29740666869202</v>
      </c>
      <c r="K2124" s="980">
        <f t="shared" si="72"/>
        <v>34.430046666646</v>
      </c>
      <c r="L2124" s="815">
        <f t="shared" si="72"/>
        <v>292.2262482032553</v>
      </c>
      <c r="M2124" s="812">
        <f t="shared" si="72"/>
        <v>9.6411117987906945</v>
      </c>
      <c r="N2124" s="981">
        <f t="shared" si="72"/>
        <v>424.36967999999996</v>
      </c>
      <c r="O2124" s="981">
        <f t="shared" si="72"/>
        <v>-69.755031118848663</v>
      </c>
      <c r="P2124" s="807">
        <f t="shared" si="72"/>
        <v>0.5</v>
      </c>
      <c r="Q2124" s="23"/>
      <c r="W2124" s="4"/>
      <c r="X2124" s="4"/>
      <c r="Y2124" s="4"/>
      <c r="Z2124" s="4"/>
      <c r="AA2124" s="4"/>
      <c r="AB2124" s="4"/>
      <c r="AC2124" s="4"/>
      <c r="AD2124" s="4"/>
      <c r="AE2124" s="4"/>
    </row>
    <row r="2125" spans="2:31" hidden="1" outlineLevel="2" x14ac:dyDescent="0.15">
      <c r="B2125" s="801"/>
      <c r="C2125" s="1039"/>
      <c r="D2125" s="1045"/>
      <c r="E2125" s="817"/>
      <c r="F2125" s="817"/>
      <c r="G2125" s="813"/>
      <c r="H2125" s="1039"/>
      <c r="I2125" s="814"/>
      <c r="J2125" s="1039"/>
      <c r="K2125" s="1045"/>
      <c r="L2125" s="817"/>
      <c r="M2125" s="813"/>
      <c r="N2125" s="1039"/>
      <c r="O2125" s="1039"/>
      <c r="P2125" s="814"/>
      <c r="W2125" s="4"/>
      <c r="X2125" s="4"/>
      <c r="Y2125" s="4"/>
      <c r="Z2125" s="4"/>
      <c r="AA2125" s="4"/>
      <c r="AB2125" s="4"/>
      <c r="AC2125" s="4"/>
      <c r="AD2125" s="4"/>
      <c r="AE2125" s="4"/>
    </row>
    <row r="2126" spans="2:31" hidden="1" outlineLevel="2" x14ac:dyDescent="0.15"/>
    <row r="2127" spans="2:31" hidden="1" outlineLevel="2" x14ac:dyDescent="0.15">
      <c r="B2127" s="1489" t="s">
        <v>1850</v>
      </c>
      <c r="C2127" s="1863" t="s">
        <v>1852</v>
      </c>
      <c r="D2127" s="887"/>
      <c r="E2127" s="6"/>
    </row>
    <row r="2128" spans="2:31" hidden="1" outlineLevel="2" x14ac:dyDescent="0.15">
      <c r="B2128" s="1581" t="s">
        <v>1851</v>
      </c>
      <c r="C2128" s="1864"/>
      <c r="D2128" s="896" t="s">
        <v>723</v>
      </c>
      <c r="E2128" s="6"/>
    </row>
    <row r="2129" spans="2:5" hidden="1" outlineLevel="2" x14ac:dyDescent="0.15">
      <c r="B2129" s="800" t="s">
        <v>1853</v>
      </c>
      <c r="C2129" s="1090">
        <v>2.27</v>
      </c>
      <c r="D2129" s="807">
        <v>0.5</v>
      </c>
      <c r="E2129" s="686"/>
    </row>
    <row r="2130" spans="2:5" hidden="1" outlineLevel="2" x14ac:dyDescent="0.15">
      <c r="B2130" s="800" t="s">
        <v>1854</v>
      </c>
      <c r="C2130" s="1090">
        <v>0.44</v>
      </c>
      <c r="D2130" s="807">
        <v>0.5</v>
      </c>
      <c r="E2130" s="686"/>
    </row>
    <row r="2131" spans="2:5" hidden="1" outlineLevel="2" x14ac:dyDescent="0.15">
      <c r="B2131" s="800" t="s">
        <v>1855</v>
      </c>
      <c r="C2131" s="1090">
        <v>0.59</v>
      </c>
      <c r="D2131" s="807">
        <v>0.5</v>
      </c>
      <c r="E2131" s="686"/>
    </row>
    <row r="2132" spans="2:5" hidden="1" outlineLevel="2" x14ac:dyDescent="0.15">
      <c r="B2132" s="800" t="s">
        <v>1856</v>
      </c>
      <c r="C2132" s="1090">
        <v>1.65</v>
      </c>
      <c r="D2132" s="807">
        <v>0.5</v>
      </c>
      <c r="E2132" s="686"/>
    </row>
    <row r="2133" spans="2:5" hidden="1" outlineLevel="2" x14ac:dyDescent="0.15">
      <c r="B2133" s="800" t="s">
        <v>1857</v>
      </c>
      <c r="C2133" s="1090">
        <v>1.1000000000000001</v>
      </c>
      <c r="D2133" s="807">
        <v>0.5</v>
      </c>
      <c r="E2133" s="686"/>
    </row>
    <row r="2134" spans="2:5" hidden="1" outlineLevel="2" x14ac:dyDescent="0.15">
      <c r="B2134" s="800" t="s">
        <v>1858</v>
      </c>
      <c r="C2134" s="1090">
        <v>4.51</v>
      </c>
      <c r="D2134" s="807">
        <v>0.5</v>
      </c>
      <c r="E2134" s="686"/>
    </row>
    <row r="2135" spans="2:5" hidden="1" outlineLevel="2" x14ac:dyDescent="0.15">
      <c r="B2135" s="800" t="s">
        <v>1859</v>
      </c>
      <c r="C2135" s="1090">
        <v>1.32</v>
      </c>
      <c r="D2135" s="807">
        <v>0.5</v>
      </c>
      <c r="E2135" s="686"/>
    </row>
    <row r="2136" spans="2:5" hidden="1" outlineLevel="2" x14ac:dyDescent="0.15">
      <c r="B2136" s="800" t="s">
        <v>1860</v>
      </c>
      <c r="C2136" s="1090">
        <v>5.65</v>
      </c>
      <c r="D2136" s="807">
        <v>0.5</v>
      </c>
      <c r="E2136" s="686"/>
    </row>
    <row r="2137" spans="2:5" hidden="1" outlineLevel="2" x14ac:dyDescent="0.15">
      <c r="B2137" s="801"/>
      <c r="C2137" s="1052"/>
      <c r="D2137" s="803"/>
    </row>
    <row r="2138" spans="2:5" hidden="1" outlineLevel="2" x14ac:dyDescent="0.15">
      <c r="B2138" s="821"/>
      <c r="C2138" s="1720"/>
      <c r="D2138" s="1721"/>
    </row>
    <row r="2139" spans="2:5" ht="14" hidden="1" outlineLevel="2" x14ac:dyDescent="0.15">
      <c r="B2139" s="1489" t="s">
        <v>1861</v>
      </c>
      <c r="C2139" s="1715" t="s">
        <v>3310</v>
      </c>
      <c r="D2139" s="887"/>
    </row>
    <row r="2140" spans="2:5" hidden="1" outlineLevel="2" x14ac:dyDescent="0.15">
      <c r="B2140" s="1717"/>
      <c r="C2140" s="1716"/>
      <c r="D2140" s="1718" t="s">
        <v>723</v>
      </c>
    </row>
    <row r="2141" spans="2:5" hidden="1" outlineLevel="2" x14ac:dyDescent="0.15">
      <c r="B2141" s="1713"/>
      <c r="C2141" s="1330"/>
      <c r="D2141" s="1714"/>
    </row>
    <row r="2142" spans="2:5" hidden="1" outlineLevel="2" x14ac:dyDescent="0.15">
      <c r="B2142" s="800" t="s">
        <v>3306</v>
      </c>
      <c r="C2142" s="801">
        <v>0.20699999999999999</v>
      </c>
      <c r="D2142" s="807"/>
    </row>
    <row r="2143" spans="2:5" hidden="1" outlineLevel="2" x14ac:dyDescent="0.15">
      <c r="B2143" s="801" t="s">
        <v>3307</v>
      </c>
      <c r="C2143" s="801">
        <v>0.154</v>
      </c>
      <c r="D2143" s="801"/>
    </row>
    <row r="2144" spans="2:5" hidden="1" outlineLevel="2" x14ac:dyDescent="0.15"/>
    <row r="2145" spans="1:256" ht="14" hidden="1" outlineLevel="2" x14ac:dyDescent="0.15">
      <c r="B2145" s="1489" t="s">
        <v>1861</v>
      </c>
      <c r="C2145" s="1715" t="s">
        <v>1931</v>
      </c>
      <c r="D2145" s="887"/>
    </row>
    <row r="2146" spans="1:256" hidden="1" outlineLevel="2" x14ac:dyDescent="0.15">
      <c r="B2146" s="1489"/>
      <c r="C2146" s="1489"/>
      <c r="D2146" s="1489"/>
    </row>
    <row r="2147" spans="1:256" hidden="1" outlineLevel="2" x14ac:dyDescent="0.15">
      <c r="B2147" s="800" t="s">
        <v>1862</v>
      </c>
      <c r="C2147" s="972">
        <v>0.13200000000000001</v>
      </c>
      <c r="D2147" s="807">
        <v>0.11</v>
      </c>
    </row>
    <row r="2148" spans="1:256" hidden="1" outlineLevel="2" x14ac:dyDescent="0.15">
      <c r="B2148" s="1709" t="s">
        <v>3285</v>
      </c>
      <c r="C2148" s="974">
        <f>0.000579*1000</f>
        <v>0.57899999999999996</v>
      </c>
      <c r="D2148" s="803"/>
    </row>
    <row r="2149" spans="1:256" hidden="1" outlineLevel="2" x14ac:dyDescent="0.15"/>
    <row r="2150" spans="1:256" ht="15" customHeight="1" x14ac:dyDescent="0.15"/>
    <row r="2151" spans="1:256" s="26" customFormat="1" ht="20" customHeight="1" x14ac:dyDescent="0.15">
      <c r="A2151" s="13"/>
      <c r="B2151" s="1871" t="s">
        <v>1863</v>
      </c>
      <c r="C2151" s="1872"/>
      <c r="D2151" s="1872"/>
      <c r="E2151" s="1872"/>
      <c r="F2151" s="1872"/>
      <c r="G2151" s="1872"/>
      <c r="H2151" s="1872"/>
      <c r="I2151" s="1872"/>
      <c r="J2151" s="1873"/>
      <c r="K2151" s="28"/>
      <c r="L2151" s="28"/>
      <c r="M2151" s="28"/>
      <c r="N2151" s="28"/>
      <c r="O2151" s="28"/>
      <c r="P2151" s="28"/>
      <c r="Q2151" s="28"/>
      <c r="R2151" s="28"/>
      <c r="S2151" s="28"/>
      <c r="T2151" s="28"/>
      <c r="U2151" s="28"/>
      <c r="V2151" s="28"/>
      <c r="W2151" s="29"/>
      <c r="X2151" s="29"/>
      <c r="Y2151" s="29"/>
      <c r="Z2151" s="29"/>
      <c r="AA2151" s="29"/>
      <c r="AB2151" s="29"/>
      <c r="AC2151" s="29"/>
      <c r="AD2151" s="29"/>
      <c r="AE2151" s="29"/>
      <c r="AF2151" s="29"/>
      <c r="AG2151" s="29"/>
      <c r="AH2151" s="29"/>
      <c r="AI2151" s="29"/>
      <c r="AJ2151" s="29"/>
      <c r="AK2151" s="29"/>
      <c r="AL2151" s="29"/>
      <c r="AM2151" s="29"/>
      <c r="AN2151" s="29"/>
      <c r="AO2151" s="29"/>
      <c r="AP2151" s="29"/>
      <c r="AQ2151" s="29"/>
      <c r="AR2151" s="29"/>
      <c r="AS2151" s="29"/>
      <c r="AT2151" s="29"/>
      <c r="AU2151" s="29"/>
      <c r="AV2151" s="29"/>
      <c r="AW2151" s="29"/>
      <c r="AX2151" s="29"/>
      <c r="AY2151" s="29"/>
      <c r="AZ2151" s="29"/>
      <c r="BA2151" s="29"/>
      <c r="BB2151" s="29"/>
      <c r="BC2151" s="29"/>
      <c r="BD2151" s="29"/>
      <c r="BE2151" s="29"/>
      <c r="BF2151" s="29"/>
      <c r="BG2151" s="29"/>
      <c r="BH2151" s="29"/>
      <c r="BI2151" s="29"/>
      <c r="BJ2151" s="29"/>
      <c r="BK2151" s="29"/>
      <c r="BL2151" s="29"/>
      <c r="BM2151" s="29"/>
      <c r="BN2151" s="29"/>
      <c r="BO2151" s="29"/>
      <c r="BP2151" s="29"/>
      <c r="BQ2151" s="29"/>
      <c r="BR2151" s="29"/>
      <c r="BS2151" s="29"/>
      <c r="BT2151" s="29"/>
      <c r="BU2151" s="29"/>
      <c r="BV2151" s="29"/>
      <c r="BW2151" s="29"/>
      <c r="BX2151" s="29"/>
      <c r="BY2151" s="29"/>
      <c r="BZ2151" s="29"/>
      <c r="CA2151" s="29"/>
      <c r="CB2151" s="29"/>
      <c r="CC2151" s="29"/>
      <c r="CD2151" s="29"/>
      <c r="CE2151" s="29"/>
      <c r="CF2151" s="29"/>
      <c r="CG2151" s="29"/>
      <c r="CH2151" s="29"/>
      <c r="CI2151" s="29"/>
      <c r="CJ2151" s="29"/>
      <c r="CK2151" s="29"/>
      <c r="CL2151" s="29"/>
      <c r="CM2151" s="29"/>
      <c r="CN2151" s="29"/>
      <c r="CO2151" s="29"/>
      <c r="CP2151" s="29"/>
      <c r="CQ2151" s="29"/>
      <c r="CR2151" s="29"/>
      <c r="CS2151" s="29"/>
      <c r="CT2151" s="29"/>
      <c r="CU2151" s="29"/>
      <c r="CV2151" s="29"/>
      <c r="CW2151" s="29"/>
      <c r="CX2151" s="29"/>
      <c r="CY2151" s="29"/>
      <c r="CZ2151" s="29"/>
      <c r="DA2151" s="29"/>
      <c r="DB2151" s="29"/>
      <c r="DC2151" s="29"/>
      <c r="DD2151" s="29"/>
      <c r="DE2151" s="29"/>
      <c r="DF2151" s="29"/>
      <c r="DG2151" s="29"/>
      <c r="DH2151" s="29"/>
      <c r="DI2151" s="29"/>
      <c r="DJ2151" s="29"/>
      <c r="DK2151" s="29"/>
      <c r="DL2151" s="29"/>
      <c r="DM2151" s="29"/>
      <c r="DN2151" s="29"/>
      <c r="DO2151" s="29"/>
      <c r="DP2151" s="29"/>
      <c r="DQ2151" s="29"/>
      <c r="DR2151" s="29"/>
      <c r="DS2151" s="29"/>
      <c r="DT2151" s="29"/>
      <c r="DU2151" s="29"/>
      <c r="DV2151" s="29"/>
      <c r="DW2151" s="29"/>
      <c r="DX2151" s="29"/>
      <c r="DY2151" s="29"/>
      <c r="DZ2151" s="29"/>
      <c r="EA2151" s="29"/>
      <c r="EB2151" s="29"/>
      <c r="EC2151" s="29"/>
      <c r="ED2151" s="29"/>
      <c r="EE2151" s="29"/>
      <c r="EF2151" s="29"/>
      <c r="EG2151" s="29"/>
      <c r="EH2151" s="29"/>
      <c r="EI2151" s="29"/>
      <c r="EJ2151" s="29"/>
      <c r="EK2151" s="29"/>
      <c r="EL2151" s="29"/>
      <c r="EM2151" s="29"/>
      <c r="EN2151" s="29"/>
      <c r="EO2151" s="29"/>
      <c r="EP2151" s="29"/>
      <c r="EQ2151" s="29"/>
      <c r="ER2151" s="29"/>
      <c r="ES2151" s="29"/>
      <c r="ET2151" s="29"/>
      <c r="EU2151" s="29"/>
      <c r="EV2151" s="29"/>
      <c r="EW2151" s="29"/>
      <c r="EX2151" s="29"/>
      <c r="EY2151" s="29"/>
      <c r="EZ2151" s="29"/>
      <c r="FA2151" s="29"/>
      <c r="FB2151" s="29"/>
      <c r="FC2151" s="29"/>
      <c r="FD2151" s="29"/>
      <c r="FE2151" s="29"/>
      <c r="FF2151" s="29"/>
      <c r="FG2151" s="29"/>
      <c r="FH2151" s="29"/>
      <c r="FI2151" s="29"/>
      <c r="FJ2151" s="29"/>
      <c r="FK2151" s="29"/>
      <c r="FL2151" s="29"/>
      <c r="FM2151" s="29"/>
      <c r="FN2151" s="29"/>
      <c r="FO2151" s="29"/>
      <c r="FP2151" s="29"/>
      <c r="FQ2151" s="29"/>
      <c r="FR2151" s="29"/>
      <c r="FS2151" s="29"/>
      <c r="FT2151" s="29"/>
      <c r="FU2151" s="29"/>
      <c r="FV2151" s="29"/>
      <c r="FW2151" s="29"/>
      <c r="FX2151" s="29"/>
      <c r="FY2151" s="29"/>
      <c r="FZ2151" s="29"/>
      <c r="GA2151" s="29"/>
      <c r="GB2151" s="29"/>
      <c r="GC2151" s="13"/>
      <c r="GD2151" s="13"/>
      <c r="GE2151" s="13"/>
      <c r="GF2151" s="13"/>
      <c r="GG2151" s="13"/>
      <c r="GH2151" s="13"/>
      <c r="GI2151" s="13"/>
      <c r="GJ2151" s="13"/>
      <c r="GK2151" s="13"/>
      <c r="GL2151" s="13"/>
      <c r="GM2151" s="13"/>
      <c r="GN2151" s="13"/>
      <c r="GO2151" s="13"/>
      <c r="GP2151" s="13"/>
      <c r="GQ2151" s="13"/>
      <c r="GR2151" s="13"/>
      <c r="GS2151" s="13"/>
      <c r="GT2151" s="13"/>
      <c r="GU2151" s="13"/>
      <c r="GV2151" s="13"/>
      <c r="GW2151" s="13"/>
      <c r="GX2151" s="13"/>
      <c r="GY2151" s="13"/>
      <c r="GZ2151" s="13"/>
      <c r="HA2151" s="13"/>
      <c r="HB2151" s="13"/>
      <c r="HC2151" s="13"/>
      <c r="HD2151" s="13"/>
      <c r="HE2151" s="13"/>
      <c r="HF2151" s="13"/>
      <c r="HG2151" s="13"/>
      <c r="HH2151" s="13"/>
      <c r="HI2151" s="13"/>
      <c r="HJ2151" s="13"/>
      <c r="HK2151" s="13"/>
      <c r="HL2151" s="13"/>
      <c r="HM2151" s="13"/>
      <c r="HN2151" s="13"/>
      <c r="HO2151" s="13"/>
      <c r="HP2151" s="13"/>
      <c r="HQ2151" s="13"/>
      <c r="HR2151" s="13"/>
      <c r="HS2151" s="13"/>
      <c r="HT2151" s="13"/>
      <c r="HU2151" s="13"/>
      <c r="HV2151" s="13"/>
      <c r="HW2151" s="13"/>
      <c r="HX2151" s="13"/>
      <c r="HY2151" s="13"/>
      <c r="HZ2151" s="13"/>
      <c r="IA2151" s="13"/>
      <c r="IB2151" s="13"/>
      <c r="IC2151" s="13"/>
      <c r="ID2151" s="13"/>
      <c r="IE2151" s="13"/>
      <c r="IF2151" s="13"/>
      <c r="IG2151" s="13"/>
      <c r="IH2151" s="13"/>
      <c r="II2151" s="13"/>
      <c r="IJ2151" s="13"/>
      <c r="IK2151" s="13"/>
      <c r="IL2151" s="13"/>
      <c r="IM2151" s="13"/>
      <c r="IN2151" s="13"/>
      <c r="IO2151" s="13"/>
      <c r="IP2151" s="13"/>
      <c r="IQ2151" s="13"/>
      <c r="IR2151" s="13"/>
      <c r="IS2151" s="13"/>
      <c r="IT2151" s="13"/>
      <c r="IU2151" s="13"/>
      <c r="IV2151" s="13"/>
    </row>
    <row r="2152" spans="1:256" outlineLevel="1" x14ac:dyDescent="0.15"/>
    <row r="2153" spans="1:256" s="26" customFormat="1" ht="15.75" customHeight="1" outlineLevel="1" collapsed="1" x14ac:dyDescent="0.15">
      <c r="A2153" s="13"/>
      <c r="B2153" s="1868" t="s">
        <v>1864</v>
      </c>
      <c r="C2153" s="1869"/>
      <c r="D2153" s="1869"/>
      <c r="E2153" s="1869"/>
      <c r="F2153" s="1869"/>
      <c r="G2153" s="1869"/>
      <c r="H2153" s="1869"/>
      <c r="I2153" s="1869"/>
      <c r="J2153" s="1870"/>
      <c r="K2153" s="28"/>
      <c r="L2153" s="28"/>
      <c r="M2153" s="28"/>
      <c r="N2153" s="28"/>
      <c r="O2153" s="28"/>
      <c r="P2153" s="28"/>
      <c r="Q2153" s="28"/>
      <c r="R2153" s="28"/>
      <c r="S2153" s="28"/>
      <c r="T2153" s="28"/>
      <c r="U2153" s="28"/>
      <c r="V2153" s="28"/>
      <c r="W2153" s="29"/>
      <c r="X2153" s="29"/>
      <c r="Y2153" s="29"/>
      <c r="Z2153" s="29"/>
      <c r="AA2153" s="29"/>
      <c r="AB2153" s="29"/>
      <c r="AC2153" s="29"/>
      <c r="AD2153" s="29"/>
      <c r="AE2153" s="29"/>
      <c r="AF2153" s="29"/>
      <c r="AG2153" s="29"/>
      <c r="AH2153" s="29"/>
      <c r="AI2153" s="29"/>
      <c r="AJ2153" s="29"/>
      <c r="AK2153" s="29"/>
      <c r="AL2153" s="29"/>
      <c r="AM2153" s="29"/>
      <c r="AN2153" s="29"/>
      <c r="AO2153" s="29"/>
      <c r="AP2153" s="29"/>
      <c r="AQ2153" s="29"/>
      <c r="AR2153" s="29"/>
      <c r="AS2153" s="29"/>
      <c r="AT2153" s="29"/>
      <c r="AU2153" s="29"/>
      <c r="AV2153" s="29"/>
      <c r="AW2153" s="29"/>
      <c r="AX2153" s="29"/>
      <c r="AY2153" s="29"/>
      <c r="AZ2153" s="29"/>
      <c r="BA2153" s="29"/>
      <c r="BB2153" s="29"/>
      <c r="BC2153" s="29"/>
      <c r="BD2153" s="29"/>
      <c r="BE2153" s="29"/>
      <c r="BF2153" s="29"/>
      <c r="BG2153" s="29"/>
      <c r="BH2153" s="29"/>
      <c r="BI2153" s="29"/>
      <c r="BJ2153" s="29"/>
      <c r="BK2153" s="29"/>
      <c r="BL2153" s="29"/>
      <c r="BM2153" s="29"/>
      <c r="BN2153" s="29"/>
      <c r="BO2153" s="29"/>
      <c r="BP2153" s="29"/>
      <c r="BQ2153" s="29"/>
      <c r="BR2153" s="29"/>
      <c r="BS2153" s="29"/>
      <c r="BT2153" s="29"/>
      <c r="BU2153" s="29"/>
      <c r="BV2153" s="29"/>
      <c r="BW2153" s="29"/>
      <c r="BX2153" s="29"/>
      <c r="BY2153" s="29"/>
      <c r="BZ2153" s="29"/>
      <c r="CA2153" s="29"/>
      <c r="CB2153" s="29"/>
      <c r="CC2153" s="29"/>
      <c r="CD2153" s="29"/>
      <c r="CE2153" s="29"/>
      <c r="CF2153" s="29"/>
      <c r="CG2153" s="29"/>
      <c r="CH2153" s="29"/>
      <c r="CI2153" s="29"/>
      <c r="CJ2153" s="29"/>
      <c r="CK2153" s="29"/>
      <c r="CL2153" s="29"/>
      <c r="CM2153" s="29"/>
      <c r="CN2153" s="29"/>
      <c r="CO2153" s="29"/>
      <c r="CP2153" s="29"/>
      <c r="CQ2153" s="29"/>
      <c r="CR2153" s="29"/>
      <c r="CS2153" s="29"/>
      <c r="CT2153" s="29"/>
      <c r="CU2153" s="29"/>
      <c r="CV2153" s="29"/>
      <c r="CW2153" s="29"/>
      <c r="CX2153" s="29"/>
      <c r="CY2153" s="29"/>
      <c r="CZ2153" s="29"/>
      <c r="DA2153" s="29"/>
      <c r="DB2153" s="29"/>
      <c r="DC2153" s="29"/>
      <c r="DD2153" s="29"/>
      <c r="DE2153" s="29"/>
      <c r="DF2153" s="29"/>
      <c r="DG2153" s="29"/>
      <c r="DH2153" s="29"/>
      <c r="DI2153" s="29"/>
      <c r="DJ2153" s="29"/>
      <c r="DK2153" s="29"/>
      <c r="DL2153" s="29"/>
      <c r="DM2153" s="29"/>
      <c r="DN2153" s="29"/>
      <c r="DO2153" s="29"/>
      <c r="DP2153" s="29"/>
      <c r="DQ2153" s="29"/>
      <c r="DR2153" s="29"/>
      <c r="DS2153" s="29"/>
      <c r="DT2153" s="29"/>
      <c r="DU2153" s="29"/>
      <c r="DV2153" s="29"/>
      <c r="DW2153" s="29"/>
      <c r="DX2153" s="29"/>
      <c r="DY2153" s="29"/>
      <c r="DZ2153" s="29"/>
      <c r="EA2153" s="29"/>
      <c r="EB2153" s="29"/>
      <c r="EC2153" s="29"/>
      <c r="ED2153" s="29"/>
      <c r="EE2153" s="29"/>
      <c r="EF2153" s="29"/>
      <c r="EG2153" s="29"/>
      <c r="EH2153" s="29"/>
      <c r="EI2153" s="29"/>
      <c r="EJ2153" s="29"/>
      <c r="EK2153" s="29"/>
      <c r="EL2153" s="29"/>
      <c r="EM2153" s="29"/>
      <c r="EN2153" s="29"/>
      <c r="EO2153" s="29"/>
      <c r="EP2153" s="29"/>
      <c r="EQ2153" s="29"/>
      <c r="ER2153" s="29"/>
      <c r="ES2153" s="29"/>
      <c r="ET2153" s="29"/>
      <c r="EU2153" s="29"/>
      <c r="EV2153" s="29"/>
      <c r="EW2153" s="29"/>
      <c r="EX2153" s="29"/>
      <c r="EY2153" s="29"/>
      <c r="EZ2153" s="29"/>
      <c r="FA2153" s="29"/>
      <c r="FB2153" s="29"/>
      <c r="FC2153" s="29"/>
      <c r="FD2153" s="29"/>
      <c r="FE2153" s="29"/>
      <c r="FF2153" s="29"/>
      <c r="FG2153" s="29"/>
      <c r="FH2153" s="29"/>
      <c r="FI2153" s="29"/>
      <c r="FJ2153" s="29"/>
      <c r="FK2153" s="29"/>
      <c r="FL2153" s="29"/>
      <c r="FM2153" s="29"/>
      <c r="FN2153" s="29"/>
      <c r="FO2153" s="29"/>
      <c r="FP2153" s="29"/>
      <c r="FQ2153" s="29"/>
      <c r="FR2153" s="29"/>
      <c r="FS2153" s="29"/>
      <c r="FT2153" s="29"/>
      <c r="FU2153" s="29"/>
      <c r="FV2153" s="29"/>
      <c r="FW2153" s="29"/>
      <c r="FX2153" s="29"/>
      <c r="FY2153" s="29"/>
      <c r="FZ2153" s="29"/>
      <c r="GA2153" s="29"/>
      <c r="GB2153" s="29"/>
      <c r="GC2153" s="13"/>
      <c r="GD2153" s="13"/>
      <c r="GE2153" s="13"/>
      <c r="GF2153" s="13"/>
      <c r="GG2153" s="13"/>
      <c r="GH2153" s="13"/>
      <c r="GI2153" s="13"/>
      <c r="GJ2153" s="13"/>
      <c r="GK2153" s="13"/>
      <c r="GL2153" s="13"/>
      <c r="GM2153" s="13"/>
      <c r="GN2153" s="13"/>
      <c r="GO2153" s="13"/>
      <c r="GP2153" s="13"/>
      <c r="GQ2153" s="13"/>
      <c r="GR2153" s="13"/>
      <c r="GS2153" s="13"/>
      <c r="GT2153" s="13"/>
      <c r="GU2153" s="13"/>
      <c r="GV2153" s="13"/>
      <c r="GW2153" s="13"/>
      <c r="GX2153" s="13"/>
      <c r="GY2153" s="13"/>
      <c r="GZ2153" s="13"/>
      <c r="HA2153" s="13"/>
      <c r="HB2153" s="13"/>
      <c r="HC2153" s="13"/>
      <c r="HD2153" s="13"/>
      <c r="HE2153" s="13"/>
      <c r="HF2153" s="13"/>
      <c r="HG2153" s="13"/>
      <c r="HH2153" s="13"/>
      <c r="HI2153" s="13"/>
      <c r="HJ2153" s="13"/>
      <c r="HK2153" s="13"/>
      <c r="HL2153" s="13"/>
      <c r="HM2153" s="13"/>
      <c r="HN2153" s="13"/>
      <c r="HO2153" s="13"/>
      <c r="HP2153" s="13"/>
      <c r="HQ2153" s="13"/>
      <c r="HR2153" s="13"/>
      <c r="HS2153" s="13"/>
      <c r="HT2153" s="13"/>
      <c r="HU2153" s="13"/>
      <c r="HV2153" s="13"/>
      <c r="HW2153" s="13"/>
      <c r="HX2153" s="13"/>
      <c r="HY2153" s="13"/>
      <c r="HZ2153" s="13"/>
      <c r="IA2153" s="13"/>
      <c r="IB2153" s="13"/>
      <c r="IC2153" s="13"/>
      <c r="ID2153" s="13"/>
      <c r="IE2153" s="13"/>
      <c r="IF2153" s="13"/>
      <c r="IG2153" s="13"/>
      <c r="IH2153" s="13"/>
      <c r="II2153" s="13"/>
      <c r="IJ2153" s="13"/>
      <c r="IK2153" s="13"/>
      <c r="IL2153" s="13"/>
      <c r="IM2153" s="13"/>
      <c r="IN2153" s="13"/>
      <c r="IO2153" s="13"/>
      <c r="IP2153" s="13"/>
      <c r="IQ2153" s="13"/>
      <c r="IR2153" s="13"/>
      <c r="IS2153" s="13"/>
      <c r="IT2153" s="13"/>
      <c r="IU2153" s="13"/>
      <c r="IV2153" s="13"/>
    </row>
    <row r="2154" spans="1:256" hidden="1" outlineLevel="2" x14ac:dyDescent="0.15"/>
    <row r="2155" spans="1:256" hidden="1" outlineLevel="2" x14ac:dyDescent="0.15">
      <c r="B2155" s="1475" t="s">
        <v>1865</v>
      </c>
      <c r="C2155" s="1863" t="s">
        <v>767</v>
      </c>
      <c r="D2155" s="1876" t="s">
        <v>1515</v>
      </c>
      <c r="E2155" s="1877"/>
      <c r="F2155" s="1877"/>
      <c r="G2155" s="1878"/>
      <c r="H2155" s="887"/>
    </row>
    <row r="2156" spans="1:256" ht="14" hidden="1" outlineLevel="2" x14ac:dyDescent="0.15">
      <c r="B2156" s="836"/>
      <c r="C2156" s="1864"/>
      <c r="D2156" s="1046" t="s">
        <v>14</v>
      </c>
      <c r="E2156" s="1047" t="s">
        <v>695</v>
      </c>
      <c r="F2156" s="1047" t="s">
        <v>27</v>
      </c>
      <c r="G2156" s="1071" t="s">
        <v>694</v>
      </c>
      <c r="H2156" s="963" t="s">
        <v>723</v>
      </c>
      <c r="M2156" s="13"/>
      <c r="N2156" s="13"/>
      <c r="O2156" s="13"/>
      <c r="P2156" s="13"/>
      <c r="Q2156" s="13"/>
      <c r="R2156" s="13"/>
      <c r="S2156" s="13"/>
      <c r="T2156" s="13"/>
      <c r="U2156" s="13"/>
      <c r="V2156" s="13"/>
    </row>
    <row r="2157" spans="1:256" hidden="1" outlineLevel="2" x14ac:dyDescent="0.15">
      <c r="B2157" s="799" t="s">
        <v>1866</v>
      </c>
      <c r="C2157" s="877">
        <f>IF('Rifiuti di processo'!D7="Mayotte",IF('Rifiuti di processo'!D8="A Mayotte",14.7640250272,IF('Rifiuti di processo'!D8="En métropôle",87.2106559,IF('Rifiuti di processo'!D8="Dans l'Océan Indien",58.3543464,"Complétez C1458"))),IF('Rifiuti di processo'!D7="French Polynesia",IF('Rifiuti di processo'!D8="En French Polynesia",56,IF('Rifiuti di processo'!D8="En dehors de la French Polynesia",154,"Complétez C1458")),18.3333333333))</f>
        <v>18.333333333300001</v>
      </c>
      <c r="D2157" s="978">
        <f>IF('Rifiuti di processo'!D7="Mayotte",IF('Rifiuti di processo'!D8="A Mayotte",14.7640250272,IF('Rifiuti di processo'!D8="En métropôle",87.2106559,IF('Rifiuti di processo'!D8="Dans l'Océan Indien",58.3543464,"Complétez C1458"))),IF('Rifiuti di processo'!D7="French Polynesia",IF('Rifiuti di processo'!D8="En French Polynesia",56,IF('Rifiuti di processo'!D8="En dehors de la French Polynesia",154,"Complétez C1458")),18.3333333333))</f>
        <v>18.333333333300001</v>
      </c>
      <c r="E2157" s="883">
        <v>0</v>
      </c>
      <c r="F2157" s="979">
        <v>0</v>
      </c>
      <c r="G2157" s="877">
        <v>0</v>
      </c>
      <c r="H2157" s="805">
        <v>0.5</v>
      </c>
      <c r="I2157" s="6"/>
      <c r="J2157" s="6"/>
      <c r="K2157" s="6"/>
      <c r="L2157" s="6"/>
      <c r="M2157" s="13"/>
      <c r="N2157" s="13"/>
      <c r="O2157" s="13"/>
      <c r="P2157" s="13"/>
      <c r="Q2157" s="13"/>
      <c r="R2157" s="13"/>
      <c r="S2157" s="13"/>
      <c r="T2157" s="13"/>
      <c r="U2157" s="13"/>
      <c r="V2157" s="13"/>
    </row>
    <row r="2158" spans="1:256" hidden="1" outlineLevel="2" x14ac:dyDescent="0.15">
      <c r="B2158" s="800" t="s">
        <v>1867</v>
      </c>
      <c r="C2158" s="981">
        <v>14.666666666699999</v>
      </c>
      <c r="D2158" s="980">
        <v>14.666666666699999</v>
      </c>
      <c r="E2158" s="815">
        <v>0</v>
      </c>
      <c r="F2158" s="812">
        <v>0</v>
      </c>
      <c r="G2158" s="981">
        <v>0</v>
      </c>
      <c r="H2158" s="807">
        <v>0.5</v>
      </c>
      <c r="M2158" s="13"/>
      <c r="N2158" s="13"/>
      <c r="O2158" s="13"/>
      <c r="P2158" s="13"/>
      <c r="Q2158" s="13"/>
      <c r="R2158" s="13"/>
      <c r="S2158" s="13"/>
      <c r="T2158" s="13"/>
      <c r="U2158" s="13"/>
      <c r="V2158" s="13"/>
    </row>
    <row r="2159" spans="1:256" hidden="1" outlineLevel="2" x14ac:dyDescent="0.15">
      <c r="B2159" s="800" t="s">
        <v>1868</v>
      </c>
      <c r="C2159" s="981">
        <v>18.333333333300001</v>
      </c>
      <c r="D2159" s="980">
        <v>18.333333333300001</v>
      </c>
      <c r="E2159" s="815">
        <v>0</v>
      </c>
      <c r="F2159" s="812">
        <v>0</v>
      </c>
      <c r="G2159" s="981">
        <v>0</v>
      </c>
      <c r="H2159" s="807">
        <v>0.5</v>
      </c>
      <c r="M2159" s="13"/>
      <c r="N2159" s="13"/>
      <c r="O2159" s="13"/>
      <c r="P2159" s="13"/>
      <c r="Q2159" s="13"/>
      <c r="R2159" s="13"/>
      <c r="S2159" s="13"/>
      <c r="T2159" s="13"/>
      <c r="U2159" s="13"/>
      <c r="V2159" s="13"/>
    </row>
    <row r="2160" spans="1:256" hidden="1" outlineLevel="2" x14ac:dyDescent="0.15">
      <c r="B2160" s="800" t="s">
        <v>1869</v>
      </c>
      <c r="C2160" s="981">
        <v>14.666666666699999</v>
      </c>
      <c r="D2160" s="980">
        <v>14.666666666699999</v>
      </c>
      <c r="E2160" s="815">
        <v>0</v>
      </c>
      <c r="F2160" s="812">
        <v>0</v>
      </c>
      <c r="G2160" s="981">
        <v>0</v>
      </c>
      <c r="H2160" s="807">
        <v>0.5</v>
      </c>
      <c r="M2160" s="13"/>
      <c r="N2160" s="13"/>
      <c r="O2160" s="13"/>
      <c r="P2160" s="13"/>
      <c r="Q2160" s="13"/>
      <c r="R2160" s="13"/>
      <c r="S2160" s="13"/>
      <c r="T2160" s="13"/>
      <c r="U2160" s="13"/>
      <c r="V2160" s="13"/>
    </row>
    <row r="2161" spans="1:256" hidden="1" outlineLevel="2" x14ac:dyDescent="0.15">
      <c r="B2161" s="801"/>
      <c r="C2161" s="1039"/>
      <c r="D2161" s="1045"/>
      <c r="E2161" s="817"/>
      <c r="F2161" s="813"/>
      <c r="G2161" s="1039"/>
      <c r="H2161" s="814"/>
    </row>
    <row r="2162" spans="1:256" hidden="1" outlineLevel="2" x14ac:dyDescent="0.15"/>
    <row r="2163" spans="1:256" ht="25.5" hidden="1" customHeight="1" outlineLevel="2" x14ac:dyDescent="0.15">
      <c r="B2163" s="1925" t="s">
        <v>1870</v>
      </c>
      <c r="C2163" s="1926"/>
      <c r="Q2163" s="13"/>
      <c r="R2163" s="13"/>
      <c r="S2163" s="13"/>
      <c r="T2163" s="13"/>
      <c r="U2163" s="13"/>
      <c r="V2163" s="13"/>
    </row>
    <row r="2164" spans="1:256" hidden="1" outlineLevel="2" x14ac:dyDescent="0.15">
      <c r="B2164" s="1070"/>
      <c r="C2164" s="836" t="s">
        <v>1871</v>
      </c>
      <c r="Q2164" s="13"/>
      <c r="R2164" s="13"/>
      <c r="S2164" s="13"/>
      <c r="T2164" s="13"/>
      <c r="U2164" s="13"/>
      <c r="V2164" s="13"/>
    </row>
    <row r="2165" spans="1:256" s="1324" customFormat="1" hidden="1" outlineLevel="2" x14ac:dyDescent="0.15">
      <c r="A2165" s="13"/>
      <c r="B2165" s="981" t="s">
        <v>1872</v>
      </c>
      <c r="C2165" s="1325">
        <v>0.84</v>
      </c>
      <c r="D2165" s="1326"/>
      <c r="E2165" s="1326"/>
      <c r="F2165" s="1326"/>
      <c r="G2165" s="1326"/>
      <c r="H2165" s="1326"/>
      <c r="I2165" s="1326"/>
      <c r="J2165" s="1326"/>
      <c r="K2165" s="1326"/>
      <c r="L2165" s="1326"/>
      <c r="M2165" s="1326"/>
      <c r="N2165" s="1326"/>
      <c r="O2165" s="1326"/>
      <c r="P2165" s="1326"/>
    </row>
    <row r="2166" spans="1:256" hidden="1" outlineLevel="2" x14ac:dyDescent="0.15">
      <c r="B2166" s="1039" t="s">
        <v>1873</v>
      </c>
      <c r="C2166" s="1069">
        <v>0.27900000000000003</v>
      </c>
      <c r="Q2166" s="13"/>
      <c r="R2166" s="13"/>
      <c r="S2166" s="13"/>
      <c r="T2166" s="13"/>
      <c r="U2166" s="13"/>
      <c r="V2166" s="13"/>
    </row>
    <row r="2167" spans="1:256" hidden="1" outlineLevel="2" x14ac:dyDescent="0.15">
      <c r="Q2167" s="13"/>
      <c r="R2167" s="13"/>
      <c r="S2167" s="13"/>
      <c r="T2167" s="13"/>
      <c r="U2167" s="13"/>
      <c r="V2167" s="13"/>
    </row>
    <row r="2168" spans="1:256" outlineLevel="1" x14ac:dyDescent="0.15">
      <c r="Q2168" s="13"/>
      <c r="R2168" s="13"/>
      <c r="S2168" s="13"/>
      <c r="T2168" s="13"/>
      <c r="U2168" s="13"/>
      <c r="V2168" s="13"/>
    </row>
    <row r="2169" spans="1:256" s="26" customFormat="1" ht="15.75" customHeight="1" outlineLevel="1" x14ac:dyDescent="0.15">
      <c r="A2169" s="13"/>
      <c r="B2169" s="1868" t="s">
        <v>1874</v>
      </c>
      <c r="C2169" s="1869"/>
      <c r="D2169" s="1869"/>
      <c r="E2169" s="1869"/>
      <c r="F2169" s="1869"/>
      <c r="G2169" s="1869"/>
      <c r="H2169" s="1869"/>
      <c r="I2169" s="1869"/>
      <c r="J2169" s="1870"/>
      <c r="K2169" s="28"/>
      <c r="L2169" s="28"/>
      <c r="M2169" s="28"/>
      <c r="N2169" s="28"/>
      <c r="O2169" s="28"/>
      <c r="P2169" s="28"/>
      <c r="Q2169" s="28"/>
      <c r="R2169" s="28"/>
      <c r="S2169" s="28"/>
      <c r="T2169" s="28"/>
      <c r="U2169" s="28"/>
      <c r="V2169" s="28"/>
      <c r="W2169" s="29"/>
      <c r="X2169" s="29"/>
      <c r="Y2169" s="29"/>
      <c r="Z2169" s="29"/>
      <c r="AA2169" s="29"/>
      <c r="AB2169" s="29"/>
      <c r="AC2169" s="29"/>
      <c r="AD2169" s="29"/>
      <c r="AE2169" s="29"/>
      <c r="AF2169" s="29"/>
      <c r="AG2169" s="29"/>
      <c r="AH2169" s="29"/>
      <c r="AI2169" s="29"/>
      <c r="AJ2169" s="29"/>
      <c r="AK2169" s="29"/>
      <c r="AL2169" s="29"/>
      <c r="AM2169" s="29"/>
      <c r="AN2169" s="29"/>
      <c r="AO2169" s="29"/>
      <c r="AP2169" s="29"/>
      <c r="AQ2169" s="29"/>
      <c r="AR2169" s="29"/>
      <c r="AS2169" s="29"/>
      <c r="AT2169" s="29"/>
      <c r="AU2169" s="29"/>
      <c r="AV2169" s="29"/>
      <c r="AW2169" s="29"/>
      <c r="AX2169" s="29"/>
      <c r="AY2169" s="29"/>
      <c r="AZ2169" s="29"/>
      <c r="BA2169" s="29"/>
      <c r="BB2169" s="29"/>
      <c r="BC2169" s="29"/>
      <c r="BD2169" s="29"/>
      <c r="BE2169" s="29"/>
      <c r="BF2169" s="29"/>
      <c r="BG2169" s="29"/>
      <c r="BH2169" s="29"/>
      <c r="BI2169" s="29"/>
      <c r="BJ2169" s="29"/>
      <c r="BK2169" s="29"/>
      <c r="BL2169" s="29"/>
      <c r="BM2169" s="29"/>
      <c r="BN2169" s="29"/>
      <c r="BO2169" s="29"/>
      <c r="BP2169" s="29"/>
      <c r="BQ2169" s="29"/>
      <c r="BR2169" s="29"/>
      <c r="BS2169" s="29"/>
      <c r="BT2169" s="29"/>
      <c r="BU2169" s="29"/>
      <c r="BV2169" s="29"/>
      <c r="BW2169" s="29"/>
      <c r="BX2169" s="29"/>
      <c r="BY2169" s="29"/>
      <c r="BZ2169" s="29"/>
      <c r="CA2169" s="29"/>
      <c r="CB2169" s="29"/>
      <c r="CC2169" s="29"/>
      <c r="CD2169" s="29"/>
      <c r="CE2169" s="29"/>
      <c r="CF2169" s="29"/>
      <c r="CG2169" s="29"/>
      <c r="CH2169" s="29"/>
      <c r="CI2169" s="29"/>
      <c r="CJ2169" s="29"/>
      <c r="CK2169" s="29"/>
      <c r="CL2169" s="29"/>
      <c r="CM2169" s="29"/>
      <c r="CN2169" s="29"/>
      <c r="CO2169" s="29"/>
      <c r="CP2169" s="29"/>
      <c r="CQ2169" s="29"/>
      <c r="CR2169" s="29"/>
      <c r="CS2169" s="29"/>
      <c r="CT2169" s="29"/>
      <c r="CU2169" s="29"/>
      <c r="CV2169" s="29"/>
      <c r="CW2169" s="29"/>
      <c r="CX2169" s="29"/>
      <c r="CY2169" s="29"/>
      <c r="CZ2169" s="29"/>
      <c r="DA2169" s="29"/>
      <c r="DB2169" s="29"/>
      <c r="DC2169" s="29"/>
      <c r="DD2169" s="29"/>
      <c r="DE2169" s="29"/>
      <c r="DF2169" s="29"/>
      <c r="DG2169" s="29"/>
      <c r="DH2169" s="29"/>
      <c r="DI2169" s="29"/>
      <c r="DJ2169" s="29"/>
      <c r="DK2169" s="29"/>
      <c r="DL2169" s="29"/>
      <c r="DM2169" s="29"/>
      <c r="DN2169" s="29"/>
      <c r="DO2169" s="29"/>
      <c r="DP2169" s="29"/>
      <c r="DQ2169" s="29"/>
      <c r="DR2169" s="29"/>
      <c r="DS2169" s="29"/>
      <c r="DT2169" s="29"/>
      <c r="DU2169" s="29"/>
      <c r="DV2169" s="29"/>
      <c r="DW2169" s="29"/>
      <c r="DX2169" s="29"/>
      <c r="DY2169" s="29"/>
      <c r="DZ2169" s="29"/>
      <c r="EA2169" s="29"/>
      <c r="EB2169" s="29"/>
      <c r="EC2169" s="29"/>
      <c r="ED2169" s="29"/>
      <c r="EE2169" s="29"/>
      <c r="EF2169" s="29"/>
      <c r="EG2169" s="29"/>
      <c r="EH2169" s="29"/>
      <c r="EI2169" s="29"/>
      <c r="EJ2169" s="29"/>
      <c r="EK2169" s="29"/>
      <c r="EL2169" s="29"/>
      <c r="EM2169" s="29"/>
      <c r="EN2169" s="29"/>
      <c r="EO2169" s="29"/>
      <c r="EP2169" s="29"/>
      <c r="EQ2169" s="29"/>
      <c r="ER2169" s="29"/>
      <c r="ES2169" s="29"/>
      <c r="ET2169" s="29"/>
      <c r="EU2169" s="29"/>
      <c r="EV2169" s="29"/>
      <c r="EW2169" s="29"/>
      <c r="EX2169" s="29"/>
      <c r="EY2169" s="29"/>
      <c r="EZ2169" s="29"/>
      <c r="FA2169" s="29"/>
      <c r="FB2169" s="29"/>
      <c r="FC2169" s="29"/>
      <c r="FD2169" s="29"/>
      <c r="FE2169" s="29"/>
      <c r="FF2169" s="29"/>
      <c r="FG2169" s="29"/>
      <c r="FH2169" s="29"/>
      <c r="FI2169" s="29"/>
      <c r="FJ2169" s="29"/>
      <c r="FK2169" s="29"/>
      <c r="FL2169" s="29"/>
      <c r="FM2169" s="29"/>
      <c r="FN2169" s="29"/>
      <c r="FO2169" s="29"/>
      <c r="FP2169" s="29"/>
      <c r="FQ2169" s="29"/>
      <c r="FR2169" s="29"/>
      <c r="FS2169" s="29"/>
      <c r="FT2169" s="29"/>
      <c r="FU2169" s="29"/>
      <c r="FV2169" s="29"/>
      <c r="FW2169" s="29"/>
      <c r="FX2169" s="29"/>
      <c r="FY2169" s="29"/>
      <c r="FZ2169" s="29"/>
      <c r="GA2169" s="29"/>
      <c r="GB2169" s="29"/>
      <c r="GC2169" s="13"/>
      <c r="GD2169" s="13"/>
      <c r="GE2169" s="13"/>
      <c r="GF2169" s="13"/>
      <c r="GG2169" s="13"/>
      <c r="GH2169" s="13"/>
      <c r="GI2169" s="13"/>
      <c r="GJ2169" s="13"/>
      <c r="GK2169" s="13"/>
      <c r="GL2169" s="13"/>
      <c r="GM2169" s="13"/>
      <c r="GN2169" s="13"/>
      <c r="GO2169" s="13"/>
      <c r="GP2169" s="13"/>
      <c r="GQ2169" s="13"/>
      <c r="GR2169" s="13"/>
      <c r="GS2169" s="13"/>
      <c r="GT2169" s="13"/>
      <c r="GU2169" s="13"/>
      <c r="GV2169" s="13"/>
      <c r="GW2169" s="13"/>
      <c r="GX2169" s="13"/>
      <c r="GY2169" s="13"/>
      <c r="GZ2169" s="13"/>
      <c r="HA2169" s="13"/>
      <c r="HB2169" s="13"/>
      <c r="HC2169" s="13"/>
      <c r="HD2169" s="13"/>
      <c r="HE2169" s="13"/>
      <c r="HF2169" s="13"/>
      <c r="HG2169" s="13"/>
      <c r="HH2169" s="13"/>
      <c r="HI2169" s="13"/>
      <c r="HJ2169" s="13"/>
      <c r="HK2169" s="13"/>
      <c r="HL2169" s="13"/>
      <c r="HM2169" s="13"/>
      <c r="HN2169" s="13"/>
      <c r="HO2169" s="13"/>
      <c r="HP2169" s="13"/>
      <c r="HQ2169" s="13"/>
      <c r="HR2169" s="13"/>
      <c r="HS2169" s="13"/>
      <c r="HT2169" s="13"/>
      <c r="HU2169" s="13"/>
      <c r="HV2169" s="13"/>
      <c r="HW2169" s="13"/>
      <c r="HX2169" s="13"/>
      <c r="HY2169" s="13"/>
      <c r="HZ2169" s="13"/>
      <c r="IA2169" s="13"/>
      <c r="IB2169" s="13"/>
      <c r="IC2169" s="13"/>
      <c r="ID2169" s="13"/>
      <c r="IE2169" s="13"/>
      <c r="IF2169" s="13"/>
      <c r="IG2169" s="13"/>
      <c r="IH2169" s="13"/>
      <c r="II2169" s="13"/>
      <c r="IJ2169" s="13"/>
      <c r="IK2169" s="13"/>
      <c r="IL2169" s="13"/>
      <c r="IM2169" s="13"/>
      <c r="IN2169" s="13"/>
      <c r="IO2169" s="13"/>
      <c r="IP2169" s="13"/>
      <c r="IQ2169" s="13"/>
      <c r="IR2169" s="13"/>
      <c r="IS2169" s="13"/>
      <c r="IT2169" s="13"/>
      <c r="IU2169" s="13"/>
      <c r="IV2169" s="13"/>
    </row>
    <row r="2170" spans="1:256" outlineLevel="2" x14ac:dyDescent="0.15">
      <c r="Q2170" s="13"/>
      <c r="R2170" s="13"/>
      <c r="S2170" s="13"/>
      <c r="T2170" s="13"/>
      <c r="U2170" s="13"/>
      <c r="V2170" s="13"/>
    </row>
    <row r="2171" spans="1:256" outlineLevel="2" x14ac:dyDescent="0.15">
      <c r="B2171" s="982" t="s">
        <v>1875</v>
      </c>
      <c r="C2171" s="984" t="s">
        <v>1876</v>
      </c>
      <c r="Q2171" s="13"/>
      <c r="R2171" s="13"/>
      <c r="S2171" s="13"/>
      <c r="T2171" s="13"/>
      <c r="U2171" s="13"/>
      <c r="V2171" s="13"/>
    </row>
    <row r="2172" spans="1:256" outlineLevel="2" x14ac:dyDescent="0.15">
      <c r="B2172" s="986" t="s">
        <v>1877</v>
      </c>
      <c r="C2172" s="806">
        <f>COLUMN(R2180)-1</f>
        <v>17</v>
      </c>
      <c r="Q2172" s="13"/>
      <c r="R2172" s="13"/>
      <c r="S2172" s="13"/>
      <c r="T2172" s="13"/>
      <c r="U2172" s="13"/>
      <c r="V2172" s="13"/>
    </row>
    <row r="2173" spans="1:256" outlineLevel="2" x14ac:dyDescent="0.15">
      <c r="B2173" s="986" t="s">
        <v>1878</v>
      </c>
      <c r="C2173" s="806">
        <f>COLUMN(T2180)-1</f>
        <v>19</v>
      </c>
      <c r="Q2173" s="13"/>
      <c r="R2173" s="13"/>
      <c r="S2173" s="13"/>
      <c r="T2173" s="13"/>
      <c r="U2173" s="13"/>
      <c r="V2173" s="13"/>
    </row>
    <row r="2174" spans="1:256" outlineLevel="2" x14ac:dyDescent="0.15">
      <c r="B2174" s="986" t="s">
        <v>1879</v>
      </c>
      <c r="C2174" s="806">
        <f>COLUMN(V2180)-1</f>
        <v>21</v>
      </c>
      <c r="Q2174" s="13"/>
      <c r="R2174" s="13"/>
      <c r="S2174" s="13"/>
      <c r="T2174" s="13"/>
      <c r="U2174" s="13"/>
      <c r="V2174" s="13"/>
    </row>
    <row r="2175" spans="1:256" outlineLevel="2" x14ac:dyDescent="0.15">
      <c r="B2175" s="986" t="s">
        <v>1880</v>
      </c>
      <c r="C2175" s="806">
        <f>COLUMN(Y2180)-1</f>
        <v>24</v>
      </c>
      <c r="Q2175" s="13"/>
      <c r="R2175" s="13"/>
      <c r="S2175" s="13"/>
      <c r="T2175" s="13"/>
      <c r="U2175" s="13"/>
      <c r="V2175" s="13"/>
    </row>
    <row r="2176" spans="1:256" outlineLevel="2" x14ac:dyDescent="0.15">
      <c r="B2176" s="986" t="s">
        <v>1881</v>
      </c>
      <c r="C2176" s="806">
        <f>COLUMN(Z2180)-1</f>
        <v>25</v>
      </c>
      <c r="Q2176" s="13"/>
      <c r="R2176" s="13"/>
      <c r="S2176" s="13"/>
      <c r="T2176" s="13"/>
      <c r="U2176" s="13"/>
      <c r="V2176" s="13"/>
    </row>
    <row r="2177" spans="2:34" outlineLevel="2" x14ac:dyDescent="0.15">
      <c r="B2177" s="1053"/>
      <c r="C2177" s="802"/>
    </row>
    <row r="2178" spans="2:34" outlineLevel="2" x14ac:dyDescent="0.15">
      <c r="B2178" s="6"/>
      <c r="C2178" s="6"/>
      <c r="D2178" s="6"/>
      <c r="E2178" s="6"/>
      <c r="F2178" s="6"/>
      <c r="G2178" s="6"/>
      <c r="H2178" s="6"/>
      <c r="I2178" s="6"/>
      <c r="J2178" s="6"/>
      <c r="K2178" s="6"/>
      <c r="L2178" s="6"/>
      <c r="M2178" s="6"/>
      <c r="N2178" s="6"/>
      <c r="O2178" s="6"/>
      <c r="P2178" s="6"/>
      <c r="Q2178" s="6"/>
      <c r="R2178" s="6"/>
      <c r="S2178" s="6"/>
      <c r="T2178" s="6"/>
      <c r="U2178" s="6"/>
      <c r="V2178" s="6"/>
      <c r="W2178" s="6"/>
      <c r="X2178" s="6"/>
      <c r="Y2178" s="6"/>
      <c r="Z2178" s="6"/>
      <c r="AA2178" s="6"/>
      <c r="AB2178" s="6"/>
      <c r="AC2178" s="6"/>
      <c r="AD2178" s="6"/>
      <c r="AE2178" s="6"/>
      <c r="AF2178" s="6"/>
      <c r="AG2178" s="6"/>
      <c r="AH2178" s="6"/>
    </row>
    <row r="2179" spans="2:34" outlineLevel="2" x14ac:dyDescent="0.15">
      <c r="B2179" s="1064" t="s">
        <v>1882</v>
      </c>
      <c r="C2179" s="1909" t="s">
        <v>1884</v>
      </c>
      <c r="D2179" s="1910"/>
      <c r="E2179" s="1910"/>
      <c r="F2179" s="1910"/>
      <c r="G2179" s="1911"/>
      <c r="H2179" s="1909" t="s">
        <v>1885</v>
      </c>
      <c r="I2179" s="1910"/>
      <c r="J2179" s="1910"/>
      <c r="K2179" s="1910"/>
      <c r="L2179" s="1911"/>
      <c r="M2179" s="1909" t="s">
        <v>1886</v>
      </c>
      <c r="N2179" s="1910"/>
      <c r="O2179" s="1910"/>
      <c r="P2179" s="1910"/>
      <c r="Q2179" s="1911"/>
      <c r="R2179" s="1912" t="s">
        <v>1519</v>
      </c>
      <c r="S2179" s="1913"/>
      <c r="T2179" s="1913"/>
      <c r="U2179" s="1913"/>
      <c r="V2179" s="1913"/>
      <c r="W2179" s="1913"/>
      <c r="X2179" s="1913"/>
      <c r="Y2179" s="1913"/>
      <c r="Z2179" s="1914"/>
      <c r="AA2179" s="898"/>
      <c r="AB2179" s="4"/>
      <c r="AC2179" s="4"/>
      <c r="AD2179" s="4"/>
      <c r="AE2179" s="4"/>
      <c r="AF2179" s="4"/>
      <c r="AG2179" s="4"/>
      <c r="AH2179" s="4"/>
    </row>
    <row r="2180" spans="2:34" outlineLevel="2" x14ac:dyDescent="0.15">
      <c r="B2180" s="899"/>
      <c r="C2180" s="1863" t="s">
        <v>767</v>
      </c>
      <c r="D2180" s="1876" t="s">
        <v>1516</v>
      </c>
      <c r="E2180" s="1877"/>
      <c r="F2180" s="1877"/>
      <c r="G2180" s="1878"/>
      <c r="H2180" s="1863" t="s">
        <v>767</v>
      </c>
      <c r="I2180" s="1876" t="s">
        <v>1515</v>
      </c>
      <c r="J2180" s="1877"/>
      <c r="K2180" s="1877"/>
      <c r="L2180" s="1878"/>
      <c r="M2180" s="1863" t="s">
        <v>767</v>
      </c>
      <c r="N2180" s="1876" t="s">
        <v>1515</v>
      </c>
      <c r="O2180" s="1877"/>
      <c r="P2180" s="1877"/>
      <c r="Q2180" s="1878"/>
      <c r="R2180" s="1584" t="s">
        <v>1893</v>
      </c>
      <c r="S2180" s="1858" t="s">
        <v>1888</v>
      </c>
      <c r="T2180" s="1858"/>
      <c r="U2180" s="1858" t="s">
        <v>1887</v>
      </c>
      <c r="V2180" s="1858"/>
      <c r="W2180" s="1858" t="s">
        <v>1889</v>
      </c>
      <c r="X2180" s="1858"/>
      <c r="Y2180" s="1858"/>
      <c r="Z2180" s="1584" t="s">
        <v>1892</v>
      </c>
      <c r="AA2180" s="834"/>
      <c r="AB2180" s="4"/>
      <c r="AC2180" s="4"/>
      <c r="AD2180" s="4"/>
      <c r="AE2180" s="4"/>
      <c r="AF2180" s="4"/>
      <c r="AG2180" s="4"/>
      <c r="AH2180" s="4"/>
    </row>
    <row r="2181" spans="2:34" ht="42" outlineLevel="2" x14ac:dyDescent="0.15">
      <c r="B2181" s="1580" t="s">
        <v>1883</v>
      </c>
      <c r="C2181" s="1864"/>
      <c r="D2181" s="1041" t="s">
        <v>1510</v>
      </c>
      <c r="E2181" s="1504" t="s">
        <v>1511</v>
      </c>
      <c r="F2181" s="1504" t="s">
        <v>1512</v>
      </c>
      <c r="G2181" s="962" t="s">
        <v>1513</v>
      </c>
      <c r="H2181" s="1864"/>
      <c r="I2181" s="1046" t="s">
        <v>14</v>
      </c>
      <c r="J2181" s="1047" t="s">
        <v>695</v>
      </c>
      <c r="K2181" s="1047" t="s">
        <v>27</v>
      </c>
      <c r="L2181" s="1319" t="s">
        <v>694</v>
      </c>
      <c r="M2181" s="1864"/>
      <c r="N2181" s="1046" t="s">
        <v>14</v>
      </c>
      <c r="O2181" s="1047" t="s">
        <v>695</v>
      </c>
      <c r="P2181" s="1047" t="s">
        <v>27</v>
      </c>
      <c r="Q2181" s="1319" t="s">
        <v>694</v>
      </c>
      <c r="R2181" s="927" t="s">
        <v>1514</v>
      </c>
      <c r="S2181" s="1077" t="s">
        <v>2550</v>
      </c>
      <c r="T2181" s="1054" t="s">
        <v>767</v>
      </c>
      <c r="U2181" s="1077" t="s">
        <v>2550</v>
      </c>
      <c r="V2181" s="1054" t="s">
        <v>767</v>
      </c>
      <c r="W2181" s="1077" t="s">
        <v>1890</v>
      </c>
      <c r="X2181" s="881" t="s">
        <v>1891</v>
      </c>
      <c r="Y2181" s="1054" t="s">
        <v>767</v>
      </c>
      <c r="Z2181" s="927" t="s">
        <v>767</v>
      </c>
      <c r="AA2181" s="836" t="s">
        <v>723</v>
      </c>
      <c r="AB2181" s="4"/>
      <c r="AC2181" s="4"/>
      <c r="AD2181" s="4"/>
      <c r="AE2181" s="4"/>
      <c r="AF2181" s="4"/>
      <c r="AG2181" s="4"/>
      <c r="AH2181" s="4"/>
    </row>
    <row r="2182" spans="2:34" outlineLevel="2" x14ac:dyDescent="0.15">
      <c r="B2182" s="877" t="s">
        <v>1894</v>
      </c>
      <c r="C2182" s="877">
        <f t="shared" ref="C2182:G2189" si="73">C$2157+C$2158</f>
        <v>33</v>
      </c>
      <c r="D2182" s="978">
        <f t="shared" si="73"/>
        <v>33</v>
      </c>
      <c r="E2182" s="883">
        <f t="shared" si="73"/>
        <v>0</v>
      </c>
      <c r="F2182" s="979">
        <f>F$2157+F$2158</f>
        <v>0</v>
      </c>
      <c r="G2182" s="877">
        <f t="shared" si="73"/>
        <v>0</v>
      </c>
      <c r="H2182" s="981">
        <f>C2182</f>
        <v>33</v>
      </c>
      <c r="I2182" s="978">
        <f t="shared" ref="I2182:L2184" si="74">D2182</f>
        <v>33</v>
      </c>
      <c r="J2182" s="883">
        <f t="shared" si="74"/>
        <v>0</v>
      </c>
      <c r="K2182" s="979">
        <f t="shared" si="74"/>
        <v>0</v>
      </c>
      <c r="L2182" s="981">
        <f t="shared" si="74"/>
        <v>0</v>
      </c>
      <c r="M2182" s="981">
        <f t="shared" ref="M2182:Q2184" si="75">H2182</f>
        <v>33</v>
      </c>
      <c r="N2182" s="978">
        <f t="shared" si="75"/>
        <v>33</v>
      </c>
      <c r="O2182" s="883">
        <f t="shared" si="75"/>
        <v>0</v>
      </c>
      <c r="P2182" s="979">
        <f t="shared" si="75"/>
        <v>0</v>
      </c>
      <c r="Q2182" s="981">
        <f t="shared" si="75"/>
        <v>0</v>
      </c>
      <c r="R2182" s="981">
        <v>0</v>
      </c>
      <c r="S2182" s="980">
        <v>0</v>
      </c>
      <c r="T2182" s="812">
        <f t="shared" ref="T2182:T2189" si="76">-S2182*$C$2165</f>
        <v>0</v>
      </c>
      <c r="U2182" s="980">
        <v>0</v>
      </c>
      <c r="V2182" s="812">
        <f t="shared" ref="V2182:V2189" si="77">-U2182*$C$2166</f>
        <v>0</v>
      </c>
      <c r="W2182" s="980">
        <v>0</v>
      </c>
      <c r="X2182" s="815">
        <v>0</v>
      </c>
      <c r="Y2182" s="812">
        <f t="shared" ref="Y2182:Y2189" si="78">-W2182*$C$2165-X2182*$C$2166</f>
        <v>0</v>
      </c>
      <c r="Z2182" s="981">
        <f>(R2182*D2273+T2182*E2273+V2182*F2273+Y2182*G2273)/SUM(D2273:G2273)</f>
        <v>0</v>
      </c>
      <c r="AA2182" s="805">
        <v>0.5</v>
      </c>
      <c r="AB2182" s="683"/>
      <c r="AC2182" s="4"/>
      <c r="AD2182" s="4"/>
      <c r="AE2182" s="4"/>
      <c r="AF2182" s="4"/>
      <c r="AG2182" s="4"/>
      <c r="AH2182" s="4"/>
    </row>
    <row r="2183" spans="2:34" outlineLevel="2" x14ac:dyDescent="0.15">
      <c r="B2183" s="981" t="s">
        <v>1895</v>
      </c>
      <c r="C2183" s="981">
        <f t="shared" si="73"/>
        <v>33</v>
      </c>
      <c r="D2183" s="980">
        <f t="shared" si="73"/>
        <v>33</v>
      </c>
      <c r="E2183" s="815">
        <f t="shared" si="73"/>
        <v>0</v>
      </c>
      <c r="F2183" s="812">
        <f t="shared" si="73"/>
        <v>0</v>
      </c>
      <c r="G2183" s="981">
        <f t="shared" si="73"/>
        <v>0</v>
      </c>
      <c r="H2183" s="981">
        <f>C2183</f>
        <v>33</v>
      </c>
      <c r="I2183" s="980">
        <f t="shared" si="74"/>
        <v>33</v>
      </c>
      <c r="J2183" s="815">
        <f t="shared" si="74"/>
        <v>0</v>
      </c>
      <c r="K2183" s="812">
        <f t="shared" si="74"/>
        <v>0</v>
      </c>
      <c r="L2183" s="981">
        <f t="shared" si="74"/>
        <v>0</v>
      </c>
      <c r="M2183" s="981">
        <f t="shared" si="75"/>
        <v>33</v>
      </c>
      <c r="N2183" s="980">
        <f t="shared" si="75"/>
        <v>33</v>
      </c>
      <c r="O2183" s="815">
        <f t="shared" si="75"/>
        <v>0</v>
      </c>
      <c r="P2183" s="812">
        <f t="shared" si="75"/>
        <v>0</v>
      </c>
      <c r="Q2183" s="981">
        <f t="shared" si="75"/>
        <v>0</v>
      </c>
      <c r="R2183" s="981">
        <v>0</v>
      </c>
      <c r="S2183" s="980">
        <v>0</v>
      </c>
      <c r="T2183" s="812">
        <f t="shared" si="76"/>
        <v>0</v>
      </c>
      <c r="U2183" s="980">
        <v>0</v>
      </c>
      <c r="V2183" s="812">
        <f t="shared" si="77"/>
        <v>0</v>
      </c>
      <c r="W2183" s="980">
        <v>0</v>
      </c>
      <c r="X2183" s="815">
        <v>0</v>
      </c>
      <c r="Y2183" s="812">
        <f t="shared" si="78"/>
        <v>0</v>
      </c>
      <c r="Z2183" s="981">
        <f>(R2183*D2274+T2183*E2274+V2183*F2274+Y2183*G2274)/SUM(D2274:G2274)</f>
        <v>0</v>
      </c>
      <c r="AA2183" s="807">
        <v>0.5</v>
      </c>
      <c r="AB2183" s="4"/>
      <c r="AC2183" s="4"/>
      <c r="AD2183" s="4"/>
      <c r="AE2183" s="4"/>
      <c r="AF2183" s="4"/>
      <c r="AG2183" s="4"/>
      <c r="AH2183" s="4"/>
    </row>
    <row r="2184" spans="2:34" outlineLevel="2" x14ac:dyDescent="0.15">
      <c r="B2184" s="981" t="s">
        <v>1896</v>
      </c>
      <c r="C2184" s="981">
        <f t="shared" si="73"/>
        <v>33</v>
      </c>
      <c r="D2184" s="980">
        <f t="shared" si="73"/>
        <v>33</v>
      </c>
      <c r="E2184" s="815">
        <f t="shared" si="73"/>
        <v>0</v>
      </c>
      <c r="F2184" s="812">
        <f t="shared" si="73"/>
        <v>0</v>
      </c>
      <c r="G2184" s="981">
        <f t="shared" si="73"/>
        <v>0</v>
      </c>
      <c r="H2184" s="981">
        <f>C2184</f>
        <v>33</v>
      </c>
      <c r="I2184" s="980">
        <f t="shared" si="74"/>
        <v>33</v>
      </c>
      <c r="J2184" s="815">
        <f t="shared" si="74"/>
        <v>0</v>
      </c>
      <c r="K2184" s="812">
        <f t="shared" si="74"/>
        <v>0</v>
      </c>
      <c r="L2184" s="981">
        <f t="shared" si="74"/>
        <v>0</v>
      </c>
      <c r="M2184" s="981">
        <f t="shared" si="75"/>
        <v>33</v>
      </c>
      <c r="N2184" s="980">
        <f t="shared" si="75"/>
        <v>33</v>
      </c>
      <c r="O2184" s="815">
        <f t="shared" si="75"/>
        <v>0</v>
      </c>
      <c r="P2184" s="812">
        <f t="shared" si="75"/>
        <v>0</v>
      </c>
      <c r="Q2184" s="981">
        <f t="shared" si="75"/>
        <v>0</v>
      </c>
      <c r="R2184" s="981">
        <v>0</v>
      </c>
      <c r="S2184" s="980">
        <v>0</v>
      </c>
      <c r="T2184" s="812">
        <f t="shared" si="76"/>
        <v>0</v>
      </c>
      <c r="U2184" s="980">
        <v>0</v>
      </c>
      <c r="V2184" s="812">
        <f t="shared" si="77"/>
        <v>0</v>
      </c>
      <c r="W2184" s="980">
        <v>0</v>
      </c>
      <c r="X2184" s="815">
        <v>0</v>
      </c>
      <c r="Y2184" s="812">
        <f t="shared" si="78"/>
        <v>0</v>
      </c>
      <c r="Z2184" s="981">
        <f>(R2184*D2275+T2184*E2275+V2184*F2275+Y2184*G2275)/SUM(D2275:G2275)</f>
        <v>0</v>
      </c>
      <c r="AA2184" s="807">
        <v>0.5</v>
      </c>
      <c r="AB2184" s="4"/>
      <c r="AC2184" s="4"/>
      <c r="AD2184" s="4"/>
      <c r="AE2184" s="4"/>
      <c r="AF2184" s="4"/>
      <c r="AG2184" s="4"/>
      <c r="AH2184" s="4"/>
    </row>
    <row r="2185" spans="2:34" outlineLevel="2" x14ac:dyDescent="0.15">
      <c r="B2185" s="981" t="s">
        <v>1548</v>
      </c>
      <c r="C2185" s="981">
        <f t="shared" si="73"/>
        <v>33</v>
      </c>
      <c r="D2185" s="980">
        <f t="shared" si="73"/>
        <v>33</v>
      </c>
      <c r="E2185" s="815">
        <f t="shared" si="73"/>
        <v>0</v>
      </c>
      <c r="F2185" s="812">
        <f t="shared" si="73"/>
        <v>0</v>
      </c>
      <c r="G2185" s="981">
        <f t="shared" si="73"/>
        <v>0</v>
      </c>
      <c r="H2185" s="981">
        <v>2683</v>
      </c>
      <c r="I2185" s="980">
        <v>33</v>
      </c>
      <c r="J2185" s="815">
        <v>2650</v>
      </c>
      <c r="K2185" s="812">
        <v>0</v>
      </c>
      <c r="L2185" s="981">
        <v>355</v>
      </c>
      <c r="M2185" s="981">
        <v>825</v>
      </c>
      <c r="N2185" s="980">
        <v>33</v>
      </c>
      <c r="O2185" s="815">
        <v>792</v>
      </c>
      <c r="P2185" s="812">
        <v>0</v>
      </c>
      <c r="Q2185" s="981">
        <v>558.34666666700002</v>
      </c>
      <c r="R2185" s="981">
        <v>0</v>
      </c>
      <c r="S2185" s="980">
        <v>374.03520000000003</v>
      </c>
      <c r="T2185" s="812">
        <f t="shared" si="76"/>
        <v>-314.18956800000001</v>
      </c>
      <c r="U2185" s="980">
        <v>963.42399999999998</v>
      </c>
      <c r="V2185" s="812">
        <f t="shared" si="77"/>
        <v>-268.79529600000001</v>
      </c>
      <c r="W2185" s="980">
        <v>374.03520000000003</v>
      </c>
      <c r="X2185" s="815">
        <v>510.04800000000006</v>
      </c>
      <c r="Y2185" s="812">
        <f t="shared" si="78"/>
        <v>-456.49296000000004</v>
      </c>
      <c r="Z2185" s="981">
        <f>(R2185*D2276+T2185*E2276+V2185*F2276+Y2185*G2276)/SUM(D2276:G2276)</f>
        <v>-114.13854144000001</v>
      </c>
      <c r="AA2185" s="807">
        <v>0.5</v>
      </c>
      <c r="AB2185" s="4"/>
      <c r="AC2185" s="4"/>
      <c r="AD2185" s="4"/>
      <c r="AE2185" s="4"/>
      <c r="AF2185" s="4"/>
      <c r="AG2185" s="4"/>
      <c r="AH2185" s="4"/>
    </row>
    <row r="2186" spans="2:34" outlineLevel="2" x14ac:dyDescent="0.15">
      <c r="B2186" s="981" t="s">
        <v>1549</v>
      </c>
      <c r="C2186" s="981">
        <f t="shared" si="73"/>
        <v>33</v>
      </c>
      <c r="D2186" s="980">
        <f t="shared" si="73"/>
        <v>33</v>
      </c>
      <c r="E2186" s="815">
        <f t="shared" si="73"/>
        <v>0</v>
      </c>
      <c r="F2186" s="812">
        <f t="shared" si="73"/>
        <v>0</v>
      </c>
      <c r="G2186" s="981">
        <f t="shared" si="73"/>
        <v>0</v>
      </c>
      <c r="H2186" s="981">
        <v>2758</v>
      </c>
      <c r="I2186" s="980">
        <v>33</v>
      </c>
      <c r="J2186" s="815">
        <v>2725</v>
      </c>
      <c r="K2186" s="812">
        <v>0</v>
      </c>
      <c r="L2186" s="981">
        <v>368</v>
      </c>
      <c r="M2186" s="981">
        <v>858</v>
      </c>
      <c r="N2186" s="980">
        <v>33</v>
      </c>
      <c r="O2186" s="815">
        <v>825</v>
      </c>
      <c r="P2186" s="812">
        <v>0</v>
      </c>
      <c r="Q2186" s="981">
        <v>578</v>
      </c>
      <c r="R2186" s="981">
        <v>0</v>
      </c>
      <c r="S2186" s="980">
        <v>387.63648000000001</v>
      </c>
      <c r="T2186" s="812">
        <f t="shared" si="76"/>
        <v>-325.61464319999999</v>
      </c>
      <c r="U2186" s="980">
        <v>998.45759999999996</v>
      </c>
      <c r="V2186" s="812">
        <f t="shared" si="77"/>
        <v>-278.56967040000001</v>
      </c>
      <c r="W2186" s="980">
        <v>387.63648000000001</v>
      </c>
      <c r="X2186" s="815">
        <v>528.59519999999998</v>
      </c>
      <c r="Y2186" s="812">
        <f t="shared" si="78"/>
        <v>-473.09270400000003</v>
      </c>
      <c r="Z2186" s="981">
        <f>(R2186*D2277+T2186*E2277+V2186*F2277+Y2186*G2277)/SUM(D2277:G2277)</f>
        <v>-118.289033856</v>
      </c>
      <c r="AA2186" s="807">
        <v>0.5</v>
      </c>
      <c r="AB2186" s="4"/>
      <c r="AC2186" s="4"/>
      <c r="AD2186" s="4"/>
      <c r="AE2186" s="4"/>
      <c r="AF2186" s="4"/>
      <c r="AG2186" s="4"/>
      <c r="AH2186" s="4"/>
    </row>
    <row r="2187" spans="2:34" outlineLevel="2" x14ac:dyDescent="0.15">
      <c r="B2187" s="981" t="s">
        <v>2025</v>
      </c>
      <c r="C2187" s="981">
        <f t="shared" si="73"/>
        <v>33</v>
      </c>
      <c r="D2187" s="980">
        <f t="shared" si="73"/>
        <v>33</v>
      </c>
      <c r="E2187" s="815">
        <f t="shared" si="73"/>
        <v>0</v>
      </c>
      <c r="F2187" s="812">
        <f t="shared" si="73"/>
        <v>0</v>
      </c>
      <c r="G2187" s="981">
        <f t="shared" si="73"/>
        <v>0</v>
      </c>
      <c r="H2187" s="981">
        <v>1733</v>
      </c>
      <c r="I2187" s="980">
        <v>33</v>
      </c>
      <c r="J2187" s="815">
        <v>1700</v>
      </c>
      <c r="K2187" s="812">
        <v>0</v>
      </c>
      <c r="L2187" s="981">
        <v>230</v>
      </c>
      <c r="M2187" s="981">
        <v>558</v>
      </c>
      <c r="N2187" s="980">
        <v>33</v>
      </c>
      <c r="O2187" s="815">
        <v>525</v>
      </c>
      <c r="P2187" s="812">
        <v>0</v>
      </c>
      <c r="Q2187" s="981">
        <v>361</v>
      </c>
      <c r="R2187" s="981">
        <v>0</v>
      </c>
      <c r="S2187" s="980">
        <v>242.27279999999996</v>
      </c>
      <c r="T2187" s="812">
        <f t="shared" si="76"/>
        <v>-203.50915199999997</v>
      </c>
      <c r="U2187" s="980">
        <v>624.03599999999983</v>
      </c>
      <c r="V2187" s="812">
        <f t="shared" si="77"/>
        <v>-174.10604399999997</v>
      </c>
      <c r="W2187" s="980">
        <v>242.27279999999996</v>
      </c>
      <c r="X2187" s="815">
        <v>330.37199999999996</v>
      </c>
      <c r="Y2187" s="812">
        <f t="shared" si="78"/>
        <v>-295.68293999999997</v>
      </c>
      <c r="Z2187" s="981">
        <f>IF(SUM(D2278:G2278)=0,0,(R2187*D2278+T2187*E2278+V2187*F2278+Y2187*G2278)/SUM(D2278:G2278))</f>
        <v>-73.930646159999995</v>
      </c>
      <c r="AA2187" s="807">
        <v>0.5</v>
      </c>
      <c r="AB2187" s="4"/>
      <c r="AC2187" s="4"/>
      <c r="AD2187" s="4"/>
      <c r="AE2187" s="4"/>
      <c r="AF2187" s="4"/>
      <c r="AG2187" s="4"/>
      <c r="AH2187" s="4"/>
    </row>
    <row r="2188" spans="2:34" outlineLevel="2" x14ac:dyDescent="0.15">
      <c r="B2188" s="981" t="s">
        <v>1897</v>
      </c>
      <c r="C2188" s="981">
        <f t="shared" si="73"/>
        <v>33</v>
      </c>
      <c r="D2188" s="980">
        <f t="shared" si="73"/>
        <v>33</v>
      </c>
      <c r="E2188" s="815">
        <f t="shared" si="73"/>
        <v>0</v>
      </c>
      <c r="F2188" s="812">
        <f t="shared" si="73"/>
        <v>0</v>
      </c>
      <c r="G2188" s="981">
        <f t="shared" si="73"/>
        <v>0</v>
      </c>
      <c r="H2188" s="981">
        <v>1158</v>
      </c>
      <c r="I2188" s="980">
        <v>33</v>
      </c>
      <c r="J2188" s="815">
        <v>1125</v>
      </c>
      <c r="K2188" s="812">
        <v>0</v>
      </c>
      <c r="L2188" s="981">
        <v>152</v>
      </c>
      <c r="M2188" s="981">
        <v>383</v>
      </c>
      <c r="N2188" s="980">
        <v>33</v>
      </c>
      <c r="O2188" s="815">
        <v>350</v>
      </c>
      <c r="P2188" s="812">
        <v>0</v>
      </c>
      <c r="Q2188" s="981">
        <v>240</v>
      </c>
      <c r="R2188" s="981">
        <v>0</v>
      </c>
      <c r="S2188" s="980">
        <v>160.54946294079059</v>
      </c>
      <c r="T2188" s="812">
        <f t="shared" si="76"/>
        <v>-134.8615488702641</v>
      </c>
      <c r="U2188" s="980">
        <v>413.53649545355148</v>
      </c>
      <c r="V2188" s="812">
        <f t="shared" si="77"/>
        <v>-115.37668223154087</v>
      </c>
      <c r="W2188" s="980">
        <v>160.54946294079059</v>
      </c>
      <c r="X2188" s="815">
        <v>218.93108582835077</v>
      </c>
      <c r="Y2188" s="812">
        <f t="shared" si="78"/>
        <v>-195.94332181637398</v>
      </c>
      <c r="Z2188" s="981">
        <f>IF(SUM(D2287:G2287)=0,0,(R2188*D2287+T2188*E2287+V2188*F2287+Y2188*G2287)/SUM(D2287:G2287))</f>
        <v>-48.992398386668349</v>
      </c>
      <c r="AA2188" s="807">
        <v>0.5</v>
      </c>
      <c r="AB2188" s="4"/>
      <c r="AC2188" s="4"/>
      <c r="AD2188" s="4"/>
      <c r="AE2188" s="4"/>
      <c r="AF2188" s="4"/>
      <c r="AG2188" s="4"/>
      <c r="AH2188" s="4"/>
    </row>
    <row r="2189" spans="2:34" outlineLevel="2" x14ac:dyDescent="0.15">
      <c r="B2189" s="981" t="s">
        <v>1898</v>
      </c>
      <c r="C2189" s="981">
        <f t="shared" si="73"/>
        <v>33</v>
      </c>
      <c r="D2189" s="980">
        <f t="shared" si="73"/>
        <v>33</v>
      </c>
      <c r="E2189" s="815">
        <f t="shared" si="73"/>
        <v>0</v>
      </c>
      <c r="F2189" s="812">
        <f t="shared" si="73"/>
        <v>0</v>
      </c>
      <c r="G2189" s="981">
        <f t="shared" si="73"/>
        <v>0</v>
      </c>
      <c r="H2189" s="981">
        <f t="shared" ref="H2189:Q2189" si="79">C2189</f>
        <v>33</v>
      </c>
      <c r="I2189" s="980">
        <f t="shared" si="79"/>
        <v>33</v>
      </c>
      <c r="J2189" s="815">
        <f t="shared" si="79"/>
        <v>0</v>
      </c>
      <c r="K2189" s="812">
        <f t="shared" si="79"/>
        <v>0</v>
      </c>
      <c r="L2189" s="981">
        <f t="shared" si="79"/>
        <v>0</v>
      </c>
      <c r="M2189" s="981">
        <f t="shared" si="79"/>
        <v>33</v>
      </c>
      <c r="N2189" s="980">
        <f t="shared" si="79"/>
        <v>33</v>
      </c>
      <c r="O2189" s="815">
        <f t="shared" si="79"/>
        <v>0</v>
      </c>
      <c r="P2189" s="812">
        <f t="shared" si="79"/>
        <v>0</v>
      </c>
      <c r="Q2189" s="981">
        <f t="shared" si="79"/>
        <v>0</v>
      </c>
      <c r="R2189" s="981">
        <v>0</v>
      </c>
      <c r="S2189" s="980">
        <v>0</v>
      </c>
      <c r="T2189" s="812">
        <f t="shared" si="76"/>
        <v>0</v>
      </c>
      <c r="U2189" s="980">
        <v>0</v>
      </c>
      <c r="V2189" s="812">
        <f t="shared" si="77"/>
        <v>0</v>
      </c>
      <c r="W2189" s="980">
        <v>0</v>
      </c>
      <c r="X2189" s="815">
        <v>0</v>
      </c>
      <c r="Y2189" s="812">
        <f t="shared" si="78"/>
        <v>0</v>
      </c>
      <c r="Z2189" s="981">
        <f>(R2189*D2288+T2189*E2288+V2189*F2288+Y2189*G2288)/SUM(D2288:G2288)</f>
        <v>0</v>
      </c>
      <c r="AA2189" s="807">
        <v>0.5</v>
      </c>
      <c r="AB2189" s="4"/>
      <c r="AC2189" s="4"/>
      <c r="AD2189" s="4"/>
      <c r="AE2189" s="4"/>
      <c r="AF2189" s="4"/>
      <c r="AG2189" s="4"/>
      <c r="AH2189" s="4"/>
    </row>
    <row r="2190" spans="2:34" outlineLevel="2" x14ac:dyDescent="0.15">
      <c r="B2190" s="802"/>
      <c r="C2190" s="1039"/>
      <c r="D2190" s="1045"/>
      <c r="E2190" s="817"/>
      <c r="F2190" s="813"/>
      <c r="G2190" s="1039"/>
      <c r="H2190" s="960"/>
      <c r="I2190" s="1061"/>
      <c r="J2190" s="1075"/>
      <c r="K2190" s="1052"/>
      <c r="L2190" s="960"/>
      <c r="M2190" s="960"/>
      <c r="N2190" s="1061"/>
      <c r="O2190" s="1075"/>
      <c r="P2190" s="1052"/>
      <c r="Q2190" s="960"/>
      <c r="R2190" s="960"/>
      <c r="S2190" s="1061"/>
      <c r="T2190" s="1052"/>
      <c r="U2190" s="1061"/>
      <c r="V2190" s="1052"/>
      <c r="W2190" s="1061"/>
      <c r="X2190" s="1075"/>
      <c r="Y2190" s="1052"/>
      <c r="Z2190" s="960"/>
      <c r="AA2190" s="803"/>
      <c r="AB2190" s="4"/>
      <c r="AC2190" s="4"/>
      <c r="AD2190" s="4"/>
      <c r="AE2190" s="4"/>
      <c r="AF2190" s="4"/>
      <c r="AG2190" s="4"/>
      <c r="AH2190" s="4"/>
    </row>
    <row r="2191" spans="2:34" outlineLevel="2" x14ac:dyDescent="0.15">
      <c r="B2191" s="6"/>
      <c r="C2191" s="6"/>
      <c r="D2191" s="6"/>
      <c r="E2191" s="6"/>
      <c r="F2191" s="6"/>
      <c r="G2191" s="6"/>
      <c r="H2191" s="6"/>
      <c r="I2191" s="6"/>
      <c r="J2191" s="6"/>
      <c r="K2191" s="13"/>
      <c r="L2191" s="13"/>
      <c r="M2191" s="13"/>
      <c r="N2191" s="13"/>
      <c r="O2191" s="1908"/>
      <c r="P2191" s="1908"/>
      <c r="Q2191" s="6"/>
      <c r="R2191" s="6"/>
      <c r="S2191" s="6"/>
      <c r="T2191" s="6"/>
      <c r="U2191" s="6"/>
      <c r="V2191" s="6"/>
    </row>
    <row r="2192" spans="2:34" outlineLevel="2" x14ac:dyDescent="0.15">
      <c r="B2192" s="1475" t="s">
        <v>1899</v>
      </c>
      <c r="C2192" s="1893" t="s">
        <v>1903</v>
      </c>
      <c r="D2192" s="1894"/>
      <c r="E2192" s="1894"/>
      <c r="F2192" s="1894"/>
      <c r="G2192" s="1895"/>
      <c r="H2192" s="1076" t="s">
        <v>1892</v>
      </c>
      <c r="I2192" s="1076"/>
      <c r="J2192" s="887"/>
      <c r="K2192" s="13"/>
      <c r="L2192" s="13"/>
      <c r="M2192" s="13"/>
      <c r="N2192" s="13"/>
      <c r="O2192" s="15"/>
      <c r="P2192" s="15"/>
      <c r="W2192" s="4"/>
      <c r="X2192" s="4"/>
      <c r="Y2192" s="4"/>
      <c r="Z2192" s="4"/>
    </row>
    <row r="2193" spans="2:30" outlineLevel="2" x14ac:dyDescent="0.15">
      <c r="B2193" s="899"/>
      <c r="C2193" s="1863" t="s">
        <v>767</v>
      </c>
      <c r="D2193" s="1876" t="s">
        <v>1515</v>
      </c>
      <c r="E2193" s="1877"/>
      <c r="F2193" s="1877"/>
      <c r="G2193" s="1878"/>
      <c r="H2193" s="1586" t="s">
        <v>1901</v>
      </c>
      <c r="I2193" s="899"/>
      <c r="J2193" s="834"/>
      <c r="K2193" s="13"/>
      <c r="L2193" s="13"/>
      <c r="M2193" s="13"/>
      <c r="N2193" s="13"/>
      <c r="O2193" s="694"/>
      <c r="P2193" s="694"/>
      <c r="W2193" s="23"/>
      <c r="X2193" s="23"/>
      <c r="Y2193" s="23"/>
      <c r="Z2193" s="23"/>
      <c r="AA2193" s="23"/>
      <c r="AB2193" s="23"/>
      <c r="AC2193" s="23"/>
      <c r="AD2193" s="23"/>
    </row>
    <row r="2194" spans="2:30" ht="14" outlineLevel="2" x14ac:dyDescent="0.15">
      <c r="B2194" s="1580" t="s">
        <v>1883</v>
      </c>
      <c r="C2194" s="1864"/>
      <c r="D2194" s="1503" t="s">
        <v>14</v>
      </c>
      <c r="E2194" s="1504" t="s">
        <v>695</v>
      </c>
      <c r="F2194" s="1505" t="s">
        <v>27</v>
      </c>
      <c r="G2194" s="1319" t="s">
        <v>694</v>
      </c>
      <c r="H2194" s="962" t="s">
        <v>1510</v>
      </c>
      <c r="I2194" s="1580" t="s">
        <v>1902</v>
      </c>
      <c r="J2194" s="1340" t="s">
        <v>723</v>
      </c>
      <c r="K2194" s="13"/>
      <c r="L2194" s="13"/>
      <c r="M2194" s="13"/>
      <c r="N2194" s="13"/>
      <c r="O2194" s="714"/>
      <c r="P2194" s="694"/>
      <c r="W2194" s="23"/>
      <c r="X2194" s="23"/>
      <c r="Y2194" s="23"/>
      <c r="Z2194" s="23"/>
      <c r="AA2194" s="23"/>
      <c r="AB2194" s="23"/>
      <c r="AC2194" s="23"/>
      <c r="AD2194" s="23"/>
    </row>
    <row r="2195" spans="2:30" outlineLevel="2" x14ac:dyDescent="0.15">
      <c r="B2195" s="877" t="str">
        <f t="shared" ref="B2195:B2199" si="80">B2182</f>
        <v>Metals [1]</v>
      </c>
      <c r="C2195" s="981">
        <f t="shared" ref="C2195:H2195" si="81">IF(SUM($C2273:$G2273)=0,0,(H2182*$C2273+M2182*SUM($D2273:$G2273))/SUM($C2273:$G2273))</f>
        <v>33</v>
      </c>
      <c r="D2195" s="980">
        <f t="shared" si="81"/>
        <v>33</v>
      </c>
      <c r="E2195" s="815">
        <f t="shared" si="81"/>
        <v>0</v>
      </c>
      <c r="F2195" s="812">
        <f t="shared" si="81"/>
        <v>0</v>
      </c>
      <c r="G2195" s="981">
        <f t="shared" si="81"/>
        <v>0</v>
      </c>
      <c r="H2195" s="980">
        <f t="shared" si="81"/>
        <v>0</v>
      </c>
      <c r="I2195" s="829">
        <f>SUM(C2273:G2273)</f>
        <v>0.6</v>
      </c>
      <c r="J2195" s="895">
        <f t="shared" ref="J2195:J2199" si="82">AA2182</f>
        <v>0.5</v>
      </c>
      <c r="K2195" s="13"/>
      <c r="L2195" s="13"/>
      <c r="M2195" s="13"/>
      <c r="N2195" s="13"/>
      <c r="O2195" s="715"/>
      <c r="P2195" s="715"/>
      <c r="W2195" s="23"/>
      <c r="X2195" s="23"/>
      <c r="Y2195" s="23"/>
      <c r="Z2195" s="23"/>
      <c r="AA2195" s="23"/>
      <c r="AB2195" s="23"/>
      <c r="AC2195" s="23"/>
      <c r="AD2195" s="23"/>
    </row>
    <row r="2196" spans="2:30" outlineLevel="2" x14ac:dyDescent="0.15">
      <c r="B2196" s="981" t="str">
        <f t="shared" si="80"/>
        <v>Glass [1]</v>
      </c>
      <c r="C2196" s="981">
        <f t="shared" ref="C2196:G2199" si="83">(H2183*$C2274+M2183*SUM($D2274:$G2274))/SUM($C2274:$G2274)</f>
        <v>33</v>
      </c>
      <c r="D2196" s="980">
        <f t="shared" si="83"/>
        <v>33</v>
      </c>
      <c r="E2196" s="815">
        <f t="shared" si="83"/>
        <v>0</v>
      </c>
      <c r="F2196" s="812">
        <f t="shared" si="83"/>
        <v>0</v>
      </c>
      <c r="G2196" s="981">
        <f t="shared" si="83"/>
        <v>0</v>
      </c>
      <c r="H2196" s="980">
        <f>Z2183</f>
        <v>0</v>
      </c>
      <c r="I2196" s="829">
        <f>SUM(C2274:G2274)</f>
        <v>0.4</v>
      </c>
      <c r="J2196" s="895">
        <f t="shared" si="82"/>
        <v>0.5</v>
      </c>
      <c r="K2196" s="13"/>
      <c r="L2196" s="13"/>
      <c r="M2196" s="13"/>
      <c r="N2196" s="13"/>
      <c r="O2196" s="715"/>
      <c r="P2196" s="715"/>
      <c r="W2196" s="23"/>
      <c r="X2196" s="23"/>
      <c r="Y2196" s="23"/>
      <c r="Z2196" s="23"/>
      <c r="AA2196" s="23"/>
      <c r="AB2196" s="23"/>
      <c r="AC2196" s="23"/>
      <c r="AD2196" s="23"/>
    </row>
    <row r="2197" spans="2:30" outlineLevel="2" x14ac:dyDescent="0.15">
      <c r="B2197" s="981" t="str">
        <f t="shared" si="80"/>
        <v>Plastics [1]</v>
      </c>
      <c r="C2197" s="981">
        <f t="shared" si="83"/>
        <v>33</v>
      </c>
      <c r="D2197" s="980">
        <f t="shared" si="83"/>
        <v>33</v>
      </c>
      <c r="E2197" s="815">
        <f t="shared" si="83"/>
        <v>0</v>
      </c>
      <c r="F2197" s="812">
        <f t="shared" si="83"/>
        <v>0</v>
      </c>
      <c r="G2197" s="981">
        <f t="shared" si="83"/>
        <v>0</v>
      </c>
      <c r="H2197" s="980">
        <f>Z2184</f>
        <v>0</v>
      </c>
      <c r="I2197" s="829">
        <f>SUM(C2275:G2275)</f>
        <v>0.57999999999999985</v>
      </c>
      <c r="J2197" s="895">
        <f t="shared" si="82"/>
        <v>0.5</v>
      </c>
      <c r="K2197" s="13"/>
      <c r="L2197" s="13"/>
      <c r="M2197" s="13"/>
      <c r="N2197" s="13"/>
      <c r="O2197" s="715"/>
      <c r="P2197" s="715"/>
      <c r="W2197" s="4"/>
      <c r="X2197" s="4"/>
      <c r="Y2197" s="4"/>
      <c r="Z2197" s="4"/>
    </row>
    <row r="2198" spans="2:30" outlineLevel="2" x14ac:dyDescent="0.15">
      <c r="B2198" s="981" t="str">
        <f t="shared" si="80"/>
        <v>Cardboard [1]</v>
      </c>
      <c r="C2198" s="981">
        <f t="shared" si="83"/>
        <v>825</v>
      </c>
      <c r="D2198" s="980">
        <f t="shared" si="83"/>
        <v>33</v>
      </c>
      <c r="E2198" s="815">
        <f t="shared" si="83"/>
        <v>792</v>
      </c>
      <c r="F2198" s="812">
        <f t="shared" si="83"/>
        <v>0</v>
      </c>
      <c r="G2198" s="981">
        <f t="shared" si="83"/>
        <v>558.34666666699991</v>
      </c>
      <c r="H2198" s="980">
        <f>Z2185</f>
        <v>-114.13854144000001</v>
      </c>
      <c r="I2198" s="829">
        <f>SUM(C2276:G2276)</f>
        <v>0.11999999999999998</v>
      </c>
      <c r="J2198" s="895">
        <f t="shared" si="82"/>
        <v>0.5</v>
      </c>
      <c r="K2198" s="13"/>
      <c r="L2198" s="13"/>
      <c r="M2198" s="13"/>
      <c r="N2198" s="13"/>
      <c r="O2198" s="715"/>
      <c r="P2198" s="715"/>
      <c r="W2198" s="4"/>
      <c r="X2198" s="4"/>
      <c r="Y2198" s="4"/>
      <c r="Z2198" s="4"/>
    </row>
    <row r="2199" spans="2:30" outlineLevel="2" x14ac:dyDescent="0.15">
      <c r="B2199" s="981" t="str">
        <f t="shared" si="80"/>
        <v>Paper [1]</v>
      </c>
      <c r="C2199" s="981">
        <f t="shared" si="83"/>
        <v>858</v>
      </c>
      <c r="D2199" s="980">
        <f t="shared" si="83"/>
        <v>33</v>
      </c>
      <c r="E2199" s="815">
        <f t="shared" si="83"/>
        <v>825</v>
      </c>
      <c r="F2199" s="812">
        <f t="shared" si="83"/>
        <v>0</v>
      </c>
      <c r="G2199" s="981">
        <f t="shared" si="83"/>
        <v>578</v>
      </c>
      <c r="H2199" s="980">
        <f>Z2186</f>
        <v>-118.289033856</v>
      </c>
      <c r="I2199" s="829">
        <f>SUM(C2277:G2277)</f>
        <v>0.23999999999999996</v>
      </c>
      <c r="J2199" s="895">
        <f t="shared" si="82"/>
        <v>0.5</v>
      </c>
      <c r="K2199" s="13"/>
      <c r="L2199" s="13"/>
      <c r="M2199" s="13"/>
      <c r="N2199" s="13"/>
      <c r="O2199" s="715"/>
      <c r="P2199" s="715"/>
      <c r="W2199" s="4"/>
      <c r="X2199" s="4"/>
      <c r="Y2199" s="4"/>
      <c r="Z2199" s="4"/>
    </row>
    <row r="2200" spans="2:30" outlineLevel="2" x14ac:dyDescent="0.15">
      <c r="B2200" s="981" t="str">
        <f>B2187</f>
        <v>Organic / food waste [1]</v>
      </c>
      <c r="C2200" s="981">
        <f t="shared" ref="C2200:H2200" si="84">IF(SUM($C2278:$G2278)=0,0,(H2187*$C2278+M2187*SUM($D2278:$G2278))/SUM($C2278:$G2278))</f>
        <v>558</v>
      </c>
      <c r="D2200" s="980">
        <f t="shared" si="84"/>
        <v>33</v>
      </c>
      <c r="E2200" s="815">
        <f t="shared" si="84"/>
        <v>525</v>
      </c>
      <c r="F2200" s="812">
        <f t="shared" si="84"/>
        <v>0</v>
      </c>
      <c r="G2200" s="981">
        <f t="shared" si="84"/>
        <v>361</v>
      </c>
      <c r="H2200" s="980">
        <f t="shared" si="84"/>
        <v>0</v>
      </c>
      <c r="I2200" s="829">
        <f t="shared" ref="I2200" si="85">SUM(C2278:G2278)</f>
        <v>0.55000000000000004</v>
      </c>
      <c r="J2200" s="895">
        <f>AA2187</f>
        <v>0.5</v>
      </c>
      <c r="K2200" s="13"/>
      <c r="L2200" s="13"/>
      <c r="M2200" s="13"/>
      <c r="N2200" s="13"/>
      <c r="O2200" s="715"/>
      <c r="P2200" s="715"/>
      <c r="W2200" s="4"/>
      <c r="X2200" s="4"/>
      <c r="Y2200" s="4"/>
      <c r="Z2200" s="4"/>
    </row>
    <row r="2201" spans="2:30" outlineLevel="2" x14ac:dyDescent="0.15">
      <c r="B2201" s="1706" t="s">
        <v>3305</v>
      </c>
      <c r="C2201" s="1685">
        <f>+E2201+F2201+D2201</f>
        <v>1080</v>
      </c>
      <c r="D2201" s="1683"/>
      <c r="E2201" s="1707">
        <f>1000*1.08</f>
        <v>1080</v>
      </c>
      <c r="F2201" s="1708"/>
      <c r="G2201" s="981"/>
      <c r="H2201" s="980"/>
      <c r="I2201" s="829"/>
      <c r="J2201" s="895"/>
      <c r="K2201" s="13"/>
      <c r="L2201" s="13"/>
      <c r="M2201" s="13"/>
      <c r="N2201" s="13"/>
      <c r="O2201" s="715"/>
      <c r="P2201" s="715"/>
      <c r="W2201" s="4"/>
      <c r="X2201" s="4"/>
      <c r="Y2201" s="4"/>
      <c r="Z2201" s="4"/>
    </row>
    <row r="2202" spans="2:30" outlineLevel="2" x14ac:dyDescent="0.15">
      <c r="B2202" s="1706" t="s">
        <v>3274</v>
      </c>
      <c r="C2202" s="1685">
        <f t="shared" ref="C2202:C2205" si="86">+E2202+F2202+D2202</f>
        <v>317.3</v>
      </c>
      <c r="D2202" s="1683">
        <f>0.289*1000</f>
        <v>289</v>
      </c>
      <c r="E2202" s="1707">
        <f>0.0018*1000</f>
        <v>1.8</v>
      </c>
      <c r="F2202" s="1708">
        <f>0.0265*1000</f>
        <v>26.5</v>
      </c>
      <c r="G2202" s="981"/>
      <c r="H2202" s="980"/>
      <c r="I2202" s="829"/>
      <c r="J2202" s="895"/>
      <c r="K2202" s="13"/>
      <c r="L2202" s="13"/>
      <c r="M2202" s="13"/>
      <c r="N2202" s="13"/>
      <c r="O2202" s="715"/>
      <c r="P2202" s="715"/>
      <c r="W2202" s="4"/>
      <c r="X2202" s="4"/>
      <c r="Y2202" s="4"/>
      <c r="Z2202" s="4"/>
    </row>
    <row r="2203" spans="2:30" outlineLevel="2" x14ac:dyDescent="0.15">
      <c r="B2203" s="1706" t="s">
        <v>3275</v>
      </c>
      <c r="C2203" s="1685">
        <f t="shared" si="86"/>
        <v>1228.3</v>
      </c>
      <c r="D2203" s="1683">
        <f>1.2*1000</f>
        <v>1200</v>
      </c>
      <c r="E2203" s="1707">
        <f>0.0018*1000</f>
        <v>1.8</v>
      </c>
      <c r="F2203" s="1708">
        <f>0.0265*1000</f>
        <v>26.5</v>
      </c>
      <c r="G2203" s="981"/>
      <c r="H2203" s="980"/>
      <c r="I2203" s="829"/>
      <c r="J2203" s="895"/>
      <c r="K2203" s="13"/>
      <c r="L2203" s="13"/>
      <c r="M2203" s="13"/>
      <c r="N2203" s="13"/>
      <c r="O2203" s="715"/>
      <c r="P2203" s="715"/>
      <c r="W2203" s="4"/>
      <c r="X2203" s="4"/>
      <c r="Y2203" s="4"/>
      <c r="Z2203" s="4"/>
    </row>
    <row r="2204" spans="2:30" outlineLevel="2" x14ac:dyDescent="0.15">
      <c r="B2204" s="1706" t="s">
        <v>3277</v>
      </c>
      <c r="C2204" s="1685">
        <f t="shared" si="86"/>
        <v>61.999999999999993</v>
      </c>
      <c r="D2204" s="1683"/>
      <c r="E2204" s="1707">
        <f>0.0018*1000</f>
        <v>1.8</v>
      </c>
      <c r="F2204" s="1708">
        <f>0.0602*1000</f>
        <v>60.199999999999996</v>
      </c>
      <c r="G2204" s="981"/>
      <c r="H2204" s="980"/>
      <c r="I2204" s="829"/>
      <c r="J2204" s="895"/>
      <c r="K2204" s="13"/>
      <c r="L2204" s="13"/>
      <c r="M2204" s="13"/>
      <c r="N2204" s="13"/>
      <c r="O2204" s="715"/>
      <c r="P2204" s="715"/>
      <c r="W2204" s="4"/>
      <c r="X2204" s="4"/>
      <c r="Y2204" s="4"/>
      <c r="Z2204" s="4"/>
    </row>
    <row r="2205" spans="2:30" outlineLevel="2" x14ac:dyDescent="0.15">
      <c r="B2205" s="1706" t="s">
        <v>3280</v>
      </c>
      <c r="C2205" s="1685">
        <f t="shared" si="86"/>
        <v>126.593</v>
      </c>
      <c r="D2205" s="1683">
        <f>0.112*1000</f>
        <v>112</v>
      </c>
      <c r="E2205" s="1707">
        <f>0.014*1000</f>
        <v>14</v>
      </c>
      <c r="F2205" s="1708">
        <f>0.000593*1000</f>
        <v>0.59299999999999997</v>
      </c>
      <c r="G2205" s="981"/>
      <c r="H2205" s="980"/>
      <c r="I2205" s="829"/>
      <c r="J2205" s="895"/>
      <c r="K2205" s="13"/>
      <c r="L2205" s="13"/>
      <c r="M2205" s="13"/>
      <c r="N2205" s="13"/>
      <c r="O2205" s="715"/>
      <c r="P2205" s="715"/>
      <c r="W2205" s="4"/>
      <c r="X2205" s="4"/>
      <c r="Y2205" s="4"/>
      <c r="Z2205" s="4"/>
    </row>
    <row r="2206" spans="2:30" outlineLevel="2" x14ac:dyDescent="0.15">
      <c r="B2206" s="1706" t="s">
        <v>3281</v>
      </c>
      <c r="C2206" s="1685"/>
      <c r="D2206" s="1683">
        <f>330*1000</f>
        <v>330000</v>
      </c>
      <c r="E2206" s="1707">
        <v>3.6</v>
      </c>
      <c r="F2206" s="1708">
        <f>0.318*1000</f>
        <v>318</v>
      </c>
      <c r="G2206" s="981"/>
      <c r="H2206" s="980"/>
      <c r="I2206" s="829"/>
      <c r="J2206" s="895"/>
      <c r="K2206" s="13"/>
      <c r="L2206" s="13"/>
      <c r="M2206" s="13"/>
      <c r="N2206" s="13"/>
      <c r="O2206" s="715"/>
      <c r="P2206" s="715"/>
      <c r="W2206" s="4"/>
      <c r="X2206" s="4"/>
      <c r="Y2206" s="4"/>
      <c r="Z2206" s="4"/>
    </row>
    <row r="2207" spans="2:30" outlineLevel="2" x14ac:dyDescent="0.15">
      <c r="B2207" s="981" t="str">
        <f>B2188</f>
        <v>Average household waste [1]</v>
      </c>
      <c r="C2207" s="981">
        <f t="shared" ref="C2207:G2208" si="87">(H2188*$C2287+M2188*SUM($D2287:$G2287))/SUM($C2287:$G2287)</f>
        <v>383</v>
      </c>
      <c r="D2207" s="980">
        <f t="shared" si="87"/>
        <v>33</v>
      </c>
      <c r="E2207" s="815">
        <f t="shared" si="87"/>
        <v>350</v>
      </c>
      <c r="F2207" s="812">
        <f t="shared" si="87"/>
        <v>0</v>
      </c>
      <c r="G2207" s="981">
        <f t="shared" si="87"/>
        <v>240</v>
      </c>
      <c r="H2207" s="980">
        <f>Z2188</f>
        <v>-48.992398386668349</v>
      </c>
      <c r="I2207" s="829">
        <f>SUM(C2287:G2287)</f>
        <v>0.4</v>
      </c>
      <c r="J2207" s="895">
        <f>AA2189</f>
        <v>0.5</v>
      </c>
      <c r="M2207" s="23"/>
      <c r="O2207" s="5"/>
      <c r="W2207" s="4"/>
      <c r="X2207" s="4"/>
      <c r="Y2207" s="4"/>
      <c r="Z2207" s="4"/>
    </row>
    <row r="2208" spans="2:30" outlineLevel="2" x14ac:dyDescent="0.15">
      <c r="B2208" s="981" t="str">
        <f>B2189</f>
        <v>Miscellaneous non-combustible and non-fermentable [1]</v>
      </c>
      <c r="C2208" s="981">
        <f t="shared" si="87"/>
        <v>33</v>
      </c>
      <c r="D2208" s="980">
        <f t="shared" si="87"/>
        <v>33</v>
      </c>
      <c r="E2208" s="815">
        <f t="shared" si="87"/>
        <v>0</v>
      </c>
      <c r="F2208" s="812">
        <f t="shared" si="87"/>
        <v>0</v>
      </c>
      <c r="G2208" s="981">
        <f t="shared" si="87"/>
        <v>0</v>
      </c>
      <c r="H2208" s="980">
        <f>H2195</f>
        <v>0</v>
      </c>
      <c r="I2208" s="829">
        <f>SUM(C2288:G2288)</f>
        <v>0.5</v>
      </c>
      <c r="J2208" s="895">
        <f>J2195</f>
        <v>0.5</v>
      </c>
      <c r="K2208" s="5"/>
      <c r="M2208" s="23"/>
      <c r="W2208" s="4"/>
      <c r="X2208" s="4"/>
      <c r="Y2208" s="4"/>
      <c r="Z2208" s="4"/>
    </row>
    <row r="2209" spans="1:256" outlineLevel="2" x14ac:dyDescent="0.15">
      <c r="B2209" s="802"/>
      <c r="C2209" s="960"/>
      <c r="D2209" s="1061"/>
      <c r="E2209" s="1075"/>
      <c r="F2209" s="1052"/>
      <c r="G2209" s="1061"/>
      <c r="H2209" s="1061"/>
      <c r="I2209" s="960"/>
      <c r="J2209" s="954"/>
      <c r="K2209" s="5"/>
      <c r="W2209" s="4"/>
      <c r="X2209" s="4"/>
      <c r="Y2209" s="4"/>
      <c r="Z2209" s="4"/>
    </row>
    <row r="2210" spans="1:256" outlineLevel="2" x14ac:dyDescent="0.15">
      <c r="B2210" s="13"/>
      <c r="C2210" s="19"/>
      <c r="D2210" s="19"/>
      <c r="E2210" s="19"/>
      <c r="F2210" s="19"/>
      <c r="G2210" s="19"/>
      <c r="H2210" s="19"/>
      <c r="I2210" s="19"/>
      <c r="J2210" s="1058"/>
      <c r="K2210" s="10"/>
      <c r="L2210" s="6"/>
      <c r="M2210" s="6"/>
      <c r="N2210" s="6"/>
      <c r="O2210" s="6"/>
      <c r="P2210" s="6"/>
      <c r="Q2210" s="6"/>
      <c r="R2210" s="6"/>
      <c r="S2210" s="6"/>
      <c r="T2210" s="6"/>
      <c r="U2210" s="6"/>
      <c r="V2210" s="6"/>
      <c r="W2210" s="6"/>
      <c r="X2210" s="6"/>
      <c r="Y2210" s="6"/>
      <c r="Z2210" s="6"/>
    </row>
    <row r="2211" spans="1:256" outlineLevel="1" x14ac:dyDescent="0.15">
      <c r="K2211" s="5"/>
    </row>
    <row r="2212" spans="1:256" s="26" customFormat="1" ht="15.75" customHeight="1" outlineLevel="1" x14ac:dyDescent="0.15">
      <c r="A2212" s="13"/>
      <c r="B2212" s="1868" t="s">
        <v>1904</v>
      </c>
      <c r="C2212" s="1869"/>
      <c r="D2212" s="1869"/>
      <c r="E2212" s="1869"/>
      <c r="F2212" s="1869"/>
      <c r="G2212" s="1869"/>
      <c r="H2212" s="1869"/>
      <c r="I2212" s="1869"/>
      <c r="J2212" s="1870"/>
      <c r="K2212" s="28"/>
      <c r="L2212" s="28"/>
      <c r="M2212" s="28"/>
      <c r="N2212" s="28"/>
      <c r="O2212" s="28"/>
      <c r="P2212" s="28"/>
      <c r="Q2212" s="28"/>
      <c r="R2212" s="28"/>
      <c r="S2212" s="28"/>
      <c r="T2212" s="28"/>
      <c r="U2212" s="28"/>
      <c r="V2212" s="28"/>
      <c r="W2212" s="29"/>
      <c r="X2212" s="29"/>
      <c r="Y2212" s="29"/>
      <c r="Z2212" s="29"/>
      <c r="AA2212" s="29"/>
      <c r="AB2212" s="29"/>
      <c r="AC2212" s="29"/>
      <c r="AD2212" s="29"/>
      <c r="AE2212" s="29"/>
      <c r="AF2212" s="29"/>
      <c r="AG2212" s="29"/>
      <c r="AH2212" s="29"/>
      <c r="AI2212" s="29"/>
      <c r="AJ2212" s="29"/>
      <c r="AK2212" s="29"/>
      <c r="AL2212" s="29"/>
      <c r="AM2212" s="29"/>
      <c r="AN2212" s="29"/>
      <c r="AO2212" s="29"/>
      <c r="AP2212" s="29"/>
      <c r="AQ2212" s="29"/>
      <c r="AR2212" s="29"/>
      <c r="AS2212" s="29"/>
      <c r="AT2212" s="29"/>
      <c r="AU2212" s="29"/>
      <c r="AV2212" s="29"/>
      <c r="AW2212" s="29"/>
      <c r="AX2212" s="29"/>
      <c r="AY2212" s="29"/>
      <c r="AZ2212" s="29"/>
      <c r="BA2212" s="29"/>
      <c r="BB2212" s="29"/>
      <c r="BC2212" s="29"/>
      <c r="BD2212" s="29"/>
      <c r="BE2212" s="29"/>
      <c r="BF2212" s="29"/>
      <c r="BG2212" s="29"/>
      <c r="BH2212" s="29"/>
      <c r="BI2212" s="29"/>
      <c r="BJ2212" s="29"/>
      <c r="BK2212" s="29"/>
      <c r="BL2212" s="29"/>
      <c r="BM2212" s="29"/>
      <c r="BN2212" s="29"/>
      <c r="BO2212" s="29"/>
      <c r="BP2212" s="29"/>
      <c r="BQ2212" s="29"/>
      <c r="BR2212" s="29"/>
      <c r="BS2212" s="29"/>
      <c r="BT2212" s="29"/>
      <c r="BU2212" s="29"/>
      <c r="BV2212" s="29"/>
      <c r="BW2212" s="29"/>
      <c r="BX2212" s="29"/>
      <c r="BY2212" s="29"/>
      <c r="BZ2212" s="29"/>
      <c r="CA2212" s="29"/>
      <c r="CB2212" s="29"/>
      <c r="CC2212" s="29"/>
      <c r="CD2212" s="29"/>
      <c r="CE2212" s="29"/>
      <c r="CF2212" s="29"/>
      <c r="CG2212" s="29"/>
      <c r="CH2212" s="29"/>
      <c r="CI2212" s="29"/>
      <c r="CJ2212" s="29"/>
      <c r="CK2212" s="29"/>
      <c r="CL2212" s="29"/>
      <c r="CM2212" s="29"/>
      <c r="CN2212" s="29"/>
      <c r="CO2212" s="29"/>
      <c r="CP2212" s="29"/>
      <c r="CQ2212" s="29"/>
      <c r="CR2212" s="29"/>
      <c r="CS2212" s="29"/>
      <c r="CT2212" s="29"/>
      <c r="CU2212" s="29"/>
      <c r="CV2212" s="29"/>
      <c r="CW2212" s="29"/>
      <c r="CX2212" s="29"/>
      <c r="CY2212" s="29"/>
      <c r="CZ2212" s="29"/>
      <c r="DA2212" s="29"/>
      <c r="DB2212" s="29"/>
      <c r="DC2212" s="29"/>
      <c r="DD2212" s="29"/>
      <c r="DE2212" s="29"/>
      <c r="DF2212" s="29"/>
      <c r="DG2212" s="29"/>
      <c r="DH2212" s="29"/>
      <c r="DI2212" s="29"/>
      <c r="DJ2212" s="29"/>
      <c r="DK2212" s="29"/>
      <c r="DL2212" s="29"/>
      <c r="DM2212" s="29"/>
      <c r="DN2212" s="29"/>
      <c r="DO2212" s="29"/>
      <c r="DP2212" s="29"/>
      <c r="DQ2212" s="29"/>
      <c r="DR2212" s="29"/>
      <c r="DS2212" s="29"/>
      <c r="DT2212" s="29"/>
      <c r="DU2212" s="29"/>
      <c r="DV2212" s="29"/>
      <c r="DW2212" s="29"/>
      <c r="DX2212" s="29"/>
      <c r="DY2212" s="29"/>
      <c r="DZ2212" s="29"/>
      <c r="EA2212" s="29"/>
      <c r="EB2212" s="29"/>
      <c r="EC2212" s="29"/>
      <c r="ED2212" s="29"/>
      <c r="EE2212" s="29"/>
      <c r="EF2212" s="29"/>
      <c r="EG2212" s="29"/>
      <c r="EH2212" s="29"/>
      <c r="EI2212" s="29"/>
      <c r="EJ2212" s="29"/>
      <c r="EK2212" s="29"/>
      <c r="EL2212" s="29"/>
      <c r="EM2212" s="29"/>
      <c r="EN2212" s="29"/>
      <c r="EO2212" s="29"/>
      <c r="EP2212" s="29"/>
      <c r="EQ2212" s="29"/>
      <c r="ER2212" s="29"/>
      <c r="ES2212" s="29"/>
      <c r="ET2212" s="29"/>
      <c r="EU2212" s="29"/>
      <c r="EV2212" s="29"/>
      <c r="EW2212" s="29"/>
      <c r="EX2212" s="29"/>
      <c r="EY2212" s="29"/>
      <c r="EZ2212" s="29"/>
      <c r="FA2212" s="29"/>
      <c r="FB2212" s="29"/>
      <c r="FC2212" s="29"/>
      <c r="FD2212" s="29"/>
      <c r="FE2212" s="29"/>
      <c r="FF2212" s="29"/>
      <c r="FG2212" s="29"/>
      <c r="FH2212" s="29"/>
      <c r="FI2212" s="29"/>
      <c r="FJ2212" s="29"/>
      <c r="FK2212" s="29"/>
      <c r="FL2212" s="29"/>
      <c r="FM2212" s="29"/>
      <c r="FN2212" s="29"/>
      <c r="FO2212" s="29"/>
      <c r="FP2212" s="29"/>
      <c r="FQ2212" s="29"/>
      <c r="FR2212" s="29"/>
      <c r="FS2212" s="29"/>
      <c r="FT2212" s="29"/>
      <c r="FU2212" s="29"/>
      <c r="FV2212" s="29"/>
      <c r="FW2212" s="29"/>
      <c r="FX2212" s="29"/>
      <c r="FY2212" s="29"/>
      <c r="FZ2212" s="29"/>
      <c r="GA2212" s="29"/>
      <c r="GB2212" s="29"/>
      <c r="GC2212" s="13"/>
      <c r="GD2212" s="13"/>
      <c r="GE2212" s="13"/>
      <c r="GF2212" s="13"/>
      <c r="GG2212" s="13"/>
      <c r="GH2212" s="13"/>
      <c r="GI2212" s="13"/>
      <c r="GJ2212" s="13"/>
      <c r="GK2212" s="13"/>
      <c r="GL2212" s="13"/>
      <c r="GM2212" s="13"/>
      <c r="GN2212" s="13"/>
      <c r="GO2212" s="13"/>
      <c r="GP2212" s="13"/>
      <c r="GQ2212" s="13"/>
      <c r="GR2212" s="13"/>
      <c r="GS2212" s="13"/>
      <c r="GT2212" s="13"/>
      <c r="GU2212" s="13"/>
      <c r="GV2212" s="13"/>
      <c r="GW2212" s="13"/>
      <c r="GX2212" s="13"/>
      <c r="GY2212" s="13"/>
      <c r="GZ2212" s="13"/>
      <c r="HA2212" s="13"/>
      <c r="HB2212" s="13"/>
      <c r="HC2212" s="13"/>
      <c r="HD2212" s="13"/>
      <c r="HE2212" s="13"/>
      <c r="HF2212" s="13"/>
      <c r="HG2212" s="13"/>
      <c r="HH2212" s="13"/>
      <c r="HI2212" s="13"/>
      <c r="HJ2212" s="13"/>
      <c r="HK2212" s="13"/>
      <c r="HL2212" s="13"/>
      <c r="HM2212" s="13"/>
      <c r="HN2212" s="13"/>
      <c r="HO2212" s="13"/>
      <c r="HP2212" s="13"/>
      <c r="HQ2212" s="13"/>
      <c r="HR2212" s="13"/>
      <c r="HS2212" s="13"/>
      <c r="HT2212" s="13"/>
      <c r="HU2212" s="13"/>
      <c r="HV2212" s="13"/>
      <c r="HW2212" s="13"/>
      <c r="HX2212" s="13"/>
      <c r="HY2212" s="13"/>
      <c r="HZ2212" s="13"/>
      <c r="IA2212" s="13"/>
      <c r="IB2212" s="13"/>
      <c r="IC2212" s="13"/>
      <c r="ID2212" s="13"/>
      <c r="IE2212" s="13"/>
      <c r="IF2212" s="13"/>
      <c r="IG2212" s="13"/>
      <c r="IH2212" s="13"/>
      <c r="II2212" s="13"/>
      <c r="IJ2212" s="13"/>
      <c r="IK2212" s="13"/>
      <c r="IL2212" s="13"/>
      <c r="IM2212" s="13"/>
      <c r="IN2212" s="13"/>
      <c r="IO2212" s="13"/>
      <c r="IP2212" s="13"/>
      <c r="IQ2212" s="13"/>
      <c r="IR2212" s="13"/>
      <c r="IS2212" s="13"/>
      <c r="IT2212" s="13"/>
      <c r="IU2212" s="13"/>
      <c r="IV2212" s="13"/>
    </row>
    <row r="2213" spans="1:256" outlineLevel="2" x14ac:dyDescent="0.15">
      <c r="Q2213" s="13"/>
      <c r="R2213" s="13"/>
      <c r="S2213" s="13"/>
      <c r="T2213" s="13"/>
      <c r="U2213" s="13"/>
      <c r="V2213" s="13"/>
    </row>
    <row r="2214" spans="1:256" outlineLevel="2" x14ac:dyDescent="0.15">
      <c r="B2214" s="982" t="s">
        <v>1905</v>
      </c>
      <c r="C2214" s="984" t="s">
        <v>86</v>
      </c>
      <c r="K2214" s="5"/>
    </row>
    <row r="2215" spans="1:256" outlineLevel="2" x14ac:dyDescent="0.15">
      <c r="B2215" s="986" t="s">
        <v>1877</v>
      </c>
      <c r="C2215" s="806">
        <f>COLUMN(M2222)-1</f>
        <v>12</v>
      </c>
    </row>
    <row r="2216" spans="1:256" outlineLevel="2" x14ac:dyDescent="0.15">
      <c r="B2216" s="986" t="s">
        <v>1878</v>
      </c>
      <c r="C2216" s="806">
        <f>COLUMN(O2222)-1</f>
        <v>14</v>
      </c>
    </row>
    <row r="2217" spans="1:256" outlineLevel="2" x14ac:dyDescent="0.15">
      <c r="B2217" s="986" t="s">
        <v>1879</v>
      </c>
      <c r="C2217" s="806">
        <f>COLUMN(Q2222)-1</f>
        <v>16</v>
      </c>
    </row>
    <row r="2218" spans="1:256" outlineLevel="2" x14ac:dyDescent="0.15">
      <c r="B2218" s="986" t="s">
        <v>1880</v>
      </c>
      <c r="C2218" s="822">
        <f>COLUMN(T2222)-1</f>
        <v>19</v>
      </c>
    </row>
    <row r="2219" spans="1:256" outlineLevel="2" x14ac:dyDescent="0.15">
      <c r="B2219" s="986" t="s">
        <v>1881</v>
      </c>
      <c r="C2219" s="822">
        <f>COLUMN(U2222)-1</f>
        <v>20</v>
      </c>
    </row>
    <row r="2220" spans="1:256" outlineLevel="2" x14ac:dyDescent="0.15">
      <c r="B2220" s="1073"/>
      <c r="C2220" s="1074"/>
    </row>
    <row r="2221" spans="1:256" outlineLevel="2" x14ac:dyDescent="0.15">
      <c r="B2221" s="6"/>
      <c r="C2221" s="6"/>
      <c r="D2221" s="6"/>
      <c r="E2221" s="6"/>
      <c r="F2221" s="6"/>
      <c r="G2221" s="6"/>
      <c r="H2221" s="6"/>
      <c r="I2221" s="6"/>
      <c r="J2221" s="6"/>
      <c r="K2221" s="6"/>
      <c r="L2221" s="6"/>
      <c r="M2221" s="6"/>
      <c r="N2221" s="6"/>
      <c r="O2221" s="6"/>
      <c r="P2221" s="6"/>
      <c r="Q2221" s="6"/>
      <c r="R2221" s="6"/>
      <c r="S2221" s="6"/>
      <c r="T2221" s="6"/>
      <c r="U2221" s="6"/>
      <c r="V2221" s="6"/>
      <c r="W2221" s="6"/>
      <c r="X2221" s="6"/>
      <c r="Y2221" s="6"/>
      <c r="Z2221" s="6"/>
      <c r="AA2221" s="6"/>
      <c r="AB2221" s="6"/>
      <c r="AC2221" s="6"/>
      <c r="AD2221" s="6"/>
    </row>
    <row r="2222" spans="1:256" outlineLevel="2" x14ac:dyDescent="0.15">
      <c r="B2222" s="1064" t="s">
        <v>1882</v>
      </c>
      <c r="C2222" s="1909" t="s">
        <v>1884</v>
      </c>
      <c r="D2222" s="1910"/>
      <c r="E2222" s="1910"/>
      <c r="F2222" s="1910"/>
      <c r="G2222" s="1911"/>
      <c r="H2222" s="1909" t="s">
        <v>1885</v>
      </c>
      <c r="I2222" s="1910"/>
      <c r="J2222" s="1910"/>
      <c r="K2222" s="1910"/>
      <c r="L2222" s="1911"/>
      <c r="M2222" s="1912" t="s">
        <v>1519</v>
      </c>
      <c r="N2222" s="1913"/>
      <c r="O2222" s="1913"/>
      <c r="P2222" s="1913"/>
      <c r="Q2222" s="1913"/>
      <c r="R2222" s="1913"/>
      <c r="S2222" s="1913"/>
      <c r="T2222" s="1913"/>
      <c r="U2222" s="1914"/>
      <c r="V2222" s="898"/>
      <c r="W2222" s="4"/>
      <c r="X2222" s="4"/>
      <c r="Y2222" s="4"/>
      <c r="Z2222" s="4"/>
      <c r="AA2222" s="4"/>
      <c r="AB2222" s="4"/>
      <c r="AC2222" s="4"/>
      <c r="AD2222" s="4"/>
    </row>
    <row r="2223" spans="1:256" outlineLevel="2" x14ac:dyDescent="0.15">
      <c r="B2223" s="899"/>
      <c r="C2223" s="1863" t="s">
        <v>767</v>
      </c>
      <c r="D2223" s="1876" t="s">
        <v>1515</v>
      </c>
      <c r="E2223" s="1877"/>
      <c r="F2223" s="1877"/>
      <c r="G2223" s="1878"/>
      <c r="H2223" s="1863" t="s">
        <v>767</v>
      </c>
      <c r="I2223" s="1876" t="s">
        <v>1515</v>
      </c>
      <c r="J2223" s="1877"/>
      <c r="K2223" s="1877"/>
      <c r="L2223" s="1878"/>
      <c r="M2223" s="1584" t="s">
        <v>1893</v>
      </c>
      <c r="N2223" s="1858" t="s">
        <v>1888</v>
      </c>
      <c r="O2223" s="1858"/>
      <c r="P2223" s="1858" t="s">
        <v>1887</v>
      </c>
      <c r="Q2223" s="1858"/>
      <c r="R2223" s="1858" t="s">
        <v>1889</v>
      </c>
      <c r="S2223" s="1858"/>
      <c r="T2223" s="1858"/>
      <c r="U2223" s="1584" t="s">
        <v>1892</v>
      </c>
      <c r="V2223" s="834"/>
      <c r="W2223" s="4"/>
      <c r="X2223" s="4"/>
      <c r="Y2223" s="4"/>
      <c r="Z2223" s="4"/>
      <c r="AA2223" s="4"/>
      <c r="AB2223" s="4"/>
      <c r="AC2223" s="4"/>
      <c r="AD2223" s="4"/>
    </row>
    <row r="2224" spans="1:256" ht="42" outlineLevel="2" x14ac:dyDescent="0.15">
      <c r="B2224" s="1580" t="s">
        <v>1883</v>
      </c>
      <c r="C2224" s="1864"/>
      <c r="D2224" s="1503" t="s">
        <v>14</v>
      </c>
      <c r="E2224" s="1504" t="s">
        <v>695</v>
      </c>
      <c r="F2224" s="1505" t="s">
        <v>27</v>
      </c>
      <c r="G2224" s="1319" t="s">
        <v>694</v>
      </c>
      <c r="H2224" s="1864"/>
      <c r="I2224" s="1503" t="s">
        <v>14</v>
      </c>
      <c r="J2224" s="1504" t="s">
        <v>695</v>
      </c>
      <c r="K2224" s="1505" t="s">
        <v>27</v>
      </c>
      <c r="L2224" s="1319" t="s">
        <v>694</v>
      </c>
      <c r="M2224" s="927" t="s">
        <v>1514</v>
      </c>
      <c r="N2224" s="1077" t="s">
        <v>2550</v>
      </c>
      <c r="O2224" s="1054" t="s">
        <v>767</v>
      </c>
      <c r="P2224" s="1077" t="s">
        <v>2550</v>
      </c>
      <c r="Q2224" s="1585" t="s">
        <v>767</v>
      </c>
      <c r="R2224" s="1077" t="s">
        <v>1890</v>
      </c>
      <c r="S2224" s="881" t="s">
        <v>1891</v>
      </c>
      <c r="T2224" s="1585" t="s">
        <v>767</v>
      </c>
      <c r="U2224" s="927" t="s">
        <v>767</v>
      </c>
      <c r="V2224" s="836" t="s">
        <v>723</v>
      </c>
      <c r="W2224" s="4"/>
      <c r="X2224" s="4"/>
      <c r="Y2224" s="4"/>
      <c r="Z2224" s="4"/>
      <c r="AA2224" s="4"/>
      <c r="AB2224" s="4"/>
      <c r="AC2224" s="4"/>
      <c r="AD2224" s="4"/>
    </row>
    <row r="2225" spans="2:30" outlineLevel="2" x14ac:dyDescent="0.15">
      <c r="B2225" s="981" t="str">
        <f t="shared" ref="B2225:B2232" si="88">B2182</f>
        <v>Metals [1]</v>
      </c>
      <c r="C2225" s="981">
        <f t="shared" ref="C2225:G2232" si="89">C$2157+C$2159</f>
        <v>36.666666666600001</v>
      </c>
      <c r="D2225" s="978">
        <f t="shared" si="89"/>
        <v>36.666666666600001</v>
      </c>
      <c r="E2225" s="883">
        <f t="shared" si="89"/>
        <v>0</v>
      </c>
      <c r="F2225" s="979">
        <f t="shared" si="89"/>
        <v>0</v>
      </c>
      <c r="G2225" s="981">
        <f t="shared" si="89"/>
        <v>0</v>
      </c>
      <c r="H2225" s="981">
        <f>C2225</f>
        <v>36.666666666600001</v>
      </c>
      <c r="I2225" s="978">
        <f t="shared" ref="I2225:L2226" si="90">D2225</f>
        <v>36.666666666600001</v>
      </c>
      <c r="J2225" s="883">
        <f t="shared" si="90"/>
        <v>0</v>
      </c>
      <c r="K2225" s="979">
        <f t="shared" si="90"/>
        <v>0</v>
      </c>
      <c r="L2225" s="981">
        <f t="shared" si="90"/>
        <v>0</v>
      </c>
      <c r="M2225" s="981">
        <v>0</v>
      </c>
      <c r="N2225" s="1081">
        <v>0</v>
      </c>
      <c r="O2225" s="979">
        <f t="shared" ref="O2225:O2232" si="91">-N2225*$C$2165</f>
        <v>0</v>
      </c>
      <c r="P2225" s="1081">
        <v>0</v>
      </c>
      <c r="Q2225" s="979">
        <f t="shared" ref="Q2225:Q2232" si="92">-P2225*$C$2166</f>
        <v>0</v>
      </c>
      <c r="R2225" s="978">
        <v>0</v>
      </c>
      <c r="S2225" s="883">
        <v>0</v>
      </c>
      <c r="T2225" s="979">
        <f t="shared" ref="T2225:T2232" si="93">-R2225*$C$2165-S2225*$C$2166</f>
        <v>0</v>
      </c>
      <c r="U2225" s="980">
        <v>0</v>
      </c>
      <c r="V2225" s="805">
        <v>0.5</v>
      </c>
      <c r="W2225" s="4"/>
      <c r="X2225" s="4"/>
      <c r="Y2225" s="4"/>
      <c r="Z2225" s="4"/>
      <c r="AA2225" s="4"/>
      <c r="AB2225" s="4"/>
      <c r="AC2225" s="4"/>
      <c r="AD2225" s="4"/>
    </row>
    <row r="2226" spans="2:30" outlineLevel="2" x14ac:dyDescent="0.15">
      <c r="B2226" s="981" t="str">
        <f t="shared" si="88"/>
        <v>Glass [1]</v>
      </c>
      <c r="C2226" s="981">
        <f t="shared" si="89"/>
        <v>36.666666666600001</v>
      </c>
      <c r="D2226" s="980">
        <f t="shared" si="89"/>
        <v>36.666666666600001</v>
      </c>
      <c r="E2226" s="815">
        <f t="shared" si="89"/>
        <v>0</v>
      </c>
      <c r="F2226" s="812">
        <f t="shared" si="89"/>
        <v>0</v>
      </c>
      <c r="G2226" s="981">
        <f t="shared" si="89"/>
        <v>0</v>
      </c>
      <c r="H2226" s="981">
        <f>C2226</f>
        <v>36.666666666600001</v>
      </c>
      <c r="I2226" s="980">
        <f t="shared" si="90"/>
        <v>36.666666666600001</v>
      </c>
      <c r="J2226" s="815">
        <f t="shared" si="90"/>
        <v>0</v>
      </c>
      <c r="K2226" s="812">
        <f t="shared" si="90"/>
        <v>0</v>
      </c>
      <c r="L2226" s="981">
        <f t="shared" si="90"/>
        <v>0</v>
      </c>
      <c r="M2226" s="981">
        <v>0</v>
      </c>
      <c r="N2226" s="1082">
        <v>0</v>
      </c>
      <c r="O2226" s="812">
        <f t="shared" si="91"/>
        <v>0</v>
      </c>
      <c r="P2226" s="1082">
        <v>0</v>
      </c>
      <c r="Q2226" s="812">
        <f t="shared" si="92"/>
        <v>0</v>
      </c>
      <c r="R2226" s="980">
        <v>0</v>
      </c>
      <c r="S2226" s="815">
        <v>0</v>
      </c>
      <c r="T2226" s="812">
        <f t="shared" si="93"/>
        <v>0</v>
      </c>
      <c r="U2226" s="980">
        <v>0</v>
      </c>
      <c r="V2226" s="807">
        <v>0.5</v>
      </c>
      <c r="W2226" s="4"/>
      <c r="X2226" s="4"/>
      <c r="Y2226" s="4"/>
      <c r="Z2226" s="4"/>
      <c r="AA2226" s="4"/>
      <c r="AB2226" s="4"/>
      <c r="AC2226" s="4"/>
      <c r="AD2226" s="4"/>
    </row>
    <row r="2227" spans="2:30" outlineLevel="2" x14ac:dyDescent="0.15">
      <c r="B2227" s="981" t="str">
        <f t="shared" si="88"/>
        <v>Plastics [1]</v>
      </c>
      <c r="C2227" s="981">
        <f t="shared" si="89"/>
        <v>36.666666666600001</v>
      </c>
      <c r="D2227" s="980">
        <f t="shared" si="89"/>
        <v>36.666666666600001</v>
      </c>
      <c r="E2227" s="815">
        <f t="shared" si="89"/>
        <v>0</v>
      </c>
      <c r="F2227" s="812">
        <f t="shared" si="89"/>
        <v>0</v>
      </c>
      <c r="G2227" s="981">
        <f t="shared" si="89"/>
        <v>0</v>
      </c>
      <c r="H2227" s="981">
        <v>2681.0666666766001</v>
      </c>
      <c r="I2227" s="980">
        <v>2670.0666666699999</v>
      </c>
      <c r="J2227" s="815">
        <v>0</v>
      </c>
      <c r="K2227" s="812">
        <v>11.000000006600203</v>
      </c>
      <c r="L2227" s="981">
        <v>0</v>
      </c>
      <c r="M2227" s="981">
        <v>0</v>
      </c>
      <c r="N2227" s="1082">
        <v>1884</v>
      </c>
      <c r="O2227" s="812">
        <f t="shared" si="91"/>
        <v>-1582.56</v>
      </c>
      <c r="P2227" s="1082">
        <v>4861</v>
      </c>
      <c r="Q2227" s="812">
        <f t="shared" si="92"/>
        <v>-1356.2190000000001</v>
      </c>
      <c r="R2227" s="980">
        <v>939</v>
      </c>
      <c r="S2227" s="815">
        <v>4158</v>
      </c>
      <c r="T2227" s="812">
        <f t="shared" si="93"/>
        <v>-1948.8420000000001</v>
      </c>
      <c r="U2227" s="980">
        <f>IF(SUM(H2275:K2275)=0,0,(M2227*H2275+O2227*I2275+Q2227*J2275+T2227*K2275)/SUM(H2275:K2275))</f>
        <v>-1654.7097917827298</v>
      </c>
      <c r="V2227" s="807">
        <v>0.2</v>
      </c>
      <c r="W2227" s="4"/>
      <c r="X2227" s="4"/>
      <c r="Y2227" s="4"/>
      <c r="Z2227" s="4"/>
      <c r="AA2227" s="4"/>
      <c r="AB2227" s="4"/>
      <c r="AC2227" s="4"/>
      <c r="AD2227" s="4"/>
    </row>
    <row r="2228" spans="2:30" outlineLevel="2" x14ac:dyDescent="0.15">
      <c r="B2228" s="981" t="str">
        <f t="shared" si="88"/>
        <v>Cardboard [1]</v>
      </c>
      <c r="C2228" s="981">
        <f t="shared" si="89"/>
        <v>36.666666666600001</v>
      </c>
      <c r="D2228" s="980">
        <f t="shared" si="89"/>
        <v>36.666666666600001</v>
      </c>
      <c r="E2228" s="815">
        <f t="shared" si="89"/>
        <v>0</v>
      </c>
      <c r="F2228" s="812">
        <f t="shared" si="89"/>
        <v>0</v>
      </c>
      <c r="G2228" s="981">
        <f t="shared" si="89"/>
        <v>0</v>
      </c>
      <c r="H2228" s="981">
        <v>47.666666673199998</v>
      </c>
      <c r="I2228" s="980">
        <v>36.666666666600001</v>
      </c>
      <c r="J2228" s="815">
        <v>0</v>
      </c>
      <c r="K2228" s="812">
        <v>11.000000006599997</v>
      </c>
      <c r="L2228" s="981">
        <v>1393.33333333</v>
      </c>
      <c r="M2228" s="981">
        <v>0</v>
      </c>
      <c r="N2228" s="1082">
        <v>709</v>
      </c>
      <c r="O2228" s="812">
        <f t="shared" si="91"/>
        <v>-595.55999999999995</v>
      </c>
      <c r="P2228" s="1082">
        <v>1830</v>
      </c>
      <c r="Q2228" s="812">
        <f t="shared" si="92"/>
        <v>-510.57000000000005</v>
      </c>
      <c r="R2228" s="980">
        <v>354</v>
      </c>
      <c r="S2228" s="815">
        <v>1566</v>
      </c>
      <c r="T2228" s="812">
        <f t="shared" si="93"/>
        <v>-734.27400000000011</v>
      </c>
      <c r="U2228" s="980">
        <f>IF(SUM(H2276:K2276)=0,0,(M2228*H2276+O2228*I2276+Q2228*J2276+T2228*K2276)/SUM(H2276:K2276))</f>
        <v>-623.13034865366762</v>
      </c>
      <c r="V2228" s="807">
        <v>0.3</v>
      </c>
      <c r="W2228" s="4"/>
      <c r="X2228" s="4"/>
      <c r="Y2228" s="4"/>
      <c r="Z2228" s="4"/>
      <c r="AA2228" s="4"/>
      <c r="AB2228" s="4"/>
      <c r="AC2228" s="4"/>
      <c r="AD2228" s="4"/>
    </row>
    <row r="2229" spans="2:30" outlineLevel="2" x14ac:dyDescent="0.15">
      <c r="B2229" s="981" t="str">
        <f t="shared" si="88"/>
        <v>Paper [1]</v>
      </c>
      <c r="C2229" s="981">
        <f t="shared" si="89"/>
        <v>36.666666666600001</v>
      </c>
      <c r="D2229" s="980">
        <f t="shared" si="89"/>
        <v>36.666666666600001</v>
      </c>
      <c r="E2229" s="815">
        <f t="shared" si="89"/>
        <v>0</v>
      </c>
      <c r="F2229" s="812">
        <f t="shared" si="89"/>
        <v>0</v>
      </c>
      <c r="G2229" s="981">
        <f t="shared" si="89"/>
        <v>0</v>
      </c>
      <c r="H2229" s="981">
        <v>47.666666673199998</v>
      </c>
      <c r="I2229" s="980">
        <v>36.666666666600001</v>
      </c>
      <c r="J2229" s="815">
        <v>0</v>
      </c>
      <c r="K2229" s="812">
        <v>11.000000006599997</v>
      </c>
      <c r="L2229" s="981">
        <v>1393.33333333</v>
      </c>
      <c r="M2229" s="981">
        <v>0</v>
      </c>
      <c r="N2229" s="1082">
        <v>655</v>
      </c>
      <c r="O2229" s="812">
        <f t="shared" si="91"/>
        <v>-550.19999999999993</v>
      </c>
      <c r="P2229" s="1082">
        <v>1690</v>
      </c>
      <c r="Q2229" s="812">
        <f t="shared" si="92"/>
        <v>-471.51000000000005</v>
      </c>
      <c r="R2229" s="980">
        <v>326</v>
      </c>
      <c r="S2229" s="815">
        <v>1445</v>
      </c>
      <c r="T2229" s="812">
        <f t="shared" si="93"/>
        <v>-676.995</v>
      </c>
      <c r="U2229" s="980">
        <f>IF(SUM(H2277:K2277)=0,0,(M2229*H2277+O2229*I2277+Q2229*J2277+T2229*K2277)/SUM(H2277:K2277))</f>
        <v>-575.03396935933142</v>
      </c>
      <c r="V2229" s="807">
        <v>0.3</v>
      </c>
      <c r="W2229" s="4"/>
      <c r="X2229" s="4"/>
      <c r="Y2229" s="4"/>
      <c r="Z2229" s="4"/>
      <c r="AA2229" s="4"/>
      <c r="AB2229" s="4"/>
      <c r="AC2229" s="4"/>
      <c r="AD2229" s="4"/>
    </row>
    <row r="2230" spans="2:30" outlineLevel="2" x14ac:dyDescent="0.15">
      <c r="B2230" s="981" t="str">
        <f t="shared" si="88"/>
        <v>Organic / food waste [1]</v>
      </c>
      <c r="C2230" s="981">
        <f t="shared" si="89"/>
        <v>36.666666666600001</v>
      </c>
      <c r="D2230" s="980">
        <f t="shared" si="89"/>
        <v>36.666666666600001</v>
      </c>
      <c r="E2230" s="815">
        <f t="shared" si="89"/>
        <v>0</v>
      </c>
      <c r="F2230" s="812">
        <f t="shared" si="89"/>
        <v>0</v>
      </c>
      <c r="G2230" s="981">
        <f t="shared" si="89"/>
        <v>0</v>
      </c>
      <c r="H2230" s="981">
        <v>47.666666673199998</v>
      </c>
      <c r="I2230" s="980">
        <v>36.666666666600001</v>
      </c>
      <c r="J2230" s="815">
        <v>0</v>
      </c>
      <c r="K2230" s="812">
        <v>11.000000006599997</v>
      </c>
      <c r="L2230" s="981">
        <v>522.5</v>
      </c>
      <c r="M2230" s="981">
        <v>0</v>
      </c>
      <c r="N2230" s="1082">
        <v>239</v>
      </c>
      <c r="O2230" s="812">
        <f t="shared" si="91"/>
        <v>-200.76</v>
      </c>
      <c r="P2230" s="1082">
        <v>616</v>
      </c>
      <c r="Q2230" s="812">
        <f t="shared" si="92"/>
        <v>-171.864</v>
      </c>
      <c r="R2230" s="980">
        <v>119</v>
      </c>
      <c r="S2230" s="815">
        <v>527</v>
      </c>
      <c r="T2230" s="812">
        <f t="shared" si="93"/>
        <v>-246.99299999999999</v>
      </c>
      <c r="U2230" s="980">
        <f>IF(SUM(H2278:K2278)=0,0,(M2230*H2278+O2230*I2278+Q2230*J2278+T2230*K2278)/SUM(H2278:K2278))</f>
        <v>-209.78655199628602</v>
      </c>
      <c r="V2230" s="807">
        <v>0.5</v>
      </c>
      <c r="W2230" s="4"/>
      <c r="X2230" s="4"/>
      <c r="Y2230" s="4"/>
      <c r="Z2230" s="4"/>
      <c r="AA2230" s="4"/>
      <c r="AB2230" s="4"/>
      <c r="AC2230" s="4"/>
      <c r="AD2230" s="4"/>
    </row>
    <row r="2231" spans="2:30" outlineLevel="2" x14ac:dyDescent="0.15">
      <c r="B2231" s="981" t="str">
        <f t="shared" si="88"/>
        <v>Average household waste [1]</v>
      </c>
      <c r="C2231" s="981">
        <f t="shared" si="89"/>
        <v>36.666666666600001</v>
      </c>
      <c r="D2231" s="980">
        <f t="shared" si="89"/>
        <v>36.666666666600001</v>
      </c>
      <c r="E2231" s="815">
        <f t="shared" si="89"/>
        <v>0</v>
      </c>
      <c r="F2231" s="812">
        <f t="shared" si="89"/>
        <v>0</v>
      </c>
      <c r="G2231" s="981">
        <f t="shared" si="89"/>
        <v>0</v>
      </c>
      <c r="H2231" s="981">
        <v>362.80383333959998</v>
      </c>
      <c r="I2231" s="980">
        <v>351.803833333</v>
      </c>
      <c r="J2231" s="815">
        <v>0</v>
      </c>
      <c r="K2231" s="812">
        <v>11.000000006599976</v>
      </c>
      <c r="L2231" s="981">
        <v>444.22949999999997</v>
      </c>
      <c r="M2231" s="981">
        <v>0</v>
      </c>
      <c r="N2231" s="1082">
        <v>402</v>
      </c>
      <c r="O2231" s="812">
        <f t="shared" si="91"/>
        <v>-337.68</v>
      </c>
      <c r="P2231" s="1082">
        <v>1037</v>
      </c>
      <c r="Q2231" s="812">
        <f t="shared" si="92"/>
        <v>-289.32300000000004</v>
      </c>
      <c r="R2231" s="980">
        <v>200</v>
      </c>
      <c r="S2231" s="815">
        <v>887</v>
      </c>
      <c r="T2231" s="812">
        <f t="shared" si="93"/>
        <v>-415.47300000000001</v>
      </c>
      <c r="U2231" s="980">
        <f>IF(SUM(H2287:K2287)=0,0,(M2231*H2287+O2231*I2287+Q2231*J2287+T2231*K2287)/SUM(H2287:K2287))</f>
        <v>-352.90287209842154</v>
      </c>
      <c r="V2231" s="807">
        <v>0.4</v>
      </c>
      <c r="W2231" s="4"/>
      <c r="X2231" s="4"/>
      <c r="Y2231" s="4"/>
      <c r="Z2231" s="4"/>
      <c r="AA2231" s="4"/>
      <c r="AB2231" s="4"/>
      <c r="AC2231" s="4"/>
      <c r="AD2231" s="4"/>
    </row>
    <row r="2232" spans="2:30" outlineLevel="2" x14ac:dyDescent="0.15">
      <c r="B2232" s="981" t="str">
        <f t="shared" si="88"/>
        <v>Miscellaneous non-combustible and non-fermentable [1]</v>
      </c>
      <c r="C2232" s="981">
        <f t="shared" si="89"/>
        <v>36.666666666600001</v>
      </c>
      <c r="D2232" s="980">
        <f t="shared" si="89"/>
        <v>36.666666666600001</v>
      </c>
      <c r="E2232" s="815">
        <f t="shared" si="89"/>
        <v>0</v>
      </c>
      <c r="F2232" s="812">
        <f t="shared" si="89"/>
        <v>0</v>
      </c>
      <c r="G2232" s="981">
        <f t="shared" si="89"/>
        <v>0</v>
      </c>
      <c r="H2232" s="981">
        <f>C2232</f>
        <v>36.666666666600001</v>
      </c>
      <c r="I2232" s="980">
        <f>D2232</f>
        <v>36.666666666600001</v>
      </c>
      <c r="J2232" s="815">
        <f>E2232</f>
        <v>0</v>
      </c>
      <c r="K2232" s="812">
        <f>F2232</f>
        <v>0</v>
      </c>
      <c r="L2232" s="981">
        <f>G2232</f>
        <v>0</v>
      </c>
      <c r="M2232" s="981">
        <v>0</v>
      </c>
      <c r="N2232" s="1082">
        <v>0</v>
      </c>
      <c r="O2232" s="812">
        <f t="shared" si="91"/>
        <v>0</v>
      </c>
      <c r="P2232" s="1082">
        <v>0</v>
      </c>
      <c r="Q2232" s="812">
        <f t="shared" si="92"/>
        <v>0</v>
      </c>
      <c r="R2232" s="980">
        <v>0</v>
      </c>
      <c r="S2232" s="815">
        <v>0</v>
      </c>
      <c r="T2232" s="812">
        <f t="shared" si="93"/>
        <v>0</v>
      </c>
      <c r="U2232" s="980">
        <f>IF(SUM(H2288:K2288)=0,0,(M2232*H2288+O2232*I2288+Q2232*J2288+T2232*K2288)/SUM(H2288:K2288))</f>
        <v>0</v>
      </c>
      <c r="V2232" s="807">
        <v>0.4</v>
      </c>
      <c r="W2232" s="4"/>
      <c r="X2232" s="4"/>
      <c r="Y2232" s="4"/>
      <c r="Z2232" s="4"/>
      <c r="AA2232" s="4"/>
      <c r="AB2232" s="4"/>
      <c r="AC2232" s="4"/>
      <c r="AD2232" s="4"/>
    </row>
    <row r="2233" spans="2:30" outlineLevel="2" x14ac:dyDescent="0.15">
      <c r="B2233" s="802"/>
      <c r="C2233" s="802"/>
      <c r="D2233" s="801"/>
      <c r="E2233" s="823"/>
      <c r="F2233" s="824"/>
      <c r="G2233" s="802"/>
      <c r="H2233" s="960"/>
      <c r="I2233" s="1061"/>
      <c r="J2233" s="1075"/>
      <c r="K2233" s="1052"/>
      <c r="L2233" s="960"/>
      <c r="M2233" s="960"/>
      <c r="N2233" s="1061"/>
      <c r="O2233" s="1052"/>
      <c r="P2233" s="1061"/>
      <c r="Q2233" s="1052"/>
      <c r="R2233" s="1061"/>
      <c r="S2233" s="1075"/>
      <c r="T2233" s="1052"/>
      <c r="U2233" s="1061"/>
      <c r="V2233" s="803"/>
      <c r="W2233" s="4"/>
      <c r="X2233" s="4"/>
      <c r="Y2233" s="4"/>
      <c r="Z2233" s="4"/>
      <c r="AA2233" s="4"/>
      <c r="AB2233" s="4"/>
      <c r="AC2233" s="4"/>
      <c r="AD2233" s="4"/>
    </row>
    <row r="2234" spans="2:30" outlineLevel="2" x14ac:dyDescent="0.15">
      <c r="B2234" s="6"/>
      <c r="C2234" s="6"/>
      <c r="D2234" s="6"/>
      <c r="E2234" s="6"/>
      <c r="F2234" s="6"/>
      <c r="G2234" s="6"/>
      <c r="H2234" s="6"/>
      <c r="I2234" s="6"/>
      <c r="J2234" s="6"/>
      <c r="K2234" s="6"/>
      <c r="L2234" s="6"/>
      <c r="M2234" s="6"/>
      <c r="N2234" s="6"/>
      <c r="O2234" s="6"/>
      <c r="P2234" s="6"/>
      <c r="Q2234" s="6"/>
      <c r="R2234" s="6"/>
      <c r="S2234" s="6"/>
      <c r="T2234" s="6"/>
      <c r="U2234" s="6"/>
      <c r="V2234" s="6"/>
    </row>
    <row r="2235" spans="2:30" outlineLevel="2" x14ac:dyDescent="0.15">
      <c r="B2235" s="1475" t="s">
        <v>1899</v>
      </c>
      <c r="C2235" s="1893" t="s">
        <v>1900</v>
      </c>
      <c r="D2235" s="1894"/>
      <c r="E2235" s="1894"/>
      <c r="F2235" s="1894"/>
      <c r="G2235" s="1895"/>
      <c r="H2235" s="1076" t="s">
        <v>1892</v>
      </c>
      <c r="I2235" s="1076"/>
      <c r="J2235" s="887"/>
      <c r="W2235" s="4"/>
      <c r="X2235" s="4"/>
      <c r="Y2235" s="4"/>
      <c r="Z2235" s="4"/>
    </row>
    <row r="2236" spans="2:30" outlineLevel="2" x14ac:dyDescent="0.15">
      <c r="B2236" s="899"/>
      <c r="C2236" s="1863" t="s">
        <v>767</v>
      </c>
      <c r="D2236" s="1876" t="s">
        <v>1515</v>
      </c>
      <c r="E2236" s="1877"/>
      <c r="F2236" s="1877"/>
      <c r="G2236" s="1878"/>
      <c r="H2236" s="1586" t="s">
        <v>1901</v>
      </c>
      <c r="I2236" s="899"/>
      <c r="J2236" s="834"/>
      <c r="K2236" s="5"/>
      <c r="W2236" s="4"/>
      <c r="X2236" s="4"/>
      <c r="Y2236" s="4"/>
      <c r="Z2236" s="4"/>
    </row>
    <row r="2237" spans="2:30" ht="14" outlineLevel="2" x14ac:dyDescent="0.15">
      <c r="B2237" s="1580" t="s">
        <v>1883</v>
      </c>
      <c r="C2237" s="1864"/>
      <c r="D2237" s="1503" t="s">
        <v>14</v>
      </c>
      <c r="E2237" s="1504" t="s">
        <v>695</v>
      </c>
      <c r="F2237" s="1505" t="s">
        <v>27</v>
      </c>
      <c r="G2237" s="1319" t="s">
        <v>694</v>
      </c>
      <c r="H2237" s="962" t="s">
        <v>1510</v>
      </c>
      <c r="I2237" s="836" t="s">
        <v>93</v>
      </c>
      <c r="J2237" s="963" t="s">
        <v>723</v>
      </c>
      <c r="K2237" s="5"/>
      <c r="W2237" s="4"/>
      <c r="X2237" s="4"/>
      <c r="Y2237" s="4"/>
      <c r="Z2237" s="4"/>
    </row>
    <row r="2238" spans="2:30" outlineLevel="2" x14ac:dyDescent="0.15">
      <c r="B2238" s="981" t="str">
        <f>B2225</f>
        <v>Metals [1]</v>
      </c>
      <c r="C2238" s="981">
        <f t="shared" ref="C2238:G2242" si="94">H2225</f>
        <v>36.666666666600001</v>
      </c>
      <c r="D2238" s="978">
        <f t="shared" si="94"/>
        <v>36.666666666600001</v>
      </c>
      <c r="E2238" s="883">
        <f t="shared" si="94"/>
        <v>0</v>
      </c>
      <c r="F2238" s="979">
        <f t="shared" si="94"/>
        <v>0</v>
      </c>
      <c r="G2238" s="981">
        <f t="shared" si="94"/>
        <v>0</v>
      </c>
      <c r="H2238" s="980">
        <f>U2225</f>
        <v>0</v>
      </c>
      <c r="I2238" s="829">
        <f>SUM(H2273:K2273)</f>
        <v>0</v>
      </c>
      <c r="J2238" s="959">
        <f>V2225</f>
        <v>0.5</v>
      </c>
      <c r="K2238" s="5"/>
      <c r="W2238" s="4"/>
      <c r="X2238" s="4"/>
      <c r="Y2238" s="4"/>
      <c r="Z2238" s="4"/>
    </row>
    <row r="2239" spans="2:30" outlineLevel="2" x14ac:dyDescent="0.15">
      <c r="B2239" s="981" t="str">
        <f>B2226</f>
        <v>Glass [1]</v>
      </c>
      <c r="C2239" s="981">
        <f t="shared" si="94"/>
        <v>36.666666666600001</v>
      </c>
      <c r="D2239" s="980">
        <f t="shared" si="94"/>
        <v>36.666666666600001</v>
      </c>
      <c r="E2239" s="815">
        <f t="shared" si="94"/>
        <v>0</v>
      </c>
      <c r="F2239" s="812">
        <f t="shared" si="94"/>
        <v>0</v>
      </c>
      <c r="G2239" s="981">
        <f t="shared" si="94"/>
        <v>0</v>
      </c>
      <c r="H2239" s="980">
        <f>U2226</f>
        <v>0</v>
      </c>
      <c r="I2239" s="829">
        <f>SUM(H2274:K2274)</f>
        <v>0</v>
      </c>
      <c r="J2239" s="895">
        <f>V2226</f>
        <v>0.5</v>
      </c>
      <c r="K2239" s="5"/>
      <c r="W2239" s="4"/>
      <c r="X2239" s="4"/>
      <c r="Y2239" s="4"/>
      <c r="Z2239" s="4"/>
    </row>
    <row r="2240" spans="2:30" outlineLevel="2" x14ac:dyDescent="0.15">
      <c r="B2240" s="981" t="str">
        <f>B2227</f>
        <v>Plastics [1]</v>
      </c>
      <c r="C2240" s="981">
        <f t="shared" si="94"/>
        <v>2681.0666666766001</v>
      </c>
      <c r="D2240" s="980">
        <f t="shared" si="94"/>
        <v>2670.0666666699999</v>
      </c>
      <c r="E2240" s="815">
        <f t="shared" si="94"/>
        <v>0</v>
      </c>
      <c r="F2240" s="812">
        <f t="shared" si="94"/>
        <v>11.000000006600203</v>
      </c>
      <c r="G2240" s="981">
        <f t="shared" si="94"/>
        <v>0</v>
      </c>
      <c r="H2240" s="980">
        <f>U2227</f>
        <v>-1654.7097917827298</v>
      </c>
      <c r="I2240" s="829">
        <f>SUM(H2275:K2275)</f>
        <v>0.32</v>
      </c>
      <c r="J2240" s="895">
        <f>V2227</f>
        <v>0.2</v>
      </c>
      <c r="K2240" s="5"/>
      <c r="W2240" s="4"/>
      <c r="X2240" s="4"/>
      <c r="Y2240" s="4"/>
      <c r="Z2240" s="4"/>
    </row>
    <row r="2241" spans="1:256" outlineLevel="2" x14ac:dyDescent="0.15">
      <c r="B2241" s="981" t="str">
        <f>B2228</f>
        <v>Cardboard [1]</v>
      </c>
      <c r="C2241" s="981">
        <f t="shared" si="94"/>
        <v>47.666666673199998</v>
      </c>
      <c r="D2241" s="980">
        <f t="shared" si="94"/>
        <v>36.666666666600001</v>
      </c>
      <c r="E2241" s="815">
        <f t="shared" si="94"/>
        <v>0</v>
      </c>
      <c r="F2241" s="812">
        <f t="shared" si="94"/>
        <v>11.000000006599997</v>
      </c>
      <c r="G2241" s="981">
        <f t="shared" si="94"/>
        <v>1393.33333333</v>
      </c>
      <c r="H2241" s="980">
        <f>U2228</f>
        <v>-623.13034865366762</v>
      </c>
      <c r="I2241" s="829">
        <f>SUM(H2276:K2276)</f>
        <v>7.0000000000000007E-2</v>
      </c>
      <c r="J2241" s="895">
        <f>V2228</f>
        <v>0.3</v>
      </c>
      <c r="W2241" s="4"/>
      <c r="X2241" s="4"/>
      <c r="Y2241" s="4"/>
      <c r="Z2241" s="4"/>
    </row>
    <row r="2242" spans="1:256" outlineLevel="2" x14ac:dyDescent="0.15">
      <c r="B2242" s="981" t="str">
        <f>B2229</f>
        <v>Paper [1]</v>
      </c>
      <c r="C2242" s="981">
        <f t="shared" si="94"/>
        <v>47.666666673199998</v>
      </c>
      <c r="D2242" s="980">
        <f t="shared" si="94"/>
        <v>36.666666666600001</v>
      </c>
      <c r="E2242" s="815">
        <f t="shared" si="94"/>
        <v>0</v>
      </c>
      <c r="F2242" s="812">
        <f t="shared" si="94"/>
        <v>11.000000006599997</v>
      </c>
      <c r="G2242" s="981">
        <f t="shared" si="94"/>
        <v>1393.33333333</v>
      </c>
      <c r="H2242" s="980">
        <f>U2229</f>
        <v>-575.03396935933142</v>
      </c>
      <c r="I2242" s="829">
        <f>SUM(H2277:K2277)</f>
        <v>0.14000000000000001</v>
      </c>
      <c r="J2242" s="895">
        <f>V2229</f>
        <v>0.3</v>
      </c>
      <c r="W2242" s="4"/>
      <c r="X2242" s="4"/>
      <c r="Y2242" s="4"/>
      <c r="Z2242" s="4"/>
    </row>
    <row r="2243" spans="1:256" outlineLevel="2" x14ac:dyDescent="0.15">
      <c r="B2243" s="1706" t="s">
        <v>3305</v>
      </c>
      <c r="C2243" s="1685">
        <f>+E2243+F2243+D2243</f>
        <v>1010</v>
      </c>
      <c r="D2243" s="1683"/>
      <c r="E2243" s="1707">
        <f>1.01*1000</f>
        <v>1010</v>
      </c>
      <c r="F2243" s="1708"/>
      <c r="G2243" s="981"/>
      <c r="H2243" s="980"/>
      <c r="I2243" s="829"/>
      <c r="J2243" s="895"/>
      <c r="W2243" s="4"/>
      <c r="X2243" s="4"/>
      <c r="Y2243" s="4"/>
      <c r="Z2243" s="4"/>
    </row>
    <row r="2244" spans="1:256" outlineLevel="2" x14ac:dyDescent="0.15">
      <c r="B2244" s="1706" t="s">
        <v>3274</v>
      </c>
      <c r="C2244" s="1685">
        <f t="shared" ref="C2244:C2247" si="95">+E2244+F2244+D2244</f>
        <v>317.3</v>
      </c>
      <c r="D2244" s="1683">
        <f>0.289*1000</f>
        <v>289</v>
      </c>
      <c r="E2244" s="1707">
        <f>0.0018*1000</f>
        <v>1.8</v>
      </c>
      <c r="F2244" s="1708">
        <f>0.0265*1000</f>
        <v>26.5</v>
      </c>
      <c r="G2244" s="981"/>
      <c r="H2244" s="980"/>
      <c r="I2244" s="829"/>
      <c r="J2244" s="895"/>
      <c r="W2244" s="4"/>
      <c r="X2244" s="4"/>
      <c r="Y2244" s="4"/>
      <c r="Z2244" s="4"/>
    </row>
    <row r="2245" spans="1:256" outlineLevel="2" x14ac:dyDescent="0.15">
      <c r="B2245" s="1706" t="s">
        <v>3275</v>
      </c>
      <c r="C2245" s="1685">
        <f t="shared" si="95"/>
        <v>1228.3</v>
      </c>
      <c r="D2245" s="1683">
        <f>1.2*1000</f>
        <v>1200</v>
      </c>
      <c r="E2245" s="1707">
        <f>0.0018*1000</f>
        <v>1.8</v>
      </c>
      <c r="F2245" s="1708">
        <f>0.0265*1000</f>
        <v>26.5</v>
      </c>
      <c r="G2245" s="981"/>
      <c r="H2245" s="980"/>
      <c r="I2245" s="829"/>
      <c r="J2245" s="895"/>
      <c r="W2245" s="4"/>
      <c r="X2245" s="4"/>
      <c r="Y2245" s="4"/>
      <c r="Z2245" s="4"/>
    </row>
    <row r="2246" spans="1:256" outlineLevel="2" x14ac:dyDescent="0.15">
      <c r="B2246" s="1706" t="s">
        <v>3277</v>
      </c>
      <c r="C2246" s="1685">
        <f t="shared" si="95"/>
        <v>61.999999999999993</v>
      </c>
      <c r="D2246" s="1683"/>
      <c r="E2246" s="1707">
        <f>0.0018*1000</f>
        <v>1.8</v>
      </c>
      <c r="F2246" s="1708">
        <f>0.0602*1000</f>
        <v>60.199999999999996</v>
      </c>
      <c r="G2246" s="981"/>
      <c r="H2246" s="980"/>
      <c r="I2246" s="829"/>
      <c r="J2246" s="895"/>
      <c r="W2246" s="4"/>
      <c r="X2246" s="4"/>
      <c r="Y2246" s="4"/>
      <c r="Z2246" s="4"/>
    </row>
    <row r="2247" spans="1:256" outlineLevel="2" x14ac:dyDescent="0.15">
      <c r="B2247" s="1706" t="s">
        <v>3280</v>
      </c>
      <c r="C2247" s="1685">
        <f t="shared" si="95"/>
        <v>126.593</v>
      </c>
      <c r="D2247" s="1683">
        <f>0.112*1000</f>
        <v>112</v>
      </c>
      <c r="E2247" s="1707">
        <f>0.014*1000</f>
        <v>14</v>
      </c>
      <c r="F2247" s="1708">
        <f>0.000593*1000</f>
        <v>0.59299999999999997</v>
      </c>
      <c r="G2247" s="981"/>
      <c r="H2247" s="980"/>
      <c r="I2247" s="829"/>
      <c r="J2247" s="895"/>
      <c r="W2247" s="4"/>
      <c r="X2247" s="4"/>
      <c r="Y2247" s="4"/>
      <c r="Z2247" s="4"/>
    </row>
    <row r="2248" spans="1:256" outlineLevel="2" x14ac:dyDescent="0.15">
      <c r="B2248" s="1706" t="s">
        <v>3281</v>
      </c>
      <c r="C2248" s="1685"/>
      <c r="D2248" s="1683">
        <f>330*1000</f>
        <v>330000</v>
      </c>
      <c r="E2248" s="1707">
        <v>3.6</v>
      </c>
      <c r="F2248" s="1708">
        <f>0.318*1000</f>
        <v>318</v>
      </c>
      <c r="G2248" s="981"/>
      <c r="H2248" s="980"/>
      <c r="I2248" s="829"/>
      <c r="J2248" s="895"/>
      <c r="W2248" s="4"/>
      <c r="X2248" s="4"/>
      <c r="Y2248" s="4"/>
      <c r="Z2248" s="4"/>
    </row>
    <row r="2249" spans="1:256" outlineLevel="2" x14ac:dyDescent="0.15">
      <c r="B2249" s="981" t="str">
        <f>B2230</f>
        <v>Organic / food waste [1]</v>
      </c>
      <c r="C2249" s="981">
        <f t="shared" ref="C2249:G2251" si="96">H2230</f>
        <v>47.666666673199998</v>
      </c>
      <c r="D2249" s="980">
        <f t="shared" si="96"/>
        <v>36.666666666600001</v>
      </c>
      <c r="E2249" s="815">
        <f t="shared" si="96"/>
        <v>0</v>
      </c>
      <c r="F2249" s="812">
        <f t="shared" si="96"/>
        <v>11.000000006599997</v>
      </c>
      <c r="G2249" s="981">
        <f t="shared" si="96"/>
        <v>522.5</v>
      </c>
      <c r="H2249" s="980">
        <f>U2230</f>
        <v>-209.78655199628602</v>
      </c>
      <c r="I2249" s="829">
        <f t="shared" ref="I2249" si="97">SUM(H2278:K2278)</f>
        <v>0.30999999999999994</v>
      </c>
      <c r="J2249" s="895">
        <f>V2230</f>
        <v>0.5</v>
      </c>
      <c r="W2249" s="4"/>
      <c r="X2249" s="4"/>
      <c r="Y2249" s="4"/>
      <c r="Z2249" s="4"/>
    </row>
    <row r="2250" spans="1:256" outlineLevel="2" x14ac:dyDescent="0.15">
      <c r="B2250" s="981" t="str">
        <f>B2231</f>
        <v>Average household waste [1]</v>
      </c>
      <c r="C2250" s="981">
        <f t="shared" si="96"/>
        <v>362.80383333959998</v>
      </c>
      <c r="D2250" s="980">
        <f t="shared" si="96"/>
        <v>351.803833333</v>
      </c>
      <c r="E2250" s="815">
        <f t="shared" si="96"/>
        <v>0</v>
      </c>
      <c r="F2250" s="812">
        <f t="shared" si="96"/>
        <v>11.000000006599976</v>
      </c>
      <c r="G2250" s="981">
        <f t="shared" si="96"/>
        <v>444.22949999999997</v>
      </c>
      <c r="H2250" s="980">
        <f>U2231</f>
        <v>-352.90287209842154</v>
      </c>
      <c r="I2250" s="829">
        <f>SUM(H2287:K2287)</f>
        <v>0.55000000000000004</v>
      </c>
      <c r="J2250" s="895">
        <f>V2232</f>
        <v>0.4</v>
      </c>
      <c r="W2250" s="4"/>
      <c r="X2250" s="4"/>
      <c r="Y2250" s="4"/>
      <c r="Z2250" s="4"/>
    </row>
    <row r="2251" spans="1:256" outlineLevel="2" x14ac:dyDescent="0.15">
      <c r="B2251" s="981" t="str">
        <f>B2232</f>
        <v>Miscellaneous non-combustible and non-fermentable [1]</v>
      </c>
      <c r="C2251" s="981">
        <f t="shared" si="96"/>
        <v>36.666666666600001</v>
      </c>
      <c r="D2251" s="980">
        <f t="shared" si="96"/>
        <v>36.666666666600001</v>
      </c>
      <c r="E2251" s="815">
        <f t="shared" si="96"/>
        <v>0</v>
      </c>
      <c r="F2251" s="812">
        <f t="shared" si="96"/>
        <v>0</v>
      </c>
      <c r="G2251" s="981">
        <f t="shared" si="96"/>
        <v>0</v>
      </c>
      <c r="H2251" s="980">
        <f>U2232</f>
        <v>0</v>
      </c>
      <c r="I2251" s="829">
        <f>SUM(H2288:K2288)</f>
        <v>0</v>
      </c>
      <c r="J2251" s="895">
        <f>J2238</f>
        <v>0.5</v>
      </c>
      <c r="W2251" s="4"/>
      <c r="X2251" s="4"/>
      <c r="Y2251" s="4"/>
      <c r="Z2251" s="4"/>
    </row>
    <row r="2252" spans="1:256" outlineLevel="2" x14ac:dyDescent="0.15">
      <c r="B2252" s="802"/>
      <c r="C2252" s="1039"/>
      <c r="D2252" s="1045"/>
      <c r="E2252" s="817"/>
      <c r="F2252" s="813"/>
      <c r="G2252" s="1045"/>
      <c r="H2252" s="1045"/>
      <c r="I2252" s="1039"/>
      <c r="J2252" s="1062"/>
      <c r="W2252" s="4"/>
      <c r="X2252" s="4"/>
      <c r="Y2252" s="4"/>
      <c r="Z2252" s="4"/>
    </row>
    <row r="2253" spans="1:256" outlineLevel="2" x14ac:dyDescent="0.15"/>
    <row r="2254" spans="1:256" outlineLevel="1" x14ac:dyDescent="0.15"/>
    <row r="2255" spans="1:256" s="26" customFormat="1" ht="15.75" customHeight="1" outlineLevel="1" x14ac:dyDescent="0.15">
      <c r="A2255" s="13"/>
      <c r="B2255" s="1868" t="s">
        <v>1906</v>
      </c>
      <c r="C2255" s="1869"/>
      <c r="D2255" s="1869"/>
      <c r="E2255" s="1869"/>
      <c r="F2255" s="1869"/>
      <c r="G2255" s="1869"/>
      <c r="H2255" s="1869"/>
      <c r="I2255" s="1869"/>
      <c r="J2255" s="1870"/>
      <c r="K2255" s="28"/>
      <c r="L2255" s="28"/>
      <c r="M2255" s="28"/>
      <c r="N2255" s="28"/>
      <c r="O2255" s="28"/>
      <c r="P2255" s="28"/>
      <c r="Q2255" s="28"/>
      <c r="R2255" s="28"/>
      <c r="S2255" s="28"/>
      <c r="T2255" s="28"/>
      <c r="U2255" s="28"/>
      <c r="V2255" s="28"/>
      <c r="W2255" s="29"/>
      <c r="X2255" s="29"/>
      <c r="Y2255" s="29"/>
      <c r="Z2255" s="29"/>
      <c r="AA2255" s="29"/>
      <c r="AB2255" s="29"/>
      <c r="AC2255" s="29"/>
      <c r="AD2255" s="29"/>
      <c r="AE2255" s="29"/>
      <c r="AF2255" s="29"/>
      <c r="AG2255" s="29"/>
      <c r="AH2255" s="29"/>
      <c r="AI2255" s="29"/>
      <c r="AJ2255" s="29"/>
      <c r="AK2255" s="29"/>
      <c r="AL2255" s="29"/>
      <c r="AM2255" s="29"/>
      <c r="AN2255" s="29"/>
      <c r="AO2255" s="29"/>
      <c r="AP2255" s="29"/>
      <c r="AQ2255" s="29"/>
      <c r="AR2255" s="29"/>
      <c r="AS2255" s="29"/>
      <c r="AT2255" s="29"/>
      <c r="AU2255" s="29"/>
      <c r="AV2255" s="29"/>
      <c r="AW2255" s="29"/>
      <c r="AX2255" s="29"/>
      <c r="AY2255" s="29"/>
      <c r="AZ2255" s="29"/>
      <c r="BA2255" s="29"/>
      <c r="BB2255" s="29"/>
      <c r="BC2255" s="29"/>
      <c r="BD2255" s="29"/>
      <c r="BE2255" s="29"/>
      <c r="BF2255" s="29"/>
      <c r="BG2255" s="29"/>
      <c r="BH2255" s="29"/>
      <c r="BI2255" s="29"/>
      <c r="BJ2255" s="29"/>
      <c r="BK2255" s="29"/>
      <c r="BL2255" s="29"/>
      <c r="BM2255" s="29"/>
      <c r="BN2255" s="29"/>
      <c r="BO2255" s="29"/>
      <c r="BP2255" s="29"/>
      <c r="BQ2255" s="29"/>
      <c r="BR2255" s="29"/>
      <c r="BS2255" s="29"/>
      <c r="BT2255" s="29"/>
      <c r="BU2255" s="29"/>
      <c r="BV2255" s="29"/>
      <c r="BW2255" s="29"/>
      <c r="BX2255" s="29"/>
      <c r="BY2255" s="29"/>
      <c r="BZ2255" s="29"/>
      <c r="CA2255" s="29"/>
      <c r="CB2255" s="29"/>
      <c r="CC2255" s="29"/>
      <c r="CD2255" s="29"/>
      <c r="CE2255" s="29"/>
      <c r="CF2255" s="29"/>
      <c r="CG2255" s="29"/>
      <c r="CH2255" s="29"/>
      <c r="CI2255" s="29"/>
      <c r="CJ2255" s="29"/>
      <c r="CK2255" s="29"/>
      <c r="CL2255" s="29"/>
      <c r="CM2255" s="29"/>
      <c r="CN2255" s="29"/>
      <c r="CO2255" s="29"/>
      <c r="CP2255" s="29"/>
      <c r="CQ2255" s="29"/>
      <c r="CR2255" s="29"/>
      <c r="CS2255" s="29"/>
      <c r="CT2255" s="29"/>
      <c r="CU2255" s="29"/>
      <c r="CV2255" s="29"/>
      <c r="CW2255" s="29"/>
      <c r="CX2255" s="29"/>
      <c r="CY2255" s="29"/>
      <c r="CZ2255" s="29"/>
      <c r="DA2255" s="29"/>
      <c r="DB2255" s="29"/>
      <c r="DC2255" s="29"/>
      <c r="DD2255" s="29"/>
      <c r="DE2255" s="29"/>
      <c r="DF2255" s="29"/>
      <c r="DG2255" s="29"/>
      <c r="DH2255" s="29"/>
      <c r="DI2255" s="29"/>
      <c r="DJ2255" s="29"/>
      <c r="DK2255" s="29"/>
      <c r="DL2255" s="29"/>
      <c r="DM2255" s="29"/>
      <c r="DN2255" s="29"/>
      <c r="DO2255" s="29"/>
      <c r="DP2255" s="29"/>
      <c r="DQ2255" s="29"/>
      <c r="DR2255" s="29"/>
      <c r="DS2255" s="29"/>
      <c r="DT2255" s="29"/>
      <c r="DU2255" s="29"/>
      <c r="DV2255" s="29"/>
      <c r="DW2255" s="29"/>
      <c r="DX2255" s="29"/>
      <c r="DY2255" s="29"/>
      <c r="DZ2255" s="29"/>
      <c r="EA2255" s="29"/>
      <c r="EB2255" s="29"/>
      <c r="EC2255" s="29"/>
      <c r="ED2255" s="29"/>
      <c r="EE2255" s="29"/>
      <c r="EF2255" s="29"/>
      <c r="EG2255" s="29"/>
      <c r="EH2255" s="29"/>
      <c r="EI2255" s="29"/>
      <c r="EJ2255" s="29"/>
      <c r="EK2255" s="29"/>
      <c r="EL2255" s="29"/>
      <c r="EM2255" s="29"/>
      <c r="EN2255" s="29"/>
      <c r="EO2255" s="29"/>
      <c r="EP2255" s="29"/>
      <c r="EQ2255" s="29"/>
      <c r="ER2255" s="29"/>
      <c r="ES2255" s="29"/>
      <c r="ET2255" s="29"/>
      <c r="EU2255" s="29"/>
      <c r="EV2255" s="29"/>
      <c r="EW2255" s="29"/>
      <c r="EX2255" s="29"/>
      <c r="EY2255" s="29"/>
      <c r="EZ2255" s="29"/>
      <c r="FA2255" s="29"/>
      <c r="FB2255" s="29"/>
      <c r="FC2255" s="29"/>
      <c r="FD2255" s="29"/>
      <c r="FE2255" s="29"/>
      <c r="FF2255" s="29"/>
      <c r="FG2255" s="29"/>
      <c r="FH2255" s="29"/>
      <c r="FI2255" s="29"/>
      <c r="FJ2255" s="29"/>
      <c r="FK2255" s="29"/>
      <c r="FL2255" s="29"/>
      <c r="FM2255" s="29"/>
      <c r="FN2255" s="29"/>
      <c r="FO2255" s="29"/>
      <c r="FP2255" s="29"/>
      <c r="FQ2255" s="29"/>
      <c r="FR2255" s="29"/>
      <c r="FS2255" s="29"/>
      <c r="FT2255" s="29"/>
      <c r="FU2255" s="29"/>
      <c r="FV2255" s="29"/>
      <c r="FW2255" s="29"/>
      <c r="FX2255" s="29"/>
      <c r="FY2255" s="29"/>
      <c r="FZ2255" s="29"/>
      <c r="GA2255" s="29"/>
      <c r="GB2255" s="29"/>
      <c r="GC2255" s="13"/>
      <c r="GD2255" s="13"/>
      <c r="GE2255" s="13"/>
      <c r="GF2255" s="13"/>
      <c r="GG2255" s="13"/>
      <c r="GH2255" s="13"/>
      <c r="GI2255" s="13"/>
      <c r="GJ2255" s="13"/>
      <c r="GK2255" s="13"/>
      <c r="GL2255" s="13"/>
      <c r="GM2255" s="13"/>
      <c r="GN2255" s="13"/>
      <c r="GO2255" s="13"/>
      <c r="GP2255" s="13"/>
      <c r="GQ2255" s="13"/>
      <c r="GR2255" s="13"/>
      <c r="GS2255" s="13"/>
      <c r="GT2255" s="13"/>
      <c r="GU2255" s="13"/>
      <c r="GV2255" s="13"/>
      <c r="GW2255" s="13"/>
      <c r="GX2255" s="13"/>
      <c r="GY2255" s="13"/>
      <c r="GZ2255" s="13"/>
      <c r="HA2255" s="13"/>
      <c r="HB2255" s="13"/>
      <c r="HC2255" s="13"/>
      <c r="HD2255" s="13"/>
      <c r="HE2255" s="13"/>
      <c r="HF2255" s="13"/>
      <c r="HG2255" s="13"/>
      <c r="HH2255" s="13"/>
      <c r="HI2255" s="13"/>
      <c r="HJ2255" s="13"/>
      <c r="HK2255" s="13"/>
      <c r="HL2255" s="13"/>
      <c r="HM2255" s="13"/>
      <c r="HN2255" s="13"/>
      <c r="HO2255" s="13"/>
      <c r="HP2255" s="13"/>
      <c r="HQ2255" s="13"/>
      <c r="HR2255" s="13"/>
      <c r="HS2255" s="13"/>
      <c r="HT2255" s="13"/>
      <c r="HU2255" s="13"/>
      <c r="HV2255" s="13"/>
      <c r="HW2255" s="13"/>
      <c r="HX2255" s="13"/>
      <c r="HY2255" s="13"/>
      <c r="HZ2255" s="13"/>
      <c r="IA2255" s="13"/>
      <c r="IB2255" s="13"/>
      <c r="IC2255" s="13"/>
      <c r="ID2255" s="13"/>
      <c r="IE2255" s="13"/>
      <c r="IF2255" s="13"/>
      <c r="IG2255" s="13"/>
      <c r="IH2255" s="13"/>
      <c r="II2255" s="13"/>
      <c r="IJ2255" s="13"/>
      <c r="IK2255" s="13"/>
      <c r="IL2255" s="13"/>
      <c r="IM2255" s="13"/>
      <c r="IN2255" s="13"/>
      <c r="IO2255" s="13"/>
      <c r="IP2255" s="13"/>
      <c r="IQ2255" s="13"/>
      <c r="IR2255" s="13"/>
      <c r="IS2255" s="13"/>
      <c r="IT2255" s="13"/>
      <c r="IU2255" s="13"/>
      <c r="IV2255" s="13"/>
    </row>
    <row r="2256" spans="1:256" outlineLevel="2" x14ac:dyDescent="0.15">
      <c r="B2256" s="6"/>
      <c r="C2256" s="6"/>
      <c r="D2256" s="6"/>
      <c r="E2256" s="6"/>
      <c r="F2256" s="6"/>
      <c r="G2256" s="6"/>
      <c r="H2256" s="6"/>
      <c r="I2256" s="6"/>
      <c r="J2256" s="6"/>
      <c r="K2256" s="6"/>
      <c r="L2256" s="6"/>
      <c r="M2256" s="6"/>
      <c r="N2256" s="6"/>
      <c r="O2256" s="6"/>
      <c r="P2256" s="6"/>
      <c r="Q2256" s="6"/>
      <c r="R2256" s="6"/>
      <c r="S2256" s="6"/>
      <c r="T2256" s="6"/>
      <c r="U2256" s="6"/>
      <c r="V2256" s="6"/>
      <c r="W2256" s="6"/>
      <c r="X2256" s="6"/>
      <c r="Y2256" s="6"/>
      <c r="Z2256" s="6"/>
    </row>
    <row r="2257" spans="2:26" outlineLevel="2" x14ac:dyDescent="0.15">
      <c r="B2257" s="1475" t="s">
        <v>1907</v>
      </c>
      <c r="C2257" s="1863" t="s">
        <v>767</v>
      </c>
      <c r="D2257" s="1876" t="s">
        <v>1515</v>
      </c>
      <c r="E2257" s="1877"/>
      <c r="F2257" s="1877"/>
      <c r="G2257" s="1878"/>
      <c r="H2257" s="887"/>
      <c r="W2257" s="4"/>
      <c r="X2257" s="4"/>
      <c r="Y2257" s="4"/>
      <c r="Z2257" s="4"/>
    </row>
    <row r="2258" spans="2:26" ht="14" outlineLevel="2" x14ac:dyDescent="0.15">
      <c r="B2258" s="899"/>
      <c r="C2258" s="1864"/>
      <c r="D2258" s="1503" t="s">
        <v>14</v>
      </c>
      <c r="E2258" s="1504" t="s">
        <v>695</v>
      </c>
      <c r="F2258" s="1505" t="s">
        <v>27</v>
      </c>
      <c r="G2258" s="1319" t="s">
        <v>694</v>
      </c>
      <c r="H2258" s="963" t="s">
        <v>723</v>
      </c>
      <c r="K2258" s="1"/>
      <c r="W2258" s="4"/>
      <c r="X2258" s="4"/>
      <c r="Y2258" s="4"/>
      <c r="Z2258" s="4"/>
    </row>
    <row r="2259" spans="2:26" outlineLevel="2" x14ac:dyDescent="0.15">
      <c r="B2259" s="804" t="s">
        <v>1908</v>
      </c>
      <c r="C2259" s="877">
        <f>C2157+C2160</f>
        <v>33</v>
      </c>
      <c r="D2259" s="978">
        <f>D2157+D2160</f>
        <v>33</v>
      </c>
      <c r="E2259" s="883">
        <f>E2157+E2160</f>
        <v>0</v>
      </c>
      <c r="F2259" s="979">
        <f>F2157+F2160</f>
        <v>0</v>
      </c>
      <c r="G2259" s="877">
        <f>G2157+G2160</f>
        <v>0</v>
      </c>
      <c r="H2259" s="959">
        <v>0.5</v>
      </c>
      <c r="K2259" s="1"/>
      <c r="W2259" s="4"/>
      <c r="X2259" s="4"/>
      <c r="Y2259" s="4"/>
      <c r="Z2259" s="4"/>
    </row>
    <row r="2260" spans="2:26" outlineLevel="2" x14ac:dyDescent="0.15">
      <c r="B2260" s="802"/>
      <c r="C2260" s="1039"/>
      <c r="D2260" s="1045"/>
      <c r="E2260" s="817"/>
      <c r="F2260" s="813"/>
      <c r="G2260" s="1039"/>
      <c r="H2260" s="1062"/>
      <c r="I2260" s="6"/>
      <c r="J2260" s="6"/>
      <c r="K2260" s="1083"/>
      <c r="L2260" s="6"/>
      <c r="M2260" s="6"/>
      <c r="N2260" s="6"/>
      <c r="O2260" s="6"/>
      <c r="P2260" s="6"/>
      <c r="Q2260" s="6"/>
      <c r="R2260" s="6"/>
      <c r="S2260" s="6"/>
      <c r="T2260" s="6"/>
      <c r="U2260" s="6"/>
      <c r="V2260" s="6"/>
      <c r="W2260" s="6"/>
      <c r="X2260" s="6"/>
      <c r="Y2260" s="6"/>
      <c r="Z2260" s="6"/>
    </row>
    <row r="2261" spans="2:26" outlineLevel="2" x14ac:dyDescent="0.15">
      <c r="B2261" s="6"/>
      <c r="C2261" s="6"/>
      <c r="D2261" s="6"/>
      <c r="E2261" s="6"/>
      <c r="F2261" s="6"/>
      <c r="G2261" s="6"/>
      <c r="H2261" s="6"/>
      <c r="I2261" s="6"/>
      <c r="J2261" s="6"/>
      <c r="K2261" s="6"/>
      <c r="L2261" s="6"/>
      <c r="M2261" s="6"/>
      <c r="N2261" s="6"/>
      <c r="O2261" s="6"/>
      <c r="P2261" s="6"/>
      <c r="Q2261" s="6"/>
      <c r="R2261" s="6"/>
      <c r="S2261" s="13"/>
      <c r="T2261" s="13"/>
      <c r="U2261" s="13"/>
      <c r="V2261" s="13"/>
    </row>
    <row r="2262" spans="2:26" ht="12.75" customHeight="1" outlineLevel="2" x14ac:dyDescent="0.15">
      <c r="B2262" s="1475" t="s">
        <v>1909</v>
      </c>
      <c r="C2262" s="1893" t="s">
        <v>1903</v>
      </c>
      <c r="D2262" s="1894"/>
      <c r="E2262" s="1894"/>
      <c r="F2262" s="1894"/>
      <c r="G2262" s="1895"/>
      <c r="H2262" s="1076" t="s">
        <v>1892</v>
      </c>
      <c r="I2262" s="887"/>
      <c r="J2262" s="13"/>
      <c r="K2262" s="13"/>
      <c r="L2262" s="13"/>
      <c r="M2262" s="13"/>
      <c r="N2262" s="13"/>
      <c r="O2262" s="13"/>
      <c r="P2262" s="13"/>
      <c r="Q2262" s="13"/>
      <c r="R2262" s="13"/>
      <c r="S2262" s="13"/>
      <c r="T2262" s="13"/>
      <c r="U2262" s="13"/>
      <c r="V2262" s="13"/>
    </row>
    <row r="2263" spans="2:26" outlineLevel="2" x14ac:dyDescent="0.15">
      <c r="B2263" s="1080"/>
      <c r="C2263" s="1863" t="s">
        <v>767</v>
      </c>
      <c r="D2263" s="1876" t="s">
        <v>1515</v>
      </c>
      <c r="E2263" s="1877"/>
      <c r="F2263" s="1877"/>
      <c r="G2263" s="1878"/>
      <c r="H2263" s="1586" t="s">
        <v>1901</v>
      </c>
      <c r="I2263" s="891"/>
      <c r="J2263" s="13"/>
      <c r="K2263" s="13"/>
      <c r="L2263" s="13"/>
      <c r="M2263" s="13"/>
      <c r="N2263" s="13"/>
      <c r="O2263" s="13"/>
      <c r="P2263" s="13"/>
      <c r="Q2263" s="13"/>
      <c r="R2263" s="13"/>
      <c r="S2263" s="13"/>
      <c r="T2263" s="13"/>
      <c r="U2263" s="13"/>
      <c r="V2263" s="13"/>
    </row>
    <row r="2264" spans="2:26" ht="14" outlineLevel="2" x14ac:dyDescent="0.15">
      <c r="B2264" s="1580" t="s">
        <v>1911</v>
      </c>
      <c r="C2264" s="1864"/>
      <c r="D2264" s="1503" t="s">
        <v>14</v>
      </c>
      <c r="E2264" s="1504" t="s">
        <v>695</v>
      </c>
      <c r="F2264" s="1505" t="s">
        <v>27</v>
      </c>
      <c r="G2264" s="1319" t="s">
        <v>694</v>
      </c>
      <c r="H2264" s="962" t="s">
        <v>1510</v>
      </c>
      <c r="I2264" s="963" t="s">
        <v>723</v>
      </c>
      <c r="J2264" s="13"/>
      <c r="K2264" s="13"/>
      <c r="L2264" s="13"/>
      <c r="M2264" s="13"/>
      <c r="N2264" s="13"/>
      <c r="O2264" s="13"/>
      <c r="P2264" s="13"/>
      <c r="Q2264" s="13"/>
      <c r="R2264" s="13"/>
      <c r="S2264" s="13"/>
      <c r="T2264" s="13"/>
      <c r="U2264" s="13"/>
      <c r="V2264" s="13"/>
    </row>
    <row r="2265" spans="2:26" outlineLevel="2" x14ac:dyDescent="0.15">
      <c r="B2265" s="806" t="s">
        <v>1910</v>
      </c>
      <c r="C2265" s="981">
        <v>108.44499999999999</v>
      </c>
      <c r="D2265" s="978">
        <v>36.667000000000002</v>
      </c>
      <c r="E2265" s="983">
        <v>27.600790063617083</v>
      </c>
      <c r="F2265" s="1391">
        <v>44.177209936382908</v>
      </c>
      <c r="G2265" s="981">
        <v>532.03899999999999</v>
      </c>
      <c r="H2265" s="981">
        <v>-26.51</v>
      </c>
      <c r="I2265" s="805">
        <v>0.5</v>
      </c>
      <c r="J2265" s="19"/>
      <c r="K2265" s="13"/>
      <c r="L2265" s="13"/>
      <c r="M2265" s="13"/>
      <c r="N2265" s="13"/>
      <c r="O2265" s="13"/>
      <c r="P2265" s="13"/>
      <c r="Q2265" s="13"/>
      <c r="R2265" s="13"/>
      <c r="S2265" s="13"/>
      <c r="T2265" s="13"/>
      <c r="U2265" s="13"/>
      <c r="V2265" s="13"/>
    </row>
    <row r="2266" spans="2:26" outlineLevel="2" x14ac:dyDescent="0.15">
      <c r="B2266" s="1706" t="s">
        <v>3256</v>
      </c>
      <c r="C2266" s="1682">
        <f>0.0143*1000</f>
        <v>14.3</v>
      </c>
      <c r="D2266" s="980"/>
      <c r="E2266" s="1707">
        <f>0.00082*1000</f>
        <v>0.82</v>
      </c>
      <c r="F2266" s="1708">
        <f>0.0135*1000</f>
        <v>13.5</v>
      </c>
      <c r="G2266" s="981">
        <v>532.03899999999999</v>
      </c>
      <c r="H2266" s="981">
        <v>-26.51</v>
      </c>
      <c r="I2266" s="1514">
        <v>0.5</v>
      </c>
      <c r="J2266" s="19"/>
      <c r="K2266" s="13"/>
      <c r="L2266" s="13"/>
      <c r="M2266" s="13"/>
      <c r="N2266" s="13"/>
      <c r="O2266" s="13"/>
      <c r="P2266" s="13"/>
      <c r="Q2266" s="13"/>
      <c r="R2266" s="13"/>
      <c r="S2266" s="13"/>
      <c r="T2266" s="13"/>
      <c r="U2266" s="13"/>
      <c r="V2266" s="13"/>
    </row>
    <row r="2267" spans="2:26" outlineLevel="2" x14ac:dyDescent="0.15">
      <c r="B2267" s="1706" t="s">
        <v>3257</v>
      </c>
      <c r="C2267" s="1685">
        <f>0.028*1000</f>
        <v>28</v>
      </c>
      <c r="D2267" s="980"/>
      <c r="E2267" s="1707">
        <f>0.028*1000</f>
        <v>28</v>
      </c>
      <c r="F2267" s="1708"/>
      <c r="G2267" s="981">
        <v>0</v>
      </c>
      <c r="H2267" s="981">
        <v>-77</v>
      </c>
      <c r="I2267" s="1514">
        <v>0.5</v>
      </c>
      <c r="J2267" s="19"/>
      <c r="K2267" s="13"/>
      <c r="L2267" s="13"/>
      <c r="M2267" s="13"/>
      <c r="N2267" s="13"/>
      <c r="O2267" s="13"/>
      <c r="P2267" s="13"/>
      <c r="Q2267" s="13"/>
      <c r="R2267" s="13"/>
      <c r="S2267" s="13"/>
      <c r="T2267" s="13"/>
      <c r="U2267" s="13"/>
      <c r="V2267" s="13"/>
    </row>
    <row r="2268" spans="2:26" outlineLevel="2" x14ac:dyDescent="0.15">
      <c r="B2268" s="806" t="s">
        <v>169</v>
      </c>
      <c r="C2268" s="981">
        <v>80.367000000000004</v>
      </c>
      <c r="D2268" s="980">
        <v>25.667000000000002</v>
      </c>
      <c r="E2268" s="816">
        <v>8.2076697810626147</v>
      </c>
      <c r="F2268" s="1090">
        <v>46.492330218937383</v>
      </c>
      <c r="G2268" s="1146">
        <v>0</v>
      </c>
      <c r="H2268" s="981">
        <v>-77</v>
      </c>
      <c r="I2268" s="807">
        <v>0.5</v>
      </c>
      <c r="J2268" s="19"/>
      <c r="K2268" s="13"/>
      <c r="L2268" s="13"/>
      <c r="M2268" s="13"/>
      <c r="N2268" s="13"/>
      <c r="O2268" s="13"/>
      <c r="P2268" s="13"/>
      <c r="Q2268" s="13"/>
      <c r="R2268" s="13"/>
      <c r="S2268" s="13"/>
      <c r="T2268" s="13"/>
      <c r="U2268" s="13"/>
      <c r="V2268" s="13"/>
    </row>
    <row r="2269" spans="2:26" outlineLevel="2" x14ac:dyDescent="0.15">
      <c r="B2269" s="802"/>
      <c r="C2269" s="960"/>
      <c r="D2269" s="1061"/>
      <c r="E2269" s="1075"/>
      <c r="F2269" s="1052"/>
      <c r="G2269" s="1061"/>
      <c r="H2269" s="1061"/>
      <c r="I2269" s="803"/>
      <c r="W2269" s="4"/>
      <c r="X2269" s="4"/>
      <c r="Y2269" s="4"/>
      <c r="Z2269" s="4"/>
    </row>
    <row r="2270" spans="2:26" outlineLevel="2" x14ac:dyDescent="0.15">
      <c r="F2270" s="9"/>
      <c r="J2270" s="9"/>
    </row>
    <row r="2271" spans="2:26" outlineLevel="2" x14ac:dyDescent="0.15">
      <c r="B2271" s="1489" t="s">
        <v>1925</v>
      </c>
      <c r="C2271" s="1577" t="s">
        <v>1912</v>
      </c>
      <c r="D2271" s="1575" t="s">
        <v>1912</v>
      </c>
      <c r="E2271" s="1575" t="s">
        <v>1912</v>
      </c>
      <c r="F2271" s="1575" t="s">
        <v>1912</v>
      </c>
      <c r="G2271" s="1576" t="s">
        <v>1912</v>
      </c>
      <c r="H2271" s="1577" t="s">
        <v>1918</v>
      </c>
      <c r="I2271" s="1575" t="s">
        <v>1918</v>
      </c>
      <c r="J2271" s="1575" t="s">
        <v>1918</v>
      </c>
      <c r="K2271" s="1576" t="s">
        <v>1918</v>
      </c>
      <c r="L2271" s="1579" t="s">
        <v>1922</v>
      </c>
      <c r="M2271" s="1575" t="s">
        <v>1923</v>
      </c>
      <c r="N2271" s="1576" t="s">
        <v>1924</v>
      </c>
      <c r="O2271" s="1579" t="s">
        <v>44</v>
      </c>
    </row>
    <row r="2272" spans="2:26" outlineLevel="2" x14ac:dyDescent="0.15">
      <c r="B2272" s="1072"/>
      <c r="C2272" s="1581" t="s">
        <v>1913</v>
      </c>
      <c r="D2272" s="1582" t="s">
        <v>1914</v>
      </c>
      <c r="E2272" s="1582" t="s">
        <v>1915</v>
      </c>
      <c r="F2272" s="1582" t="s">
        <v>1916</v>
      </c>
      <c r="G2272" s="1583" t="s">
        <v>1917</v>
      </c>
      <c r="H2272" s="1581" t="s">
        <v>1919</v>
      </c>
      <c r="I2272" s="1582" t="s">
        <v>1915</v>
      </c>
      <c r="J2272" s="1582" t="s">
        <v>1920</v>
      </c>
      <c r="K2272" s="1583" t="s">
        <v>1921</v>
      </c>
      <c r="L2272" s="836"/>
      <c r="M2272" s="888"/>
      <c r="N2272" s="896"/>
      <c r="O2272" s="1323"/>
    </row>
    <row r="2273" spans="2:15" outlineLevel="2" x14ac:dyDescent="0.15">
      <c r="B2273" s="980" t="str">
        <f t="shared" ref="B2273:B2278" si="98">B2195</f>
        <v>Metals [1]</v>
      </c>
      <c r="C2273" s="1038">
        <f>VLOOKUP($B2273&amp;", "&amp;'Rifiuti di processo'!$D$7,'Info utili'!$B$439:$N$510,2,FALSE)</f>
        <v>0</v>
      </c>
      <c r="D2273" s="1049">
        <f>VLOOKUP($B2273&amp;", "&amp;'Rifiuti di processo'!$D$7,'Info utili'!$B$439:$N$510,3,FALSE)</f>
        <v>0.6</v>
      </c>
      <c r="E2273" s="1049">
        <f>VLOOKUP($B2273&amp;", "&amp;'Rifiuti di processo'!$D$7,'Info utili'!$B$439:$N$510,4,FALSE)</f>
        <v>0</v>
      </c>
      <c r="F2273" s="1049">
        <f>VLOOKUP($B2273&amp;", "&amp;'Rifiuti di processo'!$D$7,'Info utili'!$B$439:$N$510,5,FALSE)</f>
        <v>0</v>
      </c>
      <c r="G2273" s="895">
        <f>VLOOKUP($B2273&amp;", "&amp;'Rifiuti di processo'!$D$7,'Info utili'!$B$439:$N$510,6,FALSE)</f>
        <v>0</v>
      </c>
      <c r="H2273" s="1038">
        <f>VLOOKUP($B2273&amp;", "&amp;'Rifiuti di processo'!$D$7,'Info utili'!$B$439:$N$510,7,FALSE)</f>
        <v>0</v>
      </c>
      <c r="I2273" s="1049">
        <f>VLOOKUP($B2273&amp;", "&amp;'Rifiuti di processo'!$D$7,'Info utili'!$B$439:$N$510,8,FALSE)</f>
        <v>0</v>
      </c>
      <c r="J2273" s="1049">
        <f>VLOOKUP($B2273&amp;", "&amp;'Rifiuti di processo'!$D$7,'Info utili'!$B$439:$N$510,9,FALSE)</f>
        <v>0</v>
      </c>
      <c r="K2273" s="895">
        <f>VLOOKUP($B2273&amp;", "&amp;'Rifiuti di processo'!$D$7,'Info utili'!$B$439:$N$510,10,FALSE)</f>
        <v>0</v>
      </c>
      <c r="L2273" s="807">
        <f>VLOOKUP($B2273&amp;", "&amp;'Rifiuti di processo'!$D$7,'Info utili'!$B$439:$N$510,11,FALSE)</f>
        <v>0.4</v>
      </c>
      <c r="M2273" s="1038">
        <f>VLOOKUP($B2273&amp;", "&amp;'Rifiuti di processo'!$D$7,'Info utili'!$B$439:$N$510,12,FALSE)</f>
        <v>0</v>
      </c>
      <c r="N2273" s="895">
        <f>VLOOKUP($B2273&amp;", "&amp;'Rifiuti di processo'!$D$7,'Info utili'!$B$439:$N$510,13,FALSE)</f>
        <v>0</v>
      </c>
      <c r="O2273" s="895">
        <f>SUM(C2273:N2273)</f>
        <v>1</v>
      </c>
    </row>
    <row r="2274" spans="2:15" outlineLevel="2" x14ac:dyDescent="0.15">
      <c r="B2274" s="980" t="str">
        <f t="shared" si="98"/>
        <v>Glass [1]</v>
      </c>
      <c r="C2274" s="1038">
        <f>VLOOKUP($B2274&amp;", "&amp;'Rifiuti di processo'!$D$7,'Info utili'!$B$439:$N$510,2,FALSE)</f>
        <v>0</v>
      </c>
      <c r="D2274" s="1049">
        <f>VLOOKUP($B2274&amp;", "&amp;'Rifiuti di processo'!$D$7,'Info utili'!$B$439:$N$510,3,FALSE)</f>
        <v>0.4</v>
      </c>
      <c r="E2274" s="1049">
        <f>VLOOKUP($B2274&amp;", "&amp;'Rifiuti di processo'!$D$7,'Info utili'!$B$439:$N$510,4,FALSE)</f>
        <v>0</v>
      </c>
      <c r="F2274" s="1049">
        <f>VLOOKUP($B2274&amp;", "&amp;'Rifiuti di processo'!$D$7,'Info utili'!$B$439:$N$510,5,FALSE)</f>
        <v>0</v>
      </c>
      <c r="G2274" s="895">
        <f>VLOOKUP($B2274&amp;", "&amp;'Rifiuti di processo'!$D$7,'Info utili'!$B$439:$N$510,6,FALSE)</f>
        <v>0</v>
      </c>
      <c r="H2274" s="1038">
        <f>VLOOKUP($B2274&amp;", "&amp;'Rifiuti di processo'!$D$7,'Info utili'!$B$439:$N$510,7,FALSE)</f>
        <v>0</v>
      </c>
      <c r="I2274" s="1049">
        <f>VLOOKUP($B2274&amp;", "&amp;'Rifiuti di processo'!$D$7,'Info utili'!$B$439:$N$510,8,FALSE)</f>
        <v>0</v>
      </c>
      <c r="J2274" s="1049">
        <f>VLOOKUP($B2274&amp;", "&amp;'Rifiuti di processo'!$D$7,'Info utili'!$B$439:$N$510,9,FALSE)</f>
        <v>0</v>
      </c>
      <c r="K2274" s="895">
        <f>VLOOKUP($B2274&amp;", "&amp;'Rifiuti di processo'!$D$7,'Info utili'!$B$439:$N$510,10,FALSE)</f>
        <v>0</v>
      </c>
      <c r="L2274" s="807">
        <f>VLOOKUP($B2274&amp;", "&amp;'Rifiuti di processo'!$D$7,'Info utili'!$B$439:$N$510,11,FALSE)</f>
        <v>0.6</v>
      </c>
      <c r="M2274" s="1038">
        <f>VLOOKUP($B2274&amp;", "&amp;'Rifiuti di processo'!$D$7,'Info utili'!$B$439:$N$510,12,FALSE)</f>
        <v>0</v>
      </c>
      <c r="N2274" s="895">
        <f>VLOOKUP($B2274&amp;", "&amp;'Rifiuti di processo'!$D$7,'Info utili'!$B$439:$N$510,13,FALSE)</f>
        <v>0</v>
      </c>
      <c r="O2274" s="895">
        <f t="shared" ref="O2274:O2288" si="99">SUM(C2274:N2274)</f>
        <v>1</v>
      </c>
    </row>
    <row r="2275" spans="2:15" outlineLevel="2" x14ac:dyDescent="0.15">
      <c r="B2275" s="980" t="str">
        <f t="shared" si="98"/>
        <v>Plastics [1]</v>
      </c>
      <c r="C2275" s="1038">
        <f>VLOOKUP($B2275&amp;", "&amp;'Rifiuti di processo'!$D$7,'Info utili'!$B$439:$N$510,2,FALSE)</f>
        <v>0</v>
      </c>
      <c r="D2275" s="1049">
        <f>VLOOKUP($B2275&amp;", "&amp;'Rifiuti di processo'!$D$7,'Info utili'!$B$439:$N$510,3,FALSE)</f>
        <v>0.37119999999999997</v>
      </c>
      <c r="E2275" s="1049">
        <f>VLOOKUP($B2275&amp;", "&amp;'Rifiuti di processo'!$D$7,'Info utili'!$B$439:$N$510,4,FALSE)</f>
        <v>0.17399999999999999</v>
      </c>
      <c r="F2275" s="1049">
        <f>VLOOKUP($B2275&amp;", "&amp;'Rifiuti di processo'!$D$7,'Info utili'!$B$439:$N$510,5,FALSE)</f>
        <v>2.3199999999999998E-2</v>
      </c>
      <c r="G2275" s="895">
        <f>VLOOKUP($B2275&amp;", "&amp;'Rifiuti di processo'!$D$7,'Info utili'!$B$439:$N$510,6,FALSE)</f>
        <v>1.1599999999999999E-2</v>
      </c>
      <c r="H2275" s="1038">
        <f>VLOOKUP($B2275&amp;", "&amp;'Rifiuti di processo'!$D$7,'Info utili'!$B$439:$N$510,7,FALSE)</f>
        <v>1.4162797895388424E-2</v>
      </c>
      <c r="I2275" s="1049">
        <f>VLOOKUP($B2275&amp;", "&amp;'Rifiuti di processo'!$D$7,'Info utili'!$B$439:$N$510,8,FALSE)</f>
        <v>0.12476632621479418</v>
      </c>
      <c r="J2275" s="1049">
        <f>VLOOKUP($B2275&amp;", "&amp;'Rifiuti di processo'!$D$7,'Info utili'!$B$439:$N$510,9,FALSE)</f>
        <v>3.513463324048282E-2</v>
      </c>
      <c r="K2275" s="895">
        <f>VLOOKUP($B2275&amp;", "&amp;'Rifiuti di processo'!$D$7,'Info utili'!$B$439:$N$510,10,FALSE)</f>
        <v>0.14593624264933458</v>
      </c>
      <c r="L2275" s="807">
        <f>VLOOKUP($B2275&amp;", "&amp;'Rifiuti di processo'!$D$7,'Info utili'!$B$439:$N$510,11,FALSE)</f>
        <v>0.1</v>
      </c>
      <c r="M2275" s="1038">
        <f>VLOOKUP($B2275&amp;", "&amp;'Rifiuti di processo'!$D$7,'Info utili'!$B$439:$N$510,12,FALSE)</f>
        <v>0</v>
      </c>
      <c r="N2275" s="895">
        <f>VLOOKUP($B2275&amp;", "&amp;'Rifiuti di processo'!$D$7,'Info utili'!$B$439:$N$510,13,FALSE)</f>
        <v>0</v>
      </c>
      <c r="O2275" s="895">
        <f t="shared" si="99"/>
        <v>0.99999999999999989</v>
      </c>
    </row>
    <row r="2276" spans="2:15" outlineLevel="2" x14ac:dyDescent="0.15">
      <c r="B2276" s="980" t="str">
        <f t="shared" si="98"/>
        <v>Cardboard [1]</v>
      </c>
      <c r="C2276" s="1038">
        <f>VLOOKUP($B2276&amp;", "&amp;'Rifiuti di processo'!$D$7,'Info utili'!$B$439:$N$510,2,FALSE)</f>
        <v>0</v>
      </c>
      <c r="D2276" s="1049">
        <f>VLOOKUP($B2276&amp;", "&amp;'Rifiuti di processo'!$D$7,'Info utili'!$B$439:$N$510,3,FALSE)</f>
        <v>7.6799999999999993E-2</v>
      </c>
      <c r="E2276" s="1049">
        <f>VLOOKUP($B2276&amp;", "&amp;'Rifiuti di processo'!$D$7,'Info utili'!$B$439:$N$510,4,FALSE)</f>
        <v>3.5999999999999997E-2</v>
      </c>
      <c r="F2276" s="1049">
        <f>VLOOKUP($B2276&amp;", "&amp;'Rifiuti di processo'!$D$7,'Info utili'!$B$439:$N$510,5,FALSE)</f>
        <v>4.7999999999999996E-3</v>
      </c>
      <c r="G2276" s="895">
        <f>VLOOKUP($B2276&amp;", "&amp;'Rifiuti di processo'!$D$7,'Info utili'!$B$439:$N$510,6,FALSE)</f>
        <v>2.3999999999999998E-3</v>
      </c>
      <c r="H2276" s="1038">
        <f>VLOOKUP($B2276&amp;", "&amp;'Rifiuti di processo'!$D$7,'Info utili'!$B$439:$N$510,7,FALSE)</f>
        <v>3.0981120396162179E-3</v>
      </c>
      <c r="I2276" s="1049">
        <f>VLOOKUP($B2276&amp;", "&amp;'Rifiuti di processo'!$D$7,'Info utili'!$B$439:$N$510,8,FALSE)</f>
        <v>2.7292633859486229E-2</v>
      </c>
      <c r="J2276" s="1049">
        <f>VLOOKUP($B2276&amp;", "&amp;'Rifiuti di processo'!$D$7,'Info utili'!$B$439:$N$510,9,FALSE)</f>
        <v>7.6857010213556183E-3</v>
      </c>
      <c r="K2276" s="895">
        <f>VLOOKUP($B2276&amp;", "&amp;'Rifiuti di processo'!$D$7,'Info utili'!$B$439:$N$510,10,FALSE)</f>
        <v>3.1923553079541943E-2</v>
      </c>
      <c r="L2276" s="807">
        <f>VLOOKUP($B2276&amp;", "&amp;'Rifiuti di processo'!$D$7,'Info utili'!$B$439:$N$510,11,FALSE)</f>
        <v>0.8</v>
      </c>
      <c r="M2276" s="1038">
        <f>VLOOKUP($B2276&amp;", "&amp;'Rifiuti di processo'!$D$7,'Info utili'!$B$439:$N$510,12,FALSE)</f>
        <v>0.01</v>
      </c>
      <c r="N2276" s="895">
        <f>VLOOKUP($B2276&amp;", "&amp;'Rifiuti di processo'!$D$7,'Info utili'!$B$439:$N$510,13,FALSE)</f>
        <v>0</v>
      </c>
      <c r="O2276" s="895">
        <f t="shared" si="99"/>
        <v>1</v>
      </c>
    </row>
    <row r="2277" spans="2:15" outlineLevel="2" x14ac:dyDescent="0.15">
      <c r="B2277" s="980" t="str">
        <f t="shared" si="98"/>
        <v>Paper [1]</v>
      </c>
      <c r="C2277" s="1038">
        <f>VLOOKUP($B2277&amp;", "&amp;'Rifiuti di processo'!$D$7,'Info utili'!$B$439:$N$510,2,FALSE)</f>
        <v>0</v>
      </c>
      <c r="D2277" s="1049">
        <f>VLOOKUP($B2277&amp;", "&amp;'Rifiuti di processo'!$D$7,'Info utili'!$B$439:$N$510,3,FALSE)</f>
        <v>0.15359999999999999</v>
      </c>
      <c r="E2277" s="1049">
        <f>VLOOKUP($B2277&amp;", "&amp;'Rifiuti di processo'!$D$7,'Info utili'!$B$439:$N$510,4,FALSE)</f>
        <v>7.1999999999999995E-2</v>
      </c>
      <c r="F2277" s="1049">
        <f>VLOOKUP($B2277&amp;", "&amp;'Rifiuti di processo'!$D$7,'Info utili'!$B$439:$N$510,5,FALSE)</f>
        <v>9.5999999999999992E-3</v>
      </c>
      <c r="G2277" s="895">
        <f>VLOOKUP($B2277&amp;", "&amp;'Rifiuti di processo'!$D$7,'Info utili'!$B$439:$N$510,6,FALSE)</f>
        <v>4.7999999999999996E-3</v>
      </c>
      <c r="H2277" s="1038">
        <f>VLOOKUP($B2277&amp;", "&amp;'Rifiuti di processo'!$D$7,'Info utili'!$B$439:$N$510,7,FALSE)</f>
        <v>6.1962240792324359E-3</v>
      </c>
      <c r="I2277" s="1049">
        <f>VLOOKUP($B2277&amp;", "&amp;'Rifiuti di processo'!$D$7,'Info utili'!$B$439:$N$510,8,FALSE)</f>
        <v>5.4585267718972458E-2</v>
      </c>
      <c r="J2277" s="1049">
        <f>VLOOKUP($B2277&amp;", "&amp;'Rifiuti di processo'!$D$7,'Info utili'!$B$439:$N$510,9,FALSE)</f>
        <v>1.5371402042711237E-2</v>
      </c>
      <c r="K2277" s="895">
        <f>VLOOKUP($B2277&amp;", "&amp;'Rifiuti di processo'!$D$7,'Info utili'!$B$439:$N$510,10,FALSE)</f>
        <v>6.3847106159083886E-2</v>
      </c>
      <c r="L2277" s="807">
        <f>VLOOKUP($B2277&amp;", "&amp;'Rifiuti di processo'!$D$7,'Info utili'!$B$439:$N$510,11,FALSE)</f>
        <v>0.6</v>
      </c>
      <c r="M2277" s="1038">
        <f>VLOOKUP($B2277&amp;", "&amp;'Rifiuti di processo'!$D$7,'Info utili'!$B$439:$N$510,12,FALSE)</f>
        <v>0.02</v>
      </c>
      <c r="N2277" s="895">
        <f>VLOOKUP($B2277&amp;", "&amp;'Rifiuti di processo'!$D$7,'Info utili'!$B$439:$N$510,13,FALSE)</f>
        <v>0</v>
      </c>
      <c r="O2277" s="895">
        <f t="shared" si="99"/>
        <v>1</v>
      </c>
    </row>
    <row r="2278" spans="2:15" outlineLevel="2" x14ac:dyDescent="0.15">
      <c r="B2278" s="980" t="str">
        <f t="shared" si="98"/>
        <v>Organic / food waste [1]</v>
      </c>
      <c r="C2278" s="1038">
        <f>VLOOKUP($B2278&amp;", "&amp;'Rifiuti di processo'!$D$7,'Info utili'!$B$439:$N$510,2,FALSE)</f>
        <v>0</v>
      </c>
      <c r="D2278" s="1049">
        <f>VLOOKUP($B2278&amp;", "&amp;'Rifiuti di processo'!$D$7,'Info utili'!$B$439:$N$510,3,FALSE)</f>
        <v>0.35200000000000004</v>
      </c>
      <c r="E2278" s="1049">
        <f>VLOOKUP($B2278&amp;", "&amp;'Rifiuti di processo'!$D$7,'Info utili'!$B$439:$N$510,4,FALSE)</f>
        <v>0.16500000000000001</v>
      </c>
      <c r="F2278" s="1049">
        <f>VLOOKUP($B2278&amp;", "&amp;'Rifiuti di processo'!$D$7,'Info utili'!$B$439:$N$510,5,FALSE)</f>
        <v>2.2000000000000002E-2</v>
      </c>
      <c r="G2278" s="895">
        <f>VLOOKUP($B2278&amp;", "&amp;'Rifiuti di processo'!$D$7,'Info utili'!$B$439:$N$510,6,FALSE)</f>
        <v>1.1000000000000001E-2</v>
      </c>
      <c r="H2278" s="1038">
        <f>VLOOKUP($B2278&amp;", "&amp;'Rifiuti di processo'!$D$7,'Info utili'!$B$439:$N$510,7,FALSE)</f>
        <v>1.3720210461157536E-2</v>
      </c>
      <c r="I2278" s="1049">
        <f>VLOOKUP($B2278&amp;", "&amp;'Rifiuti di processo'!$D$7,'Info utili'!$B$439:$N$510,8,FALSE)</f>
        <v>0.12086737852058185</v>
      </c>
      <c r="J2278" s="1049">
        <f>VLOOKUP($B2278&amp;", "&amp;'Rifiuti di processo'!$D$7,'Info utili'!$B$439:$N$510,9,FALSE)</f>
        <v>3.4036675951717735E-2</v>
      </c>
      <c r="K2278" s="895">
        <f>VLOOKUP($B2278&amp;", "&amp;'Rifiuti di processo'!$D$7,'Info utili'!$B$439:$N$510,10,FALSE)</f>
        <v>0.14137573506654286</v>
      </c>
      <c r="L2278" s="807">
        <f>VLOOKUP($B2278&amp;", "&amp;'Rifiuti di processo'!$D$7,'Info utili'!$B$439:$N$510,11,FALSE)</f>
        <v>0</v>
      </c>
      <c r="M2278" s="1038">
        <f>VLOOKUP($B2278&amp;", "&amp;'Rifiuti di processo'!$D$7,'Info utili'!$B$439:$N$510,12,FALSE)</f>
        <v>0.12</v>
      </c>
      <c r="N2278" s="895">
        <f>VLOOKUP($B2278&amp;", "&amp;'Rifiuti di processo'!$D$7,'Info utili'!$B$439:$N$510,13,FALSE)</f>
        <v>0.02</v>
      </c>
      <c r="O2278" s="895">
        <f t="shared" si="99"/>
        <v>1</v>
      </c>
    </row>
    <row r="2279" spans="2:15" outlineLevel="2" x14ac:dyDescent="0.15">
      <c r="B2279" s="1706" t="s">
        <v>3256</v>
      </c>
      <c r="C2279" s="1038"/>
      <c r="D2279" s="1049"/>
      <c r="E2279" s="1049"/>
      <c r="F2279" s="1049"/>
      <c r="G2279" s="895"/>
      <c r="H2279" s="1038"/>
      <c r="I2279" s="1049"/>
      <c r="J2279" s="1049"/>
      <c r="K2279" s="895"/>
      <c r="L2279" s="807"/>
      <c r="M2279" s="1038"/>
      <c r="N2279" s="895"/>
      <c r="O2279" s="895"/>
    </row>
    <row r="2280" spans="2:15" outlineLevel="2" x14ac:dyDescent="0.15">
      <c r="B2280" s="1706" t="s">
        <v>3257</v>
      </c>
      <c r="C2280" s="1038"/>
      <c r="D2280" s="1049"/>
      <c r="E2280" s="1049"/>
      <c r="F2280" s="1049"/>
      <c r="G2280" s="895"/>
      <c r="H2280" s="1038"/>
      <c r="I2280" s="1049"/>
      <c r="J2280" s="1049"/>
      <c r="K2280" s="895"/>
      <c r="L2280" s="807"/>
      <c r="M2280" s="1038"/>
      <c r="N2280" s="895"/>
      <c r="O2280" s="895"/>
    </row>
    <row r="2281" spans="2:15" outlineLevel="2" x14ac:dyDescent="0.15">
      <c r="B2281" s="1706" t="s">
        <v>3305</v>
      </c>
      <c r="C2281" s="1038"/>
      <c r="D2281" s="1049"/>
      <c r="E2281" s="1049"/>
      <c r="F2281" s="1049"/>
      <c r="G2281" s="895"/>
      <c r="H2281" s="1038"/>
      <c r="I2281" s="1049"/>
      <c r="J2281" s="1049"/>
      <c r="K2281" s="895"/>
      <c r="L2281" s="807"/>
      <c r="M2281" s="1038"/>
      <c r="N2281" s="895"/>
      <c r="O2281" s="895"/>
    </row>
    <row r="2282" spans="2:15" outlineLevel="2" x14ac:dyDescent="0.15">
      <c r="B2282" s="1706" t="s">
        <v>3274</v>
      </c>
      <c r="C2282" s="1038"/>
      <c r="D2282" s="1049"/>
      <c r="E2282" s="1049"/>
      <c r="F2282" s="1049"/>
      <c r="G2282" s="895"/>
      <c r="H2282" s="1038"/>
      <c r="I2282" s="1049"/>
      <c r="J2282" s="1049"/>
      <c r="K2282" s="895"/>
      <c r="L2282" s="807"/>
      <c r="M2282" s="1038"/>
      <c r="N2282" s="895"/>
      <c r="O2282" s="895"/>
    </row>
    <row r="2283" spans="2:15" outlineLevel="2" x14ac:dyDescent="0.15">
      <c r="B2283" s="1706" t="s">
        <v>3275</v>
      </c>
      <c r="C2283" s="1038"/>
      <c r="D2283" s="1049"/>
      <c r="E2283" s="1049"/>
      <c r="F2283" s="1049"/>
      <c r="G2283" s="895"/>
      <c r="H2283" s="1038"/>
      <c r="I2283" s="1049"/>
      <c r="J2283" s="1049"/>
      <c r="K2283" s="895"/>
      <c r="L2283" s="807"/>
      <c r="M2283" s="1038"/>
      <c r="N2283" s="895"/>
      <c r="O2283" s="895"/>
    </row>
    <row r="2284" spans="2:15" outlineLevel="2" x14ac:dyDescent="0.15">
      <c r="B2284" s="1706" t="s">
        <v>3277</v>
      </c>
      <c r="C2284" s="1038"/>
      <c r="D2284" s="1049"/>
      <c r="E2284" s="1049"/>
      <c r="F2284" s="1049"/>
      <c r="G2284" s="895"/>
      <c r="H2284" s="1038"/>
      <c r="I2284" s="1049"/>
      <c r="J2284" s="1049"/>
      <c r="K2284" s="895"/>
      <c r="L2284" s="807"/>
      <c r="M2284" s="1038"/>
      <c r="N2284" s="895"/>
      <c r="O2284" s="895"/>
    </row>
    <row r="2285" spans="2:15" outlineLevel="2" x14ac:dyDescent="0.15">
      <c r="B2285" s="1706" t="s">
        <v>3280</v>
      </c>
      <c r="C2285" s="1038"/>
      <c r="D2285" s="1049"/>
      <c r="E2285" s="1049"/>
      <c r="F2285" s="1049"/>
      <c r="G2285" s="895"/>
      <c r="H2285" s="1038"/>
      <c r="I2285" s="1049"/>
      <c r="J2285" s="1049"/>
      <c r="K2285" s="895"/>
      <c r="L2285" s="807"/>
      <c r="M2285" s="1038"/>
      <c r="N2285" s="895"/>
      <c r="O2285" s="895"/>
    </row>
    <row r="2286" spans="2:15" outlineLevel="2" x14ac:dyDescent="0.15">
      <c r="B2286" s="1706" t="s">
        <v>3281</v>
      </c>
      <c r="C2286" s="1038"/>
      <c r="D2286" s="1049"/>
      <c r="E2286" s="1049"/>
      <c r="F2286" s="1049"/>
      <c r="G2286" s="895"/>
      <c r="H2286" s="1038"/>
      <c r="I2286" s="1049"/>
      <c r="J2286" s="1049"/>
      <c r="K2286" s="895"/>
      <c r="L2286" s="807"/>
      <c r="M2286" s="1038"/>
      <c r="N2286" s="895"/>
      <c r="O2286" s="895"/>
    </row>
    <row r="2287" spans="2:15" outlineLevel="2" x14ac:dyDescent="0.15">
      <c r="B2287" s="980" t="str">
        <f>B2207</f>
        <v>Average household waste [1]</v>
      </c>
      <c r="C2287" s="1038">
        <f>VLOOKUP($B2287&amp;", "&amp;'Rifiuti di processo'!$D$7,'Info utili'!$B$439:$N$510,2,FALSE)</f>
        <v>0</v>
      </c>
      <c r="D2287" s="1049">
        <f>VLOOKUP($B2287&amp;", "&amp;'Rifiuti di processo'!$D$7,'Info utili'!$B$439:$N$510,3,FALSE)</f>
        <v>0.25600000000000001</v>
      </c>
      <c r="E2287" s="1049">
        <f>VLOOKUP($B2287&amp;", "&amp;'Rifiuti di processo'!$D$7,'Info utili'!$B$439:$N$510,4,FALSE)</f>
        <v>0.12</v>
      </c>
      <c r="F2287" s="1049">
        <f>VLOOKUP($B2287&amp;", "&amp;'Rifiuti di processo'!$D$7,'Info utili'!$B$439:$N$510,5,FALSE)</f>
        <v>1.6E-2</v>
      </c>
      <c r="G2287" s="895">
        <f>VLOOKUP($B2287&amp;", "&amp;'Rifiuti di processo'!$D$7,'Info utili'!$B$439:$N$510,6,FALSE)</f>
        <v>8.0000000000000002E-3</v>
      </c>
      <c r="H2287" s="1038">
        <f>VLOOKUP($B2287&amp;", "&amp;'Rifiuti di processo'!$D$7,'Info utili'!$B$439:$N$510,7,FALSE)</f>
        <v>2.4342308882698855E-2</v>
      </c>
      <c r="I2287" s="1049">
        <f>VLOOKUP($B2287&amp;", "&amp;'Rifiuti di processo'!$D$7,'Info utili'!$B$439:$N$510,8,FALSE)</f>
        <v>0.21444212318167752</v>
      </c>
      <c r="J2287" s="1049">
        <f>VLOOKUP($B2287&amp;", "&amp;'Rifiuti di processo'!$D$7,'Info utili'!$B$439:$N$510,9,FALSE)</f>
        <v>6.0387650882079855E-2</v>
      </c>
      <c r="K2287" s="895">
        <f>VLOOKUP($B2287&amp;", "&amp;'Rifiuti di processo'!$D$7,'Info utili'!$B$439:$N$510,10,FALSE)</f>
        <v>0.25082791705354379</v>
      </c>
      <c r="L2287" s="807">
        <f>VLOOKUP($B2287&amp;", "&amp;'Rifiuti di processo'!$D$7,'Info utili'!$B$439:$N$510,11,FALSE)</f>
        <v>0.01</v>
      </c>
      <c r="M2287" s="1038">
        <f>VLOOKUP($B2287&amp;", "&amp;'Rifiuti di processo'!$D$7,'Info utili'!$B$439:$N$510,12,FALSE)</f>
        <v>0.03</v>
      </c>
      <c r="N2287" s="895">
        <f>VLOOKUP($B2287&amp;", "&amp;'Rifiuti di processo'!$D$7,'Info utili'!$B$439:$N$510,13,FALSE)</f>
        <v>0.01</v>
      </c>
      <c r="O2287" s="895">
        <f t="shared" si="99"/>
        <v>1</v>
      </c>
    </row>
    <row r="2288" spans="2:15" outlineLevel="2" x14ac:dyDescent="0.15">
      <c r="B2288" s="980" t="str">
        <f>B2208</f>
        <v>Miscellaneous non-combustible and non-fermentable [1]</v>
      </c>
      <c r="C2288" s="1038">
        <f>VLOOKUP($B2288&amp;", "&amp;'Rifiuti di processo'!$D$7,'Info utili'!$B$439:$N$510,2,FALSE)</f>
        <v>0</v>
      </c>
      <c r="D2288" s="1049">
        <f>VLOOKUP($B2288&amp;", "&amp;'Rifiuti di processo'!$D$7,'Info utili'!$B$439:$N$510,3,FALSE)</f>
        <v>0.5</v>
      </c>
      <c r="E2288" s="1049">
        <f>VLOOKUP($B2288&amp;", "&amp;'Rifiuti di processo'!$D$7,'Info utili'!$B$439:$N$510,4,FALSE)</f>
        <v>0</v>
      </c>
      <c r="F2288" s="1049">
        <f>VLOOKUP($B2288&amp;", "&amp;'Rifiuti di processo'!$D$7,'Info utili'!$B$439:$N$510,5,FALSE)</f>
        <v>0</v>
      </c>
      <c r="G2288" s="895">
        <f>VLOOKUP($B2288&amp;", "&amp;'Rifiuti di processo'!$D$7,'Info utili'!$B$439:$N$510,6,FALSE)</f>
        <v>0</v>
      </c>
      <c r="H2288" s="1038">
        <f>VLOOKUP($B2288&amp;", "&amp;'Rifiuti di processo'!$D$7,'Info utili'!$B$439:$N$510,7,FALSE)</f>
        <v>0</v>
      </c>
      <c r="I2288" s="1049">
        <f>VLOOKUP($B2288&amp;", "&amp;'Rifiuti di processo'!$D$7,'Info utili'!$B$439:$N$510,8,FALSE)</f>
        <v>0</v>
      </c>
      <c r="J2288" s="1049">
        <f>VLOOKUP($B2288&amp;", "&amp;'Rifiuti di processo'!$D$7,'Info utili'!$B$439:$N$510,9,FALSE)</f>
        <v>0</v>
      </c>
      <c r="K2288" s="895">
        <f>VLOOKUP($B2288&amp;", "&amp;'Rifiuti di processo'!$D$7,'Info utili'!$B$439:$N$510,10,FALSE)</f>
        <v>0</v>
      </c>
      <c r="L2288" s="807">
        <f>VLOOKUP($B2288&amp;", "&amp;'Rifiuti di processo'!$D$7,'Info utili'!$B$439:$N$510,11,FALSE)</f>
        <v>0.5</v>
      </c>
      <c r="M2288" s="1038">
        <f>VLOOKUP($B2288&amp;", "&amp;'Rifiuti di processo'!$D$7,'Info utili'!$B$439:$N$510,12,FALSE)</f>
        <v>0</v>
      </c>
      <c r="N2288" s="895">
        <f>VLOOKUP($B2288&amp;", "&amp;'Rifiuti di processo'!$D$7,'Info utili'!$B$439:$N$510,13,FALSE)</f>
        <v>0</v>
      </c>
      <c r="O2288" s="895">
        <f t="shared" si="99"/>
        <v>1</v>
      </c>
    </row>
    <row r="2289" spans="2:26" outlineLevel="2" x14ac:dyDescent="0.15">
      <c r="B2289" s="1045"/>
      <c r="C2289" s="1040"/>
      <c r="D2289" s="1050"/>
      <c r="E2289" s="1050"/>
      <c r="F2289" s="1050"/>
      <c r="G2289" s="1062"/>
      <c r="H2289" s="1040"/>
      <c r="I2289" s="1050"/>
      <c r="J2289" s="1050"/>
      <c r="K2289" s="1062"/>
      <c r="L2289" s="814"/>
      <c r="M2289" s="1040"/>
      <c r="N2289" s="1062"/>
      <c r="O2289" s="1062"/>
    </row>
    <row r="2290" spans="2:26" outlineLevel="2" x14ac:dyDescent="0.15">
      <c r="B2290" s="6"/>
      <c r="C2290" s="6"/>
      <c r="D2290" s="6"/>
      <c r="E2290" s="6"/>
      <c r="F2290" s="6"/>
      <c r="G2290" s="6"/>
      <c r="H2290" s="6"/>
      <c r="I2290" s="6"/>
      <c r="J2290" s="6"/>
      <c r="K2290" s="6"/>
      <c r="L2290" s="6"/>
      <c r="M2290" s="6"/>
      <c r="N2290" s="6"/>
      <c r="O2290" s="6"/>
      <c r="P2290" s="6"/>
      <c r="Q2290" s="6"/>
      <c r="R2290" s="6"/>
      <c r="S2290" s="6"/>
      <c r="T2290" s="6"/>
      <c r="U2290" s="6"/>
      <c r="V2290" s="6"/>
    </row>
    <row r="2291" spans="2:26" outlineLevel="2" x14ac:dyDescent="0.15">
      <c r="B2291" s="1475" t="s">
        <v>3255</v>
      </c>
      <c r="C2291" s="1893" t="s">
        <v>1903</v>
      </c>
      <c r="D2291" s="1894"/>
      <c r="E2291" s="1894"/>
      <c r="F2291" s="1894"/>
      <c r="G2291" s="1895"/>
      <c r="H2291" s="1076" t="s">
        <v>1892</v>
      </c>
      <c r="I2291" s="1076" t="s">
        <v>1892</v>
      </c>
      <c r="J2291" s="887"/>
      <c r="W2291" s="4"/>
      <c r="X2291" s="4"/>
      <c r="Y2291" s="4"/>
      <c r="Z2291" s="4"/>
    </row>
    <row r="2292" spans="2:26" ht="28" outlineLevel="2" x14ac:dyDescent="0.15">
      <c r="B2292" s="1080"/>
      <c r="C2292" s="1863" t="s">
        <v>767</v>
      </c>
      <c r="D2292" s="1876" t="s">
        <v>1515</v>
      </c>
      <c r="E2292" s="1877"/>
      <c r="F2292" s="1877"/>
      <c r="G2292" s="1878"/>
      <c r="H2292" s="1586" t="s">
        <v>1901</v>
      </c>
      <c r="I2292" s="1578" t="s">
        <v>1926</v>
      </c>
      <c r="J2292" s="834"/>
      <c r="L2292" s="13"/>
      <c r="M2292" s="13"/>
      <c r="N2292" s="13"/>
      <c r="O2292" s="13"/>
      <c r="W2292" s="4"/>
      <c r="X2292" s="4"/>
      <c r="Y2292" s="4"/>
      <c r="Z2292" s="4"/>
    </row>
    <row r="2293" spans="2:26" ht="14" outlineLevel="2" x14ac:dyDescent="0.15">
      <c r="B2293" s="1580" t="s">
        <v>1883</v>
      </c>
      <c r="C2293" s="1864"/>
      <c r="D2293" s="1503" t="s">
        <v>14</v>
      </c>
      <c r="E2293" s="1504" t="s">
        <v>695</v>
      </c>
      <c r="F2293" s="1505" t="s">
        <v>27</v>
      </c>
      <c r="G2293" s="1319" t="s">
        <v>694</v>
      </c>
      <c r="H2293" s="962" t="s">
        <v>1510</v>
      </c>
      <c r="I2293" s="962" t="s">
        <v>1510</v>
      </c>
      <c r="J2293" s="1345" t="s">
        <v>723</v>
      </c>
      <c r="K2293" s="13"/>
      <c r="L2293" s="15"/>
      <c r="M2293" s="15"/>
      <c r="N2293" s="13"/>
      <c r="O2293" s="13"/>
      <c r="W2293" s="4"/>
      <c r="X2293" s="4"/>
      <c r="Y2293" s="4"/>
    </row>
    <row r="2294" spans="2:26" outlineLevel="2" x14ac:dyDescent="0.15">
      <c r="B2294" s="981" t="str">
        <f t="shared" ref="B2294:B2299" si="100">B2182</f>
        <v>Metals [1]</v>
      </c>
      <c r="C2294" s="981">
        <f t="shared" ref="C2294:G2298" si="101">C2195*SUM($C2273:$G2273)+C2238*SUM($H2273:$K2273)+C$2259*$L2273+C$2265*$M2273+C$2268*$N2273</f>
        <v>33</v>
      </c>
      <c r="D2294" s="978">
        <f t="shared" si="101"/>
        <v>33</v>
      </c>
      <c r="E2294" s="883">
        <f t="shared" si="101"/>
        <v>0</v>
      </c>
      <c r="F2294" s="979">
        <f t="shared" si="101"/>
        <v>0</v>
      </c>
      <c r="G2294" s="981">
        <f t="shared" si="101"/>
        <v>0</v>
      </c>
      <c r="H2294" s="981">
        <f>H2195*SUM(C2273:G2273)+H2238*SUM(H2273:K2273)-L2273*(C1692-D1692)</f>
        <v>-836</v>
      </c>
      <c r="I2294" s="981">
        <f>D1692-C1692</f>
        <v>-2090</v>
      </c>
      <c r="J2294" s="805">
        <v>0.5</v>
      </c>
      <c r="K2294" s="13"/>
      <c r="L2294" s="1205"/>
      <c r="M2294" s="1205"/>
      <c r="N2294" s="13"/>
      <c r="O2294" s="13"/>
      <c r="P2294" s="13"/>
      <c r="Q2294" s="13"/>
      <c r="R2294" s="13"/>
      <c r="S2294" s="13"/>
      <c r="T2294" s="13"/>
      <c r="U2294" s="13"/>
      <c r="V2294" s="13"/>
    </row>
    <row r="2295" spans="2:26" outlineLevel="2" x14ac:dyDescent="0.15">
      <c r="B2295" s="981" t="str">
        <f t="shared" si="100"/>
        <v>Glass [1]</v>
      </c>
      <c r="C2295" s="981">
        <f t="shared" si="101"/>
        <v>33</v>
      </c>
      <c r="D2295" s="980">
        <f t="shared" si="101"/>
        <v>33</v>
      </c>
      <c r="E2295" s="815">
        <f t="shared" si="101"/>
        <v>0</v>
      </c>
      <c r="F2295" s="812">
        <f t="shared" si="101"/>
        <v>0</v>
      </c>
      <c r="G2295" s="981">
        <f t="shared" si="101"/>
        <v>0</v>
      </c>
      <c r="H2295" s="981">
        <f>H2196*SUM(C2274:G2274)+H2239*SUM(H2274:K2274)-L2274*(C1710-D1710)</f>
        <v>-253.2</v>
      </c>
      <c r="I2295" s="981">
        <f>D1710-C1710</f>
        <v>-422</v>
      </c>
      <c r="J2295" s="807">
        <v>0.5</v>
      </c>
      <c r="K2295" s="13"/>
      <c r="L2295" s="1205"/>
      <c r="M2295" s="1205"/>
      <c r="N2295" s="13"/>
      <c r="O2295" s="13"/>
      <c r="P2295" s="13"/>
      <c r="Q2295" s="13"/>
      <c r="R2295" s="13"/>
      <c r="S2295" s="13"/>
      <c r="T2295" s="13"/>
      <c r="U2295" s="13"/>
      <c r="V2295" s="13"/>
      <c r="W2295" s="4"/>
      <c r="X2295" s="4"/>
      <c r="Y2295" s="4"/>
    </row>
    <row r="2296" spans="2:26" outlineLevel="2" x14ac:dyDescent="0.15">
      <c r="B2296" s="981" t="str">
        <f t="shared" si="100"/>
        <v>Plastics [1]</v>
      </c>
      <c r="C2296" s="981">
        <f t="shared" si="101"/>
        <v>880.38133333651194</v>
      </c>
      <c r="D2296" s="980">
        <f t="shared" si="101"/>
        <v>876.86133333439989</v>
      </c>
      <c r="E2296" s="815">
        <f t="shared" si="101"/>
        <v>0</v>
      </c>
      <c r="F2296" s="812">
        <f t="shared" si="101"/>
        <v>3.5200000021120652</v>
      </c>
      <c r="G2296" s="981">
        <f t="shared" si="101"/>
        <v>0</v>
      </c>
      <c r="H2296" s="981">
        <f>H2197*SUM(C2275:G2275)+H2240*SUM(H2275:K2275)-L2275*(C1719-D1719)</f>
        <v>-701.30713337047359</v>
      </c>
      <c r="I2296" s="981">
        <f>D1719-C1719</f>
        <v>-1718</v>
      </c>
      <c r="J2296" s="807">
        <v>0.3</v>
      </c>
      <c r="K2296" s="13"/>
      <c r="L2296" s="1205"/>
      <c r="M2296" s="1205"/>
      <c r="N2296" s="13"/>
      <c r="O2296" s="13"/>
      <c r="W2296" s="4"/>
      <c r="X2296" s="4"/>
      <c r="Y2296" s="4"/>
    </row>
    <row r="2297" spans="2:26" outlineLevel="2" x14ac:dyDescent="0.15">
      <c r="B2297" s="981" t="str">
        <f t="shared" si="100"/>
        <v>Cardboard [1]</v>
      </c>
      <c r="C2297" s="981">
        <f t="shared" si="101"/>
        <v>129.82111666712399</v>
      </c>
      <c r="D2297" s="980">
        <f t="shared" si="101"/>
        <v>33.293336666662</v>
      </c>
      <c r="E2297" s="815">
        <f t="shared" si="101"/>
        <v>95.316007900636166</v>
      </c>
      <c r="F2297" s="812">
        <f t="shared" si="101"/>
        <v>1.211772099825829</v>
      </c>
      <c r="G2297" s="981">
        <f t="shared" si="101"/>
        <v>169.85532333313998</v>
      </c>
      <c r="H2297" s="981">
        <f>H2198*SUM(C2276:G2276)+H2241*SUM(H2276:K2276)-L2276*(C1735-D1735)+M2276*$H$2265+N2276*$H$2268</f>
        <v>-57.580849378556728</v>
      </c>
      <c r="I2297" s="981">
        <f>D1735-C1735</f>
        <v>0</v>
      </c>
      <c r="J2297" s="807">
        <v>0.5</v>
      </c>
      <c r="K2297" s="13"/>
      <c r="L2297" s="1205"/>
      <c r="M2297" s="1205"/>
      <c r="N2297" s="13"/>
      <c r="O2297" s="13"/>
      <c r="W2297" s="4"/>
      <c r="X2297" s="4"/>
      <c r="Y2297" s="4"/>
    </row>
    <row r="2298" spans="2:26" outlineLevel="2" x14ac:dyDescent="0.15">
      <c r="B2298" s="981" t="str">
        <f t="shared" si="100"/>
        <v>Paper [1]</v>
      </c>
      <c r="C2298" s="981">
        <f t="shared" si="101"/>
        <v>234.56223333424799</v>
      </c>
      <c r="D2298" s="980">
        <f t="shared" si="101"/>
        <v>33.586673333324001</v>
      </c>
      <c r="E2298" s="815">
        <f t="shared" si="101"/>
        <v>198.55201580127232</v>
      </c>
      <c r="F2298" s="812">
        <f t="shared" si="101"/>
        <v>2.423544199651658</v>
      </c>
      <c r="G2298" s="981">
        <f t="shared" si="101"/>
        <v>344.42744666619996</v>
      </c>
      <c r="H2298" s="981">
        <f>H2199*SUM(C2277:G2277)+H2242*SUM(H2277:K2277)-L2277*(C1740-D1740)+M2277*$H$2265+N2277*$H$2268</f>
        <v>-109.42432383574641</v>
      </c>
      <c r="I2298" s="981">
        <f>D1740-C1740</f>
        <v>0</v>
      </c>
      <c r="J2298" s="807">
        <v>0.5</v>
      </c>
      <c r="K2298" s="13"/>
      <c r="L2298" s="1205"/>
      <c r="M2298" s="1205"/>
      <c r="N2298" s="13"/>
      <c r="O2298" s="13"/>
      <c r="W2298" s="4"/>
      <c r="X2298" s="4"/>
      <c r="Y2298" s="4"/>
    </row>
    <row r="2299" spans="2:26" outlineLevel="2" x14ac:dyDescent="0.15">
      <c r="B2299" s="981" t="str">
        <f t="shared" si="100"/>
        <v>Organic / food waste [1]</v>
      </c>
      <c r="C2299" s="981">
        <f>C2200*SUM($C2278:$G2278)+C2249*SUM($H2278:$K2278)+C$2259*$L2278+C$2265*$M2278+C$2268*$N2278</f>
        <v>336.29740666869202</v>
      </c>
      <c r="D2299" s="980">
        <f>D2200*SUM($C2278:$G2278)+D2249*SUM($H2278:$K2278)+D$2259*$L2278+D$2265*$M2278+D$2268*$N2278</f>
        <v>34.430046666646</v>
      </c>
      <c r="E2299" s="815">
        <f>E2200*SUM($C2278:$G2278)+E2249*SUM($H2278:$K2278)+E$2259*$L2278+E$2265*$M2278+E$2268*$N2278</f>
        <v>292.2262482032553</v>
      </c>
      <c r="F2299" s="812">
        <f>F2200*SUM($C2278:$G2278)+F2249*SUM($H2278:$K2278)+F$2259*$L2278+F$2265*$M2278+F$2268*$N2278</f>
        <v>9.6411117987906945</v>
      </c>
      <c r="G2299" s="981">
        <f>G2200*SUM($C2278:$G2278)+G2249*SUM($H2278:$K2278)+G$2259*$L2278+G$2265*$M2278+G$2268*$N2278</f>
        <v>424.36967999999996</v>
      </c>
      <c r="H2299" s="981">
        <f>H2200*SUM(C2278:G2278)+H2249*SUM(H2278:K2278)-L2278*I2299+M2278*$H$2265+N2278*$H$2268</f>
        <v>-69.755031118848663</v>
      </c>
      <c r="I2299" s="981">
        <v>0</v>
      </c>
      <c r="J2299" s="807">
        <v>0.5</v>
      </c>
      <c r="K2299" s="13"/>
      <c r="L2299" s="1205"/>
      <c r="M2299" s="1205"/>
      <c r="N2299" s="13"/>
      <c r="O2299" s="13"/>
      <c r="W2299" s="4"/>
      <c r="X2299" s="4"/>
      <c r="Y2299" s="4"/>
    </row>
    <row r="2300" spans="2:26" outlineLevel="2" x14ac:dyDescent="0.15">
      <c r="B2300" s="1706" t="s">
        <v>3256</v>
      </c>
      <c r="C2300" s="1682">
        <f>0.0143*1000</f>
        <v>14.3</v>
      </c>
      <c r="D2300" s="980"/>
      <c r="E2300" s="1707">
        <f>0.00082*1000</f>
        <v>0.82</v>
      </c>
      <c r="F2300" s="1708">
        <f>0.0135*1000</f>
        <v>13.5</v>
      </c>
      <c r="G2300" s="981">
        <v>532.03899999999999</v>
      </c>
      <c r="H2300" s="981">
        <v>-26.51</v>
      </c>
      <c r="I2300" s="981">
        <v>0</v>
      </c>
      <c r="J2300" s="807">
        <v>0.5</v>
      </c>
      <c r="K2300" s="13"/>
      <c r="L2300" s="1205"/>
      <c r="M2300" s="1205"/>
      <c r="N2300" s="13"/>
      <c r="O2300" s="13"/>
      <c r="W2300" s="4"/>
      <c r="X2300" s="4"/>
      <c r="Y2300" s="4"/>
    </row>
    <row r="2301" spans="2:26" outlineLevel="2" x14ac:dyDescent="0.15">
      <c r="B2301" s="1706" t="s">
        <v>3257</v>
      </c>
      <c r="C2301" s="1685">
        <f>0.028*1000</f>
        <v>28</v>
      </c>
      <c r="D2301" s="980"/>
      <c r="E2301" s="1707">
        <f>0.028*1000</f>
        <v>28</v>
      </c>
      <c r="F2301" s="1708"/>
      <c r="G2301" s="981">
        <v>0</v>
      </c>
      <c r="H2301" s="981">
        <v>-77</v>
      </c>
      <c r="I2301" s="981">
        <v>0</v>
      </c>
      <c r="J2301" s="807">
        <v>0.5</v>
      </c>
      <c r="K2301" s="13"/>
      <c r="L2301" s="1205"/>
      <c r="M2301" s="1205"/>
      <c r="N2301" s="13"/>
      <c r="O2301" s="13"/>
      <c r="W2301" s="4"/>
      <c r="X2301" s="4"/>
      <c r="Y2301" s="4"/>
    </row>
    <row r="2302" spans="2:26" outlineLevel="2" x14ac:dyDescent="0.15">
      <c r="B2302" s="1706" t="s">
        <v>3305</v>
      </c>
      <c r="C2302" s="1685">
        <f>+E2302+F2302+D2302</f>
        <v>1010</v>
      </c>
      <c r="D2302" s="1683"/>
      <c r="E2302" s="1707">
        <f>1.01*1000</f>
        <v>1010</v>
      </c>
      <c r="F2302" s="1708"/>
      <c r="G2302" s="981"/>
      <c r="H2302" s="981"/>
      <c r="I2302" s="981"/>
      <c r="J2302" s="807"/>
      <c r="K2302" s="13"/>
      <c r="L2302" s="1205"/>
      <c r="M2302" s="1205"/>
      <c r="N2302" s="13"/>
      <c r="O2302" s="13"/>
      <c r="W2302" s="4"/>
      <c r="X2302" s="4"/>
      <c r="Y2302" s="4"/>
    </row>
    <row r="2303" spans="2:26" outlineLevel="2" x14ac:dyDescent="0.15">
      <c r="B2303" s="1706" t="s">
        <v>3274</v>
      </c>
      <c r="C2303" s="1685">
        <f t="shared" ref="C2303:C2306" si="102">+E2303+F2303+D2303</f>
        <v>317.3</v>
      </c>
      <c r="D2303" s="1683">
        <f>0.289*1000</f>
        <v>289</v>
      </c>
      <c r="E2303" s="1707">
        <f>0.0018*1000</f>
        <v>1.8</v>
      </c>
      <c r="F2303" s="1708">
        <f>0.0265*1000</f>
        <v>26.5</v>
      </c>
      <c r="G2303" s="981"/>
      <c r="H2303" s="981"/>
      <c r="I2303" s="981"/>
      <c r="J2303" s="807"/>
      <c r="K2303" s="13"/>
      <c r="L2303" s="1205"/>
      <c r="M2303" s="1205"/>
      <c r="N2303" s="13"/>
      <c r="O2303" s="13"/>
      <c r="W2303" s="4"/>
      <c r="X2303" s="4"/>
      <c r="Y2303" s="4"/>
    </row>
    <row r="2304" spans="2:26" outlineLevel="2" x14ac:dyDescent="0.15">
      <c r="B2304" s="1706" t="s">
        <v>3275</v>
      </c>
      <c r="C2304" s="1685">
        <f t="shared" si="102"/>
        <v>1228.3</v>
      </c>
      <c r="D2304" s="1683">
        <f>1.2*1000</f>
        <v>1200</v>
      </c>
      <c r="E2304" s="1707">
        <f>0.0018*1000</f>
        <v>1.8</v>
      </c>
      <c r="F2304" s="1708">
        <f>0.0265*1000</f>
        <v>26.5</v>
      </c>
      <c r="G2304" s="981"/>
      <c r="H2304" s="981"/>
      <c r="I2304" s="981"/>
      <c r="J2304" s="807"/>
      <c r="K2304" s="13"/>
      <c r="L2304" s="1205"/>
      <c r="M2304" s="1205"/>
      <c r="N2304" s="13"/>
      <c r="O2304" s="13"/>
      <c r="W2304" s="4"/>
      <c r="X2304" s="4"/>
      <c r="Y2304" s="4"/>
    </row>
    <row r="2305" spans="1:256" outlineLevel="2" x14ac:dyDescent="0.15">
      <c r="B2305" s="1706" t="s">
        <v>3277</v>
      </c>
      <c r="C2305" s="1685">
        <f t="shared" si="102"/>
        <v>61.999999999999993</v>
      </c>
      <c r="D2305" s="1683"/>
      <c r="E2305" s="1707">
        <f>0.0018*1000</f>
        <v>1.8</v>
      </c>
      <c r="F2305" s="1708">
        <f>0.0602*1000</f>
        <v>60.199999999999996</v>
      </c>
      <c r="G2305" s="981"/>
      <c r="H2305" s="981"/>
      <c r="I2305" s="981"/>
      <c r="J2305" s="807"/>
      <c r="K2305" s="13"/>
      <c r="L2305" s="1205"/>
      <c r="M2305" s="1205"/>
      <c r="N2305" s="13"/>
      <c r="O2305" s="13"/>
      <c r="W2305" s="4"/>
      <c r="X2305" s="4"/>
      <c r="Y2305" s="4"/>
    </row>
    <row r="2306" spans="1:256" outlineLevel="2" x14ac:dyDescent="0.15">
      <c r="B2306" s="1706" t="s">
        <v>3280</v>
      </c>
      <c r="C2306" s="1685">
        <f t="shared" si="102"/>
        <v>126.593</v>
      </c>
      <c r="D2306" s="1683">
        <f>0.112*1000</f>
        <v>112</v>
      </c>
      <c r="E2306" s="1707">
        <f>0.014*1000</f>
        <v>14</v>
      </c>
      <c r="F2306" s="1708">
        <f>0.000593*1000</f>
        <v>0.59299999999999997</v>
      </c>
      <c r="G2306" s="981"/>
      <c r="H2306" s="981"/>
      <c r="I2306" s="981"/>
      <c r="J2306" s="807"/>
      <c r="K2306" s="13"/>
      <c r="L2306" s="1205"/>
      <c r="M2306" s="1205"/>
      <c r="N2306" s="13"/>
      <c r="O2306" s="13"/>
      <c r="W2306" s="4"/>
      <c r="X2306" s="4"/>
      <c r="Y2306" s="4"/>
    </row>
    <row r="2307" spans="1:256" outlineLevel="2" x14ac:dyDescent="0.15">
      <c r="B2307" s="1706" t="s">
        <v>3281</v>
      </c>
      <c r="C2307" s="1685"/>
      <c r="D2307" s="1683">
        <f>330*1000</f>
        <v>330000</v>
      </c>
      <c r="E2307" s="1707">
        <v>3.6</v>
      </c>
      <c r="F2307" s="1708">
        <f>0.318*1000</f>
        <v>318</v>
      </c>
      <c r="G2307" s="981"/>
      <c r="H2307" s="981"/>
      <c r="I2307" s="981"/>
      <c r="J2307" s="807"/>
      <c r="K2307" s="13"/>
      <c r="L2307" s="1205"/>
      <c r="M2307" s="1205"/>
      <c r="N2307" s="13"/>
      <c r="O2307" s="13"/>
      <c r="W2307" s="4"/>
      <c r="X2307" s="4"/>
      <c r="Y2307" s="4"/>
    </row>
    <row r="2308" spans="1:256" outlineLevel="2" x14ac:dyDescent="0.15">
      <c r="B2308" s="981" t="str">
        <f>B2188</f>
        <v>Average household waste [1]</v>
      </c>
      <c r="C2308" s="981">
        <f t="shared" ref="C2308:G2309" si="103">C2207*SUM($C2287:$G2287)+C2250*SUM($H2287:$K2287)+C$2259*$L2287+C$2265*$M2287+C$2268*$N2287</f>
        <v>357.12912833678001</v>
      </c>
      <c r="D2308" s="980">
        <f t="shared" si="103"/>
        <v>208.37878833315003</v>
      </c>
      <c r="E2308" s="815">
        <f t="shared" si="103"/>
        <v>140.91010039971914</v>
      </c>
      <c r="F2308" s="812">
        <f t="shared" si="103"/>
        <v>7.840239603910848</v>
      </c>
      <c r="G2308" s="981">
        <f t="shared" si="103"/>
        <v>356.287395</v>
      </c>
      <c r="H2308" s="981">
        <f>H2207*SUM(C2287:G2287)+H2250*SUM(H2287:K2287)-L2287*I2308+M2287*$H$2265+N2287*$H$2268</f>
        <v>-215.25883900879921</v>
      </c>
      <c r="I2308" s="981">
        <v>0</v>
      </c>
      <c r="J2308" s="807">
        <v>0.5</v>
      </c>
      <c r="K2308" s="13"/>
      <c r="L2308" s="1205"/>
      <c r="M2308" s="1205"/>
      <c r="N2308" s="13"/>
      <c r="O2308" s="13"/>
      <c r="W2308" s="4"/>
      <c r="X2308" s="4"/>
      <c r="Y2308" s="4"/>
    </row>
    <row r="2309" spans="1:256" outlineLevel="2" x14ac:dyDescent="0.15">
      <c r="B2309" s="981" t="str">
        <f>B2189</f>
        <v>Miscellaneous non-combustible and non-fermentable [1]</v>
      </c>
      <c r="C2309" s="981">
        <f t="shared" si="103"/>
        <v>33</v>
      </c>
      <c r="D2309" s="980">
        <f t="shared" si="103"/>
        <v>33</v>
      </c>
      <c r="E2309" s="815">
        <f t="shared" si="103"/>
        <v>0</v>
      </c>
      <c r="F2309" s="812">
        <f t="shared" si="103"/>
        <v>0</v>
      </c>
      <c r="G2309" s="981">
        <f t="shared" si="103"/>
        <v>0</v>
      </c>
      <c r="H2309" s="981">
        <f>H2208*SUM(C2288:G2288)+H2251*SUM(H2288:K2288)-L2288*I2309+M2288*$H$2265+N2288*$H$2268</f>
        <v>0</v>
      </c>
      <c r="I2309" s="981">
        <v>0</v>
      </c>
      <c r="J2309" s="807">
        <v>0.5</v>
      </c>
      <c r="K2309" s="13"/>
      <c r="L2309" s="1205"/>
      <c r="M2309" s="1205"/>
      <c r="N2309" s="13"/>
      <c r="O2309" s="13"/>
      <c r="W2309" s="4"/>
      <c r="X2309" s="4"/>
      <c r="Y2309" s="4"/>
    </row>
    <row r="2310" spans="1:256" outlineLevel="2" x14ac:dyDescent="0.15">
      <c r="B2310" s="1039"/>
      <c r="C2310" s="960"/>
      <c r="D2310" s="1061"/>
      <c r="E2310" s="1075"/>
      <c r="F2310" s="1052"/>
      <c r="G2310" s="960"/>
      <c r="H2310" s="960"/>
      <c r="I2310" s="960"/>
      <c r="J2310" s="803"/>
      <c r="K2310" s="13"/>
      <c r="L2310" s="13"/>
      <c r="M2310" s="13"/>
      <c r="N2310" s="13"/>
      <c r="O2310" s="13"/>
      <c r="W2310" s="4"/>
      <c r="X2310" s="4"/>
      <c r="Y2310" s="4"/>
      <c r="Z2310" s="4"/>
    </row>
    <row r="2311" spans="1:256" outlineLevel="2" x14ac:dyDescent="0.15">
      <c r="C2311" s="6"/>
      <c r="D2311" s="6"/>
      <c r="M2311" s="13"/>
      <c r="N2311" s="13"/>
    </row>
    <row r="2312" spans="1:256" outlineLevel="1" x14ac:dyDescent="0.15">
      <c r="C2312" s="6"/>
      <c r="D2312" s="6"/>
      <c r="M2312" s="13"/>
      <c r="N2312" s="13"/>
    </row>
    <row r="2313" spans="1:256" s="26" customFormat="1" ht="15.75" customHeight="1" outlineLevel="1" x14ac:dyDescent="0.15">
      <c r="A2313" s="13"/>
      <c r="B2313" s="1868" t="s">
        <v>1927</v>
      </c>
      <c r="C2313" s="1869"/>
      <c r="D2313" s="1869"/>
      <c r="E2313" s="1869"/>
      <c r="F2313" s="1869"/>
      <c r="G2313" s="1869"/>
      <c r="H2313" s="1869"/>
      <c r="I2313" s="1869"/>
      <c r="J2313" s="1870"/>
      <c r="K2313" s="28"/>
      <c r="L2313" s="28"/>
      <c r="M2313" s="28"/>
      <c r="N2313" s="28"/>
      <c r="O2313" s="28"/>
      <c r="P2313" s="28"/>
      <c r="Q2313" s="28"/>
      <c r="R2313" s="28"/>
      <c r="S2313" s="28"/>
      <c r="T2313" s="28"/>
      <c r="U2313" s="28"/>
      <c r="V2313" s="28"/>
      <c r="W2313" s="29"/>
      <c r="X2313" s="29"/>
      <c r="Y2313" s="29"/>
      <c r="Z2313" s="29"/>
      <c r="AA2313" s="29"/>
      <c r="AB2313" s="29"/>
      <c r="AC2313" s="29"/>
      <c r="AD2313" s="29"/>
      <c r="AE2313" s="29"/>
      <c r="AF2313" s="29"/>
      <c r="AG2313" s="29"/>
      <c r="AH2313" s="29"/>
      <c r="AI2313" s="29"/>
      <c r="AJ2313" s="29"/>
      <c r="AK2313" s="29"/>
      <c r="AL2313" s="29"/>
      <c r="AM2313" s="29"/>
      <c r="AN2313" s="29"/>
      <c r="AO2313" s="29"/>
      <c r="AP2313" s="29"/>
      <c r="AQ2313" s="29"/>
      <c r="AR2313" s="29"/>
      <c r="AS2313" s="29"/>
      <c r="AT2313" s="29"/>
      <c r="AU2313" s="29"/>
      <c r="AV2313" s="29"/>
      <c r="AW2313" s="29"/>
      <c r="AX2313" s="29"/>
      <c r="AY2313" s="29"/>
      <c r="AZ2313" s="29"/>
      <c r="BA2313" s="29"/>
      <c r="BB2313" s="29"/>
      <c r="BC2313" s="29"/>
      <c r="BD2313" s="29"/>
      <c r="BE2313" s="29"/>
      <c r="BF2313" s="29"/>
      <c r="BG2313" s="29"/>
      <c r="BH2313" s="29"/>
      <c r="BI2313" s="29"/>
      <c r="BJ2313" s="29"/>
      <c r="BK2313" s="29"/>
      <c r="BL2313" s="29"/>
      <c r="BM2313" s="29"/>
      <c r="BN2313" s="29"/>
      <c r="BO2313" s="29"/>
      <c r="BP2313" s="29"/>
      <c r="BQ2313" s="29"/>
      <c r="BR2313" s="29"/>
      <c r="BS2313" s="29"/>
      <c r="BT2313" s="29"/>
      <c r="BU2313" s="29"/>
      <c r="BV2313" s="29"/>
      <c r="BW2313" s="29"/>
      <c r="BX2313" s="29"/>
      <c r="BY2313" s="29"/>
      <c r="BZ2313" s="29"/>
      <c r="CA2313" s="29"/>
      <c r="CB2313" s="29"/>
      <c r="CC2313" s="29"/>
      <c r="CD2313" s="29"/>
      <c r="CE2313" s="29"/>
      <c r="CF2313" s="29"/>
      <c r="CG2313" s="29"/>
      <c r="CH2313" s="29"/>
      <c r="CI2313" s="29"/>
      <c r="CJ2313" s="29"/>
      <c r="CK2313" s="29"/>
      <c r="CL2313" s="29"/>
      <c r="CM2313" s="29"/>
      <c r="CN2313" s="29"/>
      <c r="CO2313" s="29"/>
      <c r="CP2313" s="29"/>
      <c r="CQ2313" s="29"/>
      <c r="CR2313" s="29"/>
      <c r="CS2313" s="29"/>
      <c r="CT2313" s="29"/>
      <c r="CU2313" s="29"/>
      <c r="CV2313" s="29"/>
      <c r="CW2313" s="29"/>
      <c r="CX2313" s="29"/>
      <c r="CY2313" s="29"/>
      <c r="CZ2313" s="29"/>
      <c r="DA2313" s="29"/>
      <c r="DB2313" s="29"/>
      <c r="DC2313" s="29"/>
      <c r="DD2313" s="29"/>
      <c r="DE2313" s="29"/>
      <c r="DF2313" s="29"/>
      <c r="DG2313" s="29"/>
      <c r="DH2313" s="29"/>
      <c r="DI2313" s="29"/>
      <c r="DJ2313" s="29"/>
      <c r="DK2313" s="29"/>
      <c r="DL2313" s="29"/>
      <c r="DM2313" s="29"/>
      <c r="DN2313" s="29"/>
      <c r="DO2313" s="29"/>
      <c r="DP2313" s="29"/>
      <c r="DQ2313" s="29"/>
      <c r="DR2313" s="29"/>
      <c r="DS2313" s="29"/>
      <c r="DT2313" s="29"/>
      <c r="DU2313" s="29"/>
      <c r="DV2313" s="29"/>
      <c r="DW2313" s="29"/>
      <c r="DX2313" s="29"/>
      <c r="DY2313" s="29"/>
      <c r="DZ2313" s="29"/>
      <c r="EA2313" s="29"/>
      <c r="EB2313" s="29"/>
      <c r="EC2313" s="29"/>
      <c r="ED2313" s="29"/>
      <c r="EE2313" s="29"/>
      <c r="EF2313" s="29"/>
      <c r="EG2313" s="29"/>
      <c r="EH2313" s="29"/>
      <c r="EI2313" s="29"/>
      <c r="EJ2313" s="29"/>
      <c r="EK2313" s="29"/>
      <c r="EL2313" s="29"/>
      <c r="EM2313" s="29"/>
      <c r="EN2313" s="29"/>
      <c r="EO2313" s="29"/>
      <c r="EP2313" s="29"/>
      <c r="EQ2313" s="29"/>
      <c r="ER2313" s="29"/>
      <c r="ES2313" s="29"/>
      <c r="ET2313" s="29"/>
      <c r="EU2313" s="29"/>
      <c r="EV2313" s="29"/>
      <c r="EW2313" s="29"/>
      <c r="EX2313" s="29"/>
      <c r="EY2313" s="29"/>
      <c r="EZ2313" s="29"/>
      <c r="FA2313" s="29"/>
      <c r="FB2313" s="29"/>
      <c r="FC2313" s="29"/>
      <c r="FD2313" s="29"/>
      <c r="FE2313" s="29"/>
      <c r="FF2313" s="29"/>
      <c r="FG2313" s="29"/>
      <c r="FH2313" s="29"/>
      <c r="FI2313" s="29"/>
      <c r="FJ2313" s="29"/>
      <c r="FK2313" s="29"/>
      <c r="FL2313" s="29"/>
      <c r="FM2313" s="29"/>
      <c r="FN2313" s="29"/>
      <c r="FO2313" s="29"/>
      <c r="FP2313" s="29"/>
      <c r="FQ2313" s="29"/>
      <c r="FR2313" s="29"/>
      <c r="FS2313" s="29"/>
      <c r="FT2313" s="29"/>
      <c r="FU2313" s="29"/>
      <c r="FV2313" s="29"/>
      <c r="FW2313" s="29"/>
      <c r="FX2313" s="29"/>
      <c r="FY2313" s="29"/>
      <c r="FZ2313" s="29"/>
      <c r="GA2313" s="29"/>
      <c r="GB2313" s="29"/>
      <c r="GC2313" s="13"/>
      <c r="GD2313" s="13"/>
      <c r="GE2313" s="13"/>
      <c r="GF2313" s="13"/>
      <c r="GG2313" s="13"/>
      <c r="GH2313" s="13"/>
      <c r="GI2313" s="13"/>
      <c r="GJ2313" s="13"/>
      <c r="GK2313" s="13"/>
      <c r="GL2313" s="13"/>
      <c r="GM2313" s="13"/>
      <c r="GN2313" s="13"/>
      <c r="GO2313" s="13"/>
      <c r="GP2313" s="13"/>
      <c r="GQ2313" s="13"/>
      <c r="GR2313" s="13"/>
      <c r="GS2313" s="13"/>
      <c r="GT2313" s="13"/>
      <c r="GU2313" s="13"/>
      <c r="GV2313" s="13"/>
      <c r="GW2313" s="13"/>
      <c r="GX2313" s="13"/>
      <c r="GY2313" s="13"/>
      <c r="GZ2313" s="13"/>
      <c r="HA2313" s="13"/>
      <c r="HB2313" s="13"/>
      <c r="HC2313" s="13"/>
      <c r="HD2313" s="13"/>
      <c r="HE2313" s="13"/>
      <c r="HF2313" s="13"/>
      <c r="HG2313" s="13"/>
      <c r="HH2313" s="13"/>
      <c r="HI2313" s="13"/>
      <c r="HJ2313" s="13"/>
      <c r="HK2313" s="13"/>
      <c r="HL2313" s="13"/>
      <c r="HM2313" s="13"/>
      <c r="HN2313" s="13"/>
      <c r="HO2313" s="13"/>
      <c r="HP2313" s="13"/>
      <c r="HQ2313" s="13"/>
      <c r="HR2313" s="13"/>
      <c r="HS2313" s="13"/>
      <c r="HT2313" s="13"/>
      <c r="HU2313" s="13"/>
      <c r="HV2313" s="13"/>
      <c r="HW2313" s="13"/>
      <c r="HX2313" s="13"/>
      <c r="HY2313" s="13"/>
      <c r="HZ2313" s="13"/>
      <c r="IA2313" s="13"/>
      <c r="IB2313" s="13"/>
      <c r="IC2313" s="13"/>
      <c r="ID2313" s="13"/>
      <c r="IE2313" s="13"/>
      <c r="IF2313" s="13"/>
      <c r="IG2313" s="13"/>
      <c r="IH2313" s="13"/>
      <c r="II2313" s="13"/>
      <c r="IJ2313" s="13"/>
      <c r="IK2313" s="13"/>
      <c r="IL2313" s="13"/>
      <c r="IM2313" s="13"/>
      <c r="IN2313" s="13"/>
      <c r="IO2313" s="13"/>
      <c r="IP2313" s="13"/>
      <c r="IQ2313" s="13"/>
      <c r="IR2313" s="13"/>
      <c r="IS2313" s="13"/>
      <c r="IT2313" s="13"/>
      <c r="IU2313" s="13"/>
      <c r="IV2313" s="13"/>
    </row>
    <row r="2314" spans="1:256" outlineLevel="2" x14ac:dyDescent="0.15">
      <c r="B2314" s="6"/>
      <c r="C2314" s="6"/>
      <c r="D2314" s="6"/>
      <c r="E2314" s="6"/>
      <c r="F2314" s="6"/>
      <c r="G2314" s="6"/>
      <c r="H2314" s="6"/>
      <c r="I2314" s="6"/>
      <c r="J2314" s="6"/>
      <c r="K2314" s="6"/>
      <c r="L2314" s="6"/>
      <c r="M2314" s="13"/>
      <c r="N2314" s="13"/>
      <c r="O2314" s="6"/>
      <c r="P2314" s="6"/>
      <c r="Q2314" s="6"/>
      <c r="R2314" s="6"/>
      <c r="S2314" s="6"/>
      <c r="T2314" s="6"/>
      <c r="U2314" s="6"/>
      <c r="V2314" s="6"/>
    </row>
    <row r="2315" spans="1:256" ht="12.75" customHeight="1" outlineLevel="2" x14ac:dyDescent="0.15">
      <c r="B2315" s="1475" t="s">
        <v>1946</v>
      </c>
      <c r="C2315" s="1863" t="s">
        <v>767</v>
      </c>
      <c r="D2315" s="1876" t="s">
        <v>1515</v>
      </c>
      <c r="E2315" s="1877"/>
      <c r="F2315" s="1877"/>
      <c r="G2315" s="1878"/>
      <c r="H2315" s="887"/>
      <c r="M2315" s="13"/>
      <c r="N2315" s="13"/>
      <c r="W2315" s="4"/>
      <c r="X2315" s="4"/>
      <c r="Y2315" s="4"/>
      <c r="Z2315" s="4"/>
    </row>
    <row r="2316" spans="1:256" ht="14" outlineLevel="2" x14ac:dyDescent="0.15">
      <c r="B2316" s="1580" t="s">
        <v>1947</v>
      </c>
      <c r="C2316" s="1864"/>
      <c r="D2316" s="1503" t="s">
        <v>14</v>
      </c>
      <c r="E2316" s="1504" t="s">
        <v>695</v>
      </c>
      <c r="F2316" s="1505" t="s">
        <v>27</v>
      </c>
      <c r="G2316" s="1319" t="s">
        <v>694</v>
      </c>
      <c r="H2316" s="963" t="s">
        <v>723</v>
      </c>
      <c r="M2316" s="13"/>
      <c r="N2316" s="13"/>
      <c r="W2316" s="4"/>
      <c r="X2316" s="4"/>
      <c r="Y2316" s="4"/>
      <c r="Z2316" s="4"/>
    </row>
    <row r="2317" spans="1:256" outlineLevel="2" x14ac:dyDescent="0.15">
      <c r="B2317" s="877" t="s">
        <v>1948</v>
      </c>
      <c r="C2317" s="1321">
        <v>127.5</v>
      </c>
      <c r="D2317" s="864">
        <v>123.5</v>
      </c>
      <c r="E2317" s="941">
        <v>4</v>
      </c>
      <c r="F2317" s="942">
        <v>0</v>
      </c>
      <c r="G2317" s="804">
        <v>0</v>
      </c>
      <c r="H2317" s="959">
        <v>0.5</v>
      </c>
      <c r="I2317" s="683"/>
      <c r="M2317" s="13"/>
      <c r="N2317" s="13"/>
      <c r="S2317" s="13"/>
      <c r="T2317" s="13"/>
      <c r="U2317" s="13"/>
      <c r="V2317" s="13"/>
    </row>
    <row r="2318" spans="1:256" outlineLevel="2" x14ac:dyDescent="0.15">
      <c r="B2318" s="981" t="s">
        <v>1949</v>
      </c>
      <c r="C2318" s="924">
        <v>710.51266666599997</v>
      </c>
      <c r="D2318" s="865">
        <v>672.66666666599997</v>
      </c>
      <c r="E2318" s="821">
        <v>0</v>
      </c>
      <c r="F2318" s="894">
        <v>37.846000000000004</v>
      </c>
      <c r="G2318" s="806">
        <v>0</v>
      </c>
      <c r="H2318" s="895">
        <v>0.5</v>
      </c>
      <c r="I2318" s="683"/>
      <c r="K2318" s="13"/>
      <c r="L2318" s="13"/>
      <c r="M2318" s="13"/>
      <c r="N2318" s="13"/>
      <c r="O2318" s="13"/>
      <c r="P2318" s="13"/>
      <c r="Q2318" s="13"/>
      <c r="R2318" s="13"/>
      <c r="S2318" s="13"/>
      <c r="T2318" s="13"/>
      <c r="U2318" s="13"/>
      <c r="V2318" s="13"/>
    </row>
    <row r="2319" spans="1:256" outlineLevel="2" x14ac:dyDescent="0.15">
      <c r="B2319" s="1682" t="s">
        <v>3276</v>
      </c>
      <c r="C2319" s="1685">
        <f t="shared" ref="C2319:C2320" si="104">+E2319+F2319+D2319</f>
        <v>1228.3</v>
      </c>
      <c r="D2319" s="1686">
        <f>1.2*1000</f>
        <v>1200</v>
      </c>
      <c r="E2319" s="1707">
        <f>0.0018*1000</f>
        <v>1.8</v>
      </c>
      <c r="F2319" s="1708">
        <f>0.0265*1000</f>
        <v>26.5</v>
      </c>
      <c r="G2319" s="806"/>
      <c r="H2319" s="895"/>
      <c r="I2319" s="683"/>
      <c r="K2319" s="13"/>
      <c r="L2319" s="13"/>
      <c r="M2319" s="13"/>
      <c r="N2319" s="13"/>
      <c r="O2319" s="13"/>
      <c r="P2319" s="13"/>
      <c r="Q2319" s="13"/>
      <c r="R2319" s="13"/>
      <c r="S2319" s="13"/>
      <c r="T2319" s="13"/>
      <c r="U2319" s="13"/>
      <c r="V2319" s="13"/>
    </row>
    <row r="2320" spans="1:256" outlineLevel="2" x14ac:dyDescent="0.15">
      <c r="B2320" s="1682" t="s">
        <v>3278</v>
      </c>
      <c r="C2320" s="1685">
        <f t="shared" si="104"/>
        <v>3062</v>
      </c>
      <c r="D2320" s="1686">
        <f>3*1000</f>
        <v>3000</v>
      </c>
      <c r="E2320" s="1707">
        <f>0.0018*1000</f>
        <v>1.8</v>
      </c>
      <c r="F2320" s="1708">
        <f>0.0602*1000</f>
        <v>60.199999999999996</v>
      </c>
      <c r="G2320" s="806"/>
      <c r="H2320" s="895"/>
      <c r="I2320" s="683"/>
      <c r="K2320" s="13"/>
      <c r="L2320" s="13"/>
      <c r="M2320" s="13"/>
      <c r="N2320" s="13"/>
      <c r="O2320" s="13"/>
      <c r="P2320" s="13"/>
      <c r="Q2320" s="13"/>
      <c r="R2320" s="13"/>
      <c r="S2320" s="13"/>
      <c r="T2320" s="13"/>
      <c r="U2320" s="13"/>
      <c r="V2320" s="13"/>
    </row>
    <row r="2321" spans="2:22" outlineLevel="2" x14ac:dyDescent="0.15">
      <c r="B2321" s="981" t="s">
        <v>1950</v>
      </c>
      <c r="C2321" s="924">
        <v>954.54666666599996</v>
      </c>
      <c r="D2321" s="865">
        <v>936.66666666599997</v>
      </c>
      <c r="E2321" s="821">
        <v>0</v>
      </c>
      <c r="F2321" s="894">
        <v>17.879999999999995</v>
      </c>
      <c r="G2321" s="806">
        <v>0</v>
      </c>
      <c r="H2321" s="895">
        <v>0.5</v>
      </c>
      <c r="I2321" s="683"/>
      <c r="K2321" s="13"/>
      <c r="L2321" s="13"/>
      <c r="M2321" s="13"/>
      <c r="N2321" s="13"/>
      <c r="O2321" s="13"/>
      <c r="P2321" s="13"/>
      <c r="Q2321" s="13"/>
      <c r="R2321" s="13"/>
      <c r="S2321" s="13"/>
      <c r="T2321" s="13"/>
      <c r="U2321" s="13"/>
      <c r="V2321" s="13"/>
    </row>
    <row r="2322" spans="2:22" outlineLevel="2" x14ac:dyDescent="0.15">
      <c r="B2322" s="1039"/>
      <c r="C2322" s="960"/>
      <c r="D2322" s="1061"/>
      <c r="E2322" s="1075"/>
      <c r="F2322" s="1052"/>
      <c r="G2322" s="960"/>
      <c r="H2322" s="954"/>
      <c r="K2322" s="13"/>
      <c r="L2322" s="13"/>
      <c r="M2322" s="13"/>
      <c r="N2322" s="13"/>
      <c r="O2322" s="13"/>
      <c r="P2322" s="13"/>
      <c r="Q2322" s="13"/>
      <c r="R2322" s="13"/>
      <c r="S2322" s="13"/>
      <c r="T2322" s="13"/>
      <c r="U2322" s="13"/>
      <c r="V2322" s="13"/>
    </row>
    <row r="2323" spans="2:22" outlineLevel="2" x14ac:dyDescent="0.15">
      <c r="O2323" s="13"/>
      <c r="P2323" s="13"/>
      <c r="Q2323" s="13"/>
      <c r="R2323" s="13"/>
      <c r="S2323" s="13"/>
      <c r="T2323" s="13"/>
      <c r="U2323" s="13"/>
      <c r="V2323" s="13"/>
    </row>
    <row r="2324" spans="2:22" outlineLevel="2" x14ac:dyDescent="0.15">
      <c r="B2324" s="1489" t="s">
        <v>1928</v>
      </c>
      <c r="C2324" s="886"/>
      <c r="D2324" s="887"/>
      <c r="E2324" s="887"/>
    </row>
    <row r="2325" spans="2:22" outlineLevel="2" x14ac:dyDescent="0.15">
      <c r="B2325" s="1059"/>
      <c r="C2325" s="975"/>
      <c r="D2325" s="891"/>
      <c r="E2325" s="891"/>
    </row>
    <row r="2326" spans="2:22" outlineLevel="2" x14ac:dyDescent="0.15">
      <c r="B2326" s="1078" t="s">
        <v>1932</v>
      </c>
      <c r="C2326" s="1068">
        <v>0.25</v>
      </c>
      <c r="D2326" s="891"/>
      <c r="E2326" s="891"/>
    </row>
    <row r="2327" spans="2:22" outlineLevel="2" x14ac:dyDescent="0.15">
      <c r="B2327" s="1078"/>
      <c r="C2327" s="886"/>
      <c r="D2327" s="891"/>
      <c r="E2327" s="891"/>
    </row>
    <row r="2328" spans="2:22" outlineLevel="2" x14ac:dyDescent="0.15">
      <c r="B2328" s="1581" t="s">
        <v>1929</v>
      </c>
      <c r="C2328" s="888" t="s">
        <v>1930</v>
      </c>
      <c r="D2328" s="896" t="s">
        <v>1931</v>
      </c>
      <c r="E2328" s="896" t="s">
        <v>723</v>
      </c>
    </row>
    <row r="2329" spans="2:22" outlineLevel="2" x14ac:dyDescent="0.15">
      <c r="B2329" s="800" t="s">
        <v>1933</v>
      </c>
      <c r="C2329" s="821">
        <v>10</v>
      </c>
      <c r="D2329" s="812">
        <v>62.5</v>
      </c>
      <c r="E2329" s="807">
        <v>0.5</v>
      </c>
      <c r="F2329" s="23"/>
      <c r="G2329" s="13"/>
    </row>
    <row r="2330" spans="2:22" outlineLevel="2" x14ac:dyDescent="0.15">
      <c r="B2330" s="800" t="s">
        <v>1934</v>
      </c>
      <c r="C2330" s="821">
        <v>10</v>
      </c>
      <c r="D2330" s="812">
        <v>62.5</v>
      </c>
      <c r="E2330" s="807">
        <v>0.5</v>
      </c>
      <c r="F2330" s="23"/>
      <c r="G2330" s="13"/>
    </row>
    <row r="2331" spans="2:22" outlineLevel="2" x14ac:dyDescent="0.15">
      <c r="B2331" s="800" t="s">
        <v>1935</v>
      </c>
      <c r="C2331" s="821">
        <v>30</v>
      </c>
      <c r="D2331" s="812">
        <v>187.5</v>
      </c>
      <c r="E2331" s="807">
        <v>0.5</v>
      </c>
      <c r="F2331" s="23"/>
      <c r="G2331" s="13"/>
    </row>
    <row r="2332" spans="2:22" outlineLevel="2" x14ac:dyDescent="0.15">
      <c r="B2332" s="800" t="s">
        <v>1936</v>
      </c>
      <c r="C2332" s="821">
        <v>50</v>
      </c>
      <c r="D2332" s="812">
        <v>312.50000000000006</v>
      </c>
      <c r="E2332" s="807">
        <v>0.5</v>
      </c>
      <c r="F2332" s="23"/>
      <c r="G2332" s="13"/>
    </row>
    <row r="2333" spans="2:22" outlineLevel="2" x14ac:dyDescent="0.15">
      <c r="B2333" s="800" t="s">
        <v>1937</v>
      </c>
      <c r="C2333" s="821">
        <v>3</v>
      </c>
      <c r="D2333" s="812">
        <v>18.75</v>
      </c>
      <c r="E2333" s="807">
        <v>0.5</v>
      </c>
      <c r="F2333" s="23"/>
      <c r="G2333" s="13"/>
    </row>
    <row r="2334" spans="2:22" outlineLevel="2" x14ac:dyDescent="0.15">
      <c r="B2334" s="800" t="s">
        <v>1938</v>
      </c>
      <c r="C2334" s="821">
        <v>4</v>
      </c>
      <c r="D2334" s="812">
        <v>25</v>
      </c>
      <c r="E2334" s="807">
        <v>0.5</v>
      </c>
      <c r="F2334" s="23"/>
      <c r="G2334" s="13"/>
    </row>
    <row r="2335" spans="2:22" outlineLevel="2" x14ac:dyDescent="0.15">
      <c r="B2335" s="800" t="s">
        <v>1939</v>
      </c>
      <c r="C2335" s="821">
        <v>4</v>
      </c>
      <c r="D2335" s="812">
        <v>25</v>
      </c>
      <c r="E2335" s="807">
        <v>0.5</v>
      </c>
      <c r="F2335" s="23"/>
      <c r="G2335" s="13"/>
    </row>
    <row r="2336" spans="2:22" outlineLevel="2" x14ac:dyDescent="0.15">
      <c r="B2336" s="800" t="s">
        <v>1940</v>
      </c>
      <c r="C2336" s="821">
        <v>40</v>
      </c>
      <c r="D2336" s="812">
        <v>250</v>
      </c>
      <c r="E2336" s="807">
        <v>0.5</v>
      </c>
      <c r="F2336" s="23"/>
      <c r="G2336" s="13"/>
    </row>
    <row r="2337" spans="1:256" outlineLevel="2" x14ac:dyDescent="0.15">
      <c r="B2337" s="800" t="s">
        <v>1941</v>
      </c>
      <c r="C2337" s="821">
        <v>98</v>
      </c>
      <c r="D2337" s="812">
        <v>612.49999999999989</v>
      </c>
      <c r="E2337" s="807">
        <v>0.5</v>
      </c>
      <c r="F2337" s="23"/>
      <c r="G2337" s="13"/>
    </row>
    <row r="2338" spans="1:256" outlineLevel="2" x14ac:dyDescent="0.15">
      <c r="B2338" s="800" t="s">
        <v>1942</v>
      </c>
      <c r="C2338" s="821">
        <v>2</v>
      </c>
      <c r="D2338" s="812">
        <v>12.5</v>
      </c>
      <c r="E2338" s="807">
        <v>0.5</v>
      </c>
      <c r="F2338" s="23"/>
      <c r="G2338" s="13"/>
    </row>
    <row r="2339" spans="1:256" outlineLevel="2" x14ac:dyDescent="0.15">
      <c r="B2339" s="800" t="s">
        <v>1943</v>
      </c>
      <c r="C2339" s="821">
        <v>5</v>
      </c>
      <c r="D2339" s="812">
        <v>31.25</v>
      </c>
      <c r="E2339" s="807">
        <v>0.5</v>
      </c>
      <c r="F2339" s="23"/>
      <c r="G2339" s="13"/>
    </row>
    <row r="2340" spans="1:256" outlineLevel="2" x14ac:dyDescent="0.15">
      <c r="B2340" s="800"/>
      <c r="C2340" s="821"/>
      <c r="D2340" s="812"/>
      <c r="E2340" s="807"/>
      <c r="F2340" s="23"/>
      <c r="G2340" s="13"/>
    </row>
    <row r="2341" spans="1:256" outlineLevel="2" x14ac:dyDescent="0.15">
      <c r="B2341" s="800" t="s">
        <v>1944</v>
      </c>
      <c r="C2341" s="821"/>
      <c r="D2341" s="812"/>
      <c r="E2341" s="807">
        <v>0.5</v>
      </c>
      <c r="F2341" s="23"/>
      <c r="G2341" s="13"/>
    </row>
    <row r="2342" spans="1:256" outlineLevel="2" x14ac:dyDescent="0.15">
      <c r="B2342" s="1658" t="s">
        <v>3279</v>
      </c>
      <c r="C2342" s="821"/>
      <c r="D2342" s="1659">
        <v>2.62</v>
      </c>
      <c r="E2342" s="807"/>
      <c r="F2342" s="23"/>
      <c r="G2342" s="13"/>
    </row>
    <row r="2343" spans="1:256" outlineLevel="2" x14ac:dyDescent="0.15">
      <c r="B2343" s="1658" t="s">
        <v>3283</v>
      </c>
      <c r="C2343" s="821"/>
      <c r="D2343" s="1659">
        <f>0.000869*1000</f>
        <v>0.86899999999999999</v>
      </c>
      <c r="E2343" s="807"/>
      <c r="F2343" s="23"/>
      <c r="G2343" s="13"/>
    </row>
    <row r="2344" spans="1:256" outlineLevel="2" x14ac:dyDescent="0.15">
      <c r="B2344" s="1658" t="s">
        <v>3282</v>
      </c>
      <c r="C2344" s="821"/>
      <c r="D2344" s="1659">
        <f>0.0836*1000</f>
        <v>83.6</v>
      </c>
      <c r="E2344" s="807"/>
      <c r="F2344" s="23"/>
      <c r="G2344" s="13"/>
    </row>
    <row r="2345" spans="1:256" outlineLevel="2" x14ac:dyDescent="0.15">
      <c r="B2345" s="1658" t="s">
        <v>3284</v>
      </c>
      <c r="C2345" s="821"/>
      <c r="D2345" s="1659">
        <f>0.0366*1000</f>
        <v>36.6</v>
      </c>
      <c r="E2345" s="807"/>
      <c r="F2345" s="23"/>
      <c r="G2345" s="13"/>
    </row>
    <row r="2346" spans="1:256" outlineLevel="2" x14ac:dyDescent="0.15">
      <c r="B2346" s="800" t="s">
        <v>1945</v>
      </c>
      <c r="C2346" s="821"/>
      <c r="D2346" s="972">
        <v>0.26200000000000001</v>
      </c>
      <c r="E2346" s="807">
        <v>0.2</v>
      </c>
      <c r="F2346" s="23"/>
      <c r="G2346" s="13"/>
    </row>
    <row r="2347" spans="1:256" outlineLevel="2" x14ac:dyDescent="0.15">
      <c r="B2347" s="801"/>
      <c r="C2347" s="1079"/>
      <c r="D2347" s="1052"/>
      <c r="E2347" s="803"/>
    </row>
    <row r="2348" spans="1:256" outlineLevel="2" x14ac:dyDescent="0.15"/>
    <row r="2349" spans="1:256" ht="15" customHeight="1" x14ac:dyDescent="0.15"/>
    <row r="2350" spans="1:256" s="26" customFormat="1" ht="20" customHeight="1" x14ac:dyDescent="0.15">
      <c r="A2350" s="13"/>
      <c r="B2350" s="1871" t="s">
        <v>720</v>
      </c>
      <c r="C2350" s="1872"/>
      <c r="D2350" s="1872"/>
      <c r="E2350" s="1872"/>
      <c r="F2350" s="1872"/>
      <c r="G2350" s="1872"/>
      <c r="H2350" s="1872"/>
      <c r="I2350" s="1872"/>
      <c r="J2350" s="1873"/>
      <c r="K2350" s="28"/>
      <c r="L2350" s="28"/>
      <c r="M2350" s="28"/>
      <c r="N2350" s="28"/>
      <c r="O2350" s="28"/>
      <c r="P2350" s="28"/>
      <c r="Q2350" s="28"/>
      <c r="R2350" s="28"/>
      <c r="S2350" s="28"/>
      <c r="T2350" s="28"/>
      <c r="U2350" s="28"/>
      <c r="V2350" s="28"/>
      <c r="W2350" s="29"/>
      <c r="X2350" s="29"/>
      <c r="Y2350" s="29"/>
      <c r="Z2350" s="29"/>
      <c r="AA2350" s="29"/>
      <c r="AB2350" s="29"/>
      <c r="AC2350" s="29"/>
      <c r="AD2350" s="29"/>
      <c r="AE2350" s="29"/>
      <c r="AF2350" s="29"/>
      <c r="AG2350" s="29"/>
      <c r="AH2350" s="29"/>
      <c r="AI2350" s="29"/>
      <c r="AJ2350" s="29"/>
      <c r="AK2350" s="29"/>
      <c r="AL2350" s="29"/>
      <c r="AM2350" s="29"/>
      <c r="AN2350" s="29"/>
      <c r="AO2350" s="29"/>
      <c r="AP2350" s="29"/>
      <c r="AQ2350" s="29"/>
      <c r="AR2350" s="29"/>
      <c r="AS2350" s="29"/>
      <c r="AT2350" s="29"/>
      <c r="AU2350" s="29"/>
      <c r="AV2350" s="29"/>
      <c r="AW2350" s="29"/>
      <c r="AX2350" s="29"/>
      <c r="AY2350" s="29"/>
      <c r="AZ2350" s="29"/>
      <c r="BA2350" s="29"/>
      <c r="BB2350" s="29"/>
      <c r="BC2350" s="29"/>
      <c r="BD2350" s="29"/>
      <c r="BE2350" s="29"/>
      <c r="BF2350" s="29"/>
      <c r="BG2350" s="29"/>
      <c r="BH2350" s="29"/>
      <c r="BI2350" s="29"/>
      <c r="BJ2350" s="29"/>
      <c r="BK2350" s="29"/>
      <c r="BL2350" s="29"/>
      <c r="BM2350" s="29"/>
      <c r="BN2350" s="29"/>
      <c r="BO2350" s="29"/>
      <c r="BP2350" s="29"/>
      <c r="BQ2350" s="29"/>
      <c r="BR2350" s="29"/>
      <c r="BS2350" s="29"/>
      <c r="BT2350" s="29"/>
      <c r="BU2350" s="29"/>
      <c r="BV2350" s="29"/>
      <c r="BW2350" s="29"/>
      <c r="BX2350" s="29"/>
      <c r="BY2350" s="29"/>
      <c r="BZ2350" s="29"/>
      <c r="CA2350" s="29"/>
      <c r="CB2350" s="29"/>
      <c r="CC2350" s="29"/>
      <c r="CD2350" s="29"/>
      <c r="CE2350" s="29"/>
      <c r="CF2350" s="29"/>
      <c r="CG2350" s="29"/>
      <c r="CH2350" s="29"/>
      <c r="CI2350" s="29"/>
      <c r="CJ2350" s="29"/>
      <c r="CK2350" s="29"/>
      <c r="CL2350" s="29"/>
      <c r="CM2350" s="29"/>
      <c r="CN2350" s="29"/>
      <c r="CO2350" s="29"/>
      <c r="CP2350" s="29"/>
      <c r="CQ2350" s="29"/>
      <c r="CR2350" s="29"/>
      <c r="CS2350" s="29"/>
      <c r="CT2350" s="29"/>
      <c r="CU2350" s="29"/>
      <c r="CV2350" s="29"/>
      <c r="CW2350" s="29"/>
      <c r="CX2350" s="29"/>
      <c r="CY2350" s="29"/>
      <c r="CZ2350" s="29"/>
      <c r="DA2350" s="29"/>
      <c r="DB2350" s="29"/>
      <c r="DC2350" s="29"/>
      <c r="DD2350" s="29"/>
      <c r="DE2350" s="29"/>
      <c r="DF2350" s="29"/>
      <c r="DG2350" s="29"/>
      <c r="DH2350" s="29"/>
      <c r="DI2350" s="29"/>
      <c r="DJ2350" s="29"/>
      <c r="DK2350" s="29"/>
      <c r="DL2350" s="29"/>
      <c r="DM2350" s="29"/>
      <c r="DN2350" s="29"/>
      <c r="DO2350" s="29"/>
      <c r="DP2350" s="29"/>
      <c r="DQ2350" s="29"/>
      <c r="DR2350" s="29"/>
      <c r="DS2350" s="29"/>
      <c r="DT2350" s="29"/>
      <c r="DU2350" s="29"/>
      <c r="DV2350" s="29"/>
      <c r="DW2350" s="29"/>
      <c r="DX2350" s="29"/>
      <c r="DY2350" s="29"/>
      <c r="DZ2350" s="29"/>
      <c r="EA2350" s="29"/>
      <c r="EB2350" s="29"/>
      <c r="EC2350" s="29"/>
      <c r="ED2350" s="29"/>
      <c r="EE2350" s="29"/>
      <c r="EF2350" s="29"/>
      <c r="EG2350" s="29"/>
      <c r="EH2350" s="29"/>
      <c r="EI2350" s="29"/>
      <c r="EJ2350" s="29"/>
      <c r="EK2350" s="29"/>
      <c r="EL2350" s="29"/>
      <c r="EM2350" s="29"/>
      <c r="EN2350" s="29"/>
      <c r="EO2350" s="29"/>
      <c r="EP2350" s="29"/>
      <c r="EQ2350" s="29"/>
      <c r="ER2350" s="29"/>
      <c r="ES2350" s="29"/>
      <c r="ET2350" s="29"/>
      <c r="EU2350" s="29"/>
      <c r="EV2350" s="29"/>
      <c r="EW2350" s="29"/>
      <c r="EX2350" s="29"/>
      <c r="EY2350" s="29"/>
      <c r="EZ2350" s="29"/>
      <c r="FA2350" s="29"/>
      <c r="FB2350" s="29"/>
      <c r="FC2350" s="29"/>
      <c r="FD2350" s="29"/>
      <c r="FE2350" s="29"/>
      <c r="FF2350" s="29"/>
      <c r="FG2350" s="29"/>
      <c r="FH2350" s="29"/>
      <c r="FI2350" s="29"/>
      <c r="FJ2350" s="29"/>
      <c r="FK2350" s="29"/>
      <c r="FL2350" s="29"/>
      <c r="FM2350" s="29"/>
      <c r="FN2350" s="29"/>
      <c r="FO2350" s="29"/>
      <c r="FP2350" s="29"/>
      <c r="FQ2350" s="29"/>
      <c r="FR2350" s="29"/>
      <c r="FS2350" s="29"/>
      <c r="FT2350" s="29"/>
      <c r="FU2350" s="29"/>
      <c r="FV2350" s="29"/>
      <c r="FW2350" s="29"/>
      <c r="FX2350" s="29"/>
      <c r="FY2350" s="29"/>
      <c r="FZ2350" s="29"/>
      <c r="GA2350" s="29"/>
      <c r="GB2350" s="29"/>
      <c r="GC2350" s="13"/>
      <c r="GD2350" s="13"/>
      <c r="GE2350" s="13"/>
      <c r="GF2350" s="13"/>
      <c r="GG2350" s="13"/>
      <c r="GH2350" s="13"/>
      <c r="GI2350" s="13"/>
      <c r="GJ2350" s="13"/>
      <c r="GK2350" s="13"/>
      <c r="GL2350" s="13"/>
      <c r="GM2350" s="13"/>
      <c r="GN2350" s="13"/>
      <c r="GO2350" s="13"/>
      <c r="GP2350" s="13"/>
      <c r="GQ2350" s="13"/>
      <c r="GR2350" s="13"/>
      <c r="GS2350" s="13"/>
      <c r="GT2350" s="13"/>
      <c r="GU2350" s="13"/>
      <c r="GV2350" s="13"/>
      <c r="GW2350" s="13"/>
      <c r="GX2350" s="13"/>
      <c r="GY2350" s="13"/>
      <c r="GZ2350" s="13"/>
      <c r="HA2350" s="13"/>
      <c r="HB2350" s="13"/>
      <c r="HC2350" s="13"/>
      <c r="HD2350" s="13"/>
      <c r="HE2350" s="13"/>
      <c r="HF2350" s="13"/>
      <c r="HG2350" s="13"/>
      <c r="HH2350" s="13"/>
      <c r="HI2350" s="13"/>
      <c r="HJ2350" s="13"/>
      <c r="HK2350" s="13"/>
      <c r="HL2350" s="13"/>
      <c r="HM2350" s="13"/>
      <c r="HN2350" s="13"/>
      <c r="HO2350" s="13"/>
      <c r="HP2350" s="13"/>
      <c r="HQ2350" s="13"/>
      <c r="HR2350" s="13"/>
      <c r="HS2350" s="13"/>
      <c r="HT2350" s="13"/>
      <c r="HU2350" s="13"/>
      <c r="HV2350" s="13"/>
      <c r="HW2350" s="13"/>
      <c r="HX2350" s="13"/>
      <c r="HY2350" s="13"/>
      <c r="HZ2350" s="13"/>
      <c r="IA2350" s="13"/>
      <c r="IB2350" s="13"/>
      <c r="IC2350" s="13"/>
      <c r="ID2350" s="13"/>
      <c r="IE2350" s="13"/>
      <c r="IF2350" s="13"/>
      <c r="IG2350" s="13"/>
      <c r="IH2350" s="13"/>
      <c r="II2350" s="13"/>
      <c r="IJ2350" s="13"/>
      <c r="IK2350" s="13"/>
      <c r="IL2350" s="13"/>
      <c r="IM2350" s="13"/>
      <c r="IN2350" s="13"/>
      <c r="IO2350" s="13"/>
      <c r="IP2350" s="13"/>
      <c r="IQ2350" s="13"/>
      <c r="IR2350" s="13"/>
      <c r="IS2350" s="13"/>
      <c r="IT2350" s="13"/>
      <c r="IU2350" s="13"/>
      <c r="IV2350" s="13"/>
    </row>
    <row r="2351" spans="1:256" outlineLevel="1" x14ac:dyDescent="0.15">
      <c r="B2351" s="1036"/>
      <c r="C2351" s="24"/>
      <c r="D2351" s="25"/>
      <c r="E2351" s="25"/>
      <c r="F2351" s="25"/>
      <c r="G2351" s="25"/>
      <c r="H2351" s="25"/>
      <c r="I2351" s="25"/>
      <c r="J2351" s="25"/>
      <c r="K2351" s="25"/>
    </row>
    <row r="2352" spans="1:256" outlineLevel="1" x14ac:dyDescent="0.15">
      <c r="B2352" s="1475" t="s">
        <v>1976</v>
      </c>
      <c r="C2352" s="1874" t="s">
        <v>1978</v>
      </c>
      <c r="D2352" s="898"/>
      <c r="E2352" s="12"/>
      <c r="F2352" s="12"/>
      <c r="G2352" s="12"/>
    </row>
    <row r="2353" spans="2:9" outlineLevel="1" x14ac:dyDescent="0.15">
      <c r="B2353" s="836" t="s">
        <v>1977</v>
      </c>
      <c r="C2353" s="1875"/>
      <c r="D2353" s="836" t="s">
        <v>723</v>
      </c>
      <c r="E2353" s="12"/>
      <c r="F2353" s="12"/>
      <c r="G2353" s="12"/>
    </row>
    <row r="2354" spans="2:9" outlineLevel="1" x14ac:dyDescent="0.15">
      <c r="B2354" s="806" t="s">
        <v>1979</v>
      </c>
      <c r="C2354" s="800">
        <v>656</v>
      </c>
      <c r="D2354" s="807">
        <v>0.5</v>
      </c>
      <c r="E2354" s="677"/>
    </row>
    <row r="2355" spans="2:9" outlineLevel="1" x14ac:dyDescent="0.15">
      <c r="B2355" s="806" t="s">
        <v>1980</v>
      </c>
      <c r="C2355" s="800">
        <v>220</v>
      </c>
      <c r="D2355" s="807">
        <v>0.5</v>
      </c>
      <c r="E2355" s="677"/>
    </row>
    <row r="2356" spans="2:9" outlineLevel="1" x14ac:dyDescent="0.15">
      <c r="B2356" s="806" t="s">
        <v>1981</v>
      </c>
      <c r="C2356" s="800">
        <v>825</v>
      </c>
      <c r="D2356" s="807">
        <v>0.5</v>
      </c>
      <c r="E2356" s="677"/>
    </row>
    <row r="2357" spans="2:9" outlineLevel="1" x14ac:dyDescent="0.15">
      <c r="B2357" s="806" t="s">
        <v>1982</v>
      </c>
      <c r="C2357" s="800">
        <v>275</v>
      </c>
      <c r="D2357" s="807">
        <v>0.5</v>
      </c>
      <c r="E2357" s="677"/>
    </row>
    <row r="2358" spans="2:9" outlineLevel="1" x14ac:dyDescent="0.15">
      <c r="B2358" s="806" t="s">
        <v>1983</v>
      </c>
      <c r="C2358" s="800">
        <v>469</v>
      </c>
      <c r="D2358" s="807">
        <v>0.5</v>
      </c>
      <c r="E2358" s="677"/>
    </row>
    <row r="2359" spans="2:9" outlineLevel="1" x14ac:dyDescent="0.15">
      <c r="B2359" s="806" t="s">
        <v>2127</v>
      </c>
      <c r="C2359" s="800">
        <v>158</v>
      </c>
      <c r="D2359" s="807">
        <v>0.5</v>
      </c>
      <c r="E2359" s="677"/>
    </row>
    <row r="2360" spans="2:9" outlineLevel="1" x14ac:dyDescent="0.15">
      <c r="B2360" s="806" t="s">
        <v>1984</v>
      </c>
      <c r="C2360" s="800">
        <v>550</v>
      </c>
      <c r="D2360" s="807">
        <v>0.5</v>
      </c>
      <c r="E2360" s="677"/>
    </row>
    <row r="2361" spans="2:9" outlineLevel="1" x14ac:dyDescent="0.15">
      <c r="B2361" s="806" t="s">
        <v>1985</v>
      </c>
      <c r="C2361" s="800">
        <v>183</v>
      </c>
      <c r="D2361" s="807">
        <v>0.5</v>
      </c>
      <c r="E2361" s="677"/>
    </row>
    <row r="2362" spans="2:9" outlineLevel="1" x14ac:dyDescent="0.15">
      <c r="B2362" s="806" t="s">
        <v>1986</v>
      </c>
      <c r="C2362" s="800">
        <v>440</v>
      </c>
      <c r="D2362" s="807">
        <v>0.5</v>
      </c>
      <c r="E2362" s="677"/>
      <c r="G2362" s="23"/>
      <c r="H2362" s="23"/>
      <c r="I2362" s="23"/>
    </row>
    <row r="2363" spans="2:9" outlineLevel="1" x14ac:dyDescent="0.15">
      <c r="B2363" s="806" t="s">
        <v>1987</v>
      </c>
      <c r="C2363" s="800">
        <v>656</v>
      </c>
      <c r="D2363" s="807">
        <v>0.5</v>
      </c>
      <c r="E2363" s="677"/>
      <c r="G2363" s="23"/>
      <c r="H2363" s="23"/>
      <c r="I2363" s="23"/>
    </row>
    <row r="2364" spans="2:9" outlineLevel="1" x14ac:dyDescent="0.15">
      <c r="B2364" s="806" t="s">
        <v>1988</v>
      </c>
      <c r="C2364" s="800">
        <v>220</v>
      </c>
      <c r="D2364" s="807">
        <v>0.5</v>
      </c>
      <c r="E2364" s="677"/>
      <c r="G2364" s="23"/>
      <c r="H2364" s="23"/>
      <c r="I2364" s="23"/>
    </row>
    <row r="2365" spans="2:9" outlineLevel="1" x14ac:dyDescent="0.15">
      <c r="B2365" s="806" t="s">
        <v>1993</v>
      </c>
      <c r="C2365" s="800">
        <v>525</v>
      </c>
      <c r="D2365" s="807">
        <v>0.5</v>
      </c>
      <c r="E2365" s="677"/>
      <c r="G2365" s="23"/>
      <c r="H2365" s="23"/>
      <c r="I2365" s="23"/>
    </row>
    <row r="2366" spans="2:9" outlineLevel="1" x14ac:dyDescent="0.15">
      <c r="B2366" s="806" t="s">
        <v>1992</v>
      </c>
      <c r="C2366" s="800">
        <v>436</v>
      </c>
      <c r="D2366" s="807">
        <v>0.5</v>
      </c>
      <c r="E2366" s="677"/>
      <c r="G2366" s="23"/>
      <c r="H2366" s="23"/>
      <c r="I2366" s="23"/>
    </row>
    <row r="2367" spans="2:9" outlineLevel="1" x14ac:dyDescent="0.15">
      <c r="B2367" s="806" t="s">
        <v>1990</v>
      </c>
      <c r="C2367" s="800">
        <v>506</v>
      </c>
      <c r="D2367" s="807">
        <v>0.5</v>
      </c>
      <c r="E2367" s="677"/>
      <c r="G2367" s="23"/>
      <c r="H2367" s="23"/>
      <c r="I2367" s="23"/>
    </row>
    <row r="2368" spans="2:9" outlineLevel="1" x14ac:dyDescent="0.15">
      <c r="B2368" s="806" t="s">
        <v>1991</v>
      </c>
      <c r="C2368" s="800">
        <v>169</v>
      </c>
      <c r="D2368" s="807">
        <v>0.5</v>
      </c>
      <c r="E2368" s="677"/>
      <c r="G2368" s="23"/>
      <c r="H2368" s="23"/>
      <c r="I2368" s="23"/>
    </row>
    <row r="2369" spans="2:23" outlineLevel="1" x14ac:dyDescent="0.15">
      <c r="B2369" s="806" t="s">
        <v>1994</v>
      </c>
      <c r="C2369" s="800">
        <v>425</v>
      </c>
      <c r="D2369" s="807">
        <v>0.5</v>
      </c>
      <c r="E2369" s="677"/>
      <c r="G2369" s="23"/>
      <c r="H2369" s="23"/>
      <c r="I2369" s="23"/>
    </row>
    <row r="2370" spans="2:23" outlineLevel="1" x14ac:dyDescent="0.15">
      <c r="B2370" s="806" t="s">
        <v>2748</v>
      </c>
      <c r="C2370" s="800">
        <v>169</v>
      </c>
      <c r="D2370" s="807">
        <v>0.5</v>
      </c>
      <c r="E2370" s="677"/>
      <c r="G2370" s="23"/>
      <c r="H2370" s="23"/>
      <c r="I2370" s="23"/>
    </row>
    <row r="2371" spans="2:23" outlineLevel="1" x14ac:dyDescent="0.15">
      <c r="B2371" s="806" t="s">
        <v>2749</v>
      </c>
      <c r="C2371" s="800">
        <v>169</v>
      </c>
      <c r="D2371" s="807">
        <v>0.5</v>
      </c>
      <c r="E2371" s="677"/>
    </row>
    <row r="2372" spans="2:23" outlineLevel="1" x14ac:dyDescent="0.15">
      <c r="B2372" s="806" t="s">
        <v>1989</v>
      </c>
      <c r="C2372" s="800">
        <v>440</v>
      </c>
      <c r="D2372" s="807">
        <v>0.5</v>
      </c>
      <c r="E2372" s="677"/>
    </row>
    <row r="2373" spans="2:23" outlineLevel="1" x14ac:dyDescent="0.15">
      <c r="B2373" s="802"/>
      <c r="C2373" s="952"/>
      <c r="D2373" s="814"/>
      <c r="E2373" s="12"/>
      <c r="F2373" s="12"/>
      <c r="G2373" s="12"/>
    </row>
    <row r="2374" spans="2:23" outlineLevel="1" x14ac:dyDescent="0.15">
      <c r="B2374" s="12"/>
      <c r="C2374" s="12"/>
      <c r="D2374" s="12"/>
      <c r="E2374" s="12"/>
      <c r="F2374" s="12"/>
      <c r="G2374" s="12"/>
    </row>
    <row r="2375" spans="2:23" outlineLevel="1" x14ac:dyDescent="0.15">
      <c r="B2375" s="1489" t="s">
        <v>1995</v>
      </c>
      <c r="C2375" s="1863" t="s">
        <v>1996</v>
      </c>
      <c r="D2375" s="1879" t="s">
        <v>1978</v>
      </c>
      <c r="E2375" s="1887"/>
      <c r="F2375" s="1887"/>
      <c r="G2375" s="1880"/>
      <c r="H2375" s="898"/>
      <c r="I2375" s="1595" t="s">
        <v>2006</v>
      </c>
      <c r="J2375" s="898"/>
      <c r="W2375" s="4"/>
    </row>
    <row r="2376" spans="2:23" ht="14" outlineLevel="1" x14ac:dyDescent="0.15">
      <c r="B2376" s="1594" t="s">
        <v>2008</v>
      </c>
      <c r="C2376" s="1864"/>
      <c r="D2376" s="881" t="s">
        <v>44</v>
      </c>
      <c r="E2376" s="958" t="s">
        <v>1997</v>
      </c>
      <c r="F2376" s="958" t="s">
        <v>690</v>
      </c>
      <c r="G2376" s="958" t="s">
        <v>1998</v>
      </c>
      <c r="H2376" s="836" t="s">
        <v>723</v>
      </c>
      <c r="I2376" s="958" t="s">
        <v>2007</v>
      </c>
      <c r="J2376" s="836" t="s">
        <v>723</v>
      </c>
      <c r="W2376" s="4"/>
    </row>
    <row r="2377" spans="2:23" outlineLevel="1" x14ac:dyDescent="0.15">
      <c r="B2377" s="800" t="s">
        <v>163</v>
      </c>
      <c r="C2377" s="809" t="s">
        <v>46</v>
      </c>
      <c r="D2377" s="1490">
        <f>SUM(E2377:G2377)</f>
        <v>514</v>
      </c>
      <c r="E2377" s="849">
        <v>312</v>
      </c>
      <c r="F2377" s="849">
        <v>147</v>
      </c>
      <c r="G2377" s="849">
        <v>55</v>
      </c>
      <c r="H2377" s="805">
        <v>0.15</v>
      </c>
      <c r="I2377" s="804"/>
      <c r="J2377" s="804"/>
      <c r="W2377" s="4"/>
    </row>
    <row r="2378" spans="2:23" outlineLevel="1" x14ac:dyDescent="0.15">
      <c r="B2378" s="800" t="s">
        <v>2746</v>
      </c>
      <c r="C2378" s="956" t="s">
        <v>2000</v>
      </c>
      <c r="D2378" s="956">
        <f t="shared" ref="D2378:D2383" si="105">SUM(E2378:G2378)</f>
        <v>557</v>
      </c>
      <c r="E2378" s="849">
        <v>319</v>
      </c>
      <c r="F2378" s="849">
        <v>165</v>
      </c>
      <c r="G2378" s="849">
        <v>73</v>
      </c>
      <c r="H2378" s="807">
        <v>0.15</v>
      </c>
      <c r="I2378" s="806"/>
      <c r="J2378" s="806"/>
      <c r="W2378" s="4"/>
    </row>
    <row r="2379" spans="2:23" outlineLevel="1" x14ac:dyDescent="0.15">
      <c r="B2379" s="800" t="s">
        <v>2747</v>
      </c>
      <c r="C2379" s="956" t="s">
        <v>2001</v>
      </c>
      <c r="D2379" s="956">
        <f t="shared" si="105"/>
        <v>594</v>
      </c>
      <c r="E2379" s="849">
        <v>337</v>
      </c>
      <c r="F2379" s="849">
        <v>165</v>
      </c>
      <c r="G2379" s="849">
        <v>92</v>
      </c>
      <c r="H2379" s="807">
        <v>0.15</v>
      </c>
      <c r="I2379" s="806"/>
      <c r="J2379" s="806"/>
      <c r="W2379" s="4"/>
    </row>
    <row r="2380" spans="2:23" outlineLevel="1" x14ac:dyDescent="0.15">
      <c r="B2380" s="800" t="s">
        <v>164</v>
      </c>
      <c r="C2380" s="956" t="s">
        <v>2002</v>
      </c>
      <c r="D2380" s="956">
        <f t="shared" si="105"/>
        <v>668</v>
      </c>
      <c r="E2380" s="849">
        <v>367</v>
      </c>
      <c r="F2380" s="849">
        <v>198</v>
      </c>
      <c r="G2380" s="849">
        <v>103</v>
      </c>
      <c r="H2380" s="807">
        <v>0.15</v>
      </c>
      <c r="I2380" s="806"/>
      <c r="J2380" s="806"/>
      <c r="W2380" s="4"/>
    </row>
    <row r="2381" spans="2:23" outlineLevel="1" x14ac:dyDescent="0.15">
      <c r="B2381" s="800" t="s">
        <v>165</v>
      </c>
      <c r="C2381" s="956" t="s">
        <v>2003</v>
      </c>
      <c r="D2381" s="956">
        <f t="shared" si="105"/>
        <v>711</v>
      </c>
      <c r="E2381" s="849">
        <v>385</v>
      </c>
      <c r="F2381" s="849">
        <v>209</v>
      </c>
      <c r="G2381" s="849">
        <v>117</v>
      </c>
      <c r="H2381" s="807">
        <v>0.15</v>
      </c>
      <c r="I2381" s="924">
        <v>321</v>
      </c>
      <c r="J2381" s="807">
        <v>0.15</v>
      </c>
      <c r="K2381" s="23"/>
      <c r="W2381" s="4"/>
    </row>
    <row r="2382" spans="2:23" outlineLevel="1" x14ac:dyDescent="0.15">
      <c r="B2382" s="800" t="s">
        <v>166</v>
      </c>
      <c r="C2382" s="956" t="s">
        <v>2004</v>
      </c>
      <c r="D2382" s="956">
        <f t="shared" si="105"/>
        <v>778</v>
      </c>
      <c r="E2382" s="849">
        <v>422</v>
      </c>
      <c r="F2382" s="849">
        <v>220</v>
      </c>
      <c r="G2382" s="849">
        <v>136</v>
      </c>
      <c r="H2382" s="807">
        <v>0.15</v>
      </c>
      <c r="I2382" s="924">
        <v>1027</v>
      </c>
      <c r="J2382" s="807">
        <v>0.15</v>
      </c>
      <c r="K2382" s="23"/>
      <c r="W2382" s="4"/>
    </row>
    <row r="2383" spans="2:23" outlineLevel="1" x14ac:dyDescent="0.15">
      <c r="B2383" s="800" t="s">
        <v>167</v>
      </c>
      <c r="C2383" s="956" t="s">
        <v>2005</v>
      </c>
      <c r="D2383" s="956">
        <f t="shared" si="105"/>
        <v>843</v>
      </c>
      <c r="E2383" s="849">
        <v>458</v>
      </c>
      <c r="F2383" s="849">
        <v>238</v>
      </c>
      <c r="G2383" s="849">
        <v>147</v>
      </c>
      <c r="H2383" s="807">
        <v>0.15</v>
      </c>
      <c r="I2383" s="924">
        <v>1027</v>
      </c>
      <c r="J2383" s="807">
        <v>0.15</v>
      </c>
      <c r="K2383" s="23"/>
      <c r="W2383" s="4"/>
    </row>
    <row r="2384" spans="2:23" outlineLevel="1" x14ac:dyDescent="0.15">
      <c r="B2384" s="801"/>
      <c r="C2384" s="957"/>
      <c r="D2384" s="957"/>
      <c r="E2384" s="953"/>
      <c r="F2384" s="953"/>
      <c r="G2384" s="953"/>
      <c r="H2384" s="803"/>
      <c r="I2384" s="955"/>
      <c r="J2384" s="803"/>
      <c r="W2384" s="4"/>
    </row>
    <row r="2385" spans="2:9" outlineLevel="1" x14ac:dyDescent="0.15">
      <c r="B2385" s="6"/>
      <c r="C2385" s="6"/>
      <c r="D2385" s="6"/>
      <c r="E2385" s="20"/>
      <c r="F2385" s="6"/>
      <c r="G2385" s="6"/>
      <c r="H2385" s="6"/>
      <c r="I2385" s="6"/>
    </row>
    <row r="2386" spans="2:9" outlineLevel="1" x14ac:dyDescent="0.15">
      <c r="B2386" s="1475" t="s">
        <v>2009</v>
      </c>
      <c r="C2386" s="1863" t="s">
        <v>2011</v>
      </c>
      <c r="D2386" s="898"/>
      <c r="E2386" s="20"/>
      <c r="F2386" s="23"/>
    </row>
    <row r="2387" spans="2:9" outlineLevel="1" x14ac:dyDescent="0.15">
      <c r="B2387" s="1596" t="s">
        <v>2010</v>
      </c>
      <c r="C2387" s="1864"/>
      <c r="D2387" s="836" t="s">
        <v>723</v>
      </c>
      <c r="E2387" s="20"/>
      <c r="F2387" s="23"/>
    </row>
    <row r="2388" spans="2:9" outlineLevel="1" x14ac:dyDescent="0.15">
      <c r="B2388" s="804" t="s">
        <v>2012</v>
      </c>
      <c r="C2388" s="924">
        <v>678</v>
      </c>
      <c r="D2388" s="959">
        <v>0.5</v>
      </c>
      <c r="E2388" s="20"/>
      <c r="F2388" s="23"/>
    </row>
    <row r="2389" spans="2:9" outlineLevel="1" x14ac:dyDescent="0.15">
      <c r="B2389" s="806" t="s">
        <v>2013</v>
      </c>
      <c r="C2389" s="924">
        <v>1280</v>
      </c>
      <c r="D2389" s="895">
        <v>0.5</v>
      </c>
      <c r="E2389" s="20"/>
      <c r="F2389" s="23"/>
    </row>
    <row r="2390" spans="2:9" outlineLevel="1" x14ac:dyDescent="0.15">
      <c r="B2390" s="806" t="s">
        <v>2014</v>
      </c>
      <c r="C2390" s="924">
        <f>C2389</f>
        <v>1280</v>
      </c>
      <c r="D2390" s="895">
        <v>0.5</v>
      </c>
      <c r="E2390" s="20"/>
      <c r="F2390" s="23"/>
    </row>
    <row r="2391" spans="2:9" outlineLevel="1" x14ac:dyDescent="0.15">
      <c r="B2391" s="806" t="s">
        <v>2015</v>
      </c>
      <c r="C2391" s="924">
        <v>513</v>
      </c>
      <c r="D2391" s="895">
        <v>0.5</v>
      </c>
      <c r="E2391" s="23"/>
      <c r="F2391" s="23"/>
    </row>
    <row r="2392" spans="2:9" outlineLevel="1" x14ac:dyDescent="0.15">
      <c r="B2392" s="806" t="s">
        <v>2016</v>
      </c>
      <c r="C2392" s="924">
        <f>C2388-C2391</f>
        <v>165</v>
      </c>
      <c r="D2392" s="895">
        <v>0.5</v>
      </c>
      <c r="E2392" s="23"/>
      <c r="F2392" s="23"/>
    </row>
    <row r="2393" spans="2:9" outlineLevel="1" x14ac:dyDescent="0.15">
      <c r="B2393" s="806" t="s">
        <v>2017</v>
      </c>
      <c r="C2393" s="924">
        <f>C2389-C2391</f>
        <v>767</v>
      </c>
      <c r="D2393" s="895">
        <v>0.5</v>
      </c>
      <c r="E2393" s="23"/>
    </row>
    <row r="2394" spans="2:9" outlineLevel="1" x14ac:dyDescent="0.15">
      <c r="B2394" s="806" t="s">
        <v>2018</v>
      </c>
      <c r="C2394" s="924">
        <v>110</v>
      </c>
      <c r="D2394" s="895">
        <v>0.5</v>
      </c>
      <c r="E2394" s="23"/>
    </row>
    <row r="2395" spans="2:9" outlineLevel="1" x14ac:dyDescent="0.15">
      <c r="B2395" s="806" t="s">
        <v>2019</v>
      </c>
      <c r="C2395" s="924">
        <v>2940</v>
      </c>
      <c r="D2395" s="895">
        <v>0.5</v>
      </c>
      <c r="E2395" s="23"/>
    </row>
    <row r="2396" spans="2:9" outlineLevel="1" x14ac:dyDescent="0.15">
      <c r="B2396" s="806" t="s">
        <v>2020</v>
      </c>
      <c r="C2396" s="924">
        <v>1470</v>
      </c>
      <c r="D2396" s="895">
        <v>0.5</v>
      </c>
      <c r="E2396" s="23"/>
    </row>
    <row r="2397" spans="2:9" outlineLevel="1" x14ac:dyDescent="0.15">
      <c r="B2397" s="802"/>
      <c r="C2397" s="955"/>
      <c r="D2397" s="954"/>
    </row>
    <row r="2398" spans="2:9" outlineLevel="1" x14ac:dyDescent="0.15">
      <c r="B2398" s="6"/>
      <c r="C2398" s="6"/>
      <c r="D2398" s="12"/>
    </row>
    <row r="2399" spans="2:9" ht="27" customHeight="1" outlineLevel="1" x14ac:dyDescent="0.15">
      <c r="B2399" s="961" t="s">
        <v>2021</v>
      </c>
      <c r="C2399" s="962" t="s">
        <v>1650</v>
      </c>
      <c r="D2399" s="795" t="s">
        <v>723</v>
      </c>
    </row>
    <row r="2400" spans="2:9" outlineLevel="1" x14ac:dyDescent="0.15">
      <c r="B2400" s="804" t="s">
        <v>2497</v>
      </c>
      <c r="C2400" s="877">
        <v>917</v>
      </c>
      <c r="D2400" s="805">
        <v>0.5</v>
      </c>
    </row>
    <row r="2401" spans="2:256" outlineLevel="1" x14ac:dyDescent="0.15">
      <c r="B2401" s="802"/>
      <c r="C2401" s="960"/>
      <c r="D2401" s="803"/>
    </row>
    <row r="2402" spans="2:256" outlineLevel="1" x14ac:dyDescent="0.15">
      <c r="D2402" s="12"/>
    </row>
    <row r="2403" spans="2:256" outlineLevel="1" x14ac:dyDescent="0.15">
      <c r="B2403" s="1475" t="s">
        <v>2022</v>
      </c>
      <c r="C2403" s="1863" t="s">
        <v>767</v>
      </c>
      <c r="D2403" s="898"/>
    </row>
    <row r="2404" spans="2:256" outlineLevel="1" x14ac:dyDescent="0.15">
      <c r="B2404" s="1596" t="s">
        <v>2010</v>
      </c>
      <c r="C2404" s="1864"/>
      <c r="D2404" s="836" t="s">
        <v>723</v>
      </c>
    </row>
    <row r="2405" spans="2:256" outlineLevel="1" x14ac:dyDescent="0.15">
      <c r="B2405" s="800" t="s">
        <v>2023</v>
      </c>
      <c r="C2405" s="804">
        <v>5500</v>
      </c>
      <c r="D2405" s="807">
        <v>0.5</v>
      </c>
    </row>
    <row r="2406" spans="2:256" outlineLevel="1" x14ac:dyDescent="0.15">
      <c r="B2406" s="800" t="s">
        <v>168</v>
      </c>
      <c r="C2406" s="806">
        <v>3670</v>
      </c>
      <c r="D2406" s="807">
        <v>0.5</v>
      </c>
    </row>
    <row r="2407" spans="2:256" outlineLevel="1" x14ac:dyDescent="0.15">
      <c r="B2407" s="800" t="s">
        <v>2024</v>
      </c>
      <c r="C2407" s="806">
        <v>1833</v>
      </c>
      <c r="D2407" s="807">
        <v>0.5</v>
      </c>
    </row>
    <row r="2408" spans="2:256" outlineLevel="1" x14ac:dyDescent="0.15">
      <c r="B2408" s="801"/>
      <c r="C2408" s="955"/>
      <c r="D2408" s="803"/>
    </row>
    <row r="2409" spans="2:256" outlineLevel="1" x14ac:dyDescent="0.15"/>
    <row r="2412" spans="2:256" s="26" customFormat="1" ht="20" customHeight="1" collapsed="1" x14ac:dyDescent="0.15">
      <c r="B2412" s="1915" t="s">
        <v>1611</v>
      </c>
      <c r="C2412" s="1916"/>
      <c r="D2412" s="1916"/>
      <c r="E2412" s="1916"/>
      <c r="F2412" s="1916"/>
      <c r="G2412" s="1916"/>
      <c r="H2412" s="1916"/>
      <c r="I2412" s="1916"/>
      <c r="J2412" s="1917"/>
      <c r="K2412" s="28"/>
      <c r="L2412" s="28"/>
      <c r="M2412" s="28"/>
      <c r="N2412" s="28"/>
      <c r="O2412" s="28"/>
      <c r="P2412" s="28"/>
      <c r="Q2412" s="28"/>
      <c r="R2412" s="28"/>
      <c r="S2412" s="28"/>
      <c r="T2412" s="28"/>
      <c r="U2412" s="28"/>
      <c r="V2412" s="28"/>
      <c r="W2412" s="29"/>
      <c r="X2412" s="29"/>
      <c r="Y2412" s="29"/>
      <c r="Z2412" s="29"/>
      <c r="AA2412" s="29"/>
      <c r="AB2412" s="29"/>
      <c r="AC2412" s="29"/>
      <c r="AD2412" s="29"/>
      <c r="AE2412" s="29"/>
      <c r="AF2412" s="29"/>
      <c r="AG2412" s="29"/>
      <c r="AH2412" s="29"/>
      <c r="AI2412" s="29"/>
      <c r="AJ2412" s="29"/>
      <c r="AK2412" s="29"/>
      <c r="AL2412" s="29"/>
      <c r="AM2412" s="29"/>
      <c r="AN2412" s="29"/>
      <c r="AO2412" s="29"/>
      <c r="AP2412" s="29"/>
      <c r="AQ2412" s="29"/>
      <c r="AR2412" s="29"/>
      <c r="AS2412" s="29"/>
      <c r="AT2412" s="29"/>
      <c r="AU2412" s="29"/>
      <c r="AV2412" s="29"/>
      <c r="AW2412" s="29"/>
      <c r="AX2412" s="29"/>
      <c r="AY2412" s="29"/>
      <c r="AZ2412" s="29"/>
      <c r="BA2412" s="29"/>
      <c r="BB2412" s="29"/>
      <c r="BC2412" s="29"/>
      <c r="BD2412" s="29"/>
      <c r="BE2412" s="29"/>
      <c r="BF2412" s="29"/>
      <c r="BG2412" s="29"/>
      <c r="BH2412" s="29"/>
      <c r="BI2412" s="29"/>
      <c r="BJ2412" s="29"/>
      <c r="BK2412" s="29"/>
      <c r="BL2412" s="29"/>
      <c r="BM2412" s="29"/>
      <c r="BN2412" s="29"/>
      <c r="BO2412" s="29"/>
      <c r="BP2412" s="29"/>
      <c r="BQ2412" s="29"/>
      <c r="BR2412" s="29"/>
      <c r="BS2412" s="29"/>
      <c r="BT2412" s="29"/>
      <c r="BU2412" s="29"/>
      <c r="BV2412" s="29"/>
      <c r="BW2412" s="29"/>
      <c r="BX2412" s="29"/>
      <c r="BY2412" s="29"/>
      <c r="BZ2412" s="29"/>
      <c r="CA2412" s="29"/>
      <c r="CB2412" s="29"/>
      <c r="CC2412" s="29"/>
      <c r="CD2412" s="29"/>
      <c r="CE2412" s="29"/>
      <c r="CF2412" s="29"/>
      <c r="CG2412" s="29"/>
      <c r="CH2412" s="29"/>
      <c r="CI2412" s="29"/>
      <c r="CJ2412" s="29"/>
      <c r="CK2412" s="29"/>
      <c r="CL2412" s="29"/>
      <c r="CM2412" s="29"/>
      <c r="CN2412" s="29"/>
      <c r="CO2412" s="29"/>
      <c r="CP2412" s="29"/>
      <c r="CQ2412" s="29"/>
      <c r="CR2412" s="29"/>
      <c r="CS2412" s="29"/>
      <c r="CT2412" s="29"/>
      <c r="CU2412" s="29"/>
      <c r="CV2412" s="29"/>
      <c r="CW2412" s="29"/>
      <c r="CX2412" s="29"/>
      <c r="CY2412" s="29"/>
      <c r="CZ2412" s="29"/>
      <c r="DA2412" s="29"/>
      <c r="DB2412" s="29"/>
      <c r="DC2412" s="29"/>
      <c r="DD2412" s="29"/>
      <c r="DE2412" s="29"/>
      <c r="DF2412" s="29"/>
      <c r="DG2412" s="29"/>
      <c r="DH2412" s="29"/>
      <c r="DI2412" s="29"/>
      <c r="DJ2412" s="29"/>
      <c r="DK2412" s="29"/>
      <c r="DL2412" s="29"/>
      <c r="DM2412" s="29"/>
      <c r="DN2412" s="29"/>
      <c r="DO2412" s="29"/>
      <c r="DP2412" s="29"/>
      <c r="DQ2412" s="29"/>
      <c r="DR2412" s="29"/>
      <c r="DS2412" s="29"/>
      <c r="DT2412" s="29"/>
      <c r="DU2412" s="29"/>
      <c r="DV2412" s="29"/>
      <c r="DW2412" s="29"/>
      <c r="DX2412" s="29"/>
      <c r="DY2412" s="29"/>
      <c r="DZ2412" s="29"/>
      <c r="EA2412" s="29"/>
      <c r="EB2412" s="29"/>
      <c r="EC2412" s="29"/>
      <c r="ED2412" s="29"/>
      <c r="EE2412" s="29"/>
      <c r="EF2412" s="29"/>
      <c r="EG2412" s="29"/>
      <c r="EH2412" s="29"/>
      <c r="EI2412" s="29"/>
      <c r="EJ2412" s="29"/>
      <c r="EK2412" s="29"/>
      <c r="EL2412" s="29"/>
      <c r="EM2412" s="29"/>
      <c r="EN2412" s="29"/>
      <c r="EO2412" s="29"/>
      <c r="EP2412" s="29"/>
      <c r="EQ2412" s="29"/>
      <c r="ER2412" s="29"/>
      <c r="ES2412" s="29"/>
      <c r="ET2412" s="29"/>
      <c r="EU2412" s="29"/>
      <c r="EV2412" s="29"/>
      <c r="EW2412" s="29"/>
      <c r="EX2412" s="29"/>
      <c r="EY2412" s="29"/>
      <c r="EZ2412" s="29"/>
      <c r="FA2412" s="29"/>
      <c r="FB2412" s="29"/>
      <c r="FC2412" s="29"/>
      <c r="FD2412" s="29"/>
      <c r="FE2412" s="29"/>
      <c r="FF2412" s="29"/>
      <c r="FG2412" s="29"/>
      <c r="FH2412" s="29"/>
      <c r="FI2412" s="29"/>
      <c r="FJ2412" s="29"/>
      <c r="FK2412" s="29"/>
      <c r="FL2412" s="29"/>
      <c r="FM2412" s="29"/>
      <c r="FN2412" s="29"/>
      <c r="FO2412" s="29"/>
      <c r="FP2412" s="29"/>
      <c r="FQ2412" s="29"/>
      <c r="FR2412" s="29"/>
      <c r="FS2412" s="29"/>
      <c r="FT2412" s="29"/>
      <c r="FU2412" s="29"/>
      <c r="FV2412" s="29"/>
      <c r="FW2412" s="29"/>
      <c r="FX2412" s="29"/>
      <c r="FY2412" s="29"/>
      <c r="FZ2412" s="29"/>
      <c r="GA2412" s="29"/>
      <c r="GB2412" s="29"/>
      <c r="GC2412" s="13"/>
      <c r="GD2412" s="13"/>
      <c r="GE2412" s="13"/>
      <c r="GF2412" s="13"/>
      <c r="GG2412" s="13"/>
      <c r="GH2412" s="13"/>
      <c r="GI2412" s="13"/>
      <c r="GJ2412" s="13"/>
      <c r="GK2412" s="13"/>
      <c r="GL2412" s="13"/>
      <c r="GM2412" s="13"/>
      <c r="GN2412" s="13"/>
      <c r="GO2412" s="13"/>
      <c r="GP2412" s="13"/>
      <c r="GQ2412" s="13"/>
      <c r="GR2412" s="13"/>
      <c r="GS2412" s="13"/>
      <c r="GT2412" s="13"/>
      <c r="GU2412" s="13"/>
      <c r="GV2412" s="13"/>
      <c r="GW2412" s="13"/>
      <c r="GX2412" s="13"/>
      <c r="GY2412" s="13"/>
      <c r="GZ2412" s="13"/>
      <c r="HA2412" s="13"/>
      <c r="HB2412" s="13"/>
      <c r="HC2412" s="13"/>
      <c r="HD2412" s="13"/>
      <c r="HE2412" s="13"/>
      <c r="HF2412" s="13"/>
      <c r="HG2412" s="13"/>
      <c r="HH2412" s="13"/>
      <c r="HI2412" s="13"/>
      <c r="HJ2412" s="13"/>
      <c r="HK2412" s="13"/>
      <c r="HL2412" s="13"/>
      <c r="HM2412" s="13"/>
      <c r="HN2412" s="13"/>
      <c r="HO2412" s="13"/>
      <c r="HP2412" s="13"/>
      <c r="HQ2412" s="13"/>
      <c r="HR2412" s="13"/>
      <c r="HS2412" s="13"/>
      <c r="HT2412" s="13"/>
      <c r="HU2412" s="13"/>
      <c r="HV2412" s="13"/>
      <c r="HW2412" s="13"/>
      <c r="HX2412" s="13"/>
      <c r="HY2412" s="13"/>
      <c r="HZ2412" s="13"/>
      <c r="IA2412" s="13"/>
      <c r="IB2412" s="13"/>
      <c r="IC2412" s="13"/>
      <c r="ID2412" s="13"/>
      <c r="IE2412" s="13"/>
      <c r="IF2412" s="13"/>
      <c r="IG2412" s="13"/>
      <c r="IH2412" s="13"/>
      <c r="II2412" s="13"/>
      <c r="IJ2412" s="13"/>
      <c r="IK2412" s="13"/>
      <c r="IL2412" s="13"/>
      <c r="IM2412" s="13"/>
      <c r="IN2412" s="13"/>
      <c r="IO2412" s="13"/>
      <c r="IP2412" s="13"/>
      <c r="IQ2412" s="13"/>
      <c r="IR2412" s="13"/>
      <c r="IS2412" s="13"/>
      <c r="IT2412" s="13"/>
      <c r="IU2412" s="13"/>
      <c r="IV2412" s="13"/>
    </row>
    <row r="2413" spans="2:256" hidden="1" outlineLevel="1" x14ac:dyDescent="0.15"/>
    <row r="2414" spans="2:256" ht="27" hidden="1" customHeight="1" outlineLevel="1" x14ac:dyDescent="0.15">
      <c r="B2414" s="1462" t="s">
        <v>1607</v>
      </c>
      <c r="C2414" s="1918" t="s">
        <v>1610</v>
      </c>
      <c r="D2414" s="1919"/>
      <c r="E2414" s="1922" t="s">
        <v>1608</v>
      </c>
      <c r="F2414" s="1922"/>
      <c r="G2414" s="1922" t="s">
        <v>1612</v>
      </c>
      <c r="H2414" s="1922"/>
      <c r="I2414" s="1922" t="s">
        <v>1609</v>
      </c>
      <c r="J2414" s="1922"/>
    </row>
    <row r="2415" spans="2:256" ht="12.75" hidden="1" customHeight="1" outlineLevel="1" x14ac:dyDescent="0.15">
      <c r="B2415" s="1459" t="s">
        <v>135</v>
      </c>
      <c r="C2415" s="1920" t="s">
        <v>138</v>
      </c>
      <c r="D2415" s="1921"/>
      <c r="E2415" s="1927" t="s">
        <v>700</v>
      </c>
      <c r="F2415" s="1927"/>
      <c r="G2415" s="1927" t="s">
        <v>139</v>
      </c>
      <c r="H2415" s="1927"/>
      <c r="I2415" s="1923" t="s">
        <v>140</v>
      </c>
      <c r="J2415" s="1924"/>
    </row>
    <row r="2416" spans="2:256" ht="12.75" hidden="1" customHeight="1" outlineLevel="1" x14ac:dyDescent="0.15">
      <c r="B2416" s="1459" t="s">
        <v>136</v>
      </c>
      <c r="C2416" s="1920" t="s">
        <v>201</v>
      </c>
      <c r="D2416" s="1921"/>
      <c r="E2416" s="1927" t="s">
        <v>664</v>
      </c>
      <c r="F2416" s="1927"/>
      <c r="G2416" s="1927" t="s">
        <v>665</v>
      </c>
      <c r="H2416" s="1927"/>
      <c r="I2416" s="1923" t="s">
        <v>202</v>
      </c>
      <c r="J2416" s="1924"/>
    </row>
    <row r="2417" spans="2:22" ht="68.25" hidden="1" customHeight="1" outlineLevel="1" x14ac:dyDescent="0.15">
      <c r="B2417" s="1459" t="s">
        <v>137</v>
      </c>
      <c r="C2417" s="1927" t="s">
        <v>232</v>
      </c>
      <c r="D2417" s="1927"/>
      <c r="E2417" s="1927" t="s">
        <v>233</v>
      </c>
      <c r="F2417" s="1927"/>
      <c r="G2417" s="1927" t="s">
        <v>2548</v>
      </c>
      <c r="H2417" s="1927"/>
      <c r="I2417" s="1923" t="s">
        <v>234</v>
      </c>
      <c r="J2417" s="1924"/>
      <c r="V2417" s="13"/>
    </row>
    <row r="2418" spans="2:22" hidden="1" outlineLevel="1" x14ac:dyDescent="0.15">
      <c r="V2418" s="13"/>
    </row>
    <row r="2419" spans="2:22" x14ac:dyDescent="0.15">
      <c r="V2419" s="13"/>
    </row>
    <row r="2420" spans="2:22" ht="17" x14ac:dyDescent="0.15">
      <c r="B2420" s="1649" t="s">
        <v>2768</v>
      </c>
      <c r="U2420" s="13"/>
      <c r="V2420" s="13"/>
    </row>
    <row r="2421" spans="2:22" ht="17" x14ac:dyDescent="0.15">
      <c r="B2421" s="1649" t="s">
        <v>2769</v>
      </c>
      <c r="U2421" s="13"/>
      <c r="V2421" s="13"/>
    </row>
    <row r="2422" spans="2:22" ht="17" x14ac:dyDescent="0.15">
      <c r="B2422" s="1650" t="s">
        <v>2770</v>
      </c>
      <c r="V2422" s="13"/>
    </row>
    <row r="2423" spans="2:22" ht="16" x14ac:dyDescent="0.15">
      <c r="B2423" s="1651" t="s">
        <v>2771</v>
      </c>
    </row>
    <row r="2424" spans="2:22" ht="17" x14ac:dyDescent="0.15">
      <c r="B2424" s="1649" t="s">
        <v>2772</v>
      </c>
    </row>
  </sheetData>
  <sortState xmlns:xlrd2="http://schemas.microsoft.com/office/spreadsheetml/2017/richdata2" ref="A1677:IV1698">
    <sortCondition ref="B1677:B1698"/>
  </sortState>
  <mergeCells count="409">
    <mergeCell ref="O1564:Q1564"/>
    <mergeCell ref="C1622:D1622"/>
    <mergeCell ref="O1429:Q1429"/>
    <mergeCell ref="F1411:H1411"/>
    <mergeCell ref="L1411:N1411"/>
    <mergeCell ref="F1429:H1429"/>
    <mergeCell ref="I1429:K1429"/>
    <mergeCell ref="G1585:G1586"/>
    <mergeCell ref="C1585:C1586"/>
    <mergeCell ref="H1585:H1586"/>
    <mergeCell ref="W1671:X1671"/>
    <mergeCell ref="Y1671:AD1671"/>
    <mergeCell ref="AD1564:AF1564"/>
    <mergeCell ref="B1583:J1583"/>
    <mergeCell ref="D1585:F1585"/>
    <mergeCell ref="B1617:J1617"/>
    <mergeCell ref="E1621:J1621"/>
    <mergeCell ref="K1621:L1621"/>
    <mergeCell ref="C1564:E1564"/>
    <mergeCell ref="G1622:H1622"/>
    <mergeCell ref="X1564:Z1564"/>
    <mergeCell ref="AA1564:AC1564"/>
    <mergeCell ref="AE1671:AF1671"/>
    <mergeCell ref="M1671:N1671"/>
    <mergeCell ref="O1671:T1671"/>
    <mergeCell ref="U1671:V1671"/>
    <mergeCell ref="B1669:J1669"/>
    <mergeCell ref="C1621:D1621"/>
    <mergeCell ref="I1622:J1622"/>
    <mergeCell ref="K1622:L1622"/>
    <mergeCell ref="N1622:N1623"/>
    <mergeCell ref="C1671:D1671"/>
    <mergeCell ref="F1564:H1564"/>
    <mergeCell ref="I1564:K1564"/>
    <mergeCell ref="C2416:D2416"/>
    <mergeCell ref="I2416:J2416"/>
    <mergeCell ref="C2193:C2194"/>
    <mergeCell ref="C2222:G2222"/>
    <mergeCell ref="C2223:C2224"/>
    <mergeCell ref="C2417:D2417"/>
    <mergeCell ref="E2415:F2415"/>
    <mergeCell ref="E2416:F2416"/>
    <mergeCell ref="E2417:F2417"/>
    <mergeCell ref="E2414:F2414"/>
    <mergeCell ref="G2414:H2414"/>
    <mergeCell ref="G2415:H2415"/>
    <mergeCell ref="G2416:H2416"/>
    <mergeCell ref="G2417:H2417"/>
    <mergeCell ref="I2417:J2417"/>
    <mergeCell ref="C2315:C2316"/>
    <mergeCell ref="D2315:G2315"/>
    <mergeCell ref="D2193:G2193"/>
    <mergeCell ref="C2386:C2387"/>
    <mergeCell ref="C2403:C2404"/>
    <mergeCell ref="C2352:C2353"/>
    <mergeCell ref="C2263:C2264"/>
    <mergeCell ref="D2263:G2263"/>
    <mergeCell ref="B2313:J2313"/>
    <mergeCell ref="B2412:J2412"/>
    <mergeCell ref="C2414:D2414"/>
    <mergeCell ref="C2415:D2415"/>
    <mergeCell ref="I2414:J2414"/>
    <mergeCell ref="I2415:J2415"/>
    <mergeCell ref="C2257:C2258"/>
    <mergeCell ref="D2257:G2257"/>
    <mergeCell ref="J1875:J1876"/>
    <mergeCell ref="E1875:I1875"/>
    <mergeCell ref="B1909:J1909"/>
    <mergeCell ref="B2350:J2350"/>
    <mergeCell ref="C2375:C2376"/>
    <mergeCell ref="D2375:G2375"/>
    <mergeCell ref="B2163:C2163"/>
    <mergeCell ref="D1875:D1876"/>
    <mergeCell ref="C2192:G2192"/>
    <mergeCell ref="H2222:L2222"/>
    <mergeCell ref="H2223:H2224"/>
    <mergeCell ref="I2223:L2223"/>
    <mergeCell ref="C2235:G2235"/>
    <mergeCell ref="C2236:C2237"/>
    <mergeCell ref="D2236:G2236"/>
    <mergeCell ref="C2262:G2262"/>
    <mergeCell ref="K1912:N1912"/>
    <mergeCell ref="J1912:J1913"/>
    <mergeCell ref="J1911:P1911"/>
    <mergeCell ref="C1912:C1913"/>
    <mergeCell ref="F1732:Q1732"/>
    <mergeCell ref="C1820:C1821"/>
    <mergeCell ref="C1762:D1762"/>
    <mergeCell ref="M1733:M1734"/>
    <mergeCell ref="N1733:N1734"/>
    <mergeCell ref="O1733:O1734"/>
    <mergeCell ref="E1819:K1819"/>
    <mergeCell ref="E1820:E1821"/>
    <mergeCell ref="C1733:D1733"/>
    <mergeCell ref="G1733:J1733"/>
    <mergeCell ref="F1763:I1763"/>
    <mergeCell ref="E1763:E1764"/>
    <mergeCell ref="C1819:D1819"/>
    <mergeCell ref="D1820:D1821"/>
    <mergeCell ref="D1912:H1912"/>
    <mergeCell ref="C1911:I1911"/>
    <mergeCell ref="R2223:T2223"/>
    <mergeCell ref="C2291:G2291"/>
    <mergeCell ref="C2292:C2293"/>
    <mergeCell ref="D2292:G2292"/>
    <mergeCell ref="B2153:J2153"/>
    <mergeCell ref="C2155:C2156"/>
    <mergeCell ref="D2155:G2155"/>
    <mergeCell ref="B2169:J2169"/>
    <mergeCell ref="C2180:C2181"/>
    <mergeCell ref="D2180:G2180"/>
    <mergeCell ref="C2179:G2179"/>
    <mergeCell ref="B2212:J2212"/>
    <mergeCell ref="B2255:J2255"/>
    <mergeCell ref="H2179:L2179"/>
    <mergeCell ref="M2179:Q2179"/>
    <mergeCell ref="H2180:H2181"/>
    <mergeCell ref="I2180:L2180"/>
    <mergeCell ref="M2180:M2181"/>
    <mergeCell ref="N2180:Q2180"/>
    <mergeCell ref="D2223:G2223"/>
    <mergeCell ref="R2179:Z2179"/>
    <mergeCell ref="M2222:U2222"/>
    <mergeCell ref="W2180:Y2180"/>
    <mergeCell ref="P2223:Q2223"/>
    <mergeCell ref="O1672:P1672"/>
    <mergeCell ref="C1672:D1672"/>
    <mergeCell ref="AE1672:AF1672"/>
    <mergeCell ref="C1702:D1702"/>
    <mergeCell ref="F1702:F1703"/>
    <mergeCell ref="G1702:J1702"/>
    <mergeCell ref="K1702:K1703"/>
    <mergeCell ref="B1685:J1685"/>
    <mergeCell ref="E1672:F1672"/>
    <mergeCell ref="W1672:X1672"/>
    <mergeCell ref="Y1672:Z1672"/>
    <mergeCell ref="AA1672:AB1672"/>
    <mergeCell ref="AC1672:AD1672"/>
    <mergeCell ref="M1672:N1672"/>
    <mergeCell ref="B1687:J1687"/>
    <mergeCell ref="Q1672:R1672"/>
    <mergeCell ref="S1672:T1672"/>
    <mergeCell ref="U1672:V1672"/>
    <mergeCell ref="G1672:H1672"/>
    <mergeCell ref="F1701:M1701"/>
    <mergeCell ref="C1701:E1701"/>
    <mergeCell ref="AD1563:AF1563"/>
    <mergeCell ref="C1544:E1544"/>
    <mergeCell ref="O1544:Q1544"/>
    <mergeCell ref="C1545:E1545"/>
    <mergeCell ref="F1545:H1545"/>
    <mergeCell ref="I1374:J1374"/>
    <mergeCell ref="K1374:L1374"/>
    <mergeCell ref="M1374:N1374"/>
    <mergeCell ref="O1374:P1374"/>
    <mergeCell ref="Q1374:R1374"/>
    <mergeCell ref="U1563:AC1563"/>
    <mergeCell ref="F1544:N1544"/>
    <mergeCell ref="S1545:S1546"/>
    <mergeCell ref="S1374:T1374"/>
    <mergeCell ref="F1563:N1563"/>
    <mergeCell ref="I1545:K1545"/>
    <mergeCell ref="L1545:N1545"/>
    <mergeCell ref="O1545:Q1545"/>
    <mergeCell ref="C1563:E1563"/>
    <mergeCell ref="O1563:Q1563"/>
    <mergeCell ref="C1526:E1526"/>
    <mergeCell ref="F1526:H1526"/>
    <mergeCell ref="O2191:P2191"/>
    <mergeCell ref="I1526:K1526"/>
    <mergeCell ref="L1526:N1526"/>
    <mergeCell ref="L1585:L1586"/>
    <mergeCell ref="F1690:F1691"/>
    <mergeCell ref="C1689:E1689"/>
    <mergeCell ref="B2151:J2151"/>
    <mergeCell ref="C1388:D1388"/>
    <mergeCell ref="C1504:E1504"/>
    <mergeCell ref="B1403:J1403"/>
    <mergeCell ref="C1525:E1525"/>
    <mergeCell ref="F1428:N1428"/>
    <mergeCell ref="F1525:N1525"/>
    <mergeCell ref="C1411:E1411"/>
    <mergeCell ref="C2127:C2128"/>
    <mergeCell ref="E1671:J1671"/>
    <mergeCell ref="L1733:L1734"/>
    <mergeCell ref="F1733:F1734"/>
    <mergeCell ref="K1733:K1734"/>
    <mergeCell ref="C1732:E1732"/>
    <mergeCell ref="F1689:M1689"/>
    <mergeCell ref="K1690:K1691"/>
    <mergeCell ref="I1672:J1672"/>
    <mergeCell ref="C1717:D1717"/>
    <mergeCell ref="B611:J611"/>
    <mergeCell ref="C984:D984"/>
    <mergeCell ref="E984:F984"/>
    <mergeCell ref="B168:J168"/>
    <mergeCell ref="S1364:T1364"/>
    <mergeCell ref="S1344:T1344"/>
    <mergeCell ref="O1410:Q1410"/>
    <mergeCell ref="M1334:N1334"/>
    <mergeCell ref="Q1334:R1334"/>
    <mergeCell ref="S1334:T1334"/>
    <mergeCell ref="O1344:P1344"/>
    <mergeCell ref="Q1344:R1344"/>
    <mergeCell ref="K1344:L1344"/>
    <mergeCell ref="M1344:N1344"/>
    <mergeCell ref="C1410:E1410"/>
    <mergeCell ref="B1405:C1405"/>
    <mergeCell ref="F1410:N1410"/>
    <mergeCell ref="B1408:J1408"/>
    <mergeCell ref="C1374:D1374"/>
    <mergeCell ref="E1374:F1374"/>
    <mergeCell ref="G1374:H1374"/>
    <mergeCell ref="C1373:D1373"/>
    <mergeCell ref="E1373:J1373"/>
    <mergeCell ref="K1373:L1373"/>
    <mergeCell ref="AJ81:AQ81"/>
    <mergeCell ref="L81:S81"/>
    <mergeCell ref="T81:AA81"/>
    <mergeCell ref="AB81:AI81"/>
    <mergeCell ref="C149:J149"/>
    <mergeCell ref="L149:S149"/>
    <mergeCell ref="T149:AA149"/>
    <mergeCell ref="AF82:AG82"/>
    <mergeCell ref="AH82:AI82"/>
    <mergeCell ref="R82:S82"/>
    <mergeCell ref="L82:M82"/>
    <mergeCell ref="N82:O82"/>
    <mergeCell ref="P82:Q82"/>
    <mergeCell ref="T82:U82"/>
    <mergeCell ref="V82:W82"/>
    <mergeCell ref="X82:Y82"/>
    <mergeCell ref="Z82:AA82"/>
    <mergeCell ref="AB82:AC82"/>
    <mergeCell ref="AD82:AE82"/>
    <mergeCell ref="L150:M150"/>
    <mergeCell ref="N150:O150"/>
    <mergeCell ref="P150:Q150"/>
    <mergeCell ref="C4:D4"/>
    <mergeCell ref="E4:F4"/>
    <mergeCell ref="G4:H4"/>
    <mergeCell ref="I4:J4"/>
    <mergeCell ref="C5:D5"/>
    <mergeCell ref="E5:F5"/>
    <mergeCell ref="C6:D6"/>
    <mergeCell ref="B77:J77"/>
    <mergeCell ref="C150:D150"/>
    <mergeCell ref="E150:F150"/>
    <mergeCell ref="G150:H150"/>
    <mergeCell ref="I150:J150"/>
    <mergeCell ref="B2:J2"/>
    <mergeCell ref="C82:D82"/>
    <mergeCell ref="E82:F82"/>
    <mergeCell ref="G82:H82"/>
    <mergeCell ref="I82:J82"/>
    <mergeCell ref="B8:J8"/>
    <mergeCell ref="B79:J79"/>
    <mergeCell ref="C81:J81"/>
    <mergeCell ref="G5:H5"/>
    <mergeCell ref="I5:J5"/>
    <mergeCell ref="AN150:AO150"/>
    <mergeCell ref="AD150:AE150"/>
    <mergeCell ref="R150:S150"/>
    <mergeCell ref="T150:U150"/>
    <mergeCell ref="V150:W150"/>
    <mergeCell ref="AP150:AQ150"/>
    <mergeCell ref="AP82:AQ82"/>
    <mergeCell ref="AJ82:AK82"/>
    <mergeCell ref="AL82:AM82"/>
    <mergeCell ref="AN82:AO82"/>
    <mergeCell ref="AH150:AI150"/>
    <mergeCell ref="AB149:AI149"/>
    <mergeCell ref="AJ149:AQ149"/>
    <mergeCell ref="X150:Y150"/>
    <mergeCell ref="Z150:AA150"/>
    <mergeCell ref="AB150:AC150"/>
    <mergeCell ref="AF150:AG150"/>
    <mergeCell ref="AJ150:AK150"/>
    <mergeCell ref="AL150:AM150"/>
    <mergeCell ref="AD1219:AF1219"/>
    <mergeCell ref="R1218:T1218"/>
    <mergeCell ref="AD1218:AF1218"/>
    <mergeCell ref="X1219:Z1219"/>
    <mergeCell ref="AA1219:AC1219"/>
    <mergeCell ref="S1056:T1056"/>
    <mergeCell ref="Q1056:R1056"/>
    <mergeCell ref="U1218:AC1218"/>
    <mergeCell ref="O1056:P1056"/>
    <mergeCell ref="O1219:Q1219"/>
    <mergeCell ref="O1218:Q1218"/>
    <mergeCell ref="U1334:V1334"/>
    <mergeCell ref="U1343:V1343"/>
    <mergeCell ref="U1344:V1344"/>
    <mergeCell ref="R1563:T1563"/>
    <mergeCell ref="U1363:V1363"/>
    <mergeCell ref="K1287:L1287"/>
    <mergeCell ref="E1287:J1287"/>
    <mergeCell ref="K1288:L1288"/>
    <mergeCell ref="E1288:F1288"/>
    <mergeCell ref="G1288:H1288"/>
    <mergeCell ref="I1288:J1288"/>
    <mergeCell ref="K1334:L1334"/>
    <mergeCell ref="U1364:V1364"/>
    <mergeCell ref="E1363:J1363"/>
    <mergeCell ref="K1363:L1363"/>
    <mergeCell ref="M1363:N1363"/>
    <mergeCell ref="O1363:T1363"/>
    <mergeCell ref="O1343:T1343"/>
    <mergeCell ref="I1344:J1344"/>
    <mergeCell ref="O1334:P1334"/>
    <mergeCell ref="O1333:T1333"/>
    <mergeCell ref="F1717:F1718"/>
    <mergeCell ref="G1717:J1717"/>
    <mergeCell ref="E1762:J1762"/>
    <mergeCell ref="F1820:I1820"/>
    <mergeCell ref="C1716:E1716"/>
    <mergeCell ref="F1716:M1716"/>
    <mergeCell ref="K1717:K1718"/>
    <mergeCell ref="L1564:N1564"/>
    <mergeCell ref="I1585:K1585"/>
    <mergeCell ref="C1690:D1690"/>
    <mergeCell ref="G1690:J1690"/>
    <mergeCell ref="E1622:F1622"/>
    <mergeCell ref="C1343:D1343"/>
    <mergeCell ref="E1343:J1343"/>
    <mergeCell ref="O1526:Q1526"/>
    <mergeCell ref="C1428:E1428"/>
    <mergeCell ref="C1429:E1429"/>
    <mergeCell ref="E1479:G1479"/>
    <mergeCell ref="E1344:F1344"/>
    <mergeCell ref="G1344:H1344"/>
    <mergeCell ref="C1364:D1364"/>
    <mergeCell ref="E1364:F1364"/>
    <mergeCell ref="G1364:H1364"/>
    <mergeCell ref="I1364:J1364"/>
    <mergeCell ref="C1363:D1363"/>
    <mergeCell ref="C1344:D1344"/>
    <mergeCell ref="U2180:V2180"/>
    <mergeCell ref="R1219:T1219"/>
    <mergeCell ref="U1219:W1219"/>
    <mergeCell ref="R1564:T1564"/>
    <mergeCell ref="U1564:W1564"/>
    <mergeCell ref="O1364:P1364"/>
    <mergeCell ref="U1373:V1373"/>
    <mergeCell ref="U1374:V1374"/>
    <mergeCell ref="L1219:N1219"/>
    <mergeCell ref="U1333:V1333"/>
    <mergeCell ref="M1373:N1373"/>
    <mergeCell ref="O1373:T1373"/>
    <mergeCell ref="K1672:L1672"/>
    <mergeCell ref="K1671:L1671"/>
    <mergeCell ref="S2180:T2180"/>
    <mergeCell ref="Q1364:R1364"/>
    <mergeCell ref="L1429:N1429"/>
    <mergeCell ref="I1411:K1411"/>
    <mergeCell ref="O1411:Q1411"/>
    <mergeCell ref="K1364:L1364"/>
    <mergeCell ref="M1364:N1364"/>
    <mergeCell ref="K1333:L1333"/>
    <mergeCell ref="O1525:Q1525"/>
    <mergeCell ref="O1428:Q1428"/>
    <mergeCell ref="C1105:D1105"/>
    <mergeCell ref="B1163:C1163"/>
    <mergeCell ref="K1343:L1343"/>
    <mergeCell ref="M1343:N1343"/>
    <mergeCell ref="C1333:D1333"/>
    <mergeCell ref="E1333:J1333"/>
    <mergeCell ref="C1334:D1334"/>
    <mergeCell ref="E1334:F1334"/>
    <mergeCell ref="G1334:H1334"/>
    <mergeCell ref="I1334:J1334"/>
    <mergeCell ref="M1333:N1333"/>
    <mergeCell ref="C1218:E1218"/>
    <mergeCell ref="F1218:N1218"/>
    <mergeCell ref="C1219:E1219"/>
    <mergeCell ref="F1219:H1219"/>
    <mergeCell ref="D1250:F1250"/>
    <mergeCell ref="C1250:C1251"/>
    <mergeCell ref="G1250:G1251"/>
    <mergeCell ref="I1219:K1219"/>
    <mergeCell ref="F1169:G1169"/>
    <mergeCell ref="D1169:E1169"/>
    <mergeCell ref="C1287:D1287"/>
    <mergeCell ref="B1331:J1331"/>
    <mergeCell ref="C1288:D1288"/>
    <mergeCell ref="N2223:O2223"/>
    <mergeCell ref="C686:E686"/>
    <mergeCell ref="C613:E613"/>
    <mergeCell ref="E719:H719"/>
    <mergeCell ref="D1007:D1008"/>
    <mergeCell ref="E1007:H1007"/>
    <mergeCell ref="B1166:J1166"/>
    <mergeCell ref="B1161:J1161"/>
    <mergeCell ref="G1105:G1106"/>
    <mergeCell ref="E1105:E1106"/>
    <mergeCell ref="D1006:H1006"/>
    <mergeCell ref="B1002:J1002"/>
    <mergeCell ref="C970:D970"/>
    <mergeCell ref="E970:F970"/>
    <mergeCell ref="D1057:G1057"/>
    <mergeCell ref="C1057:C1058"/>
    <mergeCell ref="C1056:G1056"/>
    <mergeCell ref="I1056:M1056"/>
    <mergeCell ref="I1057:I1058"/>
    <mergeCell ref="J1057:M1057"/>
    <mergeCell ref="I719:I720"/>
    <mergeCell ref="D1123:D1124"/>
    <mergeCell ref="B1248:J1248"/>
    <mergeCell ref="B1283:J1283"/>
  </mergeCells>
  <phoneticPr fontId="9" type="noConversion"/>
  <hyperlinks>
    <hyperlink ref="C4:D4" location="PRG" display="PRG" xr:uid="{00000000-0004-0000-0B00-000000000000}"/>
    <hyperlink ref="E4:F4" location="Energie" display="Energie" xr:uid="{00000000-0004-0000-0B00-000001000000}"/>
    <hyperlink ref="G4:H4" location="Agriculture" display="Agriculture" xr:uid="{00000000-0004-0000-0B00-000002000000}"/>
    <hyperlink ref="I4:J4" location="Fret_FE" display="Fret" xr:uid="{00000000-0004-0000-0B00-000003000000}"/>
    <hyperlink ref="C5:D5" location="Déplacements" display="Déplacements" xr:uid="{00000000-0004-0000-0B00-000004000000}"/>
    <hyperlink ref="E5:F5" location="Intrants" display="Intrants" xr:uid="{00000000-0004-0000-0B00-000005000000}"/>
    <hyperlink ref="G5:H5" location="Déchets" display="Déchets" xr:uid="{00000000-0004-0000-0B00-000006000000}"/>
    <hyperlink ref="I5:J5" location="Immobilisations" display="Immobilisations" xr:uid="{00000000-0004-0000-0B00-000007000000}"/>
    <hyperlink ref="I2415" r:id="rId1" xr:uid="{00000000-0004-0000-0B00-000008000000}"/>
    <hyperlink ref="C6:D6" location="sourcesFE" display="Sources" xr:uid="{00000000-0004-0000-0B00-000009000000}"/>
    <hyperlink ref="I2416" r:id="rId2" xr:uid="{00000000-0004-0000-0B00-00000A000000}"/>
    <hyperlink ref="I2417" r:id="rId3" xr:uid="{00000000-0004-0000-0B00-00000B000000}"/>
    <hyperlink ref="B2423" r:id="rId4" xr:uid="{00000000-0004-0000-0B00-00000C000000}"/>
    <hyperlink ref="B2422" r:id="rId5" xr:uid="{00000000-0004-0000-0B00-00000D000000}"/>
  </hyperlinks>
  <pageMargins left="0.78740157499999996" right="0.78740157499999996" top="0.984251969" bottom="0.984251969" header="0.5" footer="0.5"/>
  <pageSetup paperSize="9" orientation="portrait" horizontalDpi="4294967292" verticalDpi="4294967292"/>
  <headerFooter alignWithMargins="0"/>
  <ignoredErrors>
    <ignoredError sqref="D2377:D2383" formulaRange="1"/>
  </ignoredErrors>
  <drawing r:id="rId6"/>
  <legacyDrawing r:id="rId7"/>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21">
    <tabColor theme="9" tint="-0.249977111117893"/>
    <outlinePr summaryBelow="0"/>
  </sheetPr>
  <dimension ref="A1:BV565"/>
  <sheetViews>
    <sheetView showGridLines="0" workbookViewId="0">
      <pane ySplit="5" topLeftCell="A75" activePane="bottomLeft" state="frozenSplit"/>
      <selection pane="bottomLeft" activeCell="G87" sqref="G87"/>
    </sheetView>
  </sheetViews>
  <sheetFormatPr baseColWidth="10" defaultColWidth="0" defaultRowHeight="12" outlineLevelRow="2" x14ac:dyDescent="0.2"/>
  <cols>
    <col min="1" max="1" width="2.6640625" style="39" customWidth="1"/>
    <col min="2" max="2" width="44.33203125" style="39" customWidth="1"/>
    <col min="3" max="5" width="12.6640625" style="39" customWidth="1"/>
    <col min="6" max="6" width="19.5" style="39" customWidth="1"/>
    <col min="7" max="26" width="12.6640625" style="39" customWidth="1"/>
    <col min="27" max="34" width="12.33203125" style="39" hidden="1" customWidth="1"/>
    <col min="35" max="16384" width="11.5" style="39" hidden="1"/>
  </cols>
  <sheetData>
    <row r="1" spans="1:74" ht="13" x14ac:dyDescent="0.2">
      <c r="A1"/>
    </row>
    <row r="2" spans="1:74" ht="30" customHeight="1" x14ac:dyDescent="0.2">
      <c r="B2" s="1939" t="str">
        <f>+Description!C27</f>
        <v>Info utili</v>
      </c>
      <c r="C2" s="1940"/>
      <c r="D2" s="1940"/>
      <c r="E2" s="1940"/>
      <c r="F2" s="1940"/>
      <c r="G2" s="1940"/>
      <c r="H2" s="1940"/>
      <c r="I2" s="1940"/>
      <c r="J2" s="1940"/>
      <c r="K2" s="1940"/>
      <c r="L2" s="1940"/>
      <c r="M2" s="1940"/>
      <c r="N2" s="1940"/>
      <c r="O2" s="1941"/>
    </row>
    <row r="4" spans="1:74" s="121" customFormat="1" ht="15" customHeight="1" x14ac:dyDescent="0.2">
      <c r="B4" s="1931" t="s">
        <v>2084</v>
      </c>
      <c r="C4" s="1932"/>
      <c r="D4" s="1933" t="s">
        <v>2552</v>
      </c>
      <c r="E4" s="1933"/>
      <c r="F4" s="1933"/>
      <c r="G4" s="1933"/>
      <c r="H4" s="1933"/>
      <c r="I4" s="1933"/>
      <c r="J4" s="1933" t="s">
        <v>2085</v>
      </c>
      <c r="K4" s="1933"/>
      <c r="L4" s="1933"/>
      <c r="M4" s="1933" t="s">
        <v>2086</v>
      </c>
      <c r="N4" s="1933"/>
      <c r="O4" s="1934"/>
    </row>
    <row r="6" spans="1:74" ht="20" customHeight="1" x14ac:dyDescent="0.2">
      <c r="B6" s="1868" t="s">
        <v>3038</v>
      </c>
      <c r="C6" s="1869"/>
      <c r="D6" s="1869"/>
      <c r="E6" s="1869"/>
      <c r="F6" s="1869"/>
      <c r="G6" s="1869"/>
      <c r="H6" s="1869"/>
      <c r="I6" s="1869"/>
      <c r="J6" s="1869"/>
      <c r="K6" s="1869"/>
      <c r="L6" s="1869"/>
      <c r="M6" s="1869"/>
      <c r="N6" s="1869"/>
      <c r="O6" s="1870"/>
      <c r="W6" s="573"/>
      <c r="X6" s="573"/>
      <c r="Y6" s="573"/>
      <c r="Z6" s="573"/>
      <c r="AA6" s="573"/>
      <c r="AB6" s="573"/>
      <c r="AC6" s="573"/>
      <c r="AD6" s="573"/>
      <c r="AE6" s="573"/>
      <c r="AF6" s="573"/>
      <c r="AG6" s="573"/>
      <c r="AH6" s="573"/>
      <c r="AI6" s="573"/>
      <c r="AJ6" s="573"/>
      <c r="AK6" s="573"/>
      <c r="AL6" s="573"/>
      <c r="AM6" s="573"/>
      <c r="AN6" s="573"/>
      <c r="AO6" s="573"/>
      <c r="AP6" s="573"/>
      <c r="AQ6" s="573"/>
      <c r="AR6" s="573"/>
      <c r="AS6" s="573"/>
      <c r="AT6" s="573"/>
      <c r="AU6" s="573"/>
      <c r="AV6" s="573"/>
      <c r="AW6" s="573"/>
      <c r="AX6" s="573"/>
      <c r="AY6" s="573"/>
      <c r="AZ6" s="573"/>
      <c r="BA6" s="573"/>
      <c r="BB6" s="573"/>
      <c r="BC6" s="573"/>
      <c r="BD6" s="573"/>
      <c r="BE6" s="573"/>
      <c r="BF6" s="573"/>
      <c r="BG6" s="573"/>
      <c r="BH6" s="573"/>
      <c r="BI6" s="573"/>
      <c r="BJ6" s="573"/>
      <c r="BK6" s="573"/>
      <c r="BL6" s="573"/>
      <c r="BM6" s="573"/>
      <c r="BN6" s="573"/>
      <c r="BO6" s="573"/>
      <c r="BP6" s="573"/>
      <c r="BQ6" s="573"/>
      <c r="BR6" s="573"/>
      <c r="BS6" s="573"/>
      <c r="BT6" s="573"/>
      <c r="BU6" s="573"/>
      <c r="BV6" s="573"/>
    </row>
    <row r="7" spans="1:74" s="569" customFormat="1" ht="13" outlineLevel="1" x14ac:dyDescent="0.2">
      <c r="C7" s="40"/>
      <c r="D7" s="40"/>
      <c r="E7" s="40"/>
      <c r="F7" s="40"/>
      <c r="G7" s="40"/>
      <c r="H7" s="40"/>
      <c r="I7" s="40"/>
      <c r="J7" s="40"/>
      <c r="K7" s="40"/>
      <c r="L7" s="40"/>
      <c r="M7" s="40"/>
      <c r="N7" s="40"/>
      <c r="O7" s="40"/>
      <c r="P7" s="40"/>
      <c r="Q7" s="40"/>
      <c r="R7" s="40"/>
      <c r="S7" s="40"/>
      <c r="T7" s="40"/>
      <c r="U7" s="40"/>
      <c r="V7" s="40"/>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row>
    <row r="8" spans="1:74" s="569" customFormat="1" ht="13" outlineLevel="1" x14ac:dyDescent="0.2">
      <c r="B8" s="1909" t="s">
        <v>2100</v>
      </c>
      <c r="C8" s="1910"/>
      <c r="D8" s="1911"/>
      <c r="E8" s="40"/>
      <c r="F8" s="40"/>
      <c r="G8" s="40"/>
      <c r="H8" s="40"/>
      <c r="I8" s="40"/>
      <c r="J8" s="40"/>
      <c r="K8" s="40"/>
      <c r="L8" s="40"/>
      <c r="M8" s="40"/>
      <c r="N8" s="40"/>
      <c r="O8" s="40"/>
      <c r="P8" s="40"/>
      <c r="Q8" s="40"/>
      <c r="R8" s="40"/>
      <c r="S8" s="40"/>
      <c r="T8" s="40"/>
      <c r="U8" s="40"/>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row>
    <row r="9" spans="1:74" s="569" customFormat="1" ht="13" outlineLevel="1" x14ac:dyDescent="0.2">
      <c r="B9" s="1602" t="s">
        <v>766</v>
      </c>
      <c r="C9" s="574" t="s">
        <v>2093</v>
      </c>
      <c r="D9" s="574" t="s">
        <v>2094</v>
      </c>
      <c r="E9" s="40"/>
      <c r="F9" s="1945" t="s">
        <v>766</v>
      </c>
      <c r="G9" s="1946"/>
      <c r="H9" s="574" t="s">
        <v>2095</v>
      </c>
      <c r="J9" s="40"/>
      <c r="K9" s="40"/>
      <c r="L9" s="40"/>
      <c r="M9" s="40"/>
      <c r="N9" s="40"/>
      <c r="O9" s="40"/>
      <c r="T9" s="40"/>
      <c r="U9" s="40"/>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row>
    <row r="10" spans="1:74" s="569" customFormat="1" ht="13" outlineLevel="1" x14ac:dyDescent="0.2">
      <c r="B10" s="575" t="s">
        <v>2087</v>
      </c>
      <c r="C10" s="570">
        <v>2387</v>
      </c>
      <c r="D10" s="576">
        <f t="shared" ref="D10:D15" si="0">C10/H10</f>
        <v>2150.4504504504503</v>
      </c>
      <c r="E10" s="40"/>
      <c r="F10" s="1935" t="s">
        <v>2087</v>
      </c>
      <c r="G10" s="1936"/>
      <c r="H10" s="579">
        <v>1.1100000000000001</v>
      </c>
      <c r="J10" s="40"/>
      <c r="K10" s="40"/>
      <c r="L10" s="40"/>
      <c r="M10" s="40"/>
      <c r="N10" s="40"/>
      <c r="O10" s="40"/>
      <c r="P10" s="40"/>
      <c r="Q10" s="40"/>
      <c r="R10" s="40"/>
      <c r="S10" s="40"/>
      <c r="T10" s="40"/>
      <c r="U10" s="40"/>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row>
    <row r="11" spans="1:74" s="569" customFormat="1" ht="13" outlineLevel="1" x14ac:dyDescent="0.2">
      <c r="B11" s="575" t="s">
        <v>2088</v>
      </c>
      <c r="C11" s="570"/>
      <c r="D11" s="576">
        <f t="shared" si="0"/>
        <v>0</v>
      </c>
      <c r="E11" s="40"/>
      <c r="F11" s="1935" t="s">
        <v>2088</v>
      </c>
      <c r="G11" s="1936"/>
      <c r="H11" s="579">
        <v>1.0900000000000001</v>
      </c>
      <c r="J11" s="40"/>
      <c r="K11" s="40"/>
      <c r="L11" s="40"/>
      <c r="M11" s="40"/>
      <c r="N11" s="684"/>
      <c r="O11" s="40"/>
      <c r="P11" s="40"/>
      <c r="Q11" s="40"/>
      <c r="R11" s="40"/>
      <c r="S11" s="40"/>
      <c r="T11" s="40"/>
      <c r="U11" s="40"/>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row>
    <row r="12" spans="1:74" s="569" customFormat="1" ht="13" outlineLevel="1" x14ac:dyDescent="0.2">
      <c r="B12" s="575" t="s">
        <v>2089</v>
      </c>
      <c r="C12" s="571"/>
      <c r="D12" s="577">
        <f t="shared" si="0"/>
        <v>0</v>
      </c>
      <c r="E12" s="40"/>
      <c r="F12" s="1935" t="s">
        <v>2089</v>
      </c>
      <c r="G12" s="1936"/>
      <c r="H12" s="580">
        <v>1.08</v>
      </c>
      <c r="J12" s="40"/>
      <c r="K12" s="40"/>
      <c r="L12" s="40"/>
      <c r="M12" s="40"/>
      <c r="N12" s="40"/>
      <c r="O12" s="40"/>
      <c r="P12" s="40"/>
      <c r="Q12" s="40"/>
      <c r="R12" s="40"/>
      <c r="S12" s="40"/>
      <c r="T12" s="40"/>
      <c r="U12" s="40"/>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row>
    <row r="13" spans="1:74" s="572" customFormat="1" ht="13" outlineLevel="1" x14ac:dyDescent="0.2">
      <c r="B13" s="575" t="s">
        <v>2090</v>
      </c>
      <c r="C13" s="570"/>
      <c r="D13" s="576">
        <f t="shared" si="0"/>
        <v>0</v>
      </c>
      <c r="E13" s="328"/>
      <c r="F13" s="1935" t="s">
        <v>2090</v>
      </c>
      <c r="G13" s="1936"/>
      <c r="H13" s="579">
        <v>1.07</v>
      </c>
      <c r="J13" s="328"/>
      <c r="K13" s="328"/>
      <c r="L13" s="328"/>
      <c r="M13" s="328"/>
      <c r="N13" s="328"/>
      <c r="O13" s="328"/>
      <c r="P13" s="328"/>
      <c r="Q13" s="328"/>
      <c r="R13" s="328"/>
      <c r="S13" s="328"/>
      <c r="T13" s="328"/>
      <c r="U13" s="328"/>
      <c r="V13" s="316"/>
      <c r="W13" s="316"/>
      <c r="X13" s="316"/>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6"/>
      <c r="AV13" s="316"/>
      <c r="AW13" s="316"/>
      <c r="AX13" s="316"/>
      <c r="AY13" s="316"/>
      <c r="AZ13" s="316"/>
      <c r="BA13" s="316"/>
      <c r="BB13" s="316"/>
      <c r="BC13" s="316"/>
      <c r="BD13" s="316"/>
      <c r="BE13" s="316"/>
      <c r="BF13" s="316"/>
      <c r="BG13" s="316"/>
      <c r="BH13" s="316"/>
      <c r="BI13" s="316"/>
      <c r="BJ13" s="316"/>
      <c r="BK13" s="316"/>
      <c r="BL13" s="316"/>
      <c r="BM13" s="316"/>
      <c r="BN13" s="316"/>
      <c r="BO13" s="316"/>
      <c r="BP13" s="316"/>
      <c r="BQ13" s="316"/>
      <c r="BR13" s="316"/>
      <c r="BS13" s="316"/>
      <c r="BT13" s="316"/>
      <c r="BU13" s="316"/>
    </row>
    <row r="14" spans="1:74" s="569" customFormat="1" ht="13" outlineLevel="1" x14ac:dyDescent="0.2">
      <c r="B14" s="575" t="s">
        <v>2091</v>
      </c>
      <c r="C14" s="334"/>
      <c r="D14" s="578">
        <f t="shared" si="0"/>
        <v>0</v>
      </c>
      <c r="E14" s="40"/>
      <c r="F14" s="1935" t="s">
        <v>2091</v>
      </c>
      <c r="G14" s="1936"/>
      <c r="H14" s="581">
        <v>1.06</v>
      </c>
      <c r="J14" s="40"/>
      <c r="K14" s="40"/>
      <c r="L14" s="40"/>
      <c r="M14" s="685"/>
      <c r="N14" s="40"/>
      <c r="O14" s="40"/>
      <c r="P14" s="40"/>
      <c r="Q14" s="40"/>
      <c r="R14" s="40"/>
      <c r="S14" s="40"/>
      <c r="T14" s="40"/>
      <c r="U14" s="40"/>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row>
    <row r="15" spans="1:74" s="569" customFormat="1" ht="13" outlineLevel="1" x14ac:dyDescent="0.2">
      <c r="B15" s="575" t="s">
        <v>2092</v>
      </c>
      <c r="C15" s="570"/>
      <c r="D15" s="576">
        <f t="shared" si="0"/>
        <v>0</v>
      </c>
      <c r="E15" s="40"/>
      <c r="F15" s="1935" t="s">
        <v>2092</v>
      </c>
      <c r="G15" s="1936"/>
      <c r="H15" s="579">
        <v>1.05</v>
      </c>
      <c r="J15" s="40"/>
      <c r="K15" s="40"/>
      <c r="L15" s="40"/>
      <c r="M15" s="40"/>
      <c r="N15" s="40"/>
      <c r="O15" s="40"/>
      <c r="P15" s="40"/>
      <c r="Q15" s="40"/>
      <c r="R15" s="40"/>
      <c r="S15" s="40"/>
      <c r="T15" s="40"/>
      <c r="U15" s="40"/>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row>
    <row r="16" spans="1:74" s="569" customFormat="1" ht="13" outlineLevel="1" x14ac:dyDescent="0.2">
      <c r="B16" s="40"/>
      <c r="C16" s="40"/>
      <c r="D16" s="40"/>
      <c r="E16" s="40"/>
      <c r="F16" s="40"/>
      <c r="G16" s="40"/>
      <c r="H16" s="40"/>
      <c r="I16" s="40"/>
      <c r="J16" s="40"/>
      <c r="K16" s="40"/>
      <c r="L16" s="40"/>
      <c r="M16" s="40"/>
      <c r="N16" s="40"/>
      <c r="O16" s="40"/>
      <c r="P16" s="40"/>
      <c r="Q16" s="40"/>
      <c r="R16" s="40"/>
      <c r="S16" s="40"/>
      <c r="T16" s="40"/>
      <c r="U16" s="40"/>
      <c r="V16" s="40"/>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row>
    <row r="17" spans="2:74" s="569" customFormat="1" ht="13" outlineLevel="1" x14ac:dyDescent="0.2">
      <c r="B17" s="40"/>
      <c r="C17" s="40"/>
      <c r="D17" s="40"/>
      <c r="E17" s="40"/>
      <c r="F17" s="40"/>
      <c r="G17" s="40"/>
      <c r="H17" s="40"/>
      <c r="I17" s="40"/>
      <c r="J17" s="40"/>
      <c r="K17" s="40"/>
      <c r="L17" s="40"/>
      <c r="M17" s="40"/>
      <c r="N17" s="40"/>
      <c r="O17" s="40"/>
      <c r="P17" s="40"/>
      <c r="Q17" s="40"/>
      <c r="R17" s="40"/>
      <c r="S17" s="40"/>
      <c r="T17" s="40"/>
      <c r="U17" s="40"/>
      <c r="V17" s="40"/>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row>
    <row r="18" spans="2:74" s="569" customFormat="1" ht="13.25" customHeight="1" outlineLevel="1" x14ac:dyDescent="0.2">
      <c r="B18" s="1942" t="s">
        <v>2101</v>
      </c>
      <c r="C18" s="1943"/>
      <c r="D18" s="1943"/>
      <c r="E18" s="1943"/>
      <c r="F18" s="1943"/>
      <c r="G18" s="1943"/>
      <c r="H18" s="1943"/>
      <c r="I18" s="1943"/>
      <c r="J18" s="1944"/>
      <c r="K18" s="40"/>
      <c r="L18" s="40"/>
      <c r="M18" s="40"/>
      <c r="N18" s="40"/>
      <c r="O18" s="40"/>
      <c r="P18" s="40"/>
      <c r="Q18" s="40"/>
      <c r="R18" s="40"/>
      <c r="S18" s="40"/>
      <c r="T18" s="40"/>
      <c r="U18" s="40"/>
      <c r="V18" s="40"/>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row>
    <row r="19" spans="2:74" s="569" customFormat="1" ht="28" outlineLevel="1" x14ac:dyDescent="0.2">
      <c r="B19" s="574" t="s">
        <v>2102</v>
      </c>
      <c r="C19" s="574" t="s">
        <v>2103</v>
      </c>
      <c r="D19" s="574" t="s">
        <v>2096</v>
      </c>
      <c r="E19" s="574" t="s">
        <v>2097</v>
      </c>
      <c r="F19" s="574" t="s">
        <v>25</v>
      </c>
      <c r="G19" s="574" t="s">
        <v>2104</v>
      </c>
      <c r="H19" s="574" t="s">
        <v>21</v>
      </c>
      <c r="I19" s="593" t="s">
        <v>2098</v>
      </c>
      <c r="J19" s="593" t="s">
        <v>2105</v>
      </c>
      <c r="K19" s="40"/>
      <c r="L19" s="574" t="s">
        <v>2107</v>
      </c>
      <c r="M19" s="574" t="s">
        <v>2096</v>
      </c>
      <c r="N19" s="574" t="s">
        <v>2097</v>
      </c>
      <c r="O19" s="574" t="s">
        <v>25</v>
      </c>
      <c r="P19" s="574" t="s">
        <v>2104</v>
      </c>
      <c r="Q19" s="574" t="s">
        <v>21</v>
      </c>
      <c r="R19" s="593" t="s">
        <v>2098</v>
      </c>
      <c r="S19" s="593" t="s">
        <v>2105</v>
      </c>
      <c r="T19" s="40"/>
      <c r="U19" s="40"/>
      <c r="V19" s="40"/>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row>
    <row r="20" spans="2:74" s="569" customFormat="1" ht="13" outlineLevel="1" x14ac:dyDescent="0.2">
      <c r="B20" s="579" t="s">
        <v>2096</v>
      </c>
      <c r="C20" s="570"/>
      <c r="D20" s="582">
        <f t="shared" ref="D20:J26" si="1">$C20*M20</f>
        <v>0</v>
      </c>
      <c r="E20" s="582">
        <f t="shared" si="1"/>
        <v>0</v>
      </c>
      <c r="F20" s="583">
        <f t="shared" si="1"/>
        <v>0</v>
      </c>
      <c r="G20" s="583">
        <f t="shared" si="1"/>
        <v>0</v>
      </c>
      <c r="H20" s="583">
        <f t="shared" si="1"/>
        <v>0</v>
      </c>
      <c r="I20" s="583">
        <f t="shared" si="1"/>
        <v>0</v>
      </c>
      <c r="J20" s="583">
        <f t="shared" si="1"/>
        <v>0</v>
      </c>
      <c r="K20" s="40"/>
      <c r="L20" s="594" t="s">
        <v>2096</v>
      </c>
      <c r="M20" s="583">
        <v>1</v>
      </c>
      <c r="N20" s="584">
        <f>O20/O21</f>
        <v>1.4292543021032504</v>
      </c>
      <c r="O20" s="585">
        <v>41860000000</v>
      </c>
      <c r="P20" s="583">
        <f>O20/3600000</f>
        <v>11627.777777777777</v>
      </c>
      <c r="Q20" s="583">
        <f>O20*Q22</f>
        <v>39675656.71931795</v>
      </c>
      <c r="R20" s="583">
        <v>1200</v>
      </c>
      <c r="S20" s="584">
        <f>1/M26</f>
        <v>2.9814814814814814</v>
      </c>
      <c r="T20" s="40"/>
      <c r="U20" s="40"/>
      <c r="V20" s="40"/>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row>
    <row r="21" spans="2:74" s="569" customFormat="1" ht="13" outlineLevel="1" x14ac:dyDescent="0.2">
      <c r="B21" s="579" t="s">
        <v>2097</v>
      </c>
      <c r="C21" s="570"/>
      <c r="D21" s="582">
        <f t="shared" si="1"/>
        <v>0</v>
      </c>
      <c r="E21" s="582">
        <f t="shared" si="1"/>
        <v>0</v>
      </c>
      <c r="F21" s="583">
        <f t="shared" si="1"/>
        <v>0</v>
      </c>
      <c r="G21" s="583">
        <f t="shared" si="1"/>
        <v>0</v>
      </c>
      <c r="H21" s="583">
        <f t="shared" si="1"/>
        <v>0</v>
      </c>
      <c r="I21" s="583">
        <f t="shared" si="1"/>
        <v>0</v>
      </c>
      <c r="J21" s="583">
        <f t="shared" si="1"/>
        <v>0</v>
      </c>
      <c r="K21" s="40"/>
      <c r="L21" s="594" t="s">
        <v>2097</v>
      </c>
      <c r="M21" s="586">
        <f>1/N20</f>
        <v>0.69966555183946488</v>
      </c>
      <c r="N21" s="583">
        <v>1</v>
      </c>
      <c r="O21" s="585">
        <f>4.184*7000000000</f>
        <v>29288000000</v>
      </c>
      <c r="P21" s="583">
        <f>O21/3600000</f>
        <v>8135.5555555555557</v>
      </c>
      <c r="Q21" s="583">
        <f>O21*Q22</f>
        <v>27759690.253114767</v>
      </c>
      <c r="R21" s="583">
        <f>R20/N20</f>
        <v>839.59866220735785</v>
      </c>
      <c r="S21" s="584">
        <f>1/N26</f>
        <v>2.0860398860398859</v>
      </c>
      <c r="T21" s="40"/>
      <c r="U21" s="40"/>
      <c r="V21" s="40"/>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row>
    <row r="22" spans="2:74" s="569" customFormat="1" ht="13" outlineLevel="1" x14ac:dyDescent="0.2">
      <c r="B22" s="579" t="s">
        <v>25</v>
      </c>
      <c r="C22" s="570"/>
      <c r="D22" s="582">
        <f t="shared" si="1"/>
        <v>0</v>
      </c>
      <c r="E22" s="582">
        <f t="shared" si="1"/>
        <v>0</v>
      </c>
      <c r="F22" s="583">
        <f t="shared" si="1"/>
        <v>0</v>
      </c>
      <c r="G22" s="583">
        <f t="shared" si="1"/>
        <v>0</v>
      </c>
      <c r="H22" s="583">
        <f t="shared" si="1"/>
        <v>0</v>
      </c>
      <c r="I22" s="583">
        <f t="shared" si="1"/>
        <v>0</v>
      </c>
      <c r="J22" s="583">
        <f t="shared" si="1"/>
        <v>0</v>
      </c>
      <c r="K22" s="40"/>
      <c r="L22" s="594" t="s">
        <v>25</v>
      </c>
      <c r="M22" s="587">
        <f>1/O20</f>
        <v>2.3889154323936934E-11</v>
      </c>
      <c r="N22" s="588">
        <f>1/O21</f>
        <v>3.414367659109533E-11</v>
      </c>
      <c r="O22" s="583">
        <v>1</v>
      </c>
      <c r="P22" s="585">
        <f>1/O23</f>
        <v>2.7777777777777776E-7</v>
      </c>
      <c r="Q22" s="589">
        <f>1/O24</f>
        <v>9.4781788627133182E-4</v>
      </c>
      <c r="R22" s="585">
        <f>1/O25</f>
        <v>2.8666985188724317E-8</v>
      </c>
      <c r="S22" s="585">
        <f>1/O26</f>
        <v>7.1225071225071231E-11</v>
      </c>
      <c r="T22" s="40"/>
      <c r="U22" s="40"/>
      <c r="V22" s="40"/>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row>
    <row r="23" spans="2:74" s="569" customFormat="1" ht="13" outlineLevel="1" x14ac:dyDescent="0.2">
      <c r="B23" s="579" t="s">
        <v>2094</v>
      </c>
      <c r="C23" s="570"/>
      <c r="D23" s="582">
        <f t="shared" si="1"/>
        <v>0</v>
      </c>
      <c r="E23" s="582">
        <f t="shared" si="1"/>
        <v>0</v>
      </c>
      <c r="F23" s="583">
        <f t="shared" si="1"/>
        <v>0</v>
      </c>
      <c r="G23" s="583">
        <f t="shared" si="1"/>
        <v>0</v>
      </c>
      <c r="H23" s="583">
        <f t="shared" si="1"/>
        <v>0</v>
      </c>
      <c r="I23" s="583">
        <f t="shared" si="1"/>
        <v>0</v>
      </c>
      <c r="J23" s="583">
        <f t="shared" si="1"/>
        <v>0</v>
      </c>
      <c r="K23" s="40"/>
      <c r="L23" s="594" t="s">
        <v>2094</v>
      </c>
      <c r="M23" s="587">
        <f>1/P20</f>
        <v>8.6000955566172959E-5</v>
      </c>
      <c r="N23" s="585">
        <f>1/P21</f>
        <v>1.2291723572794319E-4</v>
      </c>
      <c r="O23" s="585">
        <v>3600000</v>
      </c>
      <c r="P23" s="583">
        <v>1</v>
      </c>
      <c r="Q23" s="583">
        <f>1/P24</f>
        <v>3412.1443905767946</v>
      </c>
      <c r="R23" s="584">
        <f>1/P25</f>
        <v>0.10320114667940755</v>
      </c>
      <c r="S23" s="585">
        <f>1/P26</f>
        <v>2.5641025641025641E-4</v>
      </c>
      <c r="T23" s="40"/>
      <c r="U23" s="40"/>
      <c r="V23" s="40"/>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row>
    <row r="24" spans="2:74" s="569" customFormat="1" ht="13" outlineLevel="1" x14ac:dyDescent="0.2">
      <c r="B24" s="579" t="s">
        <v>21</v>
      </c>
      <c r="C24" s="570"/>
      <c r="D24" s="582">
        <f t="shared" si="1"/>
        <v>0</v>
      </c>
      <c r="E24" s="582">
        <f t="shared" si="1"/>
        <v>0</v>
      </c>
      <c r="F24" s="583">
        <f t="shared" si="1"/>
        <v>0</v>
      </c>
      <c r="G24" s="583">
        <f t="shared" si="1"/>
        <v>0</v>
      </c>
      <c r="H24" s="583">
        <f t="shared" si="1"/>
        <v>0</v>
      </c>
      <c r="I24" s="583">
        <f t="shared" si="1"/>
        <v>0</v>
      </c>
      <c r="J24" s="583">
        <f t="shared" si="1"/>
        <v>0</v>
      </c>
      <c r="K24" s="40"/>
      <c r="L24" s="594" t="s">
        <v>21</v>
      </c>
      <c r="M24" s="587">
        <f>1/Q20</f>
        <v>2.5204371715241279E-8</v>
      </c>
      <c r="N24" s="587">
        <f>1/Q21</f>
        <v>3.602345670581808E-8</v>
      </c>
      <c r="O24" s="583">
        <v>1055.0550000000001</v>
      </c>
      <c r="P24" s="590">
        <f>P20*M24</f>
        <v>2.9307083333333331E-4</v>
      </c>
      <c r="Q24" s="583">
        <v>1</v>
      </c>
      <c r="R24" s="585">
        <f>1/Q25</f>
        <v>3.0245246058289537E-5</v>
      </c>
      <c r="S24" s="585">
        <f>1/Q26</f>
        <v>7.5146367521367518E-8</v>
      </c>
      <c r="T24" s="40"/>
      <c r="U24" s="40"/>
      <c r="V24" s="40"/>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row>
    <row r="25" spans="2:74" s="569" customFormat="1" ht="13" outlineLevel="1" x14ac:dyDescent="0.2">
      <c r="B25" s="579" t="s">
        <v>2098</v>
      </c>
      <c r="C25" s="570">
        <v>12345</v>
      </c>
      <c r="D25" s="582">
        <f t="shared" si="1"/>
        <v>10.287500000000001</v>
      </c>
      <c r="E25" s="582">
        <f t="shared" si="1"/>
        <v>14.703453632887189</v>
      </c>
      <c r="F25" s="583">
        <f t="shared" si="1"/>
        <v>430634750000.00006</v>
      </c>
      <c r="G25" s="583">
        <f t="shared" si="1"/>
        <v>119620.76388888889</v>
      </c>
      <c r="H25" s="583">
        <f t="shared" si="1"/>
        <v>408163318.49998343</v>
      </c>
      <c r="I25" s="583">
        <f t="shared" si="1"/>
        <v>12345</v>
      </c>
      <c r="J25" s="583">
        <f t="shared" si="1"/>
        <v>30.671990740740739</v>
      </c>
      <c r="K25" s="40"/>
      <c r="L25" s="594" t="s">
        <v>2098</v>
      </c>
      <c r="M25" s="590">
        <f>1/R20</f>
        <v>8.3333333333333339E-4</v>
      </c>
      <c r="N25" s="591">
        <f>M25*N20</f>
        <v>1.1910452517527087E-3</v>
      </c>
      <c r="O25" s="585">
        <f>O20*M25</f>
        <v>34883333.333333336</v>
      </c>
      <c r="P25" s="582">
        <f>P20*M25</f>
        <v>9.6898148148148149</v>
      </c>
      <c r="Q25" s="583">
        <f>M25*Q20</f>
        <v>33063.047266098292</v>
      </c>
      <c r="R25" s="583">
        <v>1</v>
      </c>
      <c r="S25" s="590">
        <f>S24*Q25</f>
        <v>2.4845679012345679E-3</v>
      </c>
      <c r="T25" s="40"/>
      <c r="U25" s="40"/>
      <c r="V25" s="40"/>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row>
    <row r="26" spans="2:74" s="569" customFormat="1" ht="13" outlineLevel="1" x14ac:dyDescent="0.2">
      <c r="B26" s="579" t="s">
        <v>2099</v>
      </c>
      <c r="C26" s="570"/>
      <c r="D26" s="582">
        <f t="shared" si="1"/>
        <v>0</v>
      </c>
      <c r="E26" s="582">
        <f t="shared" si="1"/>
        <v>0</v>
      </c>
      <c r="F26" s="583">
        <f t="shared" si="1"/>
        <v>0</v>
      </c>
      <c r="G26" s="583">
        <f t="shared" si="1"/>
        <v>0</v>
      </c>
      <c r="H26" s="583">
        <f t="shared" si="1"/>
        <v>0</v>
      </c>
      <c r="I26" s="583">
        <f t="shared" si="1"/>
        <v>0</v>
      </c>
      <c r="J26" s="583">
        <f t="shared" si="1"/>
        <v>0</v>
      </c>
      <c r="K26" s="40"/>
      <c r="L26" s="594" t="s">
        <v>2099</v>
      </c>
      <c r="M26" s="586">
        <f>P26/P20</f>
        <v>0.33540372670807456</v>
      </c>
      <c r="N26" s="592">
        <f>P26/P21</f>
        <v>0.47937721933897842</v>
      </c>
      <c r="O26" s="585">
        <f>P26*3600000</f>
        <v>14040000000</v>
      </c>
      <c r="P26" s="583">
        <v>3900</v>
      </c>
      <c r="Q26" s="583">
        <f>P26*Q23</f>
        <v>13307363.123249499</v>
      </c>
      <c r="R26" s="583">
        <f>1/S25</f>
        <v>402.48447204968943</v>
      </c>
      <c r="S26" s="583">
        <v>1</v>
      </c>
      <c r="T26" s="40"/>
      <c r="U26" s="40"/>
      <c r="V26" s="40"/>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row>
    <row r="27" spans="2:74" s="569" customFormat="1" ht="13" outlineLevel="1" x14ac:dyDescent="0.2">
      <c r="B27" s="40"/>
      <c r="C27" s="40"/>
      <c r="D27" s="40"/>
      <c r="E27" s="40"/>
      <c r="F27" s="40"/>
      <c r="G27" s="40"/>
      <c r="H27" s="40"/>
      <c r="I27" s="40"/>
      <c r="J27" s="40"/>
      <c r="K27" s="40"/>
      <c r="L27" s="40"/>
      <c r="M27" s="40"/>
      <c r="N27" s="40"/>
      <c r="O27" s="40"/>
      <c r="P27" s="40"/>
      <c r="Q27" s="40"/>
      <c r="R27" s="40"/>
      <c r="S27" s="40"/>
      <c r="T27" s="40"/>
      <c r="U27" s="40"/>
      <c r="V27" s="40"/>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row>
    <row r="28" spans="2:74" s="569" customFormat="1" ht="13" outlineLevel="1" x14ac:dyDescent="0.2">
      <c r="B28" s="40" t="s">
        <v>2106</v>
      </c>
      <c r="C28" s="40"/>
      <c r="D28" s="40"/>
      <c r="E28" s="40"/>
      <c r="F28" s="40"/>
      <c r="G28" s="40"/>
      <c r="H28" s="40"/>
      <c r="I28" s="40"/>
      <c r="J28" s="40"/>
      <c r="K28" s="40"/>
      <c r="L28" s="40"/>
      <c r="M28" s="40"/>
      <c r="N28" s="40"/>
      <c r="O28" s="40"/>
      <c r="P28" s="40"/>
      <c r="Q28" s="40"/>
      <c r="R28" s="40"/>
      <c r="S28" s="40"/>
      <c r="T28" s="40"/>
      <c r="U28" s="40"/>
      <c r="V28" s="40"/>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row>
    <row r="29" spans="2:74" outlineLevel="1" x14ac:dyDescent="0.2">
      <c r="W29" s="573"/>
      <c r="X29" s="573"/>
      <c r="Y29" s="573"/>
      <c r="Z29" s="573"/>
      <c r="AA29" s="573"/>
      <c r="AB29" s="573"/>
      <c r="AC29" s="573"/>
      <c r="AD29" s="573"/>
      <c r="AE29" s="573"/>
      <c r="AF29" s="573"/>
      <c r="AG29" s="573"/>
      <c r="AH29" s="573"/>
      <c r="AI29" s="573"/>
      <c r="AJ29" s="573"/>
      <c r="AK29" s="573"/>
      <c r="AL29" s="573"/>
      <c r="AM29" s="573"/>
      <c r="AN29" s="573"/>
      <c r="AO29" s="573"/>
      <c r="AP29" s="573"/>
      <c r="AQ29" s="573"/>
      <c r="AR29" s="573"/>
      <c r="AS29" s="573"/>
      <c r="AT29" s="573"/>
      <c r="AU29" s="573"/>
      <c r="AV29" s="573"/>
      <c r="AW29" s="573"/>
      <c r="AX29" s="573"/>
      <c r="AY29" s="573"/>
      <c r="AZ29" s="573"/>
      <c r="BA29" s="573"/>
      <c r="BB29" s="573"/>
      <c r="BC29" s="573"/>
      <c r="BD29" s="573"/>
      <c r="BE29" s="573"/>
      <c r="BF29" s="573"/>
      <c r="BG29" s="573"/>
      <c r="BH29" s="573"/>
      <c r="BI29" s="573"/>
      <c r="BJ29" s="573"/>
      <c r="BK29" s="573"/>
      <c r="BL29" s="573"/>
      <c r="BM29" s="573"/>
      <c r="BN29" s="573"/>
      <c r="BO29" s="573"/>
      <c r="BP29" s="573"/>
      <c r="BQ29" s="573"/>
      <c r="BR29" s="573"/>
      <c r="BS29" s="573"/>
      <c r="BT29" s="573"/>
      <c r="BU29" s="573"/>
      <c r="BV29" s="573"/>
    </row>
    <row r="30" spans="2:74" x14ac:dyDescent="0.2">
      <c r="W30" s="573"/>
      <c r="X30" s="573"/>
      <c r="Y30" s="573"/>
      <c r="Z30" s="573"/>
      <c r="AA30" s="573"/>
      <c r="AB30" s="573"/>
      <c r="AC30" s="573"/>
      <c r="AD30" s="573"/>
      <c r="AE30" s="573"/>
      <c r="AF30" s="573"/>
      <c r="AG30" s="573"/>
      <c r="AH30" s="573"/>
      <c r="AI30" s="573"/>
      <c r="AJ30" s="573"/>
      <c r="AK30" s="573"/>
      <c r="AL30" s="573"/>
      <c r="AM30" s="573"/>
      <c r="AN30" s="573"/>
      <c r="AO30" s="573"/>
      <c r="AP30" s="573"/>
      <c r="AQ30" s="573"/>
      <c r="AR30" s="573"/>
      <c r="AS30" s="573"/>
      <c r="AT30" s="573"/>
      <c r="AU30" s="573"/>
      <c r="AV30" s="573"/>
      <c r="AW30" s="573"/>
      <c r="AX30" s="573"/>
      <c r="AY30" s="573"/>
      <c r="AZ30" s="573"/>
      <c r="BA30" s="573"/>
      <c r="BB30" s="573"/>
      <c r="BC30" s="573"/>
      <c r="BD30" s="573"/>
      <c r="BE30" s="573"/>
      <c r="BF30" s="573"/>
      <c r="BG30" s="573"/>
      <c r="BH30" s="573"/>
      <c r="BI30" s="573"/>
      <c r="BJ30" s="573"/>
      <c r="BK30" s="573"/>
      <c r="BL30" s="573"/>
      <c r="BM30" s="573"/>
      <c r="BN30" s="573"/>
      <c r="BO30" s="573"/>
      <c r="BP30" s="573"/>
      <c r="BQ30" s="573"/>
      <c r="BR30" s="573"/>
      <c r="BS30" s="573"/>
      <c r="BT30" s="573"/>
      <c r="BU30" s="573"/>
      <c r="BV30" s="573"/>
    </row>
    <row r="31" spans="2:74" x14ac:dyDescent="0.2">
      <c r="W31" s="573"/>
      <c r="X31" s="573"/>
      <c r="Y31" s="573"/>
      <c r="Z31" s="573"/>
      <c r="AA31" s="573"/>
      <c r="AB31" s="573"/>
      <c r="AC31" s="573"/>
      <c r="AD31" s="573"/>
      <c r="AE31" s="573"/>
      <c r="AF31" s="573"/>
      <c r="AG31" s="573"/>
      <c r="AH31" s="573"/>
      <c r="AI31" s="573"/>
      <c r="AJ31" s="573"/>
      <c r="AK31" s="573"/>
      <c r="AL31" s="573"/>
      <c r="AM31" s="573"/>
      <c r="AN31" s="573"/>
      <c r="AO31" s="573"/>
      <c r="AP31" s="573"/>
      <c r="AQ31" s="573"/>
      <c r="AR31" s="573"/>
      <c r="AS31" s="573"/>
      <c r="AT31" s="573"/>
      <c r="AU31" s="573"/>
      <c r="AV31" s="573"/>
      <c r="AW31" s="573"/>
      <c r="AX31" s="573"/>
      <c r="AY31" s="573"/>
      <c r="AZ31" s="573"/>
      <c r="BA31" s="573"/>
      <c r="BB31" s="573"/>
      <c r="BC31" s="573"/>
      <c r="BD31" s="573"/>
      <c r="BE31" s="573"/>
      <c r="BF31" s="573"/>
      <c r="BG31" s="573"/>
      <c r="BH31" s="573"/>
      <c r="BI31" s="573"/>
      <c r="BJ31" s="573"/>
      <c r="BK31" s="573"/>
      <c r="BL31" s="573"/>
      <c r="BM31" s="573"/>
      <c r="BN31" s="573"/>
      <c r="BO31" s="573"/>
      <c r="BP31" s="573"/>
      <c r="BQ31" s="573"/>
      <c r="BR31" s="573"/>
      <c r="BS31" s="573"/>
      <c r="BT31" s="573"/>
      <c r="BU31" s="573"/>
      <c r="BV31" s="573"/>
    </row>
    <row r="32" spans="2:74" ht="20" customHeight="1" x14ac:dyDescent="0.2">
      <c r="B32" s="1868" t="s">
        <v>3127</v>
      </c>
      <c r="C32" s="1869"/>
      <c r="D32" s="1869"/>
      <c r="E32" s="1869"/>
      <c r="F32" s="1869"/>
      <c r="G32" s="1869"/>
      <c r="H32" s="1869"/>
      <c r="I32" s="1869"/>
      <c r="J32" s="1869"/>
      <c r="K32" s="1869"/>
      <c r="L32" s="1869"/>
      <c r="M32" s="1869"/>
      <c r="N32" s="1869"/>
      <c r="O32" s="1870"/>
      <c r="W32" s="573"/>
      <c r="X32" s="573"/>
      <c r="Y32" s="573"/>
      <c r="Z32" s="573"/>
      <c r="AA32" s="573"/>
      <c r="AB32" s="573"/>
      <c r="AC32" s="573"/>
      <c r="AD32" s="573"/>
      <c r="AE32" s="573"/>
      <c r="AF32" s="573"/>
      <c r="AG32" s="573"/>
      <c r="AH32" s="573"/>
      <c r="AI32" s="573"/>
      <c r="AJ32" s="573"/>
      <c r="AK32" s="573"/>
      <c r="AL32" s="573"/>
      <c r="AM32" s="573"/>
      <c r="AN32" s="573"/>
      <c r="AO32" s="573"/>
      <c r="AP32" s="573"/>
      <c r="AQ32" s="573"/>
      <c r="AR32" s="573"/>
      <c r="AS32" s="573"/>
      <c r="AT32" s="573"/>
      <c r="AU32" s="573"/>
      <c r="AV32" s="573"/>
      <c r="AW32" s="573"/>
      <c r="AX32" s="573"/>
      <c r="AY32" s="573"/>
      <c r="AZ32" s="573"/>
      <c r="BA32" s="573"/>
      <c r="BB32" s="573"/>
      <c r="BC32" s="573"/>
      <c r="BD32" s="573"/>
      <c r="BE32" s="573"/>
      <c r="BF32" s="573"/>
      <c r="BG32" s="573"/>
      <c r="BH32" s="573"/>
      <c r="BI32" s="573"/>
      <c r="BJ32" s="573"/>
      <c r="BK32" s="573"/>
      <c r="BL32" s="573"/>
      <c r="BM32" s="573"/>
      <c r="BN32" s="573"/>
      <c r="BO32" s="573"/>
      <c r="BP32" s="573"/>
      <c r="BQ32" s="573"/>
      <c r="BR32" s="573"/>
      <c r="BS32" s="573"/>
      <c r="BT32" s="573"/>
      <c r="BU32" s="573"/>
      <c r="BV32" s="573"/>
    </row>
    <row r="33" spans="2:74" outlineLevel="1" x14ac:dyDescent="0.2">
      <c r="W33" s="573"/>
      <c r="X33" s="573"/>
      <c r="Y33" s="573"/>
      <c r="Z33" s="573"/>
      <c r="AA33" s="573"/>
      <c r="AB33" s="573"/>
      <c r="AC33" s="573"/>
      <c r="AD33" s="573"/>
      <c r="AE33" s="573"/>
      <c r="AF33" s="573"/>
      <c r="AG33" s="573"/>
      <c r="AH33" s="573"/>
      <c r="AI33" s="573"/>
      <c r="AJ33" s="573"/>
      <c r="AK33" s="573"/>
      <c r="AL33" s="573"/>
      <c r="AM33" s="573"/>
      <c r="AN33" s="573"/>
      <c r="AO33" s="573"/>
      <c r="AP33" s="573"/>
      <c r="AQ33" s="573"/>
      <c r="AR33" s="573"/>
      <c r="AS33" s="573"/>
      <c r="AT33" s="573"/>
      <c r="AU33" s="573"/>
      <c r="AV33" s="573"/>
      <c r="AW33" s="573"/>
      <c r="AX33" s="573"/>
      <c r="AY33" s="573"/>
      <c r="AZ33" s="573"/>
      <c r="BA33" s="573"/>
      <c r="BB33" s="573"/>
      <c r="BC33" s="573"/>
      <c r="BD33" s="573"/>
      <c r="BE33" s="573"/>
      <c r="BF33" s="573"/>
      <c r="BG33" s="573"/>
      <c r="BH33" s="573"/>
      <c r="BI33" s="573"/>
      <c r="BJ33" s="573"/>
      <c r="BK33" s="573"/>
      <c r="BL33" s="573"/>
      <c r="BM33" s="573"/>
      <c r="BN33" s="573"/>
      <c r="BO33" s="573"/>
      <c r="BP33" s="573"/>
      <c r="BQ33" s="573"/>
      <c r="BR33" s="573"/>
      <c r="BS33" s="573"/>
      <c r="BT33" s="573"/>
      <c r="BU33" s="573"/>
      <c r="BV33" s="573"/>
    </row>
    <row r="34" spans="2:74" ht="13" outlineLevel="1" x14ac:dyDescent="0.2">
      <c r="B34" s="1396" t="s">
        <v>3129</v>
      </c>
      <c r="C34" s="1397"/>
      <c r="D34" s="1398"/>
      <c r="E34" s="1398"/>
      <c r="F34" s="1399"/>
      <c r="G34" s="1399"/>
      <c r="H34" s="1400"/>
      <c r="J34" s="1928" t="s">
        <v>723</v>
      </c>
      <c r="K34" s="1929"/>
      <c r="L34" s="1930"/>
      <c r="V34" s="573"/>
      <c r="W34" s="573"/>
      <c r="X34" s="573"/>
      <c r="Y34" s="573"/>
      <c r="Z34" s="573"/>
      <c r="AA34" s="573"/>
      <c r="AB34" s="573"/>
      <c r="AC34" s="573"/>
      <c r="AD34" s="573"/>
      <c r="AE34" s="573"/>
      <c r="AF34" s="573"/>
      <c r="AG34" s="573"/>
      <c r="AH34" s="573"/>
      <c r="AI34" s="573"/>
      <c r="AJ34" s="573"/>
      <c r="AK34" s="573"/>
      <c r="AL34" s="573"/>
      <c r="AM34" s="573"/>
      <c r="AN34" s="573"/>
      <c r="AO34" s="573"/>
      <c r="AP34" s="573"/>
      <c r="AQ34" s="573"/>
      <c r="AR34" s="573"/>
      <c r="AS34" s="573"/>
      <c r="AT34" s="573"/>
      <c r="AU34" s="573"/>
      <c r="AV34" s="573"/>
      <c r="AW34" s="573"/>
      <c r="AX34" s="573"/>
      <c r="AY34" s="573"/>
      <c r="AZ34" s="573"/>
      <c r="BA34" s="573"/>
      <c r="BB34" s="573"/>
      <c r="BC34" s="573"/>
      <c r="BD34" s="573"/>
      <c r="BE34" s="573"/>
      <c r="BF34" s="573"/>
      <c r="BG34" s="573"/>
      <c r="BH34" s="573"/>
      <c r="BI34" s="573"/>
      <c r="BJ34" s="573"/>
      <c r="BK34" s="573"/>
      <c r="BL34" s="573"/>
      <c r="BM34" s="573"/>
      <c r="BN34" s="573"/>
      <c r="BO34" s="573"/>
      <c r="BP34" s="573"/>
      <c r="BQ34" s="573"/>
      <c r="BR34" s="573"/>
      <c r="BS34" s="573"/>
      <c r="BT34" s="573"/>
      <c r="BU34" s="573"/>
    </row>
    <row r="35" spans="2:74" ht="13" outlineLevel="1" x14ac:dyDescent="0.2">
      <c r="B35" s="1067"/>
      <c r="C35" s="1122"/>
      <c r="D35" s="1401" t="s">
        <v>2052</v>
      </c>
      <c r="E35" s="1401" t="s">
        <v>2052</v>
      </c>
      <c r="F35" s="1122"/>
      <c r="G35" s="1122"/>
      <c r="H35" s="1402"/>
      <c r="J35" s="1403"/>
      <c r="K35" s="1415"/>
      <c r="L35" s="1402"/>
      <c r="V35" s="573"/>
      <c r="W35" s="573"/>
      <c r="X35" s="573"/>
      <c r="Y35" s="573"/>
      <c r="Z35" s="573"/>
      <c r="AA35" s="573"/>
      <c r="AB35" s="573"/>
      <c r="AC35" s="573"/>
      <c r="AD35" s="573"/>
      <c r="AE35" s="573"/>
      <c r="AF35" s="573"/>
      <c r="AG35" s="573"/>
      <c r="AH35" s="573"/>
      <c r="AI35" s="573"/>
      <c r="AJ35" s="573"/>
      <c r="AK35" s="573"/>
      <c r="AL35" s="573"/>
      <c r="AM35" s="573"/>
      <c r="AN35" s="573"/>
      <c r="AO35" s="573"/>
      <c r="AP35" s="573"/>
      <c r="AQ35" s="573"/>
      <c r="AR35" s="573"/>
      <c r="AS35" s="573"/>
      <c r="AT35" s="573"/>
      <c r="AU35" s="573"/>
      <c r="AV35" s="573"/>
      <c r="AW35" s="573"/>
      <c r="AX35" s="573"/>
      <c r="AY35" s="573"/>
      <c r="AZ35" s="573"/>
      <c r="BA35" s="573"/>
      <c r="BB35" s="573"/>
      <c r="BC35" s="573"/>
      <c r="BD35" s="573"/>
      <c r="BE35" s="573"/>
      <c r="BF35" s="573"/>
      <c r="BG35" s="573"/>
      <c r="BH35" s="573"/>
      <c r="BI35" s="573"/>
      <c r="BJ35" s="573"/>
      <c r="BK35" s="573"/>
      <c r="BL35" s="573"/>
      <c r="BM35" s="573"/>
      <c r="BN35" s="573"/>
      <c r="BO35" s="573"/>
      <c r="BP35" s="573"/>
      <c r="BQ35" s="573"/>
      <c r="BR35" s="573"/>
      <c r="BS35" s="573"/>
      <c r="BT35" s="573"/>
      <c r="BU35" s="573"/>
    </row>
    <row r="36" spans="2:74" ht="13" outlineLevel="1" x14ac:dyDescent="0.2">
      <c r="B36" s="1403" t="s">
        <v>2750</v>
      </c>
      <c r="C36" s="1404"/>
      <c r="D36" s="1404" t="s">
        <v>56</v>
      </c>
      <c r="E36" s="1404" t="s">
        <v>56</v>
      </c>
      <c r="F36" s="1405" t="s">
        <v>130</v>
      </c>
      <c r="G36" s="1404" t="s">
        <v>66</v>
      </c>
      <c r="H36" s="1406" t="s">
        <v>66</v>
      </c>
      <c r="J36" s="1403" t="s">
        <v>2108</v>
      </c>
      <c r="K36" s="1415" t="s">
        <v>2110</v>
      </c>
      <c r="L36" s="1406" t="s">
        <v>66</v>
      </c>
      <c r="V36" s="573"/>
      <c r="W36" s="573"/>
      <c r="X36" s="573"/>
      <c r="Y36" s="573"/>
      <c r="Z36" s="573"/>
      <c r="AA36" s="573"/>
      <c r="AB36" s="573"/>
      <c r="AC36" s="573"/>
      <c r="AD36" s="573"/>
      <c r="AE36" s="573"/>
      <c r="AF36" s="573"/>
      <c r="AG36" s="573"/>
      <c r="AH36" s="573"/>
      <c r="AI36" s="573"/>
      <c r="AJ36" s="573"/>
      <c r="AK36" s="573"/>
      <c r="AL36" s="573"/>
      <c r="AM36" s="573"/>
      <c r="AN36" s="573"/>
      <c r="AO36" s="573"/>
      <c r="AP36" s="573"/>
      <c r="AQ36" s="573"/>
      <c r="AR36" s="573"/>
      <c r="AS36" s="573"/>
      <c r="AT36" s="573"/>
      <c r="AU36" s="573"/>
      <c r="AV36" s="573"/>
      <c r="AW36" s="573"/>
      <c r="AX36" s="573"/>
      <c r="AY36" s="573"/>
      <c r="AZ36" s="573"/>
      <c r="BA36" s="573"/>
      <c r="BB36" s="573"/>
      <c r="BC36" s="573"/>
      <c r="BD36" s="573"/>
      <c r="BE36" s="573"/>
      <c r="BF36" s="573"/>
      <c r="BG36" s="573"/>
      <c r="BH36" s="573"/>
      <c r="BI36" s="573"/>
      <c r="BJ36" s="573"/>
      <c r="BK36" s="573"/>
      <c r="BL36" s="573"/>
      <c r="BM36" s="573"/>
      <c r="BN36" s="573"/>
      <c r="BO36" s="573"/>
      <c r="BP36" s="573"/>
      <c r="BQ36" s="573"/>
      <c r="BR36" s="573"/>
      <c r="BS36" s="573"/>
      <c r="BT36" s="573"/>
      <c r="BU36" s="573"/>
    </row>
    <row r="37" spans="2:74" ht="13" outlineLevel="1" x14ac:dyDescent="0.2">
      <c r="B37" s="1403"/>
      <c r="C37" s="1404"/>
      <c r="D37" s="1404" t="s">
        <v>66</v>
      </c>
      <c r="E37" s="1404" t="s">
        <v>65</v>
      </c>
      <c r="F37" s="1407" t="s">
        <v>129</v>
      </c>
      <c r="G37" s="1404" t="s">
        <v>2111</v>
      </c>
      <c r="H37" s="1406"/>
      <c r="J37" s="1403" t="s">
        <v>2109</v>
      </c>
      <c r="K37" s="1415"/>
      <c r="L37" s="1406"/>
      <c r="V37" s="573"/>
      <c r="W37" s="573"/>
      <c r="X37" s="573"/>
      <c r="Y37" s="573"/>
      <c r="Z37" s="573"/>
      <c r="AA37" s="573"/>
      <c r="AB37" s="573"/>
      <c r="AC37" s="573"/>
      <c r="AD37" s="573"/>
      <c r="AE37" s="573"/>
      <c r="AF37" s="573"/>
      <c r="AG37" s="573"/>
      <c r="AH37" s="573"/>
      <c r="AI37" s="573"/>
      <c r="AJ37" s="573"/>
      <c r="AK37" s="573"/>
      <c r="AL37" s="573"/>
      <c r="AM37" s="573"/>
      <c r="AN37" s="573"/>
      <c r="AO37" s="573"/>
      <c r="AP37" s="573"/>
      <c r="AQ37" s="573"/>
      <c r="AR37" s="573"/>
      <c r="AS37" s="573"/>
      <c r="AT37" s="573"/>
      <c r="AU37" s="573"/>
      <c r="AV37" s="573"/>
      <c r="AW37" s="573"/>
      <c r="AX37" s="573"/>
      <c r="AY37" s="573"/>
      <c r="AZ37" s="573"/>
      <c r="BA37" s="573"/>
      <c r="BB37" s="573"/>
      <c r="BC37" s="573"/>
      <c r="BD37" s="573"/>
      <c r="BE37" s="573"/>
      <c r="BF37" s="573"/>
      <c r="BG37" s="573"/>
      <c r="BH37" s="573"/>
      <c r="BI37" s="573"/>
      <c r="BJ37" s="573"/>
      <c r="BK37" s="573"/>
      <c r="BL37" s="573"/>
      <c r="BM37" s="573"/>
      <c r="BN37" s="573"/>
      <c r="BO37" s="573"/>
      <c r="BP37" s="573"/>
      <c r="BQ37" s="573"/>
      <c r="BR37" s="573"/>
      <c r="BS37" s="573"/>
      <c r="BT37" s="573"/>
      <c r="BU37" s="573"/>
    </row>
    <row r="38" spans="2:74" ht="13" outlineLevel="1" x14ac:dyDescent="0.2">
      <c r="B38" s="1067" t="s">
        <v>1215</v>
      </c>
      <c r="C38" s="1404"/>
      <c r="D38" s="1408">
        <f>H38</f>
        <v>0</v>
      </c>
      <c r="E38" s="1409">
        <f>D38*12/44</f>
        <v>0</v>
      </c>
      <c r="F38" s="182"/>
      <c r="G38" s="1410">
        <f>VLOOKUP($B38,'Emissions factors'!$B$1144:$D$1158,2,FALSE)</f>
        <v>-1.61</v>
      </c>
      <c r="H38" s="1411">
        <f>F38*G38</f>
        <v>0</v>
      </c>
      <c r="J38" s="1416">
        <f>VLOOKUP($B38,'Emissions factors'!$B$1144:$D$1158,3,FALSE)</f>
        <v>0.7</v>
      </c>
      <c r="K38" s="436"/>
      <c r="L38" s="1411">
        <f>H38*SQRT(J38^2+K38^2)</f>
        <v>0</v>
      </c>
      <c r="V38" s="573"/>
      <c r="W38" s="573"/>
      <c r="X38" s="573"/>
      <c r="Y38" s="573"/>
      <c r="Z38" s="573"/>
      <c r="AA38" s="573"/>
      <c r="AB38" s="573"/>
      <c r="AC38" s="573"/>
      <c r="AD38" s="573"/>
      <c r="AE38" s="573"/>
      <c r="AF38" s="573"/>
      <c r="AG38" s="573"/>
      <c r="AH38" s="573"/>
      <c r="AI38" s="573"/>
      <c r="AJ38" s="573"/>
      <c r="AK38" s="573"/>
      <c r="AL38" s="573"/>
      <c r="AM38" s="573"/>
      <c r="AN38" s="573"/>
      <c r="AO38" s="573"/>
      <c r="AP38" s="573"/>
      <c r="AQ38" s="573"/>
      <c r="AR38" s="573"/>
      <c r="AS38" s="573"/>
      <c r="AT38" s="573"/>
      <c r="AU38" s="573"/>
      <c r="AV38" s="573"/>
      <c r="AW38" s="573"/>
      <c r="AX38" s="573"/>
      <c r="AY38" s="573"/>
      <c r="AZ38" s="573"/>
      <c r="BA38" s="573"/>
      <c r="BB38" s="573"/>
      <c r="BC38" s="573"/>
      <c r="BD38" s="573"/>
      <c r="BE38" s="573"/>
      <c r="BF38" s="573"/>
      <c r="BG38" s="573"/>
      <c r="BH38" s="573"/>
      <c r="BI38" s="573"/>
      <c r="BJ38" s="573"/>
      <c r="BK38" s="573"/>
      <c r="BL38" s="573"/>
      <c r="BM38" s="573"/>
      <c r="BN38" s="573"/>
      <c r="BO38" s="573"/>
      <c r="BP38" s="573"/>
      <c r="BQ38" s="573"/>
      <c r="BR38" s="573"/>
      <c r="BS38" s="573"/>
      <c r="BT38" s="573"/>
      <c r="BU38" s="573"/>
    </row>
    <row r="39" spans="2:74" ht="13" outlineLevel="1" x14ac:dyDescent="0.2">
      <c r="B39" s="1067" t="s">
        <v>1221</v>
      </c>
      <c r="C39" s="1404"/>
      <c r="D39" s="1408">
        <f>H39</f>
        <v>0</v>
      </c>
      <c r="E39" s="1409">
        <f>D39*12/44</f>
        <v>0</v>
      </c>
      <c r="F39" s="185"/>
      <c r="G39" s="1410">
        <f>VLOOKUP($B39,'Emissions factors'!$B$1144:$D$1158,2,FALSE)</f>
        <v>190</v>
      </c>
      <c r="H39" s="1411">
        <f>F39*G39</f>
        <v>0</v>
      </c>
      <c r="J39" s="1416">
        <f>VLOOKUP($B39,'Emissions factors'!$B$1144:$D$1158,3,FALSE)</f>
        <v>0.7</v>
      </c>
      <c r="K39" s="437"/>
      <c r="L39" s="1411">
        <f>H39*SQRT(J39^2+K39^2)</f>
        <v>0</v>
      </c>
      <c r="V39" s="573"/>
      <c r="W39" s="573"/>
      <c r="X39" s="573"/>
      <c r="Y39" s="573"/>
      <c r="Z39" s="573"/>
      <c r="AA39" s="573"/>
      <c r="AB39" s="573"/>
      <c r="AC39" s="573"/>
      <c r="AD39" s="573"/>
      <c r="AE39" s="573"/>
      <c r="AF39" s="573"/>
      <c r="AG39" s="573"/>
      <c r="AH39" s="573"/>
      <c r="AI39" s="573"/>
      <c r="AJ39" s="573"/>
      <c r="AK39" s="573"/>
      <c r="AL39" s="573"/>
      <c r="AM39" s="573"/>
      <c r="AN39" s="573"/>
      <c r="AO39" s="573"/>
      <c r="AP39" s="573"/>
      <c r="AQ39" s="573"/>
      <c r="AR39" s="573"/>
      <c r="AS39" s="573"/>
      <c r="AT39" s="573"/>
      <c r="AU39" s="573"/>
      <c r="AV39" s="573"/>
      <c r="AW39" s="573"/>
      <c r="AX39" s="573"/>
      <c r="AY39" s="573"/>
      <c r="AZ39" s="573"/>
      <c r="BA39" s="573"/>
      <c r="BB39" s="573"/>
      <c r="BC39" s="573"/>
      <c r="BD39" s="573"/>
      <c r="BE39" s="573"/>
      <c r="BF39" s="573"/>
      <c r="BG39" s="573"/>
      <c r="BH39" s="573"/>
      <c r="BI39" s="573"/>
      <c r="BJ39" s="573"/>
      <c r="BK39" s="573"/>
      <c r="BL39" s="573"/>
      <c r="BM39" s="573"/>
      <c r="BN39" s="573"/>
      <c r="BO39" s="573"/>
      <c r="BP39" s="573"/>
      <c r="BQ39" s="573"/>
      <c r="BR39" s="573"/>
      <c r="BS39" s="573"/>
      <c r="BT39" s="573"/>
      <c r="BU39" s="573"/>
    </row>
    <row r="40" spans="2:74" ht="13" outlineLevel="1" x14ac:dyDescent="0.2">
      <c r="B40" s="1067" t="s">
        <v>1217</v>
      </c>
      <c r="C40" s="1404"/>
      <c r="D40" s="1408">
        <f>H40</f>
        <v>0</v>
      </c>
      <c r="E40" s="1409">
        <f>D40*12/44</f>
        <v>0</v>
      </c>
      <c r="F40" s="185"/>
      <c r="G40" s="1410">
        <f>VLOOKUP($B40,'Emissions factors'!$B$1144:$D$1158,2,FALSE)</f>
        <v>-1.8</v>
      </c>
      <c r="H40" s="1411">
        <f>F40*G40</f>
        <v>0</v>
      </c>
      <c r="J40" s="1416">
        <f>VLOOKUP($B40,'Emissions factors'!$B$1144:$D$1158,3,FALSE)</f>
        <v>0.7</v>
      </c>
      <c r="K40" s="437"/>
      <c r="L40" s="1411">
        <f>H40*SQRT(J40^2+K40^2)</f>
        <v>0</v>
      </c>
      <c r="V40" s="573"/>
      <c r="W40" s="573"/>
      <c r="X40" s="573"/>
      <c r="Y40" s="573"/>
      <c r="Z40" s="573"/>
      <c r="AA40" s="573"/>
      <c r="AB40" s="573"/>
      <c r="AC40" s="573"/>
      <c r="AD40" s="573"/>
      <c r="AE40" s="573"/>
      <c r="AF40" s="573"/>
      <c r="AG40" s="573"/>
      <c r="AH40" s="573"/>
      <c r="AI40" s="573"/>
      <c r="AJ40" s="573"/>
      <c r="AK40" s="573"/>
      <c r="AL40" s="573"/>
      <c r="AM40" s="573"/>
      <c r="AN40" s="573"/>
      <c r="AO40" s="573"/>
      <c r="AP40" s="573"/>
      <c r="AQ40" s="573"/>
      <c r="AR40" s="573"/>
      <c r="AS40" s="573"/>
      <c r="AT40" s="573"/>
      <c r="AU40" s="573"/>
      <c r="AV40" s="573"/>
      <c r="AW40" s="573"/>
      <c r="AX40" s="573"/>
      <c r="AY40" s="573"/>
      <c r="AZ40" s="573"/>
      <c r="BA40" s="573"/>
      <c r="BB40" s="573"/>
      <c r="BC40" s="573"/>
      <c r="BD40" s="573"/>
      <c r="BE40" s="573"/>
      <c r="BF40" s="573"/>
      <c r="BG40" s="573"/>
      <c r="BH40" s="573"/>
      <c r="BI40" s="573"/>
      <c r="BJ40" s="573"/>
      <c r="BK40" s="573"/>
      <c r="BL40" s="573"/>
      <c r="BM40" s="573"/>
      <c r="BN40" s="573"/>
      <c r="BO40" s="573"/>
      <c r="BP40" s="573"/>
      <c r="BQ40" s="573"/>
      <c r="BR40" s="573"/>
      <c r="BS40" s="573"/>
      <c r="BT40" s="573"/>
      <c r="BU40" s="573"/>
    </row>
    <row r="41" spans="2:74" ht="13" outlineLevel="1" x14ac:dyDescent="0.2">
      <c r="B41" s="1067" t="s">
        <v>1222</v>
      </c>
      <c r="C41" s="1404"/>
      <c r="D41" s="1408">
        <f>H41</f>
        <v>0</v>
      </c>
      <c r="E41" s="1409">
        <f>D41*12/44</f>
        <v>0</v>
      </c>
      <c r="F41" s="188"/>
      <c r="G41" s="1410">
        <f>VLOOKUP($B41,'Emissions factors'!$B$1144:$D$1158,2,FALSE)</f>
        <v>0</v>
      </c>
      <c r="H41" s="1411">
        <f>F41*G41</f>
        <v>0</v>
      </c>
      <c r="J41" s="1416">
        <f>VLOOKUP($B41,'Emissions factors'!$B$1144:$D$1158,3,FALSE)</f>
        <v>0.7</v>
      </c>
      <c r="K41" s="438"/>
      <c r="L41" s="1411">
        <f>H41*SQRT(J41^2+K41^2)</f>
        <v>0</v>
      </c>
      <c r="V41" s="573"/>
      <c r="W41" s="573"/>
      <c r="X41" s="573"/>
      <c r="Y41" s="573"/>
      <c r="Z41" s="573"/>
      <c r="AA41" s="573"/>
      <c r="AB41" s="573"/>
      <c r="AC41" s="573"/>
      <c r="AD41" s="573"/>
      <c r="AE41" s="573"/>
      <c r="AF41" s="573"/>
      <c r="AG41" s="573"/>
      <c r="AH41" s="573"/>
      <c r="AI41" s="573"/>
      <c r="AJ41" s="573"/>
      <c r="AK41" s="573"/>
      <c r="AL41" s="573"/>
      <c r="AM41" s="573"/>
      <c r="AN41" s="573"/>
      <c r="AO41" s="573"/>
      <c r="AP41" s="573"/>
      <c r="AQ41" s="573"/>
      <c r="AR41" s="573"/>
      <c r="AS41" s="573"/>
      <c r="AT41" s="573"/>
      <c r="AU41" s="573"/>
      <c r="AV41" s="573"/>
      <c r="AW41" s="573"/>
      <c r="AX41" s="573"/>
      <c r="AY41" s="573"/>
      <c r="AZ41" s="573"/>
      <c r="BA41" s="573"/>
      <c r="BB41" s="573"/>
      <c r="BC41" s="573"/>
      <c r="BD41" s="573"/>
      <c r="BE41" s="573"/>
      <c r="BF41" s="573"/>
      <c r="BG41" s="573"/>
      <c r="BH41" s="573"/>
      <c r="BI41" s="573"/>
      <c r="BJ41" s="573"/>
      <c r="BK41" s="573"/>
      <c r="BL41" s="573"/>
      <c r="BM41" s="573"/>
      <c r="BN41" s="573"/>
      <c r="BO41" s="573"/>
      <c r="BP41" s="573"/>
      <c r="BQ41" s="573"/>
      <c r="BR41" s="573"/>
      <c r="BS41" s="573"/>
      <c r="BT41" s="573"/>
      <c r="BU41" s="573"/>
    </row>
    <row r="42" spans="2:74" ht="13" outlineLevel="1" x14ac:dyDescent="0.2">
      <c r="B42" s="1067"/>
      <c r="C42" s="1122"/>
      <c r="D42" s="1412"/>
      <c r="E42" s="1413"/>
      <c r="F42" s="1122"/>
      <c r="G42" s="1122"/>
      <c r="H42" s="1414"/>
      <c r="J42" s="1067"/>
      <c r="K42" s="1417"/>
      <c r="L42" s="1418"/>
      <c r="V42" s="573"/>
      <c r="W42" s="573"/>
      <c r="X42" s="573"/>
      <c r="Y42" s="573"/>
      <c r="Z42" s="573"/>
      <c r="AA42" s="573"/>
      <c r="AB42" s="573"/>
      <c r="AC42" s="573"/>
      <c r="AD42" s="573"/>
      <c r="AE42" s="573"/>
      <c r="AF42" s="573"/>
      <c r="AG42" s="573"/>
      <c r="AH42" s="573"/>
      <c r="AI42" s="573"/>
      <c r="AJ42" s="573"/>
      <c r="AK42" s="573"/>
      <c r="AL42" s="573"/>
      <c r="AM42" s="573"/>
      <c r="AN42" s="573"/>
      <c r="AO42" s="573"/>
      <c r="AP42" s="573"/>
      <c r="AQ42" s="573"/>
      <c r="AR42" s="573"/>
      <c r="AS42" s="573"/>
      <c r="AT42" s="573"/>
      <c r="AU42" s="573"/>
      <c r="AV42" s="573"/>
      <c r="AW42" s="573"/>
      <c r="AX42" s="573"/>
      <c r="AY42" s="573"/>
      <c r="AZ42" s="573"/>
      <c r="BA42" s="573"/>
      <c r="BB42" s="573"/>
      <c r="BC42" s="573"/>
      <c r="BD42" s="573"/>
      <c r="BE42" s="573"/>
      <c r="BF42" s="573"/>
      <c r="BG42" s="573"/>
      <c r="BH42" s="573"/>
      <c r="BI42" s="573"/>
      <c r="BJ42" s="573"/>
      <c r="BK42" s="573"/>
      <c r="BL42" s="573"/>
      <c r="BM42" s="573"/>
      <c r="BN42" s="573"/>
      <c r="BO42" s="573"/>
      <c r="BP42" s="573"/>
      <c r="BQ42" s="573"/>
      <c r="BR42" s="573"/>
      <c r="BS42" s="573"/>
      <c r="BT42" s="573"/>
      <c r="BU42" s="573"/>
    </row>
    <row r="43" spans="2:74" ht="13" outlineLevel="1" x14ac:dyDescent="0.2">
      <c r="B43" s="1419" t="s">
        <v>44</v>
      </c>
      <c r="C43" s="1420"/>
      <c r="D43" s="1421">
        <f>SUM(D38:D42)</f>
        <v>0</v>
      </c>
      <c r="E43" s="1422">
        <f>SUM(E38:E42)</f>
        <v>0</v>
      </c>
      <c r="F43" s="1423"/>
      <c r="G43" s="1423"/>
      <c r="H43" s="1424">
        <f>SUM(H38:H42)</f>
        <v>0</v>
      </c>
      <c r="J43" s="1425"/>
      <c r="K43" s="1426"/>
      <c r="L43" s="1424">
        <f>SQRT(SUMSQ(L38:L42))</f>
        <v>0</v>
      </c>
      <c r="V43" s="573"/>
      <c r="W43" s="573"/>
      <c r="X43" s="573"/>
      <c r="Y43" s="573"/>
      <c r="Z43" s="573"/>
      <c r="AA43" s="573"/>
      <c r="AB43" s="573"/>
      <c r="AC43" s="573"/>
      <c r="AD43" s="573"/>
      <c r="AE43" s="573"/>
      <c r="AF43" s="573"/>
      <c r="AG43" s="573"/>
      <c r="AH43" s="573"/>
      <c r="AI43" s="573"/>
      <c r="AJ43" s="573"/>
      <c r="AK43" s="573"/>
      <c r="AL43" s="573"/>
      <c r="AM43" s="573"/>
      <c r="AN43" s="573"/>
      <c r="AO43" s="573"/>
      <c r="AP43" s="573"/>
      <c r="AQ43" s="573"/>
      <c r="AR43" s="573"/>
      <c r="AS43" s="573"/>
      <c r="AT43" s="573"/>
      <c r="AU43" s="573"/>
      <c r="AV43" s="573"/>
      <c r="AW43" s="573"/>
      <c r="AX43" s="573"/>
      <c r="AY43" s="573"/>
      <c r="AZ43" s="573"/>
      <c r="BA43" s="573"/>
      <c r="BB43" s="573"/>
      <c r="BC43" s="573"/>
      <c r="BD43" s="573"/>
      <c r="BE43" s="573"/>
      <c r="BF43" s="573"/>
      <c r="BG43" s="573"/>
      <c r="BH43" s="573"/>
      <c r="BI43" s="573"/>
      <c r="BJ43" s="573"/>
      <c r="BK43" s="573"/>
      <c r="BL43" s="573"/>
      <c r="BM43" s="573"/>
      <c r="BN43" s="573"/>
      <c r="BO43" s="573"/>
      <c r="BP43" s="573"/>
      <c r="BQ43" s="573"/>
      <c r="BR43" s="573"/>
      <c r="BS43" s="573"/>
      <c r="BT43" s="573"/>
      <c r="BU43" s="573"/>
    </row>
    <row r="44" spans="2:74" outlineLevel="1" x14ac:dyDescent="0.2">
      <c r="W44" s="573"/>
      <c r="X44" s="573"/>
      <c r="Y44" s="573"/>
      <c r="Z44" s="573"/>
      <c r="AA44" s="573"/>
      <c r="AB44" s="573"/>
      <c r="AC44" s="573"/>
      <c r="AD44" s="573"/>
      <c r="AE44" s="573"/>
      <c r="AF44" s="573"/>
      <c r="AG44" s="573"/>
      <c r="AH44" s="573"/>
      <c r="AI44" s="573"/>
      <c r="AJ44" s="573"/>
      <c r="AK44" s="573"/>
      <c r="AL44" s="573"/>
      <c r="AM44" s="573"/>
      <c r="AN44" s="573"/>
      <c r="AO44" s="573"/>
      <c r="AP44" s="573"/>
      <c r="AQ44" s="573"/>
      <c r="AR44" s="573"/>
      <c r="AS44" s="573"/>
      <c r="AT44" s="573"/>
      <c r="AU44" s="573"/>
      <c r="AV44" s="573"/>
      <c r="AW44" s="573"/>
      <c r="AX44" s="573"/>
      <c r="AY44" s="573"/>
      <c r="AZ44" s="573"/>
      <c r="BA44" s="573"/>
      <c r="BB44" s="573"/>
      <c r="BC44" s="573"/>
      <c r="BD44" s="573"/>
      <c r="BE44" s="573"/>
      <c r="BF44" s="573"/>
      <c r="BG44" s="573"/>
      <c r="BH44" s="573"/>
      <c r="BI44" s="573"/>
      <c r="BJ44" s="573"/>
      <c r="BK44" s="573"/>
      <c r="BL44" s="573"/>
      <c r="BM44" s="573"/>
      <c r="BN44" s="573"/>
      <c r="BO44" s="573"/>
      <c r="BP44" s="573"/>
      <c r="BQ44" s="573"/>
      <c r="BR44" s="573"/>
      <c r="BS44" s="573"/>
      <c r="BT44" s="573"/>
      <c r="BU44" s="573"/>
      <c r="BV44" s="573"/>
    </row>
    <row r="45" spans="2:74" ht="13" outlineLevel="1" x14ac:dyDescent="0.2">
      <c r="B45" s="1396" t="s">
        <v>3128</v>
      </c>
      <c r="C45" s="1397"/>
      <c r="D45" s="1398"/>
      <c r="E45" s="1398"/>
      <c r="F45" s="1399"/>
      <c r="G45" s="1399"/>
      <c r="H45" s="1400"/>
      <c r="J45" s="1928" t="s">
        <v>723</v>
      </c>
      <c r="K45" s="1929"/>
      <c r="L45" s="1930"/>
      <c r="W45" s="573"/>
      <c r="X45" s="573"/>
      <c r="Y45" s="573"/>
      <c r="Z45" s="573"/>
      <c r="AA45" s="573"/>
      <c r="AB45" s="573"/>
      <c r="AC45" s="573"/>
      <c r="AD45" s="573"/>
      <c r="AE45" s="573"/>
      <c r="AF45" s="573"/>
      <c r="AG45" s="573"/>
      <c r="AH45" s="573"/>
      <c r="AI45" s="573"/>
      <c r="AJ45" s="573"/>
      <c r="AK45" s="573"/>
      <c r="AL45" s="573"/>
      <c r="AM45" s="573"/>
      <c r="AN45" s="573"/>
      <c r="AO45" s="573"/>
      <c r="AP45" s="573"/>
      <c r="AQ45" s="573"/>
      <c r="AR45" s="573"/>
      <c r="AS45" s="573"/>
      <c r="AT45" s="573"/>
      <c r="AU45" s="573"/>
      <c r="AV45" s="573"/>
      <c r="AW45" s="573"/>
      <c r="AX45" s="573"/>
      <c r="AY45" s="573"/>
      <c r="AZ45" s="573"/>
      <c r="BA45" s="573"/>
      <c r="BB45" s="573"/>
      <c r="BC45" s="573"/>
      <c r="BD45" s="573"/>
      <c r="BE45" s="573"/>
      <c r="BF45" s="573"/>
      <c r="BG45" s="573"/>
      <c r="BH45" s="573"/>
      <c r="BI45" s="573"/>
      <c r="BJ45" s="573"/>
      <c r="BK45" s="573"/>
      <c r="BL45" s="573"/>
      <c r="BM45" s="573"/>
      <c r="BN45" s="573"/>
      <c r="BO45" s="573"/>
      <c r="BP45" s="573"/>
      <c r="BQ45" s="573"/>
      <c r="BR45" s="573"/>
      <c r="BS45" s="573"/>
      <c r="BT45" s="573"/>
      <c r="BU45" s="573"/>
      <c r="BV45" s="573"/>
    </row>
    <row r="46" spans="2:74" ht="13" outlineLevel="1" x14ac:dyDescent="0.2">
      <c r="B46" s="1067"/>
      <c r="C46" s="1122"/>
      <c r="D46" s="1401" t="s">
        <v>2052</v>
      </c>
      <c r="E46" s="1401" t="s">
        <v>2052</v>
      </c>
      <c r="F46" s="1122"/>
      <c r="G46" s="1122"/>
      <c r="H46" s="1402"/>
      <c r="J46" s="1403"/>
      <c r="K46" s="1415"/>
      <c r="L46" s="1402"/>
      <c r="W46" s="573"/>
      <c r="X46" s="573"/>
      <c r="Y46" s="573"/>
      <c r="Z46" s="573"/>
      <c r="AA46" s="573"/>
      <c r="AB46" s="573"/>
      <c r="AC46" s="573"/>
      <c r="AD46" s="573"/>
      <c r="AE46" s="573"/>
      <c r="AF46" s="573"/>
      <c r="AG46" s="573"/>
      <c r="AH46" s="573"/>
      <c r="AI46" s="573"/>
      <c r="AJ46" s="573"/>
      <c r="AK46" s="573"/>
      <c r="AL46" s="573"/>
      <c r="AM46" s="573"/>
      <c r="AN46" s="573"/>
      <c r="AO46" s="573"/>
      <c r="AP46" s="573"/>
      <c r="AQ46" s="573"/>
      <c r="AR46" s="573"/>
      <c r="AS46" s="573"/>
      <c r="AT46" s="573"/>
      <c r="AU46" s="573"/>
      <c r="AV46" s="573"/>
      <c r="AW46" s="573"/>
      <c r="AX46" s="573"/>
      <c r="AY46" s="573"/>
      <c r="AZ46" s="573"/>
      <c r="BA46" s="573"/>
      <c r="BB46" s="573"/>
      <c r="BC46" s="573"/>
      <c r="BD46" s="573"/>
      <c r="BE46" s="573"/>
      <c r="BF46" s="573"/>
      <c r="BG46" s="573"/>
      <c r="BH46" s="573"/>
      <c r="BI46" s="573"/>
      <c r="BJ46" s="573"/>
      <c r="BK46" s="573"/>
      <c r="BL46" s="573"/>
      <c r="BM46" s="573"/>
      <c r="BN46" s="573"/>
      <c r="BO46" s="573"/>
      <c r="BP46" s="573"/>
      <c r="BQ46" s="573"/>
      <c r="BR46" s="573"/>
      <c r="BS46" s="573"/>
      <c r="BT46" s="573"/>
      <c r="BU46" s="573"/>
      <c r="BV46" s="573"/>
    </row>
    <row r="47" spans="2:74" ht="13" outlineLevel="1" x14ac:dyDescent="0.2">
      <c r="B47" s="1403" t="s">
        <v>2750</v>
      </c>
      <c r="C47" s="1404"/>
      <c r="D47" s="1404" t="s">
        <v>56</v>
      </c>
      <c r="E47" s="1404" t="s">
        <v>56</v>
      </c>
      <c r="F47" s="1405" t="s">
        <v>130</v>
      </c>
      <c r="G47" s="1404" t="s">
        <v>66</v>
      </c>
      <c r="H47" s="1406" t="s">
        <v>66</v>
      </c>
      <c r="J47" s="1403" t="s">
        <v>2108</v>
      </c>
      <c r="K47" s="1415" t="s">
        <v>2110</v>
      </c>
      <c r="L47" s="1406" t="s">
        <v>66</v>
      </c>
      <c r="W47" s="573"/>
      <c r="X47" s="573"/>
      <c r="Y47" s="573"/>
      <c r="Z47" s="573"/>
      <c r="AA47" s="573"/>
      <c r="AB47" s="573"/>
      <c r="AC47" s="573"/>
      <c r="AD47" s="573"/>
      <c r="AE47" s="573"/>
      <c r="AF47" s="573"/>
      <c r="AG47" s="573"/>
      <c r="AH47" s="573"/>
      <c r="AI47" s="573"/>
      <c r="AJ47" s="573"/>
      <c r="AK47" s="573"/>
      <c r="AL47" s="573"/>
      <c r="AM47" s="573"/>
      <c r="AN47" s="573"/>
      <c r="AO47" s="573"/>
      <c r="AP47" s="573"/>
      <c r="AQ47" s="573"/>
      <c r="AR47" s="573"/>
      <c r="AS47" s="573"/>
      <c r="AT47" s="573"/>
      <c r="AU47" s="573"/>
      <c r="AV47" s="573"/>
      <c r="AW47" s="573"/>
      <c r="AX47" s="573"/>
      <c r="AY47" s="573"/>
      <c r="AZ47" s="573"/>
      <c r="BA47" s="573"/>
      <c r="BB47" s="573"/>
      <c r="BC47" s="573"/>
      <c r="BD47" s="573"/>
      <c r="BE47" s="573"/>
      <c r="BF47" s="573"/>
      <c r="BG47" s="573"/>
      <c r="BH47" s="573"/>
      <c r="BI47" s="573"/>
      <c r="BJ47" s="573"/>
      <c r="BK47" s="573"/>
      <c r="BL47" s="573"/>
      <c r="BM47" s="573"/>
      <c r="BN47" s="573"/>
      <c r="BO47" s="573"/>
      <c r="BP47" s="573"/>
      <c r="BQ47" s="573"/>
      <c r="BR47" s="573"/>
      <c r="BS47" s="573"/>
      <c r="BT47" s="573"/>
      <c r="BU47" s="573"/>
      <c r="BV47" s="573"/>
    </row>
    <row r="48" spans="2:74" ht="13" outlineLevel="1" x14ac:dyDescent="0.2">
      <c r="B48" s="1403"/>
      <c r="C48" s="1404"/>
      <c r="D48" s="1404" t="s">
        <v>66</v>
      </c>
      <c r="E48" s="1404" t="s">
        <v>65</v>
      </c>
      <c r="F48" s="1407" t="s">
        <v>129</v>
      </c>
      <c r="G48" s="1404" t="s">
        <v>2111</v>
      </c>
      <c r="H48" s="1406"/>
      <c r="J48" s="1403" t="s">
        <v>2109</v>
      </c>
      <c r="K48" s="1415"/>
      <c r="L48" s="1406"/>
      <c r="W48" s="573"/>
      <c r="X48" s="573"/>
      <c r="Y48" s="573"/>
      <c r="Z48" s="573"/>
      <c r="AA48" s="573"/>
      <c r="AB48" s="573"/>
      <c r="AC48" s="573"/>
      <c r="AD48" s="573"/>
      <c r="AE48" s="573"/>
      <c r="AF48" s="573"/>
      <c r="AG48" s="573"/>
      <c r="AH48" s="573"/>
      <c r="AI48" s="573"/>
      <c r="AJ48" s="573"/>
      <c r="AK48" s="573"/>
      <c r="AL48" s="573"/>
      <c r="AM48" s="573"/>
      <c r="AN48" s="573"/>
      <c r="AO48" s="573"/>
      <c r="AP48" s="573"/>
      <c r="AQ48" s="573"/>
      <c r="AR48" s="573"/>
      <c r="AS48" s="573"/>
      <c r="AT48" s="573"/>
      <c r="AU48" s="573"/>
      <c r="AV48" s="573"/>
      <c r="AW48" s="573"/>
      <c r="AX48" s="573"/>
      <c r="AY48" s="573"/>
      <c r="AZ48" s="573"/>
      <c r="BA48" s="573"/>
      <c r="BB48" s="573"/>
      <c r="BC48" s="573"/>
      <c r="BD48" s="573"/>
      <c r="BE48" s="573"/>
      <c r="BF48" s="573"/>
      <c r="BG48" s="573"/>
      <c r="BH48" s="573"/>
      <c r="BI48" s="573"/>
      <c r="BJ48" s="573"/>
      <c r="BK48" s="573"/>
      <c r="BL48" s="573"/>
      <c r="BM48" s="573"/>
      <c r="BN48" s="573"/>
      <c r="BO48" s="573"/>
      <c r="BP48" s="573"/>
      <c r="BQ48" s="573"/>
      <c r="BR48" s="573"/>
      <c r="BS48" s="573"/>
      <c r="BT48" s="573"/>
      <c r="BU48" s="573"/>
      <c r="BV48" s="573"/>
    </row>
    <row r="49" spans="2:74" ht="13" outlineLevel="1" x14ac:dyDescent="0.2">
      <c r="B49" s="1067" t="s">
        <v>1216</v>
      </c>
      <c r="C49" s="1404"/>
      <c r="D49" s="1408">
        <f>H49</f>
        <v>0</v>
      </c>
      <c r="E49" s="1409">
        <f>D49*12/44</f>
        <v>0</v>
      </c>
      <c r="F49" s="182"/>
      <c r="G49" s="1410">
        <f>VLOOKUP($B49,'Emissions factors'!$B$1144:$D$1158,2,FALSE)</f>
        <v>2.75</v>
      </c>
      <c r="H49" s="1411">
        <f>F49*G49</f>
        <v>0</v>
      </c>
      <c r="J49" s="1416">
        <f>VLOOKUP($B49,'Emissions factors'!$B$1144:$D$1158,3,FALSE)</f>
        <v>0.7</v>
      </c>
      <c r="K49" s="436"/>
      <c r="L49" s="1411">
        <f>H49*SQRT(J49^2+K49^2)</f>
        <v>0</v>
      </c>
      <c r="W49" s="573"/>
      <c r="X49" s="573"/>
      <c r="Y49" s="573"/>
      <c r="Z49" s="573"/>
      <c r="AA49" s="573"/>
      <c r="AB49" s="573"/>
      <c r="AC49" s="573"/>
      <c r="AD49" s="573"/>
      <c r="AE49" s="573"/>
      <c r="AF49" s="573"/>
      <c r="AG49" s="573"/>
      <c r="AH49" s="573"/>
      <c r="AI49" s="573"/>
      <c r="AJ49" s="573"/>
      <c r="AK49" s="573"/>
      <c r="AL49" s="573"/>
      <c r="AM49" s="573"/>
      <c r="AN49" s="573"/>
      <c r="AO49" s="573"/>
      <c r="AP49" s="573"/>
      <c r="AQ49" s="573"/>
      <c r="AR49" s="573"/>
      <c r="AS49" s="573"/>
      <c r="AT49" s="573"/>
      <c r="AU49" s="573"/>
      <c r="AV49" s="573"/>
      <c r="AW49" s="573"/>
      <c r="AX49" s="573"/>
      <c r="AY49" s="573"/>
      <c r="AZ49" s="573"/>
      <c r="BA49" s="573"/>
      <c r="BB49" s="573"/>
      <c r="BC49" s="573"/>
      <c r="BD49" s="573"/>
      <c r="BE49" s="573"/>
      <c r="BF49" s="573"/>
      <c r="BG49" s="573"/>
      <c r="BH49" s="573"/>
      <c r="BI49" s="573"/>
      <c r="BJ49" s="573"/>
      <c r="BK49" s="573"/>
      <c r="BL49" s="573"/>
      <c r="BM49" s="573"/>
      <c r="BN49" s="573"/>
      <c r="BO49" s="573"/>
      <c r="BP49" s="573"/>
      <c r="BQ49" s="573"/>
      <c r="BR49" s="573"/>
      <c r="BS49" s="573"/>
      <c r="BT49" s="573"/>
      <c r="BU49" s="573"/>
      <c r="BV49" s="573"/>
    </row>
    <row r="50" spans="2:74" ht="13" outlineLevel="1" x14ac:dyDescent="0.2">
      <c r="B50" s="1067" t="s">
        <v>1223</v>
      </c>
      <c r="C50" s="1404"/>
      <c r="D50" s="1408">
        <f>H50</f>
        <v>0</v>
      </c>
      <c r="E50" s="1409">
        <f>D50*12/44</f>
        <v>0</v>
      </c>
      <c r="F50" s="185"/>
      <c r="G50" s="1410">
        <f>VLOOKUP($B50,'Emissions factors'!$B$1144:$D$1158,2,FALSE)</f>
        <v>290</v>
      </c>
      <c r="H50" s="1411">
        <f>F50*G50</f>
        <v>0</v>
      </c>
      <c r="J50" s="1416">
        <f>VLOOKUP($B50,'Emissions factors'!$B$1144:$D$1158,3,FALSE)</f>
        <v>0.7</v>
      </c>
      <c r="K50" s="437"/>
      <c r="L50" s="1411">
        <f>H50*SQRT(J50^2+K50^2)</f>
        <v>0</v>
      </c>
      <c r="W50" s="573"/>
      <c r="X50" s="573"/>
      <c r="Y50" s="573"/>
      <c r="Z50" s="573"/>
      <c r="AA50" s="573"/>
      <c r="AB50" s="573"/>
      <c r="AC50" s="573"/>
      <c r="AD50" s="573"/>
      <c r="AE50" s="573"/>
      <c r="AF50" s="573"/>
      <c r="AG50" s="573"/>
      <c r="AH50" s="573"/>
      <c r="AI50" s="573"/>
      <c r="AJ50" s="573"/>
      <c r="AK50" s="573"/>
      <c r="AL50" s="573"/>
      <c r="AM50" s="573"/>
      <c r="AN50" s="573"/>
      <c r="AO50" s="573"/>
      <c r="AP50" s="573"/>
      <c r="AQ50" s="573"/>
      <c r="AR50" s="573"/>
      <c r="AS50" s="573"/>
      <c r="AT50" s="573"/>
      <c r="AU50" s="573"/>
      <c r="AV50" s="573"/>
      <c r="AW50" s="573"/>
      <c r="AX50" s="573"/>
      <c r="AY50" s="573"/>
      <c r="AZ50" s="573"/>
      <c r="BA50" s="573"/>
      <c r="BB50" s="573"/>
      <c r="BC50" s="573"/>
      <c r="BD50" s="573"/>
      <c r="BE50" s="573"/>
      <c r="BF50" s="573"/>
      <c r="BG50" s="573"/>
      <c r="BH50" s="573"/>
      <c r="BI50" s="573"/>
      <c r="BJ50" s="573"/>
      <c r="BK50" s="573"/>
      <c r="BL50" s="573"/>
      <c r="BM50" s="573"/>
      <c r="BN50" s="573"/>
      <c r="BO50" s="573"/>
      <c r="BP50" s="573"/>
      <c r="BQ50" s="573"/>
      <c r="BR50" s="573"/>
      <c r="BS50" s="573"/>
      <c r="BT50" s="573"/>
      <c r="BU50" s="573"/>
      <c r="BV50" s="573"/>
    </row>
    <row r="51" spans="2:74" ht="13" outlineLevel="1" x14ac:dyDescent="0.2">
      <c r="B51" s="1067" t="s">
        <v>1218</v>
      </c>
      <c r="C51" s="1404"/>
      <c r="D51" s="1408">
        <f>H51</f>
        <v>0</v>
      </c>
      <c r="E51" s="1409">
        <f>D51*12/44</f>
        <v>0</v>
      </c>
      <c r="F51" s="185"/>
      <c r="G51" s="1410">
        <f>VLOOKUP($B51,'Emissions factors'!$B$1144:$D$1158,2,FALSE)</f>
        <v>0.37</v>
      </c>
      <c r="H51" s="1411">
        <f>F51*G51</f>
        <v>0</v>
      </c>
      <c r="J51" s="1416">
        <f>VLOOKUP($B51,'Emissions factors'!$B$1144:$D$1158,3,FALSE)</f>
        <v>0.7</v>
      </c>
      <c r="K51" s="437"/>
      <c r="L51" s="1411">
        <f>H51*SQRT(J51^2+K51^2)</f>
        <v>0</v>
      </c>
      <c r="W51" s="573"/>
      <c r="X51" s="573"/>
      <c r="Y51" s="573"/>
      <c r="Z51" s="573"/>
      <c r="AA51" s="573"/>
      <c r="AB51" s="573"/>
      <c r="AC51" s="573"/>
      <c r="AD51" s="573"/>
      <c r="AE51" s="573"/>
      <c r="AF51" s="573"/>
      <c r="AG51" s="573"/>
      <c r="AH51" s="573"/>
      <c r="AI51" s="573"/>
      <c r="AJ51" s="573"/>
      <c r="AK51" s="573"/>
      <c r="AL51" s="573"/>
      <c r="AM51" s="573"/>
      <c r="AN51" s="573"/>
      <c r="AO51" s="573"/>
      <c r="AP51" s="573"/>
      <c r="AQ51" s="573"/>
      <c r="AR51" s="573"/>
      <c r="AS51" s="573"/>
      <c r="AT51" s="573"/>
      <c r="AU51" s="573"/>
      <c r="AV51" s="573"/>
      <c r="AW51" s="573"/>
      <c r="AX51" s="573"/>
      <c r="AY51" s="573"/>
      <c r="AZ51" s="573"/>
      <c r="BA51" s="573"/>
      <c r="BB51" s="573"/>
      <c r="BC51" s="573"/>
      <c r="BD51" s="573"/>
      <c r="BE51" s="573"/>
      <c r="BF51" s="573"/>
      <c r="BG51" s="573"/>
      <c r="BH51" s="573"/>
      <c r="BI51" s="573"/>
      <c r="BJ51" s="573"/>
      <c r="BK51" s="573"/>
      <c r="BL51" s="573"/>
      <c r="BM51" s="573"/>
      <c r="BN51" s="573"/>
      <c r="BO51" s="573"/>
      <c r="BP51" s="573"/>
      <c r="BQ51" s="573"/>
      <c r="BR51" s="573"/>
      <c r="BS51" s="573"/>
      <c r="BT51" s="573"/>
      <c r="BU51" s="573"/>
      <c r="BV51" s="573"/>
    </row>
    <row r="52" spans="2:74" ht="13" outlineLevel="1" x14ac:dyDescent="0.2">
      <c r="B52" s="1067" t="s">
        <v>1224</v>
      </c>
      <c r="C52" s="1404"/>
      <c r="D52" s="1408">
        <f>H52</f>
        <v>0</v>
      </c>
      <c r="E52" s="1409">
        <f>D52*12/44</f>
        <v>0</v>
      </c>
      <c r="F52" s="188"/>
      <c r="G52" s="1410">
        <f>VLOOKUP($B52,'Emissions factors'!$B$1144:$D$1158,2,FALSE)</f>
        <v>0</v>
      </c>
      <c r="H52" s="1411">
        <f>F52*G52</f>
        <v>0</v>
      </c>
      <c r="J52" s="1416">
        <f>VLOOKUP($B52,'Emissions factors'!$B$1144:$D$1158,3,FALSE)</f>
        <v>0.7</v>
      </c>
      <c r="K52" s="438"/>
      <c r="L52" s="1411">
        <f>H52*SQRT(J52^2+K52^2)</f>
        <v>0</v>
      </c>
      <c r="W52" s="573"/>
      <c r="X52" s="573"/>
      <c r="Y52" s="573"/>
      <c r="Z52" s="573"/>
      <c r="AA52" s="573"/>
      <c r="AB52" s="573"/>
      <c r="AC52" s="573"/>
      <c r="AD52" s="573"/>
      <c r="AE52" s="573"/>
      <c r="AF52" s="573"/>
      <c r="AG52" s="573"/>
      <c r="AH52" s="573"/>
      <c r="AI52" s="573"/>
      <c r="AJ52" s="573"/>
      <c r="AK52" s="573"/>
      <c r="AL52" s="573"/>
      <c r="AM52" s="573"/>
      <c r="AN52" s="573"/>
      <c r="AO52" s="573"/>
      <c r="AP52" s="573"/>
      <c r="AQ52" s="573"/>
      <c r="AR52" s="573"/>
      <c r="AS52" s="573"/>
      <c r="AT52" s="573"/>
      <c r="AU52" s="573"/>
      <c r="AV52" s="573"/>
      <c r="AW52" s="573"/>
      <c r="AX52" s="573"/>
      <c r="AY52" s="573"/>
      <c r="AZ52" s="573"/>
      <c r="BA52" s="573"/>
      <c r="BB52" s="573"/>
      <c r="BC52" s="573"/>
      <c r="BD52" s="573"/>
      <c r="BE52" s="573"/>
      <c r="BF52" s="573"/>
      <c r="BG52" s="573"/>
      <c r="BH52" s="573"/>
      <c r="BI52" s="573"/>
      <c r="BJ52" s="573"/>
      <c r="BK52" s="573"/>
      <c r="BL52" s="573"/>
      <c r="BM52" s="573"/>
      <c r="BN52" s="573"/>
      <c r="BO52" s="573"/>
      <c r="BP52" s="573"/>
      <c r="BQ52" s="573"/>
      <c r="BR52" s="573"/>
      <c r="BS52" s="573"/>
      <c r="BT52" s="573"/>
      <c r="BU52" s="573"/>
      <c r="BV52" s="573"/>
    </row>
    <row r="53" spans="2:74" ht="13" outlineLevel="1" x14ac:dyDescent="0.2">
      <c r="B53" s="1067"/>
      <c r="C53" s="1122"/>
      <c r="D53" s="1412"/>
      <c r="E53" s="1413"/>
      <c r="F53" s="1122"/>
      <c r="G53" s="1122"/>
      <c r="H53" s="1414"/>
      <c r="J53" s="1067"/>
      <c r="K53" s="1417"/>
      <c r="L53" s="1418"/>
      <c r="W53" s="573"/>
      <c r="X53" s="573"/>
      <c r="Y53" s="573"/>
      <c r="Z53" s="573"/>
      <c r="AA53" s="573"/>
      <c r="AB53" s="573"/>
      <c r="AC53" s="573"/>
      <c r="AD53" s="573"/>
      <c r="AE53" s="573"/>
      <c r="AF53" s="573"/>
      <c r="AG53" s="573"/>
      <c r="AH53" s="573"/>
      <c r="AI53" s="573"/>
      <c r="AJ53" s="573"/>
      <c r="AK53" s="573"/>
      <c r="AL53" s="573"/>
      <c r="AM53" s="573"/>
      <c r="AN53" s="573"/>
      <c r="AO53" s="573"/>
      <c r="AP53" s="573"/>
      <c r="AQ53" s="573"/>
      <c r="AR53" s="573"/>
      <c r="AS53" s="573"/>
      <c r="AT53" s="573"/>
      <c r="AU53" s="573"/>
      <c r="AV53" s="573"/>
      <c r="AW53" s="573"/>
      <c r="AX53" s="573"/>
      <c r="AY53" s="573"/>
      <c r="AZ53" s="573"/>
      <c r="BA53" s="573"/>
      <c r="BB53" s="573"/>
      <c r="BC53" s="573"/>
      <c r="BD53" s="573"/>
      <c r="BE53" s="573"/>
      <c r="BF53" s="573"/>
      <c r="BG53" s="573"/>
      <c r="BH53" s="573"/>
      <c r="BI53" s="573"/>
      <c r="BJ53" s="573"/>
      <c r="BK53" s="573"/>
      <c r="BL53" s="573"/>
      <c r="BM53" s="573"/>
      <c r="BN53" s="573"/>
      <c r="BO53" s="573"/>
      <c r="BP53" s="573"/>
      <c r="BQ53" s="573"/>
      <c r="BR53" s="573"/>
      <c r="BS53" s="573"/>
      <c r="BT53" s="573"/>
      <c r="BU53" s="573"/>
      <c r="BV53" s="573"/>
    </row>
    <row r="54" spans="2:74" ht="13" outlineLevel="1" x14ac:dyDescent="0.2">
      <c r="B54" s="1419" t="s">
        <v>44</v>
      </c>
      <c r="C54" s="1420"/>
      <c r="D54" s="1421">
        <f>SUM(D49:D53)</f>
        <v>0</v>
      </c>
      <c r="E54" s="1422">
        <f>SUM(E49:E53)</f>
        <v>0</v>
      </c>
      <c r="F54" s="1423"/>
      <c r="G54" s="1423"/>
      <c r="H54" s="1424">
        <f>SUM(H49:H53)</f>
        <v>0</v>
      </c>
      <c r="J54" s="1425"/>
      <c r="K54" s="1426"/>
      <c r="L54" s="1424">
        <f>SQRT(SUMSQ(L49:L53))</f>
        <v>0</v>
      </c>
      <c r="W54" s="573"/>
      <c r="X54" s="573"/>
      <c r="Y54" s="573"/>
      <c r="Z54" s="573"/>
      <c r="AA54" s="573"/>
      <c r="AB54" s="573"/>
      <c r="AC54" s="573"/>
      <c r="AD54" s="573"/>
      <c r="AE54" s="573"/>
      <c r="AF54" s="573"/>
      <c r="AG54" s="573"/>
      <c r="AH54" s="573"/>
      <c r="AI54" s="573"/>
      <c r="AJ54" s="573"/>
      <c r="AK54" s="573"/>
      <c r="AL54" s="573"/>
      <c r="AM54" s="573"/>
      <c r="AN54" s="573"/>
      <c r="AO54" s="573"/>
      <c r="AP54" s="573"/>
      <c r="AQ54" s="573"/>
      <c r="AR54" s="573"/>
      <c r="AS54" s="573"/>
      <c r="AT54" s="573"/>
      <c r="AU54" s="573"/>
      <c r="AV54" s="573"/>
      <c r="AW54" s="573"/>
      <c r="AX54" s="573"/>
      <c r="AY54" s="573"/>
      <c r="AZ54" s="573"/>
      <c r="BA54" s="573"/>
      <c r="BB54" s="573"/>
      <c r="BC54" s="573"/>
      <c r="BD54" s="573"/>
      <c r="BE54" s="573"/>
      <c r="BF54" s="573"/>
      <c r="BG54" s="573"/>
      <c r="BH54" s="573"/>
      <c r="BI54" s="573"/>
      <c r="BJ54" s="573"/>
      <c r="BK54" s="573"/>
      <c r="BL54" s="573"/>
      <c r="BM54" s="573"/>
      <c r="BN54" s="573"/>
      <c r="BO54" s="573"/>
      <c r="BP54" s="573"/>
      <c r="BQ54" s="573"/>
      <c r="BR54" s="573"/>
      <c r="BS54" s="573"/>
      <c r="BT54" s="573"/>
      <c r="BU54" s="573"/>
      <c r="BV54" s="573"/>
    </row>
    <row r="55" spans="2:74" outlineLevel="1" x14ac:dyDescent="0.2">
      <c r="W55" s="573"/>
      <c r="X55" s="573"/>
      <c r="Y55" s="573"/>
      <c r="Z55" s="573"/>
      <c r="AA55" s="573"/>
      <c r="AB55" s="573"/>
      <c r="AC55" s="573"/>
      <c r="AD55" s="573"/>
      <c r="AE55" s="573"/>
      <c r="AF55" s="573"/>
      <c r="AG55" s="573"/>
      <c r="AH55" s="573"/>
      <c r="AI55" s="573"/>
      <c r="AJ55" s="573"/>
      <c r="AK55" s="573"/>
      <c r="AL55" s="573"/>
      <c r="AM55" s="573"/>
      <c r="AN55" s="573"/>
      <c r="AO55" s="573"/>
      <c r="AP55" s="573"/>
      <c r="AQ55" s="573"/>
      <c r="AR55" s="573"/>
      <c r="AS55" s="573"/>
      <c r="AT55" s="573"/>
      <c r="AU55" s="573"/>
      <c r="AV55" s="573"/>
      <c r="AW55" s="573"/>
      <c r="AX55" s="573"/>
      <c r="AY55" s="573"/>
      <c r="AZ55" s="573"/>
      <c r="BA55" s="573"/>
      <c r="BB55" s="573"/>
      <c r="BC55" s="573"/>
      <c r="BD55" s="573"/>
      <c r="BE55" s="573"/>
      <c r="BF55" s="573"/>
      <c r="BG55" s="573"/>
      <c r="BH55" s="573"/>
      <c r="BI55" s="573"/>
      <c r="BJ55" s="573"/>
      <c r="BK55" s="573"/>
      <c r="BL55" s="573"/>
      <c r="BM55" s="573"/>
      <c r="BN55" s="573"/>
      <c r="BO55" s="573"/>
      <c r="BP55" s="573"/>
      <c r="BQ55" s="573"/>
      <c r="BR55" s="573"/>
      <c r="BS55" s="573"/>
      <c r="BT55" s="573"/>
      <c r="BU55" s="573"/>
      <c r="BV55" s="573"/>
    </row>
    <row r="56" spans="2:74" ht="13" outlineLevel="1" x14ac:dyDescent="0.2">
      <c r="B56" s="1396" t="s">
        <v>3130</v>
      </c>
      <c r="C56" s="1397"/>
      <c r="D56" s="1398"/>
      <c r="E56" s="1398"/>
      <c r="F56" s="1399"/>
      <c r="G56" s="1399"/>
      <c r="H56" s="1400"/>
      <c r="J56" s="1928" t="s">
        <v>723</v>
      </c>
      <c r="K56" s="1929"/>
      <c r="L56" s="1930"/>
      <c r="W56" s="573"/>
      <c r="X56" s="573"/>
      <c r="Y56" s="573"/>
      <c r="Z56" s="573"/>
      <c r="AA56" s="573"/>
      <c r="AB56" s="573"/>
      <c r="AC56" s="573"/>
      <c r="AD56" s="573"/>
      <c r="AE56" s="573"/>
      <c r="AF56" s="573"/>
      <c r="AG56" s="573"/>
      <c r="AH56" s="573"/>
      <c r="AI56" s="573"/>
      <c r="AJ56" s="573"/>
      <c r="AK56" s="573"/>
      <c r="AL56" s="573"/>
      <c r="AM56" s="573"/>
      <c r="AN56" s="573"/>
      <c r="AO56" s="573"/>
      <c r="AP56" s="573"/>
      <c r="AQ56" s="573"/>
      <c r="AR56" s="573"/>
      <c r="AS56" s="573"/>
      <c r="AT56" s="573"/>
      <c r="AU56" s="573"/>
      <c r="AV56" s="573"/>
      <c r="AW56" s="573"/>
      <c r="AX56" s="573"/>
      <c r="AY56" s="573"/>
      <c r="AZ56" s="573"/>
      <c r="BA56" s="573"/>
      <c r="BB56" s="573"/>
      <c r="BC56" s="573"/>
      <c r="BD56" s="573"/>
      <c r="BE56" s="573"/>
      <c r="BF56" s="573"/>
      <c r="BG56" s="573"/>
      <c r="BH56" s="573"/>
      <c r="BI56" s="573"/>
      <c r="BJ56" s="573"/>
      <c r="BK56" s="573"/>
      <c r="BL56" s="573"/>
      <c r="BM56" s="573"/>
      <c r="BN56" s="573"/>
      <c r="BO56" s="573"/>
      <c r="BP56" s="573"/>
      <c r="BQ56" s="573"/>
      <c r="BR56" s="573"/>
      <c r="BS56" s="573"/>
      <c r="BT56" s="573"/>
      <c r="BU56" s="573"/>
      <c r="BV56" s="573"/>
    </row>
    <row r="57" spans="2:74" ht="13" outlineLevel="1" x14ac:dyDescent="0.2">
      <c r="B57" s="1067"/>
      <c r="C57" s="1122"/>
      <c r="D57" s="1401" t="s">
        <v>2052</v>
      </c>
      <c r="E57" s="1401" t="s">
        <v>2052</v>
      </c>
      <c r="F57" s="1122"/>
      <c r="G57" s="1122"/>
      <c r="H57" s="1402"/>
      <c r="J57" s="1403"/>
      <c r="K57" s="1415"/>
      <c r="L57" s="1402"/>
      <c r="W57" s="573"/>
      <c r="X57" s="573"/>
      <c r="Y57" s="573"/>
      <c r="Z57" s="573"/>
      <c r="AA57" s="573"/>
      <c r="AB57" s="573"/>
      <c r="AC57" s="573"/>
      <c r="AD57" s="573"/>
      <c r="AE57" s="573"/>
      <c r="AF57" s="573"/>
      <c r="AG57" s="573"/>
      <c r="AH57" s="573"/>
      <c r="AI57" s="573"/>
      <c r="AJ57" s="573"/>
      <c r="AK57" s="573"/>
      <c r="AL57" s="573"/>
      <c r="AM57" s="573"/>
      <c r="AN57" s="573"/>
      <c r="AO57" s="573"/>
      <c r="AP57" s="573"/>
      <c r="AQ57" s="573"/>
      <c r="AR57" s="573"/>
      <c r="AS57" s="573"/>
      <c r="AT57" s="573"/>
      <c r="AU57" s="573"/>
      <c r="AV57" s="573"/>
      <c r="AW57" s="573"/>
      <c r="AX57" s="573"/>
      <c r="AY57" s="573"/>
      <c r="AZ57" s="573"/>
      <c r="BA57" s="573"/>
      <c r="BB57" s="573"/>
      <c r="BC57" s="573"/>
      <c r="BD57" s="573"/>
      <c r="BE57" s="573"/>
      <c r="BF57" s="573"/>
      <c r="BG57" s="573"/>
      <c r="BH57" s="573"/>
      <c r="BI57" s="573"/>
      <c r="BJ57" s="573"/>
      <c r="BK57" s="573"/>
      <c r="BL57" s="573"/>
      <c r="BM57" s="573"/>
      <c r="BN57" s="573"/>
      <c r="BO57" s="573"/>
      <c r="BP57" s="573"/>
      <c r="BQ57" s="573"/>
      <c r="BR57" s="573"/>
      <c r="BS57" s="573"/>
      <c r="BT57" s="573"/>
      <c r="BU57" s="573"/>
      <c r="BV57" s="573"/>
    </row>
    <row r="58" spans="2:74" ht="13" outlineLevel="1" x14ac:dyDescent="0.2">
      <c r="B58" s="1403" t="s">
        <v>2750</v>
      </c>
      <c r="C58" s="1404"/>
      <c r="D58" s="1404" t="s">
        <v>56</v>
      </c>
      <c r="E58" s="1404" t="s">
        <v>56</v>
      </c>
      <c r="F58" s="1405" t="s">
        <v>130</v>
      </c>
      <c r="G58" s="1404" t="s">
        <v>66</v>
      </c>
      <c r="H58" s="1406" t="s">
        <v>66</v>
      </c>
      <c r="J58" s="1403" t="s">
        <v>2108</v>
      </c>
      <c r="K58" s="1415" t="s">
        <v>2110</v>
      </c>
      <c r="L58" s="1406" t="s">
        <v>66</v>
      </c>
      <c r="W58" s="573"/>
      <c r="X58" s="573"/>
      <c r="Y58" s="573"/>
      <c r="Z58" s="573"/>
      <c r="AA58" s="573"/>
      <c r="AB58" s="573"/>
      <c r="AC58" s="573"/>
      <c r="AD58" s="573"/>
      <c r="AE58" s="573"/>
      <c r="AF58" s="573"/>
      <c r="AG58" s="573"/>
      <c r="AH58" s="573"/>
      <c r="AI58" s="573"/>
      <c r="AJ58" s="573"/>
      <c r="AK58" s="573"/>
      <c r="AL58" s="573"/>
      <c r="AM58" s="573"/>
      <c r="AN58" s="573"/>
      <c r="AO58" s="573"/>
      <c r="AP58" s="573"/>
      <c r="AQ58" s="573"/>
      <c r="AR58" s="573"/>
      <c r="AS58" s="573"/>
      <c r="AT58" s="573"/>
      <c r="AU58" s="573"/>
      <c r="AV58" s="573"/>
      <c r="AW58" s="573"/>
      <c r="AX58" s="573"/>
      <c r="AY58" s="573"/>
      <c r="AZ58" s="573"/>
      <c r="BA58" s="573"/>
      <c r="BB58" s="573"/>
      <c r="BC58" s="573"/>
      <c r="BD58" s="573"/>
      <c r="BE58" s="573"/>
      <c r="BF58" s="573"/>
      <c r="BG58" s="573"/>
      <c r="BH58" s="573"/>
      <c r="BI58" s="573"/>
      <c r="BJ58" s="573"/>
      <c r="BK58" s="573"/>
      <c r="BL58" s="573"/>
      <c r="BM58" s="573"/>
      <c r="BN58" s="573"/>
      <c r="BO58" s="573"/>
      <c r="BP58" s="573"/>
      <c r="BQ58" s="573"/>
      <c r="BR58" s="573"/>
      <c r="BS58" s="573"/>
      <c r="BT58" s="573"/>
      <c r="BU58" s="573"/>
      <c r="BV58" s="573"/>
    </row>
    <row r="59" spans="2:74" ht="13" outlineLevel="1" x14ac:dyDescent="0.2">
      <c r="B59" s="1403"/>
      <c r="C59" s="1404"/>
      <c r="D59" s="1404" t="s">
        <v>66</v>
      </c>
      <c r="E59" s="1404" t="s">
        <v>65</v>
      </c>
      <c r="F59" s="1407" t="s">
        <v>129</v>
      </c>
      <c r="G59" s="1404" t="s">
        <v>2111</v>
      </c>
      <c r="H59" s="1406"/>
      <c r="J59" s="1403" t="s">
        <v>2109</v>
      </c>
      <c r="K59" s="1415"/>
      <c r="L59" s="1406"/>
      <c r="W59" s="573"/>
      <c r="X59" s="573"/>
      <c r="Y59" s="573"/>
      <c r="Z59" s="573"/>
      <c r="AA59" s="573"/>
      <c r="AB59" s="573"/>
      <c r="AC59" s="573"/>
      <c r="AD59" s="573"/>
      <c r="AE59" s="573"/>
      <c r="AF59" s="573"/>
      <c r="AG59" s="573"/>
      <c r="AH59" s="573"/>
      <c r="AI59" s="573"/>
      <c r="AJ59" s="573"/>
      <c r="AK59" s="573"/>
      <c r="AL59" s="573"/>
      <c r="AM59" s="573"/>
      <c r="AN59" s="573"/>
      <c r="AO59" s="573"/>
      <c r="AP59" s="573"/>
      <c r="AQ59" s="573"/>
      <c r="AR59" s="573"/>
      <c r="AS59" s="573"/>
      <c r="AT59" s="573"/>
      <c r="AU59" s="573"/>
      <c r="AV59" s="573"/>
      <c r="AW59" s="573"/>
      <c r="AX59" s="573"/>
      <c r="AY59" s="573"/>
      <c r="AZ59" s="573"/>
      <c r="BA59" s="573"/>
      <c r="BB59" s="573"/>
      <c r="BC59" s="573"/>
      <c r="BD59" s="573"/>
      <c r="BE59" s="573"/>
      <c r="BF59" s="573"/>
      <c r="BG59" s="573"/>
      <c r="BH59" s="573"/>
      <c r="BI59" s="573"/>
      <c r="BJ59" s="573"/>
      <c r="BK59" s="573"/>
      <c r="BL59" s="573"/>
      <c r="BM59" s="573"/>
      <c r="BN59" s="573"/>
      <c r="BO59" s="573"/>
      <c r="BP59" s="573"/>
      <c r="BQ59" s="573"/>
      <c r="BR59" s="573"/>
      <c r="BS59" s="573"/>
      <c r="BT59" s="573"/>
      <c r="BU59" s="573"/>
      <c r="BV59" s="573"/>
    </row>
    <row r="60" spans="2:74" ht="13" outlineLevel="1" x14ac:dyDescent="0.2">
      <c r="B60" s="1067" t="s">
        <v>1219</v>
      </c>
      <c r="C60" s="1404"/>
      <c r="D60" s="1408">
        <f>H60</f>
        <v>0</v>
      </c>
      <c r="E60" s="1409">
        <f>D60*12/44</f>
        <v>0</v>
      </c>
      <c r="F60" s="182"/>
      <c r="G60" s="1410">
        <f>VLOOKUP($B60,'Emissions factors'!$B$1144:$D$1158,2,FALSE)</f>
        <v>0.95</v>
      </c>
      <c r="H60" s="1411">
        <f>F60*G60</f>
        <v>0</v>
      </c>
      <c r="J60" s="1416">
        <f>VLOOKUP($B60,'Emissions factors'!$B$1144:$D$1158,3,FALSE)</f>
        <v>0.7</v>
      </c>
      <c r="K60" s="436"/>
      <c r="L60" s="1411">
        <f>H60*SQRT(J60^2+K60^2)</f>
        <v>0</v>
      </c>
      <c r="W60" s="573"/>
      <c r="X60" s="573"/>
      <c r="Y60" s="573"/>
      <c r="Z60" s="573"/>
      <c r="AA60" s="573"/>
      <c r="AB60" s="573"/>
      <c r="AC60" s="573"/>
      <c r="AD60" s="573"/>
      <c r="AE60" s="573"/>
      <c r="AF60" s="573"/>
      <c r="AG60" s="573"/>
      <c r="AH60" s="573"/>
      <c r="AI60" s="573"/>
      <c r="AJ60" s="573"/>
      <c r="AK60" s="573"/>
      <c r="AL60" s="573"/>
      <c r="AM60" s="573"/>
      <c r="AN60" s="573"/>
      <c r="AO60" s="573"/>
      <c r="AP60" s="573"/>
      <c r="AQ60" s="573"/>
      <c r="AR60" s="573"/>
      <c r="AS60" s="573"/>
      <c r="AT60" s="573"/>
      <c r="AU60" s="573"/>
      <c r="AV60" s="573"/>
      <c r="AW60" s="573"/>
      <c r="AX60" s="573"/>
      <c r="AY60" s="573"/>
      <c r="AZ60" s="573"/>
      <c r="BA60" s="573"/>
      <c r="BB60" s="573"/>
      <c r="BC60" s="573"/>
      <c r="BD60" s="573"/>
      <c r="BE60" s="573"/>
      <c r="BF60" s="573"/>
      <c r="BG60" s="573"/>
      <c r="BH60" s="573"/>
      <c r="BI60" s="573"/>
      <c r="BJ60" s="573"/>
      <c r="BK60" s="573"/>
      <c r="BL60" s="573"/>
      <c r="BM60" s="573"/>
      <c r="BN60" s="573"/>
      <c r="BO60" s="573"/>
      <c r="BP60" s="573"/>
      <c r="BQ60" s="573"/>
      <c r="BR60" s="573"/>
      <c r="BS60" s="573"/>
      <c r="BT60" s="573"/>
      <c r="BU60" s="573"/>
      <c r="BV60" s="573"/>
    </row>
    <row r="61" spans="2:74" ht="13" outlineLevel="1" x14ac:dyDescent="0.2">
      <c r="B61" s="1067" t="s">
        <v>1220</v>
      </c>
      <c r="C61" s="1404"/>
      <c r="D61" s="1408">
        <f>H61</f>
        <v>0</v>
      </c>
      <c r="E61" s="1409">
        <f>D61*12/44</f>
        <v>0</v>
      </c>
      <c r="F61" s="185"/>
      <c r="G61" s="1410">
        <f>VLOOKUP($B61,'Emissions factors'!$B$1144:$D$1158,2,FALSE)</f>
        <v>-0.37</v>
      </c>
      <c r="H61" s="1411">
        <f>F61*G61</f>
        <v>0</v>
      </c>
      <c r="J61" s="1416">
        <f>VLOOKUP($B61,'Emissions factors'!$B$1144:$D$1158,3,FALSE)</f>
        <v>0.7</v>
      </c>
      <c r="K61" s="437"/>
      <c r="L61" s="1411">
        <f>H61*SQRT(J61^2+K61^2)</f>
        <v>0</v>
      </c>
      <c r="W61" s="573"/>
      <c r="X61" s="573"/>
      <c r="Y61" s="573"/>
      <c r="Z61" s="573"/>
      <c r="AA61" s="573"/>
      <c r="AB61" s="573"/>
      <c r="AC61" s="573"/>
      <c r="AD61" s="573"/>
      <c r="AE61" s="573"/>
      <c r="AF61" s="573"/>
      <c r="AG61" s="573"/>
      <c r="AH61" s="573"/>
      <c r="AI61" s="573"/>
      <c r="AJ61" s="573"/>
      <c r="AK61" s="573"/>
      <c r="AL61" s="573"/>
      <c r="AM61" s="573"/>
      <c r="AN61" s="573"/>
      <c r="AO61" s="573"/>
      <c r="AP61" s="573"/>
      <c r="AQ61" s="573"/>
      <c r="AR61" s="573"/>
      <c r="AS61" s="573"/>
      <c r="AT61" s="573"/>
      <c r="AU61" s="573"/>
      <c r="AV61" s="573"/>
      <c r="AW61" s="573"/>
      <c r="AX61" s="573"/>
      <c r="AY61" s="573"/>
      <c r="AZ61" s="573"/>
      <c r="BA61" s="573"/>
      <c r="BB61" s="573"/>
      <c r="BC61" s="573"/>
      <c r="BD61" s="573"/>
      <c r="BE61" s="573"/>
      <c r="BF61" s="573"/>
      <c r="BG61" s="573"/>
      <c r="BH61" s="573"/>
      <c r="BI61" s="573"/>
      <c r="BJ61" s="573"/>
      <c r="BK61" s="573"/>
      <c r="BL61" s="573"/>
      <c r="BM61" s="573"/>
      <c r="BN61" s="573"/>
      <c r="BO61" s="573"/>
      <c r="BP61" s="573"/>
      <c r="BQ61" s="573"/>
      <c r="BR61" s="573"/>
      <c r="BS61" s="573"/>
      <c r="BT61" s="573"/>
      <c r="BU61" s="573"/>
      <c r="BV61" s="573"/>
    </row>
    <row r="62" spans="2:74" ht="13" outlineLevel="1" x14ac:dyDescent="0.2">
      <c r="B62" s="1067" t="s">
        <v>1225</v>
      </c>
      <c r="C62" s="1404"/>
      <c r="D62" s="1408">
        <f>H62</f>
        <v>0</v>
      </c>
      <c r="E62" s="1409">
        <f>D62*12/44</f>
        <v>0</v>
      </c>
      <c r="F62" s="185"/>
      <c r="G62" s="1410">
        <f>VLOOKUP($B62,'Emissions factors'!$B$1144:$D$1158,2,FALSE)</f>
        <v>290</v>
      </c>
      <c r="H62" s="1411">
        <f>F62*G62</f>
        <v>0</v>
      </c>
      <c r="J62" s="1416">
        <f>VLOOKUP($B62,'Emissions factors'!$B$1144:$D$1158,3,FALSE)</f>
        <v>0.7</v>
      </c>
      <c r="K62" s="437"/>
      <c r="L62" s="1411">
        <f>H62*SQRT(J62^2+K62^2)</f>
        <v>0</v>
      </c>
      <c r="W62" s="573"/>
      <c r="X62" s="573"/>
      <c r="Y62" s="573"/>
      <c r="Z62" s="573"/>
      <c r="AA62" s="573"/>
      <c r="AB62" s="573"/>
      <c r="AC62" s="573"/>
      <c r="AD62" s="573"/>
      <c r="AE62" s="573"/>
      <c r="AF62" s="573"/>
      <c r="AG62" s="573"/>
      <c r="AH62" s="573"/>
      <c r="AI62" s="573"/>
      <c r="AJ62" s="573"/>
      <c r="AK62" s="573"/>
      <c r="AL62" s="573"/>
      <c r="AM62" s="573"/>
      <c r="AN62" s="573"/>
      <c r="AO62" s="573"/>
      <c r="AP62" s="573"/>
      <c r="AQ62" s="573"/>
      <c r="AR62" s="573"/>
      <c r="AS62" s="573"/>
      <c r="AT62" s="573"/>
      <c r="AU62" s="573"/>
      <c r="AV62" s="573"/>
      <c r="AW62" s="573"/>
      <c r="AX62" s="573"/>
      <c r="AY62" s="573"/>
      <c r="AZ62" s="573"/>
      <c r="BA62" s="573"/>
      <c r="BB62" s="573"/>
      <c r="BC62" s="573"/>
      <c r="BD62" s="573"/>
      <c r="BE62" s="573"/>
      <c r="BF62" s="573"/>
      <c r="BG62" s="573"/>
      <c r="BH62" s="573"/>
      <c r="BI62" s="573"/>
      <c r="BJ62" s="573"/>
      <c r="BK62" s="573"/>
      <c r="BL62" s="573"/>
      <c r="BM62" s="573"/>
      <c r="BN62" s="573"/>
      <c r="BO62" s="573"/>
      <c r="BP62" s="573"/>
      <c r="BQ62" s="573"/>
      <c r="BR62" s="573"/>
      <c r="BS62" s="573"/>
      <c r="BT62" s="573"/>
      <c r="BU62" s="573"/>
      <c r="BV62" s="573"/>
    </row>
    <row r="63" spans="2:74" ht="13" outlineLevel="1" x14ac:dyDescent="0.2">
      <c r="B63" s="1067" t="s">
        <v>1226</v>
      </c>
      <c r="C63" s="1404"/>
      <c r="D63" s="1408">
        <f>H63</f>
        <v>0</v>
      </c>
      <c r="E63" s="1409">
        <f>D63*12/44</f>
        <v>0</v>
      </c>
      <c r="F63" s="188"/>
      <c r="G63" s="1410">
        <f>VLOOKUP($B63,'Emissions factors'!$B$1144:$D$1158,2,FALSE)</f>
        <v>0</v>
      </c>
      <c r="H63" s="1411">
        <f>F63*G63</f>
        <v>0</v>
      </c>
      <c r="J63" s="1416">
        <f>VLOOKUP($B63,'Emissions factors'!$B$1144:$D$1158,3,FALSE)</f>
        <v>0.7</v>
      </c>
      <c r="K63" s="438"/>
      <c r="L63" s="1411">
        <f>H63*SQRT(J63^2+K63^2)</f>
        <v>0</v>
      </c>
      <c r="W63" s="573"/>
      <c r="X63" s="573"/>
      <c r="Y63" s="573"/>
      <c r="Z63" s="573"/>
      <c r="AA63" s="573"/>
      <c r="AB63" s="573"/>
      <c r="AC63" s="573"/>
      <c r="AD63" s="573"/>
      <c r="AE63" s="573"/>
      <c r="AF63" s="573"/>
      <c r="AG63" s="573"/>
      <c r="AH63" s="573"/>
      <c r="AI63" s="573"/>
      <c r="AJ63" s="573"/>
      <c r="AK63" s="573"/>
      <c r="AL63" s="573"/>
      <c r="AM63" s="573"/>
      <c r="AN63" s="573"/>
      <c r="AO63" s="573"/>
      <c r="AP63" s="573"/>
      <c r="AQ63" s="573"/>
      <c r="AR63" s="573"/>
      <c r="AS63" s="573"/>
      <c r="AT63" s="573"/>
      <c r="AU63" s="573"/>
      <c r="AV63" s="573"/>
      <c r="AW63" s="573"/>
      <c r="AX63" s="573"/>
      <c r="AY63" s="573"/>
      <c r="AZ63" s="573"/>
      <c r="BA63" s="573"/>
      <c r="BB63" s="573"/>
      <c r="BC63" s="573"/>
      <c r="BD63" s="573"/>
      <c r="BE63" s="573"/>
      <c r="BF63" s="573"/>
      <c r="BG63" s="573"/>
      <c r="BH63" s="573"/>
      <c r="BI63" s="573"/>
      <c r="BJ63" s="573"/>
      <c r="BK63" s="573"/>
      <c r="BL63" s="573"/>
      <c r="BM63" s="573"/>
      <c r="BN63" s="573"/>
      <c r="BO63" s="573"/>
      <c r="BP63" s="573"/>
      <c r="BQ63" s="573"/>
      <c r="BR63" s="573"/>
      <c r="BS63" s="573"/>
      <c r="BT63" s="573"/>
      <c r="BU63" s="573"/>
      <c r="BV63" s="573"/>
    </row>
    <row r="64" spans="2:74" ht="13" outlineLevel="1" x14ac:dyDescent="0.2">
      <c r="B64" s="1067"/>
      <c r="C64" s="1122"/>
      <c r="D64" s="1412"/>
      <c r="E64" s="1413"/>
      <c r="F64" s="1122"/>
      <c r="G64" s="1122"/>
      <c r="H64" s="1414"/>
      <c r="J64" s="1067"/>
      <c r="K64" s="1417"/>
      <c r="L64" s="1418"/>
      <c r="W64" s="573"/>
      <c r="X64" s="573"/>
      <c r="Y64" s="573"/>
      <c r="Z64" s="573"/>
      <c r="AA64" s="573"/>
      <c r="AB64" s="573"/>
      <c r="AC64" s="573"/>
      <c r="AD64" s="573"/>
      <c r="AE64" s="573"/>
      <c r="AF64" s="573"/>
      <c r="AG64" s="573"/>
      <c r="AH64" s="573"/>
      <c r="AI64" s="573"/>
      <c r="AJ64" s="573"/>
      <c r="AK64" s="573"/>
      <c r="AL64" s="573"/>
      <c r="AM64" s="573"/>
      <c r="AN64" s="573"/>
      <c r="AO64" s="573"/>
      <c r="AP64" s="573"/>
      <c r="AQ64" s="573"/>
      <c r="AR64" s="573"/>
      <c r="AS64" s="573"/>
      <c r="AT64" s="573"/>
      <c r="AU64" s="573"/>
      <c r="AV64" s="573"/>
      <c r="AW64" s="573"/>
      <c r="AX64" s="573"/>
      <c r="AY64" s="573"/>
      <c r="AZ64" s="573"/>
      <c r="BA64" s="573"/>
      <c r="BB64" s="573"/>
      <c r="BC64" s="573"/>
      <c r="BD64" s="573"/>
      <c r="BE64" s="573"/>
      <c r="BF64" s="573"/>
      <c r="BG64" s="573"/>
      <c r="BH64" s="573"/>
      <c r="BI64" s="573"/>
      <c r="BJ64" s="573"/>
      <c r="BK64" s="573"/>
      <c r="BL64" s="573"/>
      <c r="BM64" s="573"/>
      <c r="BN64" s="573"/>
      <c r="BO64" s="573"/>
      <c r="BP64" s="573"/>
      <c r="BQ64" s="573"/>
      <c r="BR64" s="573"/>
      <c r="BS64" s="573"/>
      <c r="BT64" s="573"/>
      <c r="BU64" s="573"/>
      <c r="BV64" s="573"/>
    </row>
    <row r="65" spans="2:74" ht="13" outlineLevel="1" x14ac:dyDescent="0.2">
      <c r="B65" s="1419" t="s">
        <v>44</v>
      </c>
      <c r="C65" s="1420"/>
      <c r="D65" s="1421">
        <f>SUM(D60:D64)</f>
        <v>0</v>
      </c>
      <c r="E65" s="1422">
        <f>SUM(E60:E64)</f>
        <v>0</v>
      </c>
      <c r="F65" s="1423"/>
      <c r="G65" s="1423"/>
      <c r="H65" s="1424">
        <f>SUM(H60:H64)</f>
        <v>0</v>
      </c>
      <c r="J65" s="1425"/>
      <c r="K65" s="1426"/>
      <c r="L65" s="1424">
        <f>SQRT(SUMSQ(L60:L64))</f>
        <v>0</v>
      </c>
      <c r="W65" s="573"/>
      <c r="X65" s="573"/>
      <c r="Y65" s="573"/>
      <c r="Z65" s="573"/>
      <c r="AA65" s="573"/>
      <c r="AB65" s="573"/>
      <c r="AC65" s="573"/>
      <c r="AD65" s="573"/>
      <c r="AE65" s="573"/>
      <c r="AF65" s="573"/>
      <c r="AG65" s="573"/>
      <c r="AH65" s="573"/>
      <c r="AI65" s="573"/>
      <c r="AJ65" s="573"/>
      <c r="AK65" s="573"/>
      <c r="AL65" s="573"/>
      <c r="AM65" s="573"/>
      <c r="AN65" s="573"/>
      <c r="AO65" s="573"/>
      <c r="AP65" s="573"/>
      <c r="AQ65" s="573"/>
      <c r="AR65" s="573"/>
      <c r="AS65" s="573"/>
      <c r="AT65" s="573"/>
      <c r="AU65" s="573"/>
      <c r="AV65" s="573"/>
      <c r="AW65" s="573"/>
      <c r="AX65" s="573"/>
      <c r="AY65" s="573"/>
      <c r="AZ65" s="573"/>
      <c r="BA65" s="573"/>
      <c r="BB65" s="573"/>
      <c r="BC65" s="573"/>
      <c r="BD65" s="573"/>
      <c r="BE65" s="573"/>
      <c r="BF65" s="573"/>
      <c r="BG65" s="573"/>
      <c r="BH65" s="573"/>
      <c r="BI65" s="573"/>
      <c r="BJ65" s="573"/>
      <c r="BK65" s="573"/>
      <c r="BL65" s="573"/>
      <c r="BM65" s="573"/>
      <c r="BN65" s="573"/>
      <c r="BO65" s="573"/>
      <c r="BP65" s="573"/>
      <c r="BQ65" s="573"/>
      <c r="BR65" s="573"/>
      <c r="BS65" s="573"/>
      <c r="BT65" s="573"/>
      <c r="BU65" s="573"/>
      <c r="BV65" s="573"/>
    </row>
    <row r="66" spans="2:74" outlineLevel="1" x14ac:dyDescent="0.2">
      <c r="W66" s="573"/>
      <c r="X66" s="573"/>
      <c r="Y66" s="573"/>
      <c r="Z66" s="573"/>
      <c r="AA66" s="573"/>
      <c r="AB66" s="573"/>
      <c r="AC66" s="573"/>
      <c r="AD66" s="573"/>
      <c r="AE66" s="573"/>
      <c r="AF66" s="573"/>
      <c r="AG66" s="573"/>
      <c r="AH66" s="573"/>
      <c r="AI66" s="573"/>
      <c r="AJ66" s="573"/>
      <c r="AK66" s="573"/>
      <c r="AL66" s="573"/>
      <c r="AM66" s="573"/>
      <c r="AN66" s="573"/>
      <c r="AO66" s="573"/>
      <c r="AP66" s="573"/>
      <c r="AQ66" s="573"/>
      <c r="AR66" s="573"/>
      <c r="AS66" s="573"/>
      <c r="AT66" s="573"/>
      <c r="AU66" s="573"/>
      <c r="AV66" s="573"/>
      <c r="AW66" s="573"/>
      <c r="AX66" s="573"/>
      <c r="AY66" s="573"/>
      <c r="AZ66" s="573"/>
      <c r="BA66" s="573"/>
      <c r="BB66" s="573"/>
      <c r="BC66" s="573"/>
      <c r="BD66" s="573"/>
      <c r="BE66" s="573"/>
      <c r="BF66" s="573"/>
      <c r="BG66" s="573"/>
      <c r="BH66" s="573"/>
      <c r="BI66" s="573"/>
      <c r="BJ66" s="573"/>
      <c r="BK66" s="573"/>
      <c r="BL66" s="573"/>
      <c r="BM66" s="573"/>
      <c r="BN66" s="573"/>
      <c r="BO66" s="573"/>
      <c r="BP66" s="573"/>
      <c r="BQ66" s="573"/>
      <c r="BR66" s="573"/>
      <c r="BS66" s="573"/>
      <c r="BT66" s="573"/>
      <c r="BU66" s="573"/>
      <c r="BV66" s="573"/>
    </row>
    <row r="67" spans="2:74" x14ac:dyDescent="0.2">
      <c r="W67" s="573"/>
      <c r="X67" s="573"/>
      <c r="Y67" s="573"/>
      <c r="Z67" s="573"/>
      <c r="AA67" s="573"/>
      <c r="AB67" s="573"/>
      <c r="AC67" s="573"/>
      <c r="AD67" s="573"/>
      <c r="AE67" s="573"/>
      <c r="AF67" s="573"/>
      <c r="AG67" s="573"/>
      <c r="AH67" s="573"/>
      <c r="AI67" s="573"/>
      <c r="AJ67" s="573"/>
      <c r="AK67" s="573"/>
      <c r="AL67" s="573"/>
      <c r="AM67" s="573"/>
      <c r="AN67" s="573"/>
      <c r="AO67" s="573"/>
      <c r="AP67" s="573"/>
      <c r="AQ67" s="573"/>
      <c r="AR67" s="573"/>
      <c r="AS67" s="573"/>
      <c r="AT67" s="573"/>
      <c r="AU67" s="573"/>
      <c r="AV67" s="573"/>
      <c r="AW67" s="573"/>
      <c r="AX67" s="573"/>
      <c r="AY67" s="573"/>
      <c r="AZ67" s="573"/>
      <c r="BA67" s="573"/>
      <c r="BB67" s="573"/>
      <c r="BC67" s="573"/>
      <c r="BD67" s="573"/>
      <c r="BE67" s="573"/>
      <c r="BF67" s="573"/>
      <c r="BG67" s="573"/>
      <c r="BH67" s="573"/>
      <c r="BI67" s="573"/>
      <c r="BJ67" s="573"/>
      <c r="BK67" s="573"/>
      <c r="BL67" s="573"/>
      <c r="BM67" s="573"/>
      <c r="BN67" s="573"/>
      <c r="BO67" s="573"/>
      <c r="BP67" s="573"/>
      <c r="BQ67" s="573"/>
      <c r="BR67" s="573"/>
      <c r="BS67" s="573"/>
      <c r="BT67" s="573"/>
      <c r="BU67" s="573"/>
      <c r="BV67" s="573"/>
    </row>
    <row r="68" spans="2:74" x14ac:dyDescent="0.2">
      <c r="W68" s="573"/>
      <c r="X68" s="573"/>
      <c r="Y68" s="573"/>
      <c r="Z68" s="573"/>
      <c r="AA68" s="573"/>
      <c r="AB68" s="573"/>
      <c r="AC68" s="573"/>
      <c r="AD68" s="573"/>
      <c r="AE68" s="573"/>
      <c r="AF68" s="573"/>
      <c r="AG68" s="573"/>
      <c r="AH68" s="573"/>
      <c r="AI68" s="573"/>
      <c r="AJ68" s="573"/>
      <c r="AK68" s="573"/>
      <c r="AL68" s="573"/>
      <c r="AM68" s="573"/>
      <c r="AN68" s="573"/>
      <c r="AO68" s="573"/>
      <c r="AP68" s="573"/>
      <c r="AQ68" s="573"/>
      <c r="AR68" s="573"/>
      <c r="AS68" s="573"/>
      <c r="AT68" s="573"/>
      <c r="AU68" s="573"/>
      <c r="AV68" s="573"/>
      <c r="AW68" s="573"/>
      <c r="AX68" s="573"/>
      <c r="AY68" s="573"/>
      <c r="AZ68" s="573"/>
      <c r="BA68" s="573"/>
      <c r="BB68" s="573"/>
      <c r="BC68" s="573"/>
      <c r="BD68" s="573"/>
      <c r="BE68" s="573"/>
      <c r="BF68" s="573"/>
      <c r="BG68" s="573"/>
      <c r="BH68" s="573"/>
      <c r="BI68" s="573"/>
      <c r="BJ68" s="573"/>
      <c r="BK68" s="573"/>
      <c r="BL68" s="573"/>
      <c r="BM68" s="573"/>
      <c r="BN68" s="573"/>
      <c r="BO68" s="573"/>
      <c r="BP68" s="573"/>
      <c r="BQ68" s="573"/>
      <c r="BR68" s="573"/>
      <c r="BS68" s="573"/>
      <c r="BT68" s="573"/>
      <c r="BU68" s="573"/>
      <c r="BV68" s="573"/>
    </row>
    <row r="69" spans="2:74" ht="20" customHeight="1" x14ac:dyDescent="0.2">
      <c r="B69" s="1868" t="s">
        <v>3131</v>
      </c>
      <c r="C69" s="1869"/>
      <c r="D69" s="1869"/>
      <c r="E69" s="1869"/>
      <c r="F69" s="1869"/>
      <c r="G69" s="1869"/>
      <c r="H69" s="1869"/>
      <c r="I69" s="1869"/>
      <c r="J69" s="1869"/>
      <c r="K69" s="1869"/>
      <c r="L69" s="1869"/>
      <c r="M69" s="1869"/>
      <c r="N69" s="1869"/>
      <c r="O69" s="1870"/>
    </row>
    <row r="70" spans="2:74" ht="15" customHeight="1" x14ac:dyDescent="0.2"/>
    <row r="71" spans="2:74" ht="16" x14ac:dyDescent="0.2">
      <c r="B71" s="1871" t="s">
        <v>716</v>
      </c>
      <c r="C71" s="1872"/>
      <c r="D71" s="1872"/>
      <c r="E71" s="1872"/>
      <c r="F71" s="1872"/>
      <c r="G71" s="1872"/>
      <c r="H71" s="1872"/>
      <c r="I71" s="1872"/>
      <c r="J71" s="1872"/>
      <c r="K71" s="1872"/>
      <c r="L71" s="1872"/>
      <c r="M71" s="1872"/>
      <c r="N71" s="1872"/>
      <c r="O71" s="1873"/>
    </row>
    <row r="72" spans="2:74" outlineLevel="1" x14ac:dyDescent="0.2"/>
    <row r="73" spans="2:74" ht="13" outlineLevel="1" x14ac:dyDescent="0.15">
      <c r="B73" s="1111" t="s">
        <v>2751</v>
      </c>
      <c r="C73" s="795" t="s">
        <v>94</v>
      </c>
      <c r="D73" s="795" t="s">
        <v>723</v>
      </c>
    </row>
    <row r="74" spans="2:74" ht="13" outlineLevel="1" x14ac:dyDescent="0.15">
      <c r="B74" s="949" t="s">
        <v>2112</v>
      </c>
      <c r="C74" s="984">
        <v>1</v>
      </c>
      <c r="D74" s="1099">
        <v>0.3</v>
      </c>
    </row>
    <row r="75" spans="2:74" ht="13" outlineLevel="1" x14ac:dyDescent="0.15">
      <c r="B75" s="949" t="s">
        <v>2113</v>
      </c>
      <c r="C75" s="986">
        <v>1.1000000000000001</v>
      </c>
      <c r="D75" s="1100">
        <v>0.3</v>
      </c>
    </row>
    <row r="76" spans="2:74" ht="13" outlineLevel="1" x14ac:dyDescent="0.15">
      <c r="B76" s="949" t="s">
        <v>2114</v>
      </c>
      <c r="C76" s="986">
        <v>0.9</v>
      </c>
      <c r="D76" s="1100">
        <v>0.3</v>
      </c>
    </row>
    <row r="77" spans="2:74" ht="13" outlineLevel="1" x14ac:dyDescent="0.15">
      <c r="B77" s="949" t="s">
        <v>2115</v>
      </c>
      <c r="C77" s="986">
        <v>0.6</v>
      </c>
      <c r="D77" s="1100">
        <v>0.3</v>
      </c>
    </row>
    <row r="78" spans="2:74" ht="13" outlineLevel="1" x14ac:dyDescent="0.15">
      <c r="B78" s="949" t="s">
        <v>2116</v>
      </c>
      <c r="C78" s="986">
        <v>1.3</v>
      </c>
      <c r="D78" s="1100">
        <v>0.3</v>
      </c>
    </row>
    <row r="79" spans="2:74" ht="13" outlineLevel="1" x14ac:dyDescent="0.15">
      <c r="B79" s="949" t="s">
        <v>2117</v>
      </c>
      <c r="C79" s="986">
        <v>1.1000000000000001</v>
      </c>
      <c r="D79" s="1100">
        <v>0.3</v>
      </c>
    </row>
    <row r="80" spans="2:74" ht="13" outlineLevel="1" x14ac:dyDescent="0.15">
      <c r="B80" s="949" t="s">
        <v>2118</v>
      </c>
      <c r="C80" s="986">
        <v>0.9</v>
      </c>
      <c r="D80" s="1100">
        <v>0.3</v>
      </c>
    </row>
    <row r="81" spans="2:15" ht="13" outlineLevel="1" x14ac:dyDescent="0.15">
      <c r="B81" s="1098"/>
      <c r="C81" s="1053"/>
      <c r="D81" s="1101"/>
    </row>
    <row r="82" spans="2:15" outlineLevel="1" x14ac:dyDescent="0.2"/>
    <row r="83" spans="2:15" outlineLevel="1" x14ac:dyDescent="0.2"/>
    <row r="84" spans="2:15" ht="15.75" customHeight="1" outlineLevel="1" x14ac:dyDescent="0.2">
      <c r="B84" s="1947" t="s">
        <v>2119</v>
      </c>
      <c r="C84" s="1948"/>
      <c r="D84" s="1948"/>
      <c r="E84" s="1948"/>
      <c r="F84" s="1948"/>
      <c r="G84" s="1948"/>
      <c r="H84" s="1948"/>
      <c r="I84" s="1948"/>
      <c r="J84" s="1948"/>
      <c r="K84" s="1948"/>
      <c r="L84" s="1948"/>
      <c r="M84" s="1948"/>
      <c r="N84" s="1948"/>
      <c r="O84" s="1949"/>
    </row>
    <row r="85" spans="2:15" outlineLevel="2" x14ac:dyDescent="0.2"/>
    <row r="86" spans="2:15" ht="14" outlineLevel="2" x14ac:dyDescent="0.15">
      <c r="B86" s="1109" t="s">
        <v>2120</v>
      </c>
      <c r="C86" s="1953" t="s">
        <v>2121</v>
      </c>
      <c r="D86" s="1953"/>
      <c r="E86" s="1953"/>
      <c r="F86" s="1946"/>
      <c r="H86" s="4"/>
      <c r="I86" s="4"/>
      <c r="J86" s="4"/>
      <c r="K86" s="4"/>
    </row>
    <row r="87" spans="2:15" ht="26.25" customHeight="1" outlineLevel="2" x14ac:dyDescent="0.15">
      <c r="B87" s="1110"/>
      <c r="C87" s="1601" t="s">
        <v>2122</v>
      </c>
      <c r="D87" s="1591" t="s">
        <v>2123</v>
      </c>
      <c r="E87" s="1592" t="s">
        <v>2124</v>
      </c>
      <c r="F87" s="797" t="s">
        <v>723</v>
      </c>
      <c r="G87" s="39" t="s">
        <v>3303</v>
      </c>
      <c r="H87" s="4"/>
      <c r="I87" s="4"/>
      <c r="J87" s="4"/>
      <c r="K87" s="4"/>
    </row>
    <row r="88" spans="2:15" ht="13" outlineLevel="2" x14ac:dyDescent="0.15">
      <c r="B88" s="1103" t="s">
        <v>2125</v>
      </c>
      <c r="C88" s="984">
        <v>126</v>
      </c>
      <c r="D88" s="1086">
        <v>38</v>
      </c>
      <c r="E88" s="1084">
        <f>C88+D88</f>
        <v>164</v>
      </c>
      <c r="F88" s="959">
        <v>0.3</v>
      </c>
      <c r="H88" s="4"/>
      <c r="I88" s="4"/>
      <c r="J88" s="4"/>
      <c r="K88" s="4"/>
    </row>
    <row r="89" spans="2:15" ht="13" outlineLevel="2" x14ac:dyDescent="0.15">
      <c r="B89" s="1103" t="s">
        <v>2126</v>
      </c>
      <c r="C89" s="986">
        <v>191</v>
      </c>
      <c r="D89" s="985">
        <v>7</v>
      </c>
      <c r="E89" s="1085">
        <f t="shared" ref="E89:E106" si="2">C89+D89</f>
        <v>198</v>
      </c>
      <c r="F89" s="895">
        <v>0.3</v>
      </c>
      <c r="H89" s="4"/>
      <c r="I89" s="4"/>
      <c r="J89" s="4"/>
      <c r="K89" s="4"/>
    </row>
    <row r="90" spans="2:15" ht="13" outlineLevel="2" x14ac:dyDescent="0.15">
      <c r="B90" s="1103" t="s">
        <v>2128</v>
      </c>
      <c r="C90" s="986">
        <v>163</v>
      </c>
      <c r="D90" s="985">
        <v>6</v>
      </c>
      <c r="E90" s="1085">
        <f t="shared" si="2"/>
        <v>169</v>
      </c>
      <c r="F90" s="895">
        <v>0.3</v>
      </c>
      <c r="H90" s="4"/>
      <c r="I90" s="4"/>
      <c r="J90" s="4"/>
      <c r="K90" s="4"/>
    </row>
    <row r="91" spans="2:15" ht="13" outlineLevel="2" x14ac:dyDescent="0.15">
      <c r="B91" s="1103" t="s">
        <v>2129</v>
      </c>
      <c r="C91" s="986">
        <v>177</v>
      </c>
      <c r="D91" s="985">
        <v>7</v>
      </c>
      <c r="E91" s="1085">
        <f t="shared" si="2"/>
        <v>184</v>
      </c>
      <c r="F91" s="895">
        <v>0.3</v>
      </c>
      <c r="H91" s="4"/>
      <c r="I91" s="4"/>
      <c r="J91" s="4"/>
      <c r="K91" s="4"/>
    </row>
    <row r="92" spans="2:15" ht="13" outlineLevel="2" x14ac:dyDescent="0.15">
      <c r="B92" s="1103" t="s">
        <v>2130</v>
      </c>
      <c r="C92" s="986">
        <v>220</v>
      </c>
      <c r="D92" s="985">
        <v>54</v>
      </c>
      <c r="E92" s="1085">
        <f t="shared" si="2"/>
        <v>274</v>
      </c>
      <c r="F92" s="895">
        <v>0.3</v>
      </c>
      <c r="H92" s="4"/>
      <c r="I92" s="4"/>
      <c r="J92" s="4"/>
      <c r="K92" s="4"/>
    </row>
    <row r="93" spans="2:15" ht="13" outlineLevel="2" x14ac:dyDescent="0.15">
      <c r="B93" s="1103" t="s">
        <v>2131</v>
      </c>
      <c r="C93" s="986">
        <v>117</v>
      </c>
      <c r="D93" s="985">
        <v>35</v>
      </c>
      <c r="E93" s="1085">
        <f t="shared" si="2"/>
        <v>152</v>
      </c>
      <c r="F93" s="895">
        <v>0.3</v>
      </c>
      <c r="H93" s="4"/>
      <c r="I93" s="4"/>
      <c r="J93" s="4"/>
      <c r="K93" s="4"/>
    </row>
    <row r="94" spans="2:15" ht="13" outlineLevel="2" x14ac:dyDescent="0.15">
      <c r="B94" s="1103" t="s">
        <v>2132</v>
      </c>
      <c r="C94" s="986">
        <v>142</v>
      </c>
      <c r="D94" s="985">
        <v>10</v>
      </c>
      <c r="E94" s="1085">
        <f t="shared" si="2"/>
        <v>152</v>
      </c>
      <c r="F94" s="895">
        <v>0.3</v>
      </c>
      <c r="H94" s="4"/>
      <c r="I94" s="4"/>
      <c r="J94" s="4"/>
      <c r="K94" s="4"/>
    </row>
    <row r="95" spans="2:15" ht="13" outlineLevel="2" x14ac:dyDescent="0.15">
      <c r="B95" s="1103" t="s">
        <v>2133</v>
      </c>
      <c r="C95" s="986">
        <v>175</v>
      </c>
      <c r="D95" s="985">
        <v>43</v>
      </c>
      <c r="E95" s="1085">
        <f t="shared" si="2"/>
        <v>218</v>
      </c>
      <c r="F95" s="895">
        <v>0.3</v>
      </c>
      <c r="H95" s="4"/>
      <c r="I95" s="4"/>
      <c r="J95" s="4"/>
      <c r="K95" s="4"/>
    </row>
    <row r="96" spans="2:15" ht="13" outlineLevel="2" x14ac:dyDescent="0.15">
      <c r="B96" s="1103" t="s">
        <v>2134</v>
      </c>
      <c r="C96" s="986">
        <v>157</v>
      </c>
      <c r="D96" s="985">
        <v>17</v>
      </c>
      <c r="E96" s="1085">
        <f t="shared" si="2"/>
        <v>174</v>
      </c>
      <c r="F96" s="895">
        <v>0.3</v>
      </c>
      <c r="H96" s="4"/>
      <c r="I96" s="4"/>
      <c r="J96" s="4"/>
      <c r="K96" s="4"/>
    </row>
    <row r="97" spans="2:11" ht="13" outlineLevel="2" x14ac:dyDescent="0.15">
      <c r="B97" s="1103" t="s">
        <v>2135</v>
      </c>
      <c r="C97" s="986">
        <v>86</v>
      </c>
      <c r="D97" s="985">
        <v>9</v>
      </c>
      <c r="E97" s="1085">
        <f t="shared" si="2"/>
        <v>95</v>
      </c>
      <c r="F97" s="895">
        <v>0.3</v>
      </c>
      <c r="H97" s="4"/>
      <c r="I97" s="4"/>
      <c r="J97" s="4"/>
      <c r="K97" s="4"/>
    </row>
    <row r="98" spans="2:11" ht="13" outlineLevel="2" x14ac:dyDescent="0.15">
      <c r="B98" s="1103" t="s">
        <v>2136</v>
      </c>
      <c r="C98" s="986">
        <v>127</v>
      </c>
      <c r="D98" s="985">
        <v>14</v>
      </c>
      <c r="E98" s="1085">
        <f t="shared" si="2"/>
        <v>141</v>
      </c>
      <c r="F98" s="895">
        <v>0.3</v>
      </c>
      <c r="H98" s="4"/>
      <c r="I98" s="4"/>
      <c r="J98" s="4"/>
      <c r="K98" s="4"/>
    </row>
    <row r="99" spans="2:11" ht="13" outlineLevel="2" x14ac:dyDescent="0.15">
      <c r="B99" s="1103" t="s">
        <v>2137</v>
      </c>
      <c r="C99" s="986">
        <v>108</v>
      </c>
      <c r="D99" s="985">
        <v>12</v>
      </c>
      <c r="E99" s="1085">
        <f t="shared" si="2"/>
        <v>120</v>
      </c>
      <c r="F99" s="895">
        <v>0.3</v>
      </c>
      <c r="H99" s="4"/>
      <c r="I99" s="4"/>
      <c r="J99" s="4"/>
      <c r="K99" s="4"/>
    </row>
    <row r="100" spans="2:11" ht="13" outlineLevel="2" x14ac:dyDescent="0.15">
      <c r="B100" s="1012" t="s">
        <v>170</v>
      </c>
      <c r="C100" s="986">
        <v>148</v>
      </c>
      <c r="D100" s="985">
        <v>45</v>
      </c>
      <c r="E100" s="1085">
        <f t="shared" si="2"/>
        <v>193</v>
      </c>
      <c r="F100" s="895">
        <v>0.3</v>
      </c>
      <c r="H100" s="4"/>
      <c r="I100" s="4"/>
      <c r="J100" s="4"/>
      <c r="K100" s="4"/>
    </row>
    <row r="101" spans="2:11" ht="13" outlineLevel="2" x14ac:dyDescent="0.15">
      <c r="B101" s="1012" t="s">
        <v>2138</v>
      </c>
      <c r="C101" s="986">
        <v>203</v>
      </c>
      <c r="D101" s="985">
        <v>50</v>
      </c>
      <c r="E101" s="1085">
        <f t="shared" si="2"/>
        <v>253</v>
      </c>
      <c r="F101" s="895">
        <v>0.3</v>
      </c>
      <c r="H101" s="4"/>
      <c r="I101" s="4"/>
      <c r="J101" s="4"/>
      <c r="K101" s="4"/>
    </row>
    <row r="102" spans="2:11" ht="13" outlineLevel="2" x14ac:dyDescent="0.15">
      <c r="B102" s="1012" t="s">
        <v>2139</v>
      </c>
      <c r="C102" s="986">
        <v>260</v>
      </c>
      <c r="D102" s="985">
        <v>18</v>
      </c>
      <c r="E102" s="1085">
        <f t="shared" si="2"/>
        <v>278</v>
      </c>
      <c r="F102" s="895">
        <v>0.3</v>
      </c>
      <c r="H102" s="4"/>
      <c r="I102" s="4"/>
      <c r="J102" s="4"/>
      <c r="K102" s="4"/>
    </row>
    <row r="103" spans="2:11" ht="13" outlineLevel="2" x14ac:dyDescent="0.15">
      <c r="B103" s="1103" t="s">
        <v>171</v>
      </c>
      <c r="C103" s="986">
        <v>244</v>
      </c>
      <c r="D103" s="985">
        <v>60</v>
      </c>
      <c r="E103" s="1085">
        <f t="shared" si="2"/>
        <v>304</v>
      </c>
      <c r="F103" s="895">
        <v>0.3</v>
      </c>
      <c r="H103" s="4"/>
      <c r="I103" s="4"/>
      <c r="J103" s="4"/>
      <c r="K103" s="4"/>
    </row>
    <row r="104" spans="2:11" ht="13" outlineLevel="2" x14ac:dyDescent="0.15">
      <c r="B104" s="1103" t="s">
        <v>2140</v>
      </c>
      <c r="C104" s="986">
        <v>134</v>
      </c>
      <c r="D104" s="985">
        <v>41</v>
      </c>
      <c r="E104" s="1085">
        <f t="shared" si="2"/>
        <v>175</v>
      </c>
      <c r="F104" s="895">
        <v>0.3</v>
      </c>
      <c r="H104" s="4"/>
      <c r="I104" s="4"/>
      <c r="J104" s="4"/>
      <c r="K104" s="4"/>
    </row>
    <row r="105" spans="2:11" ht="14" outlineLevel="2" x14ac:dyDescent="0.15">
      <c r="B105" s="1104" t="s">
        <v>2133</v>
      </c>
      <c r="C105" s="1085">
        <v>175</v>
      </c>
      <c r="D105" s="1105">
        <v>43</v>
      </c>
      <c r="E105" s="1085">
        <f t="shared" si="2"/>
        <v>218</v>
      </c>
      <c r="F105" s="895">
        <v>0.3</v>
      </c>
      <c r="H105" s="4"/>
      <c r="I105" s="4"/>
      <c r="J105" s="4"/>
      <c r="K105" s="4"/>
    </row>
    <row r="106" spans="2:11" ht="14" outlineLevel="2" x14ac:dyDescent="0.15">
      <c r="B106" s="1104" t="s">
        <v>2138</v>
      </c>
      <c r="C106" s="1085">
        <v>203</v>
      </c>
      <c r="D106" s="1105">
        <v>50</v>
      </c>
      <c r="E106" s="1085">
        <f t="shared" si="2"/>
        <v>253</v>
      </c>
      <c r="F106" s="895">
        <v>0.3</v>
      </c>
      <c r="H106" s="4"/>
      <c r="I106" s="4"/>
      <c r="J106" s="4"/>
      <c r="K106" s="4"/>
    </row>
    <row r="107" spans="2:11" ht="13" outlineLevel="2" x14ac:dyDescent="0.15">
      <c r="B107" s="1106"/>
      <c r="C107" s="1107"/>
      <c r="D107" s="1108"/>
      <c r="E107" s="1107"/>
      <c r="F107" s="1062"/>
      <c r="H107" s="4"/>
      <c r="I107" s="4"/>
      <c r="J107" s="4"/>
      <c r="K107" s="4"/>
    </row>
    <row r="108" spans="2:11" ht="13" outlineLevel="2" x14ac:dyDescent="0.15">
      <c r="B108" s="8"/>
      <c r="C108" s="8"/>
      <c r="D108" s="8"/>
      <c r="E108" s="8"/>
      <c r="F108" s="8"/>
      <c r="G108" s="4"/>
      <c r="H108" s="4"/>
      <c r="I108" s="4"/>
      <c r="J108" s="4"/>
      <c r="K108" s="4"/>
    </row>
    <row r="109" spans="2:11" ht="13" outlineLevel="2" x14ac:dyDescent="0.15">
      <c r="B109" s="1598" t="s">
        <v>2141</v>
      </c>
      <c r="C109" s="1590" t="s">
        <v>2121</v>
      </c>
      <c r="D109" s="795" t="s">
        <v>723</v>
      </c>
      <c r="E109" s="4"/>
      <c r="F109" s="4"/>
      <c r="G109" s="4"/>
      <c r="H109" s="4"/>
      <c r="I109" s="4"/>
      <c r="J109" s="4"/>
      <c r="K109" s="4"/>
    </row>
    <row r="110" spans="2:11" ht="13" outlineLevel="2" x14ac:dyDescent="0.15">
      <c r="B110" s="800" t="s">
        <v>2080</v>
      </c>
      <c r="C110" s="938">
        <v>248</v>
      </c>
      <c r="D110" s="805">
        <v>0.3</v>
      </c>
      <c r="E110" s="4"/>
      <c r="F110" s="4"/>
      <c r="G110" s="4"/>
      <c r="H110" s="4"/>
      <c r="I110" s="4"/>
      <c r="J110" s="4"/>
      <c r="K110" s="4"/>
    </row>
    <row r="111" spans="2:11" ht="13" outlineLevel="2" x14ac:dyDescent="0.15">
      <c r="B111" s="800" t="s">
        <v>2081</v>
      </c>
      <c r="C111" s="939">
        <v>197</v>
      </c>
      <c r="D111" s="807">
        <v>0.3</v>
      </c>
      <c r="E111" s="4"/>
      <c r="F111" s="4"/>
      <c r="G111" s="4"/>
      <c r="H111" s="4"/>
      <c r="I111" s="4"/>
      <c r="J111" s="4"/>
      <c r="K111" s="4"/>
    </row>
    <row r="112" spans="2:11" ht="13" outlineLevel="2" x14ac:dyDescent="0.15">
      <c r="B112" s="800" t="s">
        <v>2082</v>
      </c>
      <c r="C112" s="939">
        <v>161</v>
      </c>
      <c r="D112" s="807">
        <v>0.3</v>
      </c>
      <c r="E112" s="4"/>
      <c r="F112" s="4"/>
      <c r="G112" s="4"/>
      <c r="H112" s="4"/>
      <c r="I112" s="4"/>
      <c r="J112" s="4"/>
      <c r="K112" s="4"/>
    </row>
    <row r="113" spans="2:11" ht="13" outlineLevel="2" x14ac:dyDescent="0.15">
      <c r="B113" s="800" t="s">
        <v>2083</v>
      </c>
      <c r="C113" s="939">
        <v>292</v>
      </c>
      <c r="D113" s="807">
        <v>0.3</v>
      </c>
      <c r="E113" s="4"/>
      <c r="F113" s="4"/>
      <c r="G113" s="4"/>
      <c r="H113" s="4"/>
      <c r="I113" s="4"/>
      <c r="J113" s="4"/>
      <c r="K113" s="4"/>
    </row>
    <row r="114" spans="2:11" ht="13" outlineLevel="2" x14ac:dyDescent="0.15">
      <c r="B114" s="800" t="s">
        <v>2187</v>
      </c>
      <c r="C114" s="939">
        <v>259</v>
      </c>
      <c r="D114" s="807">
        <v>0.3</v>
      </c>
      <c r="E114" s="4"/>
      <c r="F114" s="4"/>
      <c r="G114" s="4"/>
      <c r="H114" s="4"/>
      <c r="I114" s="4"/>
      <c r="J114" s="4"/>
      <c r="K114" s="4"/>
    </row>
    <row r="115" spans="2:11" ht="13" outlineLevel="2" x14ac:dyDescent="0.15">
      <c r="B115" s="801"/>
      <c r="C115" s="1102"/>
      <c r="D115" s="814"/>
      <c r="E115" s="4"/>
      <c r="F115" s="4"/>
      <c r="G115" s="4"/>
      <c r="H115" s="4"/>
      <c r="I115" s="4"/>
      <c r="J115" s="4"/>
      <c r="K115" s="4"/>
    </row>
    <row r="116" spans="2:11" ht="13" outlineLevel="2" x14ac:dyDescent="0.15">
      <c r="B116" s="4"/>
      <c r="C116" s="4"/>
      <c r="D116" s="4"/>
      <c r="E116" s="4"/>
      <c r="F116" s="4"/>
      <c r="G116" s="4"/>
      <c r="H116" s="4"/>
      <c r="I116" s="4"/>
      <c r="J116" s="4"/>
      <c r="K116" s="4"/>
    </row>
    <row r="117" spans="2:11" ht="14" outlineLevel="2" x14ac:dyDescent="0.15">
      <c r="B117" s="1951" t="s">
        <v>2142</v>
      </c>
      <c r="C117" s="1592" t="s">
        <v>2143</v>
      </c>
      <c r="D117" s="1592" t="s">
        <v>2144</v>
      </c>
      <c r="E117" s="887"/>
      <c r="F117" s="4"/>
      <c r="G117" s="4"/>
      <c r="H117" s="4"/>
      <c r="I117" s="4"/>
      <c r="J117" s="4"/>
      <c r="K117" s="4"/>
    </row>
    <row r="118" spans="2:11" ht="14" outlineLevel="2" x14ac:dyDescent="0.15">
      <c r="B118" s="1952"/>
      <c r="C118" s="1593" t="s">
        <v>2121</v>
      </c>
      <c r="D118" s="1593" t="s">
        <v>2121</v>
      </c>
      <c r="E118" s="896" t="s">
        <v>723</v>
      </c>
      <c r="F118" s="4"/>
      <c r="G118" s="4"/>
      <c r="H118" s="4"/>
      <c r="I118" s="4"/>
      <c r="J118" s="4"/>
      <c r="K118" s="4"/>
    </row>
    <row r="119" spans="2:11" ht="13" outlineLevel="2" x14ac:dyDescent="0.15">
      <c r="B119" s="800" t="s">
        <v>2175</v>
      </c>
      <c r="C119" s="956">
        <v>126</v>
      </c>
      <c r="D119" s="956">
        <v>243</v>
      </c>
      <c r="E119" s="807">
        <v>0.3</v>
      </c>
      <c r="F119" s="4"/>
      <c r="G119" s="4"/>
      <c r="H119" s="4"/>
      <c r="I119" s="4"/>
      <c r="J119" s="4"/>
      <c r="K119" s="4"/>
    </row>
    <row r="120" spans="2:11" ht="13" outlineLevel="2" x14ac:dyDescent="0.15">
      <c r="B120" s="800" t="s">
        <v>2181</v>
      </c>
      <c r="C120" s="956">
        <v>121</v>
      </c>
      <c r="D120" s="956">
        <v>283</v>
      </c>
      <c r="E120" s="807">
        <v>0.3</v>
      </c>
      <c r="F120" s="4"/>
      <c r="G120" s="4"/>
      <c r="H120" s="4"/>
      <c r="I120" s="4"/>
      <c r="J120" s="4"/>
      <c r="K120" s="4"/>
    </row>
    <row r="121" spans="2:11" ht="13" outlineLevel="2" x14ac:dyDescent="0.15">
      <c r="B121" s="800" t="s">
        <v>2163</v>
      </c>
      <c r="C121" s="956">
        <v>16</v>
      </c>
      <c r="D121" s="956">
        <v>131</v>
      </c>
      <c r="E121" s="807">
        <v>0.3</v>
      </c>
      <c r="F121" s="4"/>
      <c r="G121" s="4"/>
      <c r="H121" s="4"/>
      <c r="I121" s="4"/>
      <c r="J121" s="4"/>
      <c r="K121" s="4"/>
    </row>
    <row r="122" spans="2:11" ht="13" outlineLevel="2" x14ac:dyDescent="0.15">
      <c r="B122" s="949" t="s">
        <v>2169</v>
      </c>
      <c r="C122" s="956">
        <v>67</v>
      </c>
      <c r="D122" s="956">
        <v>221</v>
      </c>
      <c r="E122" s="807">
        <v>0.3</v>
      </c>
      <c r="F122" s="4"/>
      <c r="G122" s="4"/>
      <c r="H122" s="4"/>
      <c r="I122" s="4"/>
      <c r="J122" s="4"/>
      <c r="K122" s="4"/>
    </row>
    <row r="123" spans="2:11" ht="13" outlineLevel="2" x14ac:dyDescent="0.15">
      <c r="B123" s="800" t="s">
        <v>2194</v>
      </c>
      <c r="C123" s="956">
        <v>78</v>
      </c>
      <c r="D123" s="956">
        <v>254</v>
      </c>
      <c r="E123" s="807">
        <v>0.3</v>
      </c>
      <c r="F123" s="4"/>
      <c r="G123" s="4"/>
      <c r="H123" s="4"/>
      <c r="I123" s="4"/>
      <c r="J123" s="4"/>
      <c r="K123" s="4"/>
    </row>
    <row r="124" spans="2:11" ht="13" outlineLevel="2" x14ac:dyDescent="0.15">
      <c r="B124" s="800" t="s">
        <v>2188</v>
      </c>
      <c r="C124" s="956">
        <v>83</v>
      </c>
      <c r="D124" s="956">
        <v>222</v>
      </c>
      <c r="E124" s="807">
        <v>0.3</v>
      </c>
      <c r="F124" s="4"/>
      <c r="G124" s="4"/>
      <c r="H124" s="4"/>
      <c r="I124" s="4"/>
      <c r="J124" s="4"/>
      <c r="K124" s="4"/>
    </row>
    <row r="125" spans="2:11" ht="13" outlineLevel="2" x14ac:dyDescent="0.15">
      <c r="B125" s="800" t="s">
        <v>2176</v>
      </c>
      <c r="C125" s="956">
        <v>126</v>
      </c>
      <c r="D125" s="956">
        <v>243</v>
      </c>
      <c r="E125" s="807">
        <v>0.3</v>
      </c>
      <c r="F125" s="4"/>
      <c r="G125" s="4"/>
      <c r="H125" s="4"/>
      <c r="I125" s="4"/>
      <c r="J125" s="4"/>
      <c r="K125" s="4"/>
    </row>
    <row r="126" spans="2:11" ht="13" outlineLevel="2" x14ac:dyDescent="0.15">
      <c r="B126" s="800" t="s">
        <v>2182</v>
      </c>
      <c r="C126" s="956">
        <v>121</v>
      </c>
      <c r="D126" s="956">
        <v>283</v>
      </c>
      <c r="E126" s="807">
        <v>0.3</v>
      </c>
      <c r="F126" s="4"/>
      <c r="G126" s="4"/>
      <c r="H126" s="4"/>
      <c r="I126" s="4"/>
      <c r="J126" s="4"/>
      <c r="K126" s="4"/>
    </row>
    <row r="127" spans="2:11" ht="13" outlineLevel="2" x14ac:dyDescent="0.15">
      <c r="B127" s="800" t="s">
        <v>2164</v>
      </c>
      <c r="C127" s="956">
        <v>16</v>
      </c>
      <c r="D127" s="956">
        <v>131</v>
      </c>
      <c r="E127" s="807">
        <v>0.3</v>
      </c>
      <c r="F127" s="4"/>
      <c r="G127" s="4"/>
      <c r="H127" s="4"/>
      <c r="I127" s="4"/>
      <c r="J127" s="4"/>
      <c r="K127" s="4"/>
    </row>
    <row r="128" spans="2:11" ht="13" outlineLevel="2" x14ac:dyDescent="0.15">
      <c r="B128" s="949" t="s">
        <v>2170</v>
      </c>
      <c r="C128" s="956">
        <v>67</v>
      </c>
      <c r="D128" s="956">
        <v>221</v>
      </c>
      <c r="E128" s="807">
        <v>0.3</v>
      </c>
      <c r="F128" s="4"/>
      <c r="G128" s="4"/>
      <c r="H128" s="4"/>
      <c r="I128" s="4"/>
      <c r="J128" s="4"/>
      <c r="K128" s="4"/>
    </row>
    <row r="129" spans="2:11" ht="13" outlineLevel="2" x14ac:dyDescent="0.15">
      <c r="B129" s="800" t="s">
        <v>2195</v>
      </c>
      <c r="C129" s="956">
        <v>78</v>
      </c>
      <c r="D129" s="956">
        <v>254</v>
      </c>
      <c r="E129" s="807">
        <v>0.3</v>
      </c>
      <c r="F129" s="4"/>
      <c r="G129" s="4"/>
      <c r="H129" s="4"/>
      <c r="I129" s="4"/>
      <c r="J129" s="4"/>
      <c r="K129" s="4"/>
    </row>
    <row r="130" spans="2:11" ht="13" outlineLevel="2" x14ac:dyDescent="0.15">
      <c r="B130" s="800" t="s">
        <v>2189</v>
      </c>
      <c r="C130" s="956">
        <v>83</v>
      </c>
      <c r="D130" s="956">
        <v>222</v>
      </c>
      <c r="E130" s="807">
        <v>0.3</v>
      </c>
      <c r="F130" s="4"/>
      <c r="G130" s="4"/>
      <c r="H130" s="4"/>
      <c r="I130" s="4"/>
      <c r="J130" s="4"/>
      <c r="K130" s="4"/>
    </row>
    <row r="131" spans="2:11" ht="13" outlineLevel="2" x14ac:dyDescent="0.15">
      <c r="B131" s="800" t="s">
        <v>2177</v>
      </c>
      <c r="C131" s="956">
        <v>92</v>
      </c>
      <c r="D131" s="956">
        <v>123</v>
      </c>
      <c r="E131" s="807">
        <v>0.3</v>
      </c>
      <c r="F131" s="4"/>
      <c r="G131" s="4"/>
      <c r="H131" s="4"/>
      <c r="I131" s="4"/>
      <c r="J131" s="4"/>
      <c r="K131" s="4"/>
    </row>
    <row r="132" spans="2:11" ht="13" outlineLevel="2" x14ac:dyDescent="0.15">
      <c r="B132" s="800" t="s">
        <v>2183</v>
      </c>
      <c r="C132" s="956">
        <v>39</v>
      </c>
      <c r="D132" s="956">
        <v>102</v>
      </c>
      <c r="E132" s="807">
        <v>0.3</v>
      </c>
      <c r="F132" s="4"/>
      <c r="G132" s="4"/>
      <c r="H132" s="4"/>
      <c r="I132" s="4"/>
      <c r="J132" s="4"/>
      <c r="K132" s="4"/>
    </row>
    <row r="133" spans="2:11" ht="13" outlineLevel="2" x14ac:dyDescent="0.15">
      <c r="B133" s="800" t="s">
        <v>2165</v>
      </c>
      <c r="C133" s="956">
        <v>60</v>
      </c>
      <c r="D133" s="956">
        <v>82</v>
      </c>
      <c r="E133" s="807">
        <v>0.3</v>
      </c>
      <c r="F133" s="4"/>
      <c r="G133" s="4"/>
      <c r="H133" s="4"/>
      <c r="I133" s="4"/>
      <c r="J133" s="4"/>
      <c r="K133" s="4"/>
    </row>
    <row r="134" spans="2:11" ht="13" outlineLevel="2" x14ac:dyDescent="0.15">
      <c r="B134" s="800" t="s">
        <v>2171</v>
      </c>
      <c r="C134" s="956">
        <v>31</v>
      </c>
      <c r="D134" s="956">
        <v>112</v>
      </c>
      <c r="E134" s="807">
        <v>0.3</v>
      </c>
      <c r="F134" s="4"/>
      <c r="G134" s="4"/>
      <c r="H134" s="4"/>
      <c r="I134" s="4"/>
      <c r="J134" s="4"/>
      <c r="K134" s="4"/>
    </row>
    <row r="135" spans="2:11" ht="13" outlineLevel="2" x14ac:dyDescent="0.15">
      <c r="B135" s="800" t="s">
        <v>2196</v>
      </c>
      <c r="C135" s="956">
        <v>67</v>
      </c>
      <c r="D135" s="956">
        <v>169</v>
      </c>
      <c r="E135" s="807">
        <v>0.3</v>
      </c>
      <c r="F135" s="4"/>
      <c r="G135" s="4"/>
      <c r="H135" s="4"/>
      <c r="I135" s="4"/>
      <c r="J135" s="4"/>
      <c r="K135" s="4"/>
    </row>
    <row r="136" spans="2:11" ht="13" outlineLevel="2" x14ac:dyDescent="0.15">
      <c r="B136" s="800" t="s">
        <v>2190</v>
      </c>
      <c r="C136" s="956">
        <v>79</v>
      </c>
      <c r="D136" s="956">
        <v>115</v>
      </c>
      <c r="E136" s="807">
        <v>0.3</v>
      </c>
      <c r="F136" s="4"/>
      <c r="G136" s="4"/>
      <c r="H136" s="4"/>
      <c r="I136" s="4"/>
      <c r="J136" s="4"/>
      <c r="K136" s="4"/>
    </row>
    <row r="137" spans="2:11" ht="13" outlineLevel="2" x14ac:dyDescent="0.15">
      <c r="B137" s="800" t="s">
        <v>2442</v>
      </c>
      <c r="C137" s="956">
        <v>162</v>
      </c>
      <c r="D137" s="956">
        <v>217</v>
      </c>
      <c r="E137" s="807">
        <v>0.3</v>
      </c>
      <c r="F137" s="4"/>
      <c r="G137" s="4"/>
      <c r="H137" s="4"/>
      <c r="I137" s="4"/>
      <c r="J137" s="4"/>
      <c r="K137" s="4"/>
    </row>
    <row r="138" spans="2:11" ht="13" outlineLevel="2" x14ac:dyDescent="0.15">
      <c r="B138" s="800" t="s">
        <v>2443</v>
      </c>
      <c r="C138" s="956">
        <v>32</v>
      </c>
      <c r="D138" s="956">
        <v>84</v>
      </c>
      <c r="E138" s="807">
        <v>0.3</v>
      </c>
      <c r="F138" s="4"/>
      <c r="G138" s="4"/>
      <c r="H138" s="4"/>
      <c r="I138" s="4"/>
      <c r="J138" s="4"/>
      <c r="K138" s="4"/>
    </row>
    <row r="139" spans="2:11" ht="13" outlineLevel="2" x14ac:dyDescent="0.15">
      <c r="B139" s="800" t="s">
        <v>2444</v>
      </c>
      <c r="C139" s="956">
        <v>65</v>
      </c>
      <c r="D139" s="956">
        <v>89</v>
      </c>
      <c r="E139" s="807">
        <v>0.3</v>
      </c>
      <c r="F139" s="4"/>
      <c r="G139" s="4"/>
      <c r="H139" s="4"/>
      <c r="I139" s="4"/>
      <c r="J139" s="4"/>
      <c r="K139" s="4"/>
    </row>
    <row r="140" spans="2:11" ht="13" outlineLevel="2" x14ac:dyDescent="0.15">
      <c r="B140" s="800" t="s">
        <v>2445</v>
      </c>
      <c r="C140" s="956">
        <v>34</v>
      </c>
      <c r="D140" s="956">
        <v>120</v>
      </c>
      <c r="E140" s="807">
        <v>0.3</v>
      </c>
      <c r="F140" s="4"/>
      <c r="G140" s="4"/>
      <c r="H140" s="4"/>
      <c r="I140" s="4"/>
      <c r="J140" s="4"/>
      <c r="K140" s="4"/>
    </row>
    <row r="141" spans="2:11" ht="13" outlineLevel="2" x14ac:dyDescent="0.15">
      <c r="B141" s="800" t="s">
        <v>2446</v>
      </c>
      <c r="C141" s="956">
        <v>72</v>
      </c>
      <c r="D141" s="956">
        <v>181</v>
      </c>
      <c r="E141" s="807">
        <v>0.3</v>
      </c>
      <c r="F141" s="4"/>
      <c r="G141" s="4"/>
      <c r="H141" s="4"/>
      <c r="I141" s="4"/>
      <c r="J141" s="4"/>
      <c r="K141" s="4"/>
    </row>
    <row r="142" spans="2:11" ht="13" outlineLevel="2" x14ac:dyDescent="0.15">
      <c r="B142" s="800" t="s">
        <v>2447</v>
      </c>
      <c r="C142" s="956">
        <v>93</v>
      </c>
      <c r="D142" s="956">
        <v>134</v>
      </c>
      <c r="E142" s="807">
        <v>0.3</v>
      </c>
      <c r="F142" s="4"/>
      <c r="G142" s="4"/>
      <c r="H142" s="4"/>
      <c r="I142" s="4"/>
      <c r="J142" s="4"/>
      <c r="K142" s="4"/>
    </row>
    <row r="143" spans="2:11" ht="13" outlineLevel="2" x14ac:dyDescent="0.15">
      <c r="B143" s="800" t="s">
        <v>2178</v>
      </c>
      <c r="C143" s="956">
        <v>121</v>
      </c>
      <c r="D143" s="956">
        <v>163</v>
      </c>
      <c r="E143" s="807">
        <v>0.3</v>
      </c>
      <c r="F143" s="4"/>
      <c r="G143" s="4"/>
      <c r="H143" s="4"/>
      <c r="I143" s="4"/>
      <c r="J143" s="4"/>
      <c r="K143" s="4"/>
    </row>
    <row r="144" spans="2:11" ht="13" outlineLevel="2" x14ac:dyDescent="0.15">
      <c r="B144" s="800" t="s">
        <v>2184</v>
      </c>
      <c r="C144" s="956">
        <v>46</v>
      </c>
      <c r="D144" s="956">
        <v>120</v>
      </c>
      <c r="E144" s="807">
        <v>0.3</v>
      </c>
      <c r="F144" s="4"/>
      <c r="G144" s="4"/>
      <c r="H144" s="4"/>
      <c r="I144" s="4"/>
      <c r="J144" s="4"/>
      <c r="K144" s="4"/>
    </row>
    <row r="145" spans="2:11" ht="13" outlineLevel="2" x14ac:dyDescent="0.15">
      <c r="B145" s="800" t="s">
        <v>2166</v>
      </c>
      <c r="C145" s="956">
        <v>47</v>
      </c>
      <c r="D145" s="956">
        <v>64</v>
      </c>
      <c r="E145" s="807">
        <v>0.3</v>
      </c>
      <c r="F145" s="4"/>
      <c r="G145" s="4"/>
      <c r="H145" s="4"/>
      <c r="I145" s="4"/>
      <c r="J145" s="4"/>
      <c r="K145" s="4"/>
    </row>
    <row r="146" spans="2:11" ht="13" outlineLevel="2" x14ac:dyDescent="0.15">
      <c r="B146" s="800" t="s">
        <v>2172</v>
      </c>
      <c r="C146" s="956">
        <v>24</v>
      </c>
      <c r="D146" s="956">
        <v>87</v>
      </c>
      <c r="E146" s="807">
        <v>0.3</v>
      </c>
      <c r="F146" s="4"/>
      <c r="G146" s="4"/>
      <c r="H146" s="4"/>
      <c r="I146" s="4"/>
      <c r="J146" s="4"/>
      <c r="K146" s="4"/>
    </row>
    <row r="147" spans="2:11" ht="13" outlineLevel="2" x14ac:dyDescent="0.15">
      <c r="B147" s="800" t="s">
        <v>2197</v>
      </c>
      <c r="C147" s="956">
        <v>52</v>
      </c>
      <c r="D147" s="956">
        <v>131</v>
      </c>
      <c r="E147" s="807">
        <v>0.3</v>
      </c>
      <c r="F147" s="4"/>
      <c r="G147" s="4"/>
      <c r="H147" s="4"/>
      <c r="I147" s="4"/>
      <c r="J147" s="4"/>
      <c r="K147" s="4"/>
    </row>
    <row r="148" spans="2:11" ht="13" outlineLevel="2" x14ac:dyDescent="0.15">
      <c r="B148" s="800" t="s">
        <v>2191</v>
      </c>
      <c r="C148" s="956">
        <v>84</v>
      </c>
      <c r="D148" s="956">
        <v>122</v>
      </c>
      <c r="E148" s="807">
        <v>0.3</v>
      </c>
      <c r="F148" s="4"/>
      <c r="G148" s="4"/>
      <c r="H148" s="4"/>
      <c r="I148" s="4"/>
      <c r="J148" s="4"/>
      <c r="K148" s="4"/>
    </row>
    <row r="149" spans="2:11" ht="13" outlineLevel="2" x14ac:dyDescent="0.15">
      <c r="B149" s="800" t="s">
        <v>2179</v>
      </c>
      <c r="C149" s="956">
        <v>185</v>
      </c>
      <c r="D149" s="956">
        <v>275</v>
      </c>
      <c r="E149" s="807">
        <v>0.3</v>
      </c>
      <c r="F149" s="4"/>
      <c r="G149" s="4"/>
      <c r="H149" s="4"/>
      <c r="I149" s="4"/>
      <c r="J149" s="4"/>
      <c r="K149" s="4"/>
    </row>
    <row r="150" spans="2:11" ht="13" outlineLevel="2" x14ac:dyDescent="0.15">
      <c r="B150" s="800" t="s">
        <v>2185</v>
      </c>
      <c r="C150" s="956">
        <v>18</v>
      </c>
      <c r="D150" s="956">
        <v>23</v>
      </c>
      <c r="E150" s="807">
        <v>0.3</v>
      </c>
      <c r="F150" s="4"/>
      <c r="G150" s="4"/>
      <c r="H150" s="4"/>
      <c r="I150" s="4"/>
      <c r="J150" s="4"/>
      <c r="K150" s="4"/>
    </row>
    <row r="151" spans="2:11" ht="13" outlineLevel="2" x14ac:dyDescent="0.15">
      <c r="B151" s="800" t="s">
        <v>2167</v>
      </c>
      <c r="C151" s="956">
        <v>67</v>
      </c>
      <c r="D151" s="956">
        <v>221</v>
      </c>
      <c r="E151" s="807">
        <v>0.3</v>
      </c>
      <c r="F151" s="4"/>
      <c r="G151" s="4"/>
      <c r="H151" s="4"/>
      <c r="I151" s="4"/>
      <c r="J151" s="4"/>
      <c r="K151" s="4"/>
    </row>
    <row r="152" spans="2:11" ht="13" outlineLevel="2" x14ac:dyDescent="0.15">
      <c r="B152" s="800" t="s">
        <v>2173</v>
      </c>
      <c r="C152" s="956">
        <v>78</v>
      </c>
      <c r="D152" s="956">
        <v>254</v>
      </c>
      <c r="E152" s="807">
        <v>0.3</v>
      </c>
      <c r="F152" s="4"/>
      <c r="G152" s="4"/>
      <c r="H152" s="4"/>
      <c r="I152" s="4"/>
      <c r="J152" s="4"/>
      <c r="K152" s="4"/>
    </row>
    <row r="153" spans="2:11" ht="13" outlineLevel="2" x14ac:dyDescent="0.15">
      <c r="B153" s="800" t="s">
        <v>2198</v>
      </c>
      <c r="C153" s="956">
        <v>130</v>
      </c>
      <c r="D153" s="956">
        <v>232</v>
      </c>
      <c r="E153" s="807">
        <v>0.3</v>
      </c>
      <c r="F153" s="4"/>
      <c r="G153" s="4"/>
      <c r="H153" s="4"/>
      <c r="I153" s="4"/>
      <c r="J153" s="4"/>
      <c r="K153" s="4"/>
    </row>
    <row r="154" spans="2:11" ht="13" outlineLevel="2" x14ac:dyDescent="0.15">
      <c r="B154" s="800" t="s">
        <v>2192</v>
      </c>
      <c r="C154" s="956">
        <v>111</v>
      </c>
      <c r="D154" s="956">
        <v>177</v>
      </c>
      <c r="E154" s="807">
        <v>0.3</v>
      </c>
      <c r="F154" s="4"/>
      <c r="G154" s="4"/>
      <c r="H154" s="4"/>
      <c r="I154" s="4"/>
      <c r="J154" s="4"/>
      <c r="K154" s="4"/>
    </row>
    <row r="155" spans="2:11" ht="13" outlineLevel="2" x14ac:dyDescent="0.15">
      <c r="B155" s="800" t="s">
        <v>2457</v>
      </c>
      <c r="C155" s="956">
        <v>92</v>
      </c>
      <c r="D155" s="956">
        <v>124</v>
      </c>
      <c r="E155" s="807">
        <v>0.3</v>
      </c>
      <c r="F155" s="4"/>
      <c r="G155" s="4"/>
      <c r="H155" s="4"/>
      <c r="I155" s="4"/>
      <c r="J155" s="4"/>
      <c r="K155" s="4"/>
    </row>
    <row r="156" spans="2:11" ht="13" outlineLevel="2" x14ac:dyDescent="0.15">
      <c r="B156" s="800" t="s">
        <v>2458</v>
      </c>
      <c r="C156" s="956">
        <v>36</v>
      </c>
      <c r="D156" s="956">
        <v>94</v>
      </c>
      <c r="E156" s="807">
        <v>0.3</v>
      </c>
      <c r="F156" s="4"/>
      <c r="G156" s="4"/>
      <c r="H156" s="4"/>
      <c r="I156" s="4"/>
      <c r="J156" s="4"/>
      <c r="K156" s="4"/>
    </row>
    <row r="157" spans="2:11" ht="13" outlineLevel="2" x14ac:dyDescent="0.15">
      <c r="B157" s="800" t="s">
        <v>2459</v>
      </c>
      <c r="C157" s="956">
        <v>56</v>
      </c>
      <c r="D157" s="956">
        <v>77</v>
      </c>
      <c r="E157" s="807">
        <v>0.3</v>
      </c>
      <c r="F157" s="4"/>
      <c r="G157" s="4"/>
      <c r="H157" s="4"/>
      <c r="I157" s="4"/>
      <c r="J157" s="4"/>
      <c r="K157" s="4"/>
    </row>
    <row r="158" spans="2:11" ht="13" outlineLevel="2" x14ac:dyDescent="0.15">
      <c r="B158" s="800" t="s">
        <v>2460</v>
      </c>
      <c r="C158" s="956">
        <v>17</v>
      </c>
      <c r="D158" s="956">
        <v>60</v>
      </c>
      <c r="E158" s="807">
        <v>0.3</v>
      </c>
      <c r="F158" s="4"/>
      <c r="G158" s="4"/>
      <c r="H158" s="4"/>
      <c r="I158" s="4"/>
      <c r="J158" s="4"/>
      <c r="K158" s="4"/>
    </row>
    <row r="159" spans="2:11" ht="13" outlineLevel="2" x14ac:dyDescent="0.15">
      <c r="B159" s="800" t="s">
        <v>2461</v>
      </c>
      <c r="C159" s="956">
        <v>36</v>
      </c>
      <c r="D159" s="956">
        <v>90</v>
      </c>
      <c r="E159" s="807">
        <v>0.3</v>
      </c>
      <c r="F159" s="4"/>
      <c r="G159" s="4"/>
      <c r="H159" s="4"/>
      <c r="I159" s="4"/>
      <c r="J159" s="4"/>
      <c r="K159" s="4"/>
    </row>
    <row r="160" spans="2:11" ht="13" outlineLevel="2" x14ac:dyDescent="0.15">
      <c r="B160" s="800" t="s">
        <v>2462</v>
      </c>
      <c r="C160" s="956">
        <v>67</v>
      </c>
      <c r="D160" s="956">
        <v>97</v>
      </c>
      <c r="E160" s="807">
        <v>0.3</v>
      </c>
      <c r="F160" s="4"/>
      <c r="G160" s="4"/>
      <c r="H160" s="4"/>
      <c r="I160" s="4"/>
      <c r="J160" s="4"/>
      <c r="K160" s="4"/>
    </row>
    <row r="161" spans="2:15" ht="13" outlineLevel="2" x14ac:dyDescent="0.15">
      <c r="B161" s="800" t="s">
        <v>2180</v>
      </c>
      <c r="C161" s="956">
        <v>126</v>
      </c>
      <c r="D161" s="956">
        <v>243</v>
      </c>
      <c r="E161" s="807">
        <v>0.3</v>
      </c>
      <c r="F161" s="4"/>
      <c r="G161" s="4"/>
      <c r="H161" s="4"/>
      <c r="I161" s="4"/>
      <c r="J161" s="4"/>
      <c r="K161" s="4"/>
    </row>
    <row r="162" spans="2:15" ht="13" outlineLevel="2" x14ac:dyDescent="0.15">
      <c r="B162" s="800" t="s">
        <v>2186</v>
      </c>
      <c r="C162" s="956">
        <v>121</v>
      </c>
      <c r="D162" s="956">
        <v>283</v>
      </c>
      <c r="E162" s="807">
        <v>0.3</v>
      </c>
      <c r="F162" s="4"/>
      <c r="G162" s="4"/>
      <c r="H162" s="4"/>
      <c r="I162" s="4"/>
      <c r="J162" s="4"/>
      <c r="K162" s="4"/>
    </row>
    <row r="163" spans="2:15" ht="13" outlineLevel="2" x14ac:dyDescent="0.15">
      <c r="B163" s="800" t="s">
        <v>2168</v>
      </c>
      <c r="C163" s="956">
        <v>16</v>
      </c>
      <c r="D163" s="956">
        <v>131</v>
      </c>
      <c r="E163" s="807">
        <v>0.3</v>
      </c>
      <c r="F163" s="4"/>
      <c r="G163" s="4"/>
      <c r="H163" s="4"/>
      <c r="I163" s="4"/>
      <c r="J163" s="4"/>
      <c r="K163" s="4"/>
    </row>
    <row r="164" spans="2:15" ht="13" outlineLevel="2" x14ac:dyDescent="0.15">
      <c r="B164" s="800" t="s">
        <v>2174</v>
      </c>
      <c r="C164" s="956">
        <v>67</v>
      </c>
      <c r="D164" s="956">
        <v>221</v>
      </c>
      <c r="E164" s="807">
        <v>0.3</v>
      </c>
      <c r="F164" s="4"/>
      <c r="G164" s="4"/>
      <c r="H164" s="4"/>
      <c r="I164" s="4"/>
      <c r="J164" s="4"/>
      <c r="K164" s="4"/>
    </row>
    <row r="165" spans="2:15" ht="13" outlineLevel="2" x14ac:dyDescent="0.15">
      <c r="B165" s="800" t="s">
        <v>2199</v>
      </c>
      <c r="C165" s="956">
        <v>78</v>
      </c>
      <c r="D165" s="956">
        <v>254</v>
      </c>
      <c r="E165" s="807">
        <v>0.3</v>
      </c>
      <c r="F165" s="4"/>
      <c r="G165" s="4"/>
      <c r="H165" s="4"/>
      <c r="I165" s="4"/>
      <c r="J165" s="4"/>
      <c r="K165" s="4"/>
    </row>
    <row r="166" spans="2:15" ht="13" outlineLevel="2" x14ac:dyDescent="0.15">
      <c r="B166" s="800" t="s">
        <v>2193</v>
      </c>
      <c r="C166" s="956">
        <v>83</v>
      </c>
      <c r="D166" s="956">
        <v>222</v>
      </c>
      <c r="E166" s="807">
        <v>0.3</v>
      </c>
      <c r="F166" s="4"/>
      <c r="G166" s="4"/>
      <c r="H166" s="4"/>
      <c r="I166" s="4"/>
      <c r="J166" s="4"/>
      <c r="K166" s="4"/>
    </row>
    <row r="167" spans="2:15" ht="13" outlineLevel="2" x14ac:dyDescent="0.15">
      <c r="B167" s="800" t="s">
        <v>2472</v>
      </c>
      <c r="C167" s="956">
        <v>92</v>
      </c>
      <c r="D167" s="956">
        <v>124</v>
      </c>
      <c r="E167" s="807">
        <v>0.3</v>
      </c>
      <c r="F167" s="4"/>
      <c r="G167" s="4"/>
      <c r="H167" s="4"/>
      <c r="I167" s="4"/>
      <c r="J167" s="4"/>
      <c r="K167" s="4"/>
    </row>
    <row r="168" spans="2:15" ht="13" outlineLevel="2" x14ac:dyDescent="0.15">
      <c r="B168" s="800" t="s">
        <v>2473</v>
      </c>
      <c r="C168" s="956">
        <v>36</v>
      </c>
      <c r="D168" s="956">
        <v>94</v>
      </c>
      <c r="E168" s="807">
        <v>0.3</v>
      </c>
      <c r="F168" s="4"/>
      <c r="G168" s="4"/>
      <c r="H168" s="4"/>
      <c r="I168" s="4"/>
      <c r="J168" s="4"/>
      <c r="K168" s="4"/>
    </row>
    <row r="169" spans="2:15" ht="13" outlineLevel="2" x14ac:dyDescent="0.15">
      <c r="B169" s="800" t="s">
        <v>2474</v>
      </c>
      <c r="C169" s="956">
        <v>56</v>
      </c>
      <c r="D169" s="956">
        <v>77</v>
      </c>
      <c r="E169" s="807">
        <v>0.3</v>
      </c>
      <c r="F169" s="4"/>
      <c r="G169" s="4"/>
      <c r="H169" s="4"/>
      <c r="I169" s="4"/>
      <c r="J169" s="4"/>
      <c r="K169" s="4"/>
    </row>
    <row r="170" spans="2:15" ht="13" outlineLevel="2" x14ac:dyDescent="0.15">
      <c r="B170" s="800" t="s">
        <v>2475</v>
      </c>
      <c r="C170" s="956">
        <v>17</v>
      </c>
      <c r="D170" s="956">
        <v>60</v>
      </c>
      <c r="E170" s="807">
        <v>0.3</v>
      </c>
      <c r="F170" s="4"/>
      <c r="G170" s="4"/>
      <c r="H170" s="4"/>
      <c r="I170" s="4"/>
      <c r="J170" s="4"/>
      <c r="K170" s="4"/>
    </row>
    <row r="171" spans="2:15" ht="13" outlineLevel="2" x14ac:dyDescent="0.15">
      <c r="B171" s="800" t="s">
        <v>2476</v>
      </c>
      <c r="C171" s="956">
        <v>36</v>
      </c>
      <c r="D171" s="956">
        <v>90</v>
      </c>
      <c r="E171" s="807">
        <v>0.3</v>
      </c>
      <c r="F171" s="4"/>
      <c r="G171" s="4"/>
      <c r="H171" s="4"/>
      <c r="I171" s="4"/>
      <c r="J171" s="4"/>
      <c r="K171" s="4"/>
    </row>
    <row r="172" spans="2:15" ht="13" outlineLevel="2" x14ac:dyDescent="0.15">
      <c r="B172" s="800" t="s">
        <v>2477</v>
      </c>
      <c r="C172" s="956">
        <v>67</v>
      </c>
      <c r="D172" s="956">
        <v>97</v>
      </c>
      <c r="E172" s="807">
        <v>0.3</v>
      </c>
      <c r="F172" s="4"/>
      <c r="G172" s="4"/>
      <c r="H172" s="4"/>
      <c r="I172" s="4"/>
      <c r="J172" s="4"/>
      <c r="K172" s="4"/>
    </row>
    <row r="173" spans="2:15" ht="13" outlineLevel="2" x14ac:dyDescent="0.15">
      <c r="B173" s="801"/>
      <c r="C173" s="957"/>
      <c r="D173" s="957"/>
      <c r="E173" s="803"/>
      <c r="F173" s="4"/>
      <c r="G173" s="4"/>
      <c r="H173" s="4"/>
      <c r="I173" s="4"/>
      <c r="J173" s="4"/>
      <c r="K173" s="4"/>
    </row>
    <row r="174" spans="2:15" ht="13" outlineLevel="2" x14ac:dyDescent="0.15">
      <c r="B174" s="4"/>
      <c r="C174" s="4"/>
      <c r="D174" s="4"/>
      <c r="E174" s="4"/>
      <c r="F174" s="4"/>
      <c r="G174" s="4"/>
      <c r="H174" s="4"/>
      <c r="I174" s="4"/>
      <c r="J174" s="4"/>
      <c r="K174" s="4"/>
    </row>
    <row r="175" spans="2:15" ht="13" outlineLevel="1" x14ac:dyDescent="0.15">
      <c r="B175" s="4"/>
      <c r="C175" s="4"/>
      <c r="D175" s="4"/>
      <c r="E175" s="4"/>
      <c r="F175" s="4"/>
      <c r="G175" s="4"/>
      <c r="H175" s="4"/>
      <c r="I175" s="4"/>
      <c r="J175" s="4"/>
      <c r="K175" s="4"/>
    </row>
    <row r="176" spans="2:15" ht="15.75" customHeight="1" outlineLevel="1" collapsed="1" x14ac:dyDescent="0.2">
      <c r="B176" s="1947" t="s">
        <v>2200</v>
      </c>
      <c r="C176" s="1948"/>
      <c r="D176" s="1948"/>
      <c r="E176" s="1948"/>
      <c r="F176" s="1948"/>
      <c r="G176" s="1948"/>
      <c r="H176" s="1948"/>
      <c r="I176" s="1948"/>
      <c r="J176" s="1948"/>
      <c r="K176" s="1948"/>
      <c r="L176" s="1948"/>
      <c r="M176" s="1948"/>
      <c r="N176" s="1948"/>
      <c r="O176" s="1949"/>
    </row>
    <row r="177" spans="1:13" s="40" customFormat="1" ht="13" hidden="1" outlineLevel="2" x14ac:dyDescent="0.15">
      <c r="A177" s="39"/>
      <c r="B177" s="4"/>
      <c r="C177" s="4"/>
      <c r="D177" s="4"/>
      <c r="E177" s="4"/>
      <c r="F177" s="4"/>
      <c r="G177" s="4"/>
      <c r="H177" s="4"/>
      <c r="I177" s="4"/>
      <c r="J177" s="4"/>
      <c r="K177" s="4"/>
    </row>
    <row r="178" spans="1:13" s="40" customFormat="1" ht="13" hidden="1" outlineLevel="2" x14ac:dyDescent="0.15">
      <c r="A178" s="39"/>
      <c r="B178" s="1064" t="s">
        <v>2201</v>
      </c>
      <c r="C178" s="1945" t="s">
        <v>2122</v>
      </c>
      <c r="D178" s="1946"/>
      <c r="E178" s="1876" t="s">
        <v>2123</v>
      </c>
      <c r="F178" s="1878"/>
      <c r="G178" s="1874" t="s">
        <v>723</v>
      </c>
      <c r="H178" s="4"/>
      <c r="I178" s="4"/>
      <c r="J178" s="4"/>
      <c r="K178" s="4"/>
    </row>
    <row r="179" spans="1:13" s="40" customFormat="1" ht="13" hidden="1" outlineLevel="2" x14ac:dyDescent="0.15">
      <c r="A179" s="39"/>
      <c r="B179" s="1127"/>
      <c r="C179" s="1595" t="s">
        <v>2202</v>
      </c>
      <c r="D179" s="1597" t="s">
        <v>2202</v>
      </c>
      <c r="E179" s="1595" t="s">
        <v>2202</v>
      </c>
      <c r="F179" s="1597" t="s">
        <v>2202</v>
      </c>
      <c r="G179" s="1950"/>
      <c r="H179" s="4"/>
      <c r="I179" s="4"/>
      <c r="J179" s="4"/>
      <c r="K179" s="4"/>
    </row>
    <row r="180" spans="1:13" s="40" customFormat="1" ht="13" hidden="1" outlineLevel="2" x14ac:dyDescent="0.15">
      <c r="A180" s="39"/>
      <c r="B180" s="1121" t="s">
        <v>2203</v>
      </c>
      <c r="C180" s="1603" t="s">
        <v>2204</v>
      </c>
      <c r="D180" s="1599" t="s">
        <v>2205</v>
      </c>
      <c r="E180" s="1603" t="s">
        <v>2204</v>
      </c>
      <c r="F180" s="1599" t="s">
        <v>2205</v>
      </c>
      <c r="G180" s="1875"/>
      <c r="H180" s="4"/>
      <c r="I180" s="4"/>
      <c r="J180" s="4"/>
      <c r="K180" s="4"/>
    </row>
    <row r="181" spans="1:13" s="40" customFormat="1" ht="13" hidden="1" outlineLevel="2" x14ac:dyDescent="0.15">
      <c r="A181" s="39"/>
      <c r="B181" s="804" t="s">
        <v>2206</v>
      </c>
      <c r="C181" s="1112">
        <v>0.2984511210828199</v>
      </c>
      <c r="D181" s="884">
        <v>0.49354957611500183</v>
      </c>
      <c r="E181" s="1116">
        <v>0.26743716956961777</v>
      </c>
      <c r="F181" s="1117">
        <v>0.48659938601150549</v>
      </c>
      <c r="G181" s="805">
        <v>0.3</v>
      </c>
      <c r="H181" s="4"/>
      <c r="I181" s="4"/>
      <c r="J181" s="4"/>
      <c r="K181" s="4"/>
    </row>
    <row r="182" spans="1:13" s="40" customFormat="1" ht="13" hidden="1" outlineLevel="2" x14ac:dyDescent="0.15">
      <c r="A182" s="39"/>
      <c r="B182" s="806" t="s">
        <v>2207</v>
      </c>
      <c r="C182" s="1113">
        <v>0.31593751606530412</v>
      </c>
      <c r="D182" s="878">
        <v>0.13060265388868414</v>
      </c>
      <c r="E182" s="1118">
        <v>0.15450163843927159</v>
      </c>
      <c r="F182" s="1114">
        <v>6.1488877085265174E-2</v>
      </c>
      <c r="G182" s="807">
        <v>0.3</v>
      </c>
      <c r="H182" s="4"/>
      <c r="I182" s="4"/>
    </row>
    <row r="183" spans="1:13" s="40" customFormat="1" ht="13" hidden="1" outlineLevel="2" x14ac:dyDescent="0.15">
      <c r="A183" s="39"/>
      <c r="B183" s="806" t="s">
        <v>2208</v>
      </c>
      <c r="C183" s="1113">
        <v>5.4331940394967804E-2</v>
      </c>
      <c r="D183" s="1114">
        <v>7.4456321415407312E-3</v>
      </c>
      <c r="E183" s="1118">
        <v>7.3308656479797313E-2</v>
      </c>
      <c r="F183" s="1114">
        <v>9.9480540525941456E-3</v>
      </c>
      <c r="G183" s="807">
        <v>0.3</v>
      </c>
      <c r="H183" s="4"/>
      <c r="I183" s="4"/>
    </row>
    <row r="184" spans="1:13" s="40" customFormat="1" ht="13" hidden="1" outlineLevel="2" x14ac:dyDescent="0.15">
      <c r="A184" s="39"/>
      <c r="B184" s="806" t="s">
        <v>2209</v>
      </c>
      <c r="C184" s="1113">
        <v>0.30245367684319535</v>
      </c>
      <c r="D184" s="878">
        <v>0.27199594544784372</v>
      </c>
      <c r="E184" s="1118">
        <v>0.4920838258087803</v>
      </c>
      <c r="F184" s="1114">
        <v>0.37317356428423526</v>
      </c>
      <c r="G184" s="807">
        <v>0.3</v>
      </c>
      <c r="H184" s="4"/>
      <c r="I184" s="4"/>
    </row>
    <row r="185" spans="1:13" s="40" customFormat="1" ht="13" hidden="1" outlineLevel="2" x14ac:dyDescent="0.15">
      <c r="A185" s="39"/>
      <c r="B185" s="806" t="s">
        <v>2210</v>
      </c>
      <c r="C185" s="1113">
        <v>2.4881942965416452E-2</v>
      </c>
      <c r="D185" s="878">
        <v>0</v>
      </c>
      <c r="E185" s="1118">
        <v>1.2668709702533035E-2</v>
      </c>
      <c r="F185" s="1114">
        <v>0</v>
      </c>
      <c r="G185" s="807">
        <v>0.3</v>
      </c>
      <c r="H185" s="4"/>
      <c r="I185" s="4"/>
    </row>
    <row r="186" spans="1:13" s="40" customFormat="1" ht="13" hidden="1" outlineLevel="2" x14ac:dyDescent="0.15">
      <c r="A186" s="39"/>
      <c r="B186" s="806" t="s">
        <v>2211</v>
      </c>
      <c r="C186" s="1113">
        <v>9.1067323722303427E-4</v>
      </c>
      <c r="D186" s="878">
        <v>9.6406192406929603E-2</v>
      </c>
      <c r="E186" s="1118">
        <v>0</v>
      </c>
      <c r="F186" s="1114">
        <v>6.8790118566399883E-2</v>
      </c>
      <c r="G186" s="807">
        <v>0.3</v>
      </c>
      <c r="H186" s="4"/>
      <c r="I186" s="4"/>
    </row>
    <row r="187" spans="1:13" s="40" customFormat="1" ht="13" hidden="1" outlineLevel="2" x14ac:dyDescent="0.15">
      <c r="A187" s="39"/>
      <c r="B187" s="802"/>
      <c r="C187" s="1115"/>
      <c r="D187" s="919"/>
      <c r="E187" s="1119"/>
      <c r="F187" s="1120"/>
      <c r="G187" s="814"/>
      <c r="H187" s="4"/>
      <c r="I187" s="4"/>
    </row>
    <row r="188" spans="1:13" s="40" customFormat="1" ht="13" hidden="1" outlineLevel="2" x14ac:dyDescent="0.15">
      <c r="A188" s="39"/>
      <c r="B188" s="4"/>
      <c r="C188" s="4"/>
      <c r="D188" s="4"/>
      <c r="E188" s="4"/>
      <c r="F188" s="4"/>
      <c r="G188" s="4"/>
      <c r="H188" s="4"/>
      <c r="I188" s="4"/>
      <c r="J188" s="4"/>
      <c r="L188" s="4"/>
      <c r="M188" s="4"/>
    </row>
    <row r="189" spans="1:13" s="40" customFormat="1" ht="13" hidden="1" outlineLevel="2" x14ac:dyDescent="0.15">
      <c r="A189" s="39"/>
      <c r="B189" s="4"/>
      <c r="C189" s="4"/>
      <c r="D189" s="4"/>
      <c r="E189" s="4"/>
      <c r="F189" s="4"/>
      <c r="G189" s="4"/>
      <c r="H189" s="4"/>
      <c r="I189" s="4"/>
      <c r="J189" s="4"/>
      <c r="L189" s="4"/>
      <c r="M189" s="4"/>
    </row>
    <row r="190" spans="1:13" s="40" customFormat="1" ht="13" hidden="1" outlineLevel="2" x14ac:dyDescent="0.15">
      <c r="A190" s="39"/>
      <c r="B190" s="1125" t="s">
        <v>2212</v>
      </c>
      <c r="C190" s="1590" t="s">
        <v>2213</v>
      </c>
      <c r="D190" s="795" t="s">
        <v>723</v>
      </c>
      <c r="E190" s="4"/>
      <c r="F190" s="4"/>
      <c r="G190" s="4"/>
      <c r="H190" s="4"/>
      <c r="I190" s="4"/>
      <c r="J190" s="4"/>
      <c r="L190" s="4"/>
      <c r="M190" s="4"/>
    </row>
    <row r="191" spans="1:13" s="40" customFormat="1" ht="13" hidden="1" outlineLevel="2" x14ac:dyDescent="0.15">
      <c r="A191" s="39"/>
      <c r="B191" s="800" t="s">
        <v>2214</v>
      </c>
      <c r="C191" s="877">
        <v>1971.6885743174923</v>
      </c>
      <c r="D191" s="895">
        <v>0.3</v>
      </c>
      <c r="E191" s="4"/>
      <c r="F191" s="4"/>
      <c r="G191" s="4"/>
      <c r="H191" s="4"/>
      <c r="I191" s="4"/>
      <c r="J191" s="4"/>
      <c r="L191" s="4"/>
      <c r="M191" s="4"/>
    </row>
    <row r="192" spans="1:13" s="40" customFormat="1" ht="13" hidden="1" outlineLevel="2" x14ac:dyDescent="0.15">
      <c r="A192" s="39"/>
      <c r="B192" s="800" t="s">
        <v>2215</v>
      </c>
      <c r="C192" s="981">
        <v>2669.369479266079</v>
      </c>
      <c r="D192" s="895">
        <v>0.3</v>
      </c>
      <c r="E192" s="4"/>
      <c r="F192" s="4"/>
      <c r="G192" s="4"/>
      <c r="H192" s="4"/>
      <c r="I192" s="4"/>
      <c r="J192" s="4"/>
      <c r="L192" s="4"/>
      <c r="M192" s="4"/>
    </row>
    <row r="193" spans="1:13" s="40" customFormat="1" ht="13" hidden="1" outlineLevel="2" x14ac:dyDescent="0.15">
      <c r="A193" s="39"/>
      <c r="B193" s="801"/>
      <c r="C193" s="1039"/>
      <c r="D193" s="1062"/>
      <c r="E193" s="4"/>
      <c r="F193" s="4"/>
      <c r="G193" s="4"/>
      <c r="H193" s="4"/>
      <c r="I193" s="4"/>
      <c r="J193" s="4"/>
      <c r="L193" s="4"/>
      <c r="M193" s="4"/>
    </row>
    <row r="194" spans="1:13" s="40" customFormat="1" ht="13" hidden="1" outlineLevel="2" x14ac:dyDescent="0.15">
      <c r="A194" s="39"/>
      <c r="B194" s="4"/>
      <c r="C194" s="4"/>
      <c r="D194" s="4"/>
      <c r="E194" s="4"/>
      <c r="F194" s="4"/>
      <c r="G194" s="4"/>
      <c r="H194" s="4"/>
      <c r="I194" s="4"/>
      <c r="J194" s="4"/>
      <c r="L194" s="4"/>
      <c r="M194" s="4"/>
    </row>
    <row r="195" spans="1:13" s="40" customFormat="1" ht="13" hidden="1" outlineLevel="2" x14ac:dyDescent="0.15">
      <c r="A195" s="39"/>
      <c r="B195" s="4"/>
      <c r="C195" s="4"/>
      <c r="D195" s="4"/>
      <c r="E195" s="4"/>
      <c r="F195" s="4"/>
      <c r="G195" s="4"/>
      <c r="H195" s="4"/>
      <c r="I195" s="4"/>
      <c r="J195" s="4"/>
      <c r="L195" s="4"/>
      <c r="M195" s="4"/>
    </row>
    <row r="196" spans="1:13" s="40" customFormat="1" ht="13" hidden="1" outlineLevel="2" x14ac:dyDescent="0.15">
      <c r="A196" s="39"/>
      <c r="B196" s="1125" t="s">
        <v>2216</v>
      </c>
      <c r="C196" s="1600" t="s">
        <v>2121</v>
      </c>
      <c r="D196" s="1590" t="s">
        <v>2217</v>
      </c>
      <c r="E196" s="795" t="s">
        <v>723</v>
      </c>
      <c r="F196" s="4"/>
      <c r="G196" s="4"/>
      <c r="H196" s="4"/>
      <c r="I196" s="4"/>
    </row>
    <row r="197" spans="1:13" s="40" customFormat="1" ht="13" hidden="1" outlineLevel="2" x14ac:dyDescent="0.15">
      <c r="A197" s="39"/>
      <c r="B197" s="804" t="s">
        <v>2218</v>
      </c>
      <c r="C197" s="979">
        <v>201.3</v>
      </c>
      <c r="D197" s="877">
        <v>104.9</v>
      </c>
      <c r="E197" s="805">
        <v>0.3</v>
      </c>
      <c r="F197" s="4"/>
    </row>
    <row r="198" spans="1:13" s="40" customFormat="1" ht="13" hidden="1" outlineLevel="2" x14ac:dyDescent="0.15">
      <c r="A198" s="39"/>
      <c r="B198" s="806" t="s">
        <v>2219</v>
      </c>
      <c r="C198" s="812">
        <v>166.1</v>
      </c>
      <c r="D198" s="981">
        <v>111.7</v>
      </c>
      <c r="E198" s="807">
        <v>0.3</v>
      </c>
      <c r="F198" s="4"/>
    </row>
    <row r="199" spans="1:13" s="40" customFormat="1" ht="13" hidden="1" outlineLevel="2" x14ac:dyDescent="0.15">
      <c r="A199" s="39"/>
      <c r="B199" s="806" t="s">
        <v>2237</v>
      </c>
      <c r="C199" s="812">
        <v>206.9</v>
      </c>
      <c r="D199" s="981">
        <v>65.8</v>
      </c>
      <c r="E199" s="807">
        <v>0.3</v>
      </c>
      <c r="F199" s="4"/>
    </row>
    <row r="200" spans="1:13" s="40" customFormat="1" ht="13" hidden="1" outlineLevel="2" x14ac:dyDescent="0.15">
      <c r="A200" s="39"/>
      <c r="B200" s="806" t="s">
        <v>2223</v>
      </c>
      <c r="C200" s="812">
        <v>195.7</v>
      </c>
      <c r="D200" s="981">
        <v>65.900000000000006</v>
      </c>
      <c r="E200" s="807">
        <v>0.3</v>
      </c>
      <c r="F200" s="4"/>
    </row>
    <row r="201" spans="1:13" s="40" customFormat="1" ht="13" hidden="1" outlineLevel="2" x14ac:dyDescent="0.15">
      <c r="A201" s="39"/>
      <c r="B201" s="806" t="s">
        <v>2236</v>
      </c>
      <c r="C201" s="812">
        <v>146.19999999999999</v>
      </c>
      <c r="D201" s="981">
        <v>71.099999999999994</v>
      </c>
      <c r="E201" s="807">
        <v>0.3</v>
      </c>
      <c r="F201" s="4"/>
    </row>
    <row r="202" spans="1:13" s="40" customFormat="1" ht="13" hidden="1" outlineLevel="2" x14ac:dyDescent="0.15">
      <c r="A202" s="39"/>
      <c r="B202" s="806" t="s">
        <v>2224</v>
      </c>
      <c r="C202" s="812">
        <v>124.7</v>
      </c>
      <c r="D202" s="981">
        <v>71.2</v>
      </c>
      <c r="E202" s="807">
        <v>0.3</v>
      </c>
      <c r="F202" s="4"/>
    </row>
    <row r="203" spans="1:13" s="40" customFormat="1" ht="13" hidden="1" outlineLevel="2" x14ac:dyDescent="0.15">
      <c r="A203" s="39"/>
      <c r="B203" s="804" t="s">
        <v>2220</v>
      </c>
      <c r="C203" s="979">
        <v>187.1</v>
      </c>
      <c r="D203" s="877">
        <v>119.3</v>
      </c>
      <c r="E203" s="805">
        <v>0.3</v>
      </c>
      <c r="F203" s="4"/>
      <c r="J203" s="4"/>
      <c r="M203" s="4"/>
    </row>
    <row r="204" spans="1:13" s="40" customFormat="1" ht="13" hidden="1" outlineLevel="2" x14ac:dyDescent="0.15">
      <c r="A204" s="39"/>
      <c r="B204" s="806" t="s">
        <v>2221</v>
      </c>
      <c r="C204" s="812">
        <v>170.8</v>
      </c>
      <c r="D204" s="981">
        <v>120</v>
      </c>
      <c r="E204" s="807">
        <v>0.3</v>
      </c>
      <c r="F204" s="4"/>
    </row>
    <row r="205" spans="1:13" s="40" customFormat="1" ht="13" hidden="1" outlineLevel="2" x14ac:dyDescent="0.15">
      <c r="A205" s="39"/>
      <c r="B205" s="806" t="s">
        <v>2235</v>
      </c>
      <c r="C205" s="812">
        <v>194.6</v>
      </c>
      <c r="D205" s="981">
        <v>71.099999999999994</v>
      </c>
      <c r="E205" s="807">
        <v>0.3</v>
      </c>
      <c r="F205" s="4"/>
    </row>
    <row r="206" spans="1:13" s="40" customFormat="1" ht="13" hidden="1" outlineLevel="2" x14ac:dyDescent="0.15">
      <c r="A206" s="39"/>
      <c r="B206" s="806" t="s">
        <v>2225</v>
      </c>
      <c r="C206" s="812">
        <v>173.6</v>
      </c>
      <c r="D206" s="981">
        <v>70.8</v>
      </c>
      <c r="E206" s="807">
        <v>0.3</v>
      </c>
      <c r="F206" s="4"/>
    </row>
    <row r="207" spans="1:13" s="40" customFormat="1" ht="13" hidden="1" outlineLevel="2" x14ac:dyDescent="0.15">
      <c r="A207" s="39"/>
      <c r="B207" s="806" t="s">
        <v>2234</v>
      </c>
      <c r="C207" s="812">
        <v>172.4</v>
      </c>
      <c r="D207" s="981">
        <v>89.3</v>
      </c>
      <c r="E207" s="807">
        <v>0.3</v>
      </c>
      <c r="F207" s="4"/>
    </row>
    <row r="208" spans="1:13" s="40" customFormat="1" ht="13" hidden="1" outlineLevel="2" x14ac:dyDescent="0.15">
      <c r="A208" s="39"/>
      <c r="B208" s="802" t="s">
        <v>2226</v>
      </c>
      <c r="C208" s="813">
        <v>162.30000000000001</v>
      </c>
      <c r="D208" s="1039">
        <v>87.8</v>
      </c>
      <c r="E208" s="814">
        <v>0.3</v>
      </c>
      <c r="F208" s="4"/>
    </row>
    <row r="209" spans="1:13" s="40" customFormat="1" ht="13" hidden="1" outlineLevel="2" x14ac:dyDescent="0.15">
      <c r="A209" s="39"/>
      <c r="B209" s="804" t="s">
        <v>2233</v>
      </c>
      <c r="C209" s="979">
        <v>290.39999999999998</v>
      </c>
      <c r="D209" s="877">
        <v>105.5</v>
      </c>
      <c r="E209" s="805">
        <v>0.3</v>
      </c>
      <c r="F209" s="4"/>
    </row>
    <row r="210" spans="1:13" s="40" customFormat="1" ht="13" hidden="1" outlineLevel="2" x14ac:dyDescent="0.15">
      <c r="A210" s="39"/>
      <c r="B210" s="806" t="s">
        <v>2238</v>
      </c>
      <c r="C210" s="812">
        <v>235.4</v>
      </c>
      <c r="D210" s="981">
        <v>113.9</v>
      </c>
      <c r="E210" s="807">
        <v>0.3</v>
      </c>
      <c r="F210" s="4"/>
    </row>
    <row r="211" spans="1:13" s="40" customFormat="1" ht="13" hidden="1" outlineLevel="2" x14ac:dyDescent="0.15">
      <c r="A211" s="39"/>
      <c r="B211" s="806" t="s">
        <v>2232</v>
      </c>
      <c r="C211" s="812">
        <v>210.5</v>
      </c>
      <c r="D211" s="981">
        <v>78.5</v>
      </c>
      <c r="E211" s="807">
        <v>0.3</v>
      </c>
      <c r="F211" s="4"/>
    </row>
    <row r="212" spans="1:13" s="40" customFormat="1" ht="13" hidden="1" outlineLevel="2" x14ac:dyDescent="0.15">
      <c r="A212" s="39"/>
      <c r="B212" s="802" t="s">
        <v>2227</v>
      </c>
      <c r="C212" s="813">
        <v>171.9</v>
      </c>
      <c r="D212" s="1039">
        <v>78.599999999999994</v>
      </c>
      <c r="E212" s="814">
        <v>0.3</v>
      </c>
      <c r="F212" s="4"/>
    </row>
    <row r="213" spans="1:13" s="40" customFormat="1" ht="13" hidden="1" outlineLevel="2" x14ac:dyDescent="0.15">
      <c r="A213" s="39"/>
      <c r="B213" s="804" t="s">
        <v>2256</v>
      </c>
      <c r="C213" s="979">
        <v>139.30000000000001</v>
      </c>
      <c r="D213" s="877">
        <v>113.5</v>
      </c>
      <c r="E213" s="805">
        <v>0.3</v>
      </c>
      <c r="F213" s="4"/>
      <c r="J213" s="4"/>
      <c r="L213" s="4"/>
      <c r="M213" s="4"/>
    </row>
    <row r="214" spans="1:13" s="40" customFormat="1" ht="13" hidden="1" outlineLevel="2" x14ac:dyDescent="0.15">
      <c r="A214" s="39"/>
      <c r="B214" s="806" t="s">
        <v>2257</v>
      </c>
      <c r="C214" s="812">
        <v>129.30000000000001</v>
      </c>
      <c r="D214" s="981">
        <v>115.8</v>
      </c>
      <c r="E214" s="807">
        <v>0.3</v>
      </c>
      <c r="F214" s="4"/>
      <c r="J214" s="4"/>
      <c r="L214" s="4"/>
      <c r="M214" s="4"/>
    </row>
    <row r="215" spans="1:13" s="40" customFormat="1" ht="13" hidden="1" outlineLevel="2" x14ac:dyDescent="0.15">
      <c r="A215" s="39"/>
      <c r="B215" s="806" t="s">
        <v>2258</v>
      </c>
      <c r="C215" s="812">
        <v>101.4</v>
      </c>
      <c r="D215" s="981">
        <v>86.9</v>
      </c>
      <c r="E215" s="807">
        <v>0.3</v>
      </c>
      <c r="F215" s="4"/>
      <c r="J215" s="4"/>
      <c r="L215" s="4"/>
      <c r="M215" s="4"/>
    </row>
    <row r="216" spans="1:13" s="40" customFormat="1" ht="13" hidden="1" outlineLevel="2" x14ac:dyDescent="0.15">
      <c r="A216" s="39"/>
      <c r="B216" s="802" t="s">
        <v>2259</v>
      </c>
      <c r="C216" s="813">
        <v>79.5</v>
      </c>
      <c r="D216" s="1039">
        <v>86.3</v>
      </c>
      <c r="E216" s="814">
        <v>0.3</v>
      </c>
      <c r="F216" s="4"/>
    </row>
    <row r="217" spans="1:13" s="40" customFormat="1" ht="13" hidden="1" outlineLevel="2" x14ac:dyDescent="0.15">
      <c r="A217" s="39"/>
      <c r="B217" s="804" t="s">
        <v>2231</v>
      </c>
      <c r="C217" s="979">
        <v>150</v>
      </c>
      <c r="D217" s="826">
        <v>96</v>
      </c>
      <c r="E217" s="805">
        <v>0.3</v>
      </c>
      <c r="F217" s="4"/>
    </row>
    <row r="218" spans="1:13" s="40" customFormat="1" ht="13" hidden="1" outlineLevel="2" x14ac:dyDescent="0.15">
      <c r="A218" s="39"/>
      <c r="B218" s="806" t="s">
        <v>2231</v>
      </c>
      <c r="C218" s="812">
        <v>106</v>
      </c>
      <c r="D218" s="821">
        <v>110</v>
      </c>
      <c r="E218" s="807">
        <v>0.3</v>
      </c>
      <c r="F218" s="4"/>
    </row>
    <row r="219" spans="1:13" s="40" customFormat="1" ht="13" hidden="1" outlineLevel="2" x14ac:dyDescent="0.15">
      <c r="A219" s="39"/>
      <c r="B219" s="1103" t="s">
        <v>2239</v>
      </c>
      <c r="C219" s="812">
        <v>98</v>
      </c>
      <c r="D219" s="1122">
        <v>49</v>
      </c>
      <c r="E219" s="807">
        <v>0.3</v>
      </c>
      <c r="F219" s="4"/>
    </row>
    <row r="220" spans="1:13" s="40" customFormat="1" ht="13" hidden="1" outlineLevel="2" x14ac:dyDescent="0.15">
      <c r="A220" s="39"/>
      <c r="B220" s="1123" t="s">
        <v>2228</v>
      </c>
      <c r="C220" s="813">
        <v>65</v>
      </c>
      <c r="D220" s="1124">
        <v>53</v>
      </c>
      <c r="E220" s="814">
        <v>0.3</v>
      </c>
      <c r="F220" s="4"/>
    </row>
    <row r="221" spans="1:13" s="40" customFormat="1" ht="13" hidden="1" outlineLevel="2" x14ac:dyDescent="0.15">
      <c r="A221" s="39"/>
      <c r="B221" s="804" t="s">
        <v>2269</v>
      </c>
      <c r="C221" s="979">
        <v>255.1</v>
      </c>
      <c r="D221" s="877">
        <v>70.599999999999994</v>
      </c>
      <c r="E221" s="805">
        <v>0.3</v>
      </c>
      <c r="F221" s="4"/>
    </row>
    <row r="222" spans="1:13" s="40" customFormat="1" ht="13" hidden="1" outlineLevel="2" x14ac:dyDescent="0.15">
      <c r="A222" s="39"/>
      <c r="B222" s="806" t="s">
        <v>2270</v>
      </c>
      <c r="C222" s="812">
        <v>229.6</v>
      </c>
      <c r="D222" s="981">
        <v>69.8</v>
      </c>
      <c r="E222" s="807">
        <v>0.3</v>
      </c>
      <c r="F222" s="4"/>
    </row>
    <row r="223" spans="1:13" s="40" customFormat="1" ht="13" hidden="1" outlineLevel="2" x14ac:dyDescent="0.15">
      <c r="A223" s="39"/>
      <c r="B223" s="802"/>
      <c r="C223" s="813"/>
      <c r="D223" s="1039"/>
      <c r="E223" s="814"/>
      <c r="F223" s="4"/>
    </row>
    <row r="224" spans="1:13" s="40" customFormat="1" ht="13" hidden="1" outlineLevel="2" x14ac:dyDescent="0.15">
      <c r="A224" s="39"/>
      <c r="B224" s="4"/>
      <c r="C224" s="4"/>
      <c r="D224" s="4"/>
      <c r="E224" s="4"/>
      <c r="F224" s="4"/>
    </row>
    <row r="225" spans="1:11" s="40" customFormat="1" ht="13" hidden="1" outlineLevel="2" x14ac:dyDescent="0.15">
      <c r="A225" s="39"/>
      <c r="B225" s="1125" t="s">
        <v>2240</v>
      </c>
      <c r="C225" s="1611" t="s">
        <v>2121</v>
      </c>
      <c r="D225" s="1611" t="s">
        <v>2217</v>
      </c>
      <c r="E225" s="795" t="s">
        <v>723</v>
      </c>
      <c r="F225" s="4"/>
      <c r="G225" s="4"/>
      <c r="H225" s="4"/>
      <c r="I225" s="4"/>
      <c r="J225" s="4"/>
      <c r="K225" s="4"/>
    </row>
    <row r="226" spans="1:11" s="40" customFormat="1" ht="13" hidden="1" outlineLevel="2" x14ac:dyDescent="0.15">
      <c r="A226" s="39"/>
      <c r="B226" s="804" t="s">
        <v>2241</v>
      </c>
      <c r="C226" s="877">
        <v>190.59740587795986</v>
      </c>
      <c r="D226" s="877">
        <v>68</v>
      </c>
      <c r="E226" s="805">
        <v>0.3</v>
      </c>
      <c r="F226" s="4"/>
      <c r="G226" s="4"/>
      <c r="H226" s="4"/>
      <c r="I226" s="4"/>
      <c r="J226" s="4"/>
      <c r="K226" s="4"/>
    </row>
    <row r="227" spans="1:11" s="40" customFormat="1" ht="13" hidden="1" outlineLevel="2" x14ac:dyDescent="0.15">
      <c r="A227" s="39"/>
      <c r="B227" s="806" t="s">
        <v>2242</v>
      </c>
      <c r="C227" s="981">
        <v>178.1308314327182</v>
      </c>
      <c r="D227" s="981">
        <v>106</v>
      </c>
      <c r="E227" s="807">
        <v>0.3</v>
      </c>
      <c r="F227" s="4"/>
      <c r="G227" s="4"/>
      <c r="H227" s="4"/>
      <c r="I227" s="4"/>
      <c r="J227" s="4"/>
      <c r="K227" s="4"/>
    </row>
    <row r="228" spans="1:11" s="40" customFormat="1" ht="13" hidden="1" outlineLevel="2" x14ac:dyDescent="0.15">
      <c r="A228" s="39"/>
      <c r="B228" s="806" t="s">
        <v>2244</v>
      </c>
      <c r="C228" s="981">
        <v>142.11940453343016</v>
      </c>
      <c r="D228" s="981">
        <v>65</v>
      </c>
      <c r="E228" s="807">
        <v>0.3</v>
      </c>
      <c r="F228" s="4"/>
      <c r="G228" s="4"/>
      <c r="H228" s="4"/>
      <c r="I228" s="4"/>
      <c r="J228" s="4"/>
      <c r="K228" s="4"/>
    </row>
    <row r="229" spans="1:11" s="40" customFormat="1" ht="13" hidden="1" outlineLevel="2" x14ac:dyDescent="0.15">
      <c r="A229" s="39"/>
      <c r="B229" s="806" t="s">
        <v>2222</v>
      </c>
      <c r="C229" s="981">
        <v>134.9744417541028</v>
      </c>
      <c r="D229" s="981">
        <v>108</v>
      </c>
      <c r="E229" s="807">
        <v>0.3</v>
      </c>
      <c r="F229" s="4"/>
      <c r="G229" s="4"/>
      <c r="H229" s="4"/>
      <c r="I229" s="4"/>
      <c r="J229" s="4"/>
      <c r="K229" s="4"/>
    </row>
    <row r="230" spans="1:11" s="40" customFormat="1" ht="13" hidden="1" outlineLevel="2" x14ac:dyDescent="0.15">
      <c r="A230" s="39"/>
      <c r="B230" s="806" t="s">
        <v>2245</v>
      </c>
      <c r="C230" s="981">
        <v>199.92479625276908</v>
      </c>
      <c r="D230" s="981">
        <v>71</v>
      </c>
      <c r="E230" s="807">
        <v>0.3</v>
      </c>
      <c r="F230" s="4"/>
      <c r="G230" s="4"/>
      <c r="H230" s="4"/>
      <c r="I230" s="4"/>
      <c r="J230" s="4"/>
      <c r="K230" s="4"/>
    </row>
    <row r="231" spans="1:11" s="40" customFormat="1" ht="13" hidden="1" outlineLevel="2" x14ac:dyDescent="0.15">
      <c r="A231" s="39"/>
      <c r="B231" s="806" t="s">
        <v>2246</v>
      </c>
      <c r="C231" s="981">
        <v>171.16777421040848</v>
      </c>
      <c r="D231" s="981">
        <v>118</v>
      </c>
      <c r="E231" s="807">
        <v>0.3</v>
      </c>
      <c r="F231" s="4"/>
      <c r="G231" s="4"/>
      <c r="H231" s="4"/>
      <c r="I231" s="4"/>
      <c r="J231" s="4"/>
      <c r="K231" s="4"/>
    </row>
    <row r="232" spans="1:11" s="40" customFormat="1" ht="13" hidden="1" outlineLevel="2" x14ac:dyDescent="0.15">
      <c r="A232" s="39"/>
      <c r="B232" s="806" t="s">
        <v>2248</v>
      </c>
      <c r="C232" s="981">
        <v>107.9602742087328</v>
      </c>
      <c r="D232" s="981">
        <v>115</v>
      </c>
      <c r="E232" s="807">
        <v>0.3</v>
      </c>
      <c r="F232" s="4"/>
      <c r="G232" s="4"/>
      <c r="H232" s="4"/>
      <c r="I232" s="4"/>
      <c r="J232" s="4"/>
      <c r="K232" s="4"/>
    </row>
    <row r="233" spans="1:11" s="40" customFormat="1" ht="13" hidden="1" outlineLevel="2" x14ac:dyDescent="0.15">
      <c r="A233" s="39"/>
      <c r="B233" s="800" t="s">
        <v>2229</v>
      </c>
      <c r="C233" s="981">
        <v>61</v>
      </c>
      <c r="D233" s="821">
        <v>103</v>
      </c>
      <c r="E233" s="807">
        <v>0.3</v>
      </c>
      <c r="F233" s="4"/>
      <c r="G233" s="4"/>
      <c r="H233" s="4"/>
      <c r="I233" s="4"/>
      <c r="J233" s="4"/>
      <c r="K233" s="4"/>
    </row>
    <row r="234" spans="1:11" s="40" customFormat="1" ht="13" hidden="1" outlineLevel="2" x14ac:dyDescent="0.15">
      <c r="A234" s="39"/>
      <c r="B234" s="800" t="s">
        <v>2230</v>
      </c>
      <c r="C234" s="981">
        <v>63</v>
      </c>
      <c r="D234" s="821">
        <v>55</v>
      </c>
      <c r="E234" s="807">
        <v>0.3</v>
      </c>
      <c r="F234" s="4"/>
      <c r="G234" s="4"/>
      <c r="H234" s="4"/>
      <c r="I234" s="4"/>
      <c r="J234" s="4"/>
      <c r="K234" s="4"/>
    </row>
    <row r="235" spans="1:11" s="40" customFormat="1" ht="13" hidden="1" outlineLevel="2" x14ac:dyDescent="0.15">
      <c r="A235" s="39"/>
      <c r="B235" s="802"/>
      <c r="C235" s="1039"/>
      <c r="D235" s="1039"/>
      <c r="E235" s="814"/>
      <c r="F235" s="4"/>
      <c r="G235" s="4"/>
      <c r="H235" s="4"/>
      <c r="I235" s="4"/>
      <c r="J235" s="4"/>
      <c r="K235" s="4"/>
    </row>
    <row r="236" spans="1:11" s="40" customFormat="1" ht="13" hidden="1" outlineLevel="2" x14ac:dyDescent="0.15">
      <c r="A236" s="39"/>
      <c r="B236" s="4"/>
      <c r="C236" s="4"/>
      <c r="D236" s="4"/>
      <c r="E236" s="4"/>
      <c r="F236" s="4"/>
    </row>
    <row r="237" spans="1:11" s="40" customFormat="1" ht="13" hidden="1" outlineLevel="2" x14ac:dyDescent="0.15">
      <c r="A237" s="39"/>
      <c r="B237" s="4"/>
      <c r="C237" s="4"/>
      <c r="D237" s="4"/>
      <c r="E237" s="4"/>
      <c r="F237" s="4"/>
    </row>
    <row r="238" spans="1:11" s="40" customFormat="1" ht="13" hidden="1" outlineLevel="2" x14ac:dyDescent="0.15">
      <c r="A238" s="39"/>
      <c r="B238" s="1125" t="s">
        <v>2249</v>
      </c>
      <c r="C238" s="1611" t="s">
        <v>2213</v>
      </c>
      <c r="D238" s="795" t="s">
        <v>723</v>
      </c>
      <c r="E238" s="4"/>
      <c r="F238" s="4"/>
    </row>
    <row r="239" spans="1:11" s="40" customFormat="1" ht="13" hidden="1" outlineLevel="2" x14ac:dyDescent="0.15">
      <c r="A239" s="39"/>
      <c r="B239" s="799" t="s">
        <v>2252</v>
      </c>
      <c r="C239" s="877">
        <v>1667.91</v>
      </c>
      <c r="D239" s="959">
        <v>0.3</v>
      </c>
      <c r="E239" s="4"/>
      <c r="F239" s="4"/>
    </row>
    <row r="240" spans="1:11" s="40" customFormat="1" ht="13" hidden="1" outlineLevel="2" x14ac:dyDescent="0.15">
      <c r="A240" s="39"/>
      <c r="B240" s="800" t="s">
        <v>2254</v>
      </c>
      <c r="C240" s="981">
        <v>1943.58</v>
      </c>
      <c r="D240" s="895">
        <v>0.3</v>
      </c>
      <c r="E240" s="4"/>
      <c r="F240" s="4"/>
    </row>
    <row r="241" spans="1:9" s="40" customFormat="1" ht="13" hidden="1" outlineLevel="2" x14ac:dyDescent="0.15">
      <c r="A241" s="39"/>
      <c r="B241" s="800" t="s">
        <v>2250</v>
      </c>
      <c r="C241" s="981">
        <v>1640.04</v>
      </c>
      <c r="D241" s="895">
        <v>0.3</v>
      </c>
      <c r="E241" s="4"/>
      <c r="F241" s="4"/>
    </row>
    <row r="242" spans="1:9" s="40" customFormat="1" ht="13" hidden="1" outlineLevel="2" x14ac:dyDescent="0.15">
      <c r="A242" s="39"/>
      <c r="B242" s="801" t="s">
        <v>2243</v>
      </c>
      <c r="C242" s="1039">
        <v>1792.15</v>
      </c>
      <c r="D242" s="1062">
        <v>0.3</v>
      </c>
      <c r="E242" s="4"/>
      <c r="F242" s="4"/>
    </row>
    <row r="243" spans="1:9" s="40" customFormat="1" ht="13" hidden="1" outlineLevel="2" x14ac:dyDescent="0.15">
      <c r="A243" s="39"/>
      <c r="B243" s="799" t="s">
        <v>2253</v>
      </c>
      <c r="C243" s="877">
        <v>2672.32</v>
      </c>
      <c r="D243" s="959">
        <v>0.3</v>
      </c>
      <c r="E243" s="4"/>
      <c r="F243" s="4"/>
    </row>
    <row r="244" spans="1:9" s="40" customFormat="1" ht="13" hidden="1" outlineLevel="2" x14ac:dyDescent="0.15">
      <c r="A244" s="39"/>
      <c r="B244" s="800" t="s">
        <v>2255</v>
      </c>
      <c r="C244" s="981">
        <v>3120</v>
      </c>
      <c r="D244" s="895">
        <v>0.3</v>
      </c>
      <c r="E244" s="4"/>
      <c r="F244" s="4"/>
    </row>
    <row r="245" spans="1:9" s="40" customFormat="1" ht="13" hidden="1" outlineLevel="2" x14ac:dyDescent="0.15">
      <c r="A245" s="39"/>
      <c r="B245" s="800" t="s">
        <v>2251</v>
      </c>
      <c r="C245" s="981">
        <v>1935.0150000000001</v>
      </c>
      <c r="D245" s="895">
        <v>0.3</v>
      </c>
      <c r="E245" s="4"/>
      <c r="F245" s="4"/>
    </row>
    <row r="246" spans="1:9" s="40" customFormat="1" ht="13" hidden="1" outlineLevel="2" x14ac:dyDescent="0.15">
      <c r="A246" s="39"/>
      <c r="B246" s="801" t="s">
        <v>2247</v>
      </c>
      <c r="C246" s="1039">
        <v>1917.92</v>
      </c>
      <c r="D246" s="1062">
        <v>0.3</v>
      </c>
      <c r="E246" s="4"/>
      <c r="F246" s="4"/>
    </row>
    <row r="247" spans="1:9" s="40" customFormat="1" ht="13" hidden="1" outlineLevel="2" x14ac:dyDescent="0.15">
      <c r="A247" s="39"/>
      <c r="B247" s="799" t="s">
        <v>2260</v>
      </c>
      <c r="C247" s="981">
        <v>2383.5</v>
      </c>
      <c r="D247" s="959">
        <v>0.3</v>
      </c>
      <c r="E247" s="4"/>
      <c r="F247" s="4"/>
    </row>
    <row r="248" spans="1:9" s="40" customFormat="1" ht="13" hidden="1" outlineLevel="2" x14ac:dyDescent="0.15">
      <c r="A248" s="39"/>
      <c r="B248" s="800" t="s">
        <v>2257</v>
      </c>
      <c r="C248" s="981">
        <v>2918.16</v>
      </c>
      <c r="D248" s="895">
        <v>0.3</v>
      </c>
      <c r="E248" s="4"/>
      <c r="F248" s="4"/>
    </row>
    <row r="249" spans="1:9" s="40" customFormat="1" ht="13" hidden="1" outlineLevel="2" x14ac:dyDescent="0.15">
      <c r="A249" s="39"/>
      <c r="B249" s="800" t="s">
        <v>2261</v>
      </c>
      <c r="C249" s="981">
        <v>1642.41</v>
      </c>
      <c r="D249" s="895">
        <v>0.3</v>
      </c>
      <c r="E249" s="4"/>
      <c r="F249" s="4"/>
    </row>
    <row r="250" spans="1:9" s="40" customFormat="1" ht="13" hidden="1" outlineLevel="2" x14ac:dyDescent="0.15">
      <c r="A250" s="39"/>
      <c r="B250" s="800" t="s">
        <v>2259</v>
      </c>
      <c r="C250" s="981">
        <v>1700.11</v>
      </c>
      <c r="D250" s="895">
        <v>0.3</v>
      </c>
      <c r="E250" s="4"/>
      <c r="F250" s="4"/>
      <c r="G250" s="4"/>
      <c r="H250" s="4"/>
      <c r="I250" s="4"/>
    </row>
    <row r="251" spans="1:9" s="40" customFormat="1" ht="13" hidden="1" outlineLevel="2" x14ac:dyDescent="0.15">
      <c r="A251" s="39"/>
      <c r="B251" s="804" t="s">
        <v>2263</v>
      </c>
      <c r="C251" s="877">
        <v>1629</v>
      </c>
      <c r="D251" s="959">
        <v>0.3</v>
      </c>
      <c r="E251" s="4"/>
      <c r="F251" s="4"/>
      <c r="G251" s="4"/>
      <c r="H251" s="4"/>
      <c r="I251" s="4"/>
    </row>
    <row r="252" spans="1:9" s="40" customFormat="1" ht="13" hidden="1" outlineLevel="2" x14ac:dyDescent="0.15">
      <c r="A252" s="39"/>
      <c r="B252" s="806" t="s">
        <v>2264</v>
      </c>
      <c r="C252" s="981">
        <v>1633</v>
      </c>
      <c r="D252" s="895">
        <v>0.3</v>
      </c>
      <c r="E252" s="4"/>
      <c r="F252" s="4"/>
      <c r="G252" s="4"/>
      <c r="H252" s="4"/>
      <c r="I252" s="4"/>
    </row>
    <row r="253" spans="1:9" s="40" customFormat="1" ht="13" hidden="1" outlineLevel="2" x14ac:dyDescent="0.15">
      <c r="A253" s="39"/>
      <c r="B253" s="1103" t="s">
        <v>2265</v>
      </c>
      <c r="C253" s="981">
        <v>1110</v>
      </c>
      <c r="D253" s="895">
        <v>0.3</v>
      </c>
      <c r="E253" s="4"/>
      <c r="F253" s="4"/>
      <c r="G253" s="4"/>
      <c r="H253" s="4"/>
      <c r="I253" s="4"/>
    </row>
    <row r="254" spans="1:9" s="40" customFormat="1" ht="13" hidden="1" outlineLevel="2" x14ac:dyDescent="0.15">
      <c r="A254" s="39"/>
      <c r="B254" s="1123" t="s">
        <v>2266</v>
      </c>
      <c r="C254" s="981">
        <v>1302</v>
      </c>
      <c r="D254" s="895">
        <v>0.3</v>
      </c>
      <c r="E254" s="4"/>
      <c r="F254" s="4"/>
      <c r="G254" s="4"/>
      <c r="H254" s="4"/>
      <c r="I254" s="4"/>
    </row>
    <row r="255" spans="1:9" s="40" customFormat="1" ht="13" hidden="1" outlineLevel="2" x14ac:dyDescent="0.15">
      <c r="A255" s="39"/>
      <c r="B255" s="799" t="s">
        <v>2271</v>
      </c>
      <c r="C255" s="877">
        <v>2379.2199999999998</v>
      </c>
      <c r="D255" s="805">
        <v>0.3</v>
      </c>
      <c r="E255" s="4"/>
      <c r="F255" s="4"/>
      <c r="G255" s="4"/>
      <c r="H255" s="4"/>
      <c r="I255" s="4"/>
    </row>
    <row r="256" spans="1:9" s="40" customFormat="1" ht="13" hidden="1" outlineLevel="2" x14ac:dyDescent="0.15">
      <c r="A256" s="39"/>
      <c r="B256" s="800" t="s">
        <v>2270</v>
      </c>
      <c r="C256" s="981">
        <v>2436.02</v>
      </c>
      <c r="D256" s="807">
        <v>0.3</v>
      </c>
      <c r="E256" s="4"/>
      <c r="F256" s="4"/>
      <c r="G256" s="4"/>
      <c r="H256" s="4"/>
      <c r="I256" s="4"/>
    </row>
    <row r="257" spans="1:11" s="40" customFormat="1" ht="13" hidden="1" outlineLevel="2" x14ac:dyDescent="0.15">
      <c r="A257" s="39"/>
      <c r="B257" s="801"/>
      <c r="C257" s="1039"/>
      <c r="D257" s="814"/>
      <c r="E257" s="4"/>
      <c r="F257" s="4"/>
      <c r="G257" s="4"/>
      <c r="H257" s="4"/>
      <c r="I257" s="4"/>
    </row>
    <row r="258" spans="1:11" s="40" customFormat="1" ht="13" hidden="1" outlineLevel="2" x14ac:dyDescent="0.15">
      <c r="A258" s="39"/>
      <c r="B258" s="4"/>
      <c r="C258" s="4"/>
      <c r="D258" s="4"/>
      <c r="E258" s="4"/>
      <c r="F258" s="4"/>
      <c r="G258" s="4"/>
      <c r="H258" s="4"/>
      <c r="I258" s="4"/>
      <c r="J258" s="4"/>
      <c r="K258" s="4"/>
    </row>
    <row r="259" spans="1:11" s="40" customFormat="1" ht="13" hidden="1" outlineLevel="2" x14ac:dyDescent="0.15">
      <c r="A259" s="39"/>
      <c r="B259" s="1125" t="s">
        <v>2272</v>
      </c>
      <c r="C259" s="1611" t="s">
        <v>2213</v>
      </c>
      <c r="D259" s="795" t="s">
        <v>723</v>
      </c>
      <c r="E259" s="4"/>
      <c r="F259" s="4"/>
      <c r="G259" s="4"/>
      <c r="H259" s="4"/>
      <c r="I259" s="4"/>
      <c r="J259" s="4"/>
      <c r="K259" s="4"/>
    </row>
    <row r="260" spans="1:11" s="40" customFormat="1" ht="13" hidden="1" outlineLevel="2" x14ac:dyDescent="0.15">
      <c r="A260" s="39"/>
      <c r="B260" s="804" t="s">
        <v>2241</v>
      </c>
      <c r="C260" s="877">
        <v>1398.3955530288672</v>
      </c>
      <c r="D260" s="805">
        <v>0.3</v>
      </c>
      <c r="E260" s="4"/>
      <c r="F260" s="4"/>
      <c r="G260" s="4"/>
      <c r="H260" s="4"/>
      <c r="I260" s="4"/>
      <c r="J260" s="4"/>
      <c r="K260" s="4"/>
    </row>
    <row r="261" spans="1:11" s="40" customFormat="1" ht="13" hidden="1" outlineLevel="2" x14ac:dyDescent="0.15">
      <c r="A261" s="39"/>
      <c r="B261" s="806" t="s">
        <v>2242</v>
      </c>
      <c r="C261" s="981">
        <v>2690.909090909091</v>
      </c>
      <c r="D261" s="807">
        <v>0.3</v>
      </c>
      <c r="E261" s="4"/>
      <c r="F261" s="4"/>
      <c r="G261" s="4"/>
      <c r="H261" s="4"/>
      <c r="I261" s="4"/>
      <c r="J261" s="4"/>
      <c r="K261" s="4"/>
    </row>
    <row r="262" spans="1:11" s="40" customFormat="1" ht="13" hidden="1" outlineLevel="2" x14ac:dyDescent="0.15">
      <c r="A262" s="39"/>
      <c r="B262" s="806" t="s">
        <v>2262</v>
      </c>
      <c r="C262" s="981">
        <v>1568.6109651427573</v>
      </c>
      <c r="D262" s="807">
        <v>0.3</v>
      </c>
      <c r="E262" s="4"/>
      <c r="F262" s="4"/>
      <c r="G262" s="4"/>
      <c r="H262" s="4"/>
      <c r="I262" s="4"/>
      <c r="J262" s="4"/>
      <c r="K262" s="4"/>
    </row>
    <row r="263" spans="1:11" s="40" customFormat="1" ht="13" hidden="1" outlineLevel="2" x14ac:dyDescent="0.15">
      <c r="A263" s="39"/>
      <c r="B263" s="800" t="s">
        <v>2267</v>
      </c>
      <c r="C263" s="981">
        <v>1822</v>
      </c>
      <c r="D263" s="807">
        <v>0.3</v>
      </c>
      <c r="E263" s="4"/>
      <c r="F263" s="4"/>
      <c r="G263" s="4"/>
      <c r="H263" s="4"/>
      <c r="I263" s="4"/>
      <c r="J263" s="4"/>
      <c r="K263" s="4"/>
    </row>
    <row r="264" spans="1:11" s="40" customFormat="1" ht="13" hidden="1" outlineLevel="2" x14ac:dyDescent="0.15">
      <c r="A264" s="39"/>
      <c r="B264" s="800" t="s">
        <v>2268</v>
      </c>
      <c r="C264" s="981">
        <v>1471</v>
      </c>
      <c r="D264" s="807">
        <v>0.3</v>
      </c>
      <c r="E264" s="4"/>
      <c r="F264" s="4"/>
      <c r="G264" s="4"/>
      <c r="H264" s="4"/>
      <c r="I264" s="4"/>
      <c r="J264" s="4"/>
      <c r="K264" s="4"/>
    </row>
    <row r="265" spans="1:11" s="40" customFormat="1" ht="13" hidden="1" outlineLevel="2" x14ac:dyDescent="0.15">
      <c r="A265" s="39"/>
      <c r="B265" s="802"/>
      <c r="C265" s="1039"/>
      <c r="D265" s="814"/>
      <c r="E265" s="4"/>
      <c r="F265" s="4"/>
      <c r="G265" s="4"/>
      <c r="H265" s="4"/>
      <c r="I265" s="4"/>
      <c r="J265" s="4"/>
      <c r="K265" s="4"/>
    </row>
    <row r="266" spans="1:11" s="40" customFormat="1" ht="13" hidden="1" outlineLevel="2" x14ac:dyDescent="0.2">
      <c r="A266" s="39"/>
    </row>
    <row r="267" spans="1:11" s="40" customFormat="1" ht="13" hidden="1" outlineLevel="2" x14ac:dyDescent="0.2">
      <c r="A267" s="39"/>
    </row>
    <row r="268" spans="1:11" s="40" customFormat="1" ht="28" hidden="1" outlineLevel="2" x14ac:dyDescent="0.15">
      <c r="A268" s="39"/>
      <c r="B268" s="1065" t="s">
        <v>2273</v>
      </c>
      <c r="C268" s="1126" t="s">
        <v>2274</v>
      </c>
      <c r="D268" s="1612" t="s">
        <v>2275</v>
      </c>
      <c r="E268" s="795" t="s">
        <v>723</v>
      </c>
      <c r="F268" s="4"/>
    </row>
    <row r="269" spans="1:11" s="40" customFormat="1" ht="13" hidden="1" outlineLevel="2" x14ac:dyDescent="0.15">
      <c r="A269" s="39"/>
      <c r="B269" s="800" t="s">
        <v>2276</v>
      </c>
      <c r="C269" s="877">
        <v>20</v>
      </c>
      <c r="D269" s="829"/>
      <c r="E269" s="807">
        <v>0.3</v>
      </c>
      <c r="F269" s="4"/>
    </row>
    <row r="270" spans="1:11" s="40" customFormat="1" ht="13" hidden="1" outlineLevel="2" x14ac:dyDescent="0.15">
      <c r="A270" s="39"/>
      <c r="B270" s="800" t="s">
        <v>172</v>
      </c>
      <c r="C270" s="981">
        <v>610</v>
      </c>
      <c r="D270" s="829"/>
      <c r="E270" s="807">
        <v>0.3</v>
      </c>
      <c r="F270" s="4"/>
    </row>
    <row r="271" spans="1:11" s="40" customFormat="1" ht="13" hidden="1" outlineLevel="2" x14ac:dyDescent="0.15">
      <c r="A271" s="39"/>
      <c r="B271" s="800" t="s">
        <v>2277</v>
      </c>
      <c r="C271" s="981">
        <v>220</v>
      </c>
      <c r="D271" s="829"/>
      <c r="E271" s="807">
        <v>0.3</v>
      </c>
      <c r="F271" s="4"/>
    </row>
    <row r="272" spans="1:11" s="40" customFormat="1" ht="13" hidden="1" outlineLevel="2" x14ac:dyDescent="0.15">
      <c r="A272" s="39"/>
      <c r="B272" s="800" t="s">
        <v>2370</v>
      </c>
      <c r="C272" s="981">
        <v>18</v>
      </c>
      <c r="D272" s="829"/>
      <c r="E272" s="807">
        <v>0.3</v>
      </c>
      <c r="F272" s="4"/>
    </row>
    <row r="273" spans="1:6" s="40" customFormat="1" ht="13" hidden="1" outlineLevel="2" x14ac:dyDescent="0.15">
      <c r="A273" s="39"/>
      <c r="B273" s="800" t="s">
        <v>2278</v>
      </c>
      <c r="C273" s="981">
        <v>18</v>
      </c>
      <c r="D273" s="829">
        <v>0.8</v>
      </c>
      <c r="E273" s="807">
        <v>0.3</v>
      </c>
      <c r="F273" s="4"/>
    </row>
    <row r="274" spans="1:6" s="40" customFormat="1" ht="13" hidden="1" outlineLevel="2" x14ac:dyDescent="0.15">
      <c r="A274" s="39"/>
      <c r="B274" s="800" t="s">
        <v>2279</v>
      </c>
      <c r="C274" s="981">
        <v>67</v>
      </c>
      <c r="D274" s="829"/>
      <c r="E274" s="807">
        <v>0.3</v>
      </c>
      <c r="F274" s="4"/>
    </row>
    <row r="275" spans="1:6" s="40" customFormat="1" ht="13" hidden="1" outlineLevel="2" x14ac:dyDescent="0.15">
      <c r="A275" s="39"/>
      <c r="B275" s="800" t="s">
        <v>2280</v>
      </c>
      <c r="C275" s="981">
        <v>30</v>
      </c>
      <c r="D275" s="829"/>
      <c r="E275" s="807">
        <v>0.3</v>
      </c>
      <c r="F275" s="4"/>
    </row>
    <row r="276" spans="1:6" s="40" customFormat="1" ht="13" hidden="1" outlineLevel="2" x14ac:dyDescent="0.15">
      <c r="A276" s="39"/>
      <c r="B276" s="800" t="s">
        <v>2281</v>
      </c>
      <c r="C276" s="981">
        <v>70</v>
      </c>
      <c r="D276" s="829"/>
      <c r="E276" s="807">
        <v>0.3</v>
      </c>
      <c r="F276" s="4"/>
    </row>
    <row r="277" spans="1:6" s="40" customFormat="1" ht="13" hidden="1" outlineLevel="2" x14ac:dyDescent="0.15">
      <c r="A277" s="39"/>
      <c r="B277" s="800" t="s">
        <v>2282</v>
      </c>
      <c r="C277" s="981">
        <v>615</v>
      </c>
      <c r="D277" s="829">
        <v>0.47</v>
      </c>
      <c r="E277" s="807">
        <v>0.3</v>
      </c>
      <c r="F277" s="4"/>
    </row>
    <row r="278" spans="1:6" s="40" customFormat="1" ht="13" hidden="1" outlineLevel="2" x14ac:dyDescent="0.15">
      <c r="A278" s="39"/>
      <c r="B278" s="800" t="s">
        <v>2283</v>
      </c>
      <c r="C278" s="981">
        <v>1640</v>
      </c>
      <c r="D278" s="829">
        <v>0.05</v>
      </c>
      <c r="E278" s="807">
        <v>0.3</v>
      </c>
      <c r="F278" s="4"/>
    </row>
    <row r="279" spans="1:6" s="40" customFormat="1" ht="13" hidden="1" outlineLevel="2" x14ac:dyDescent="0.15">
      <c r="A279" s="39"/>
      <c r="B279" s="800" t="s">
        <v>2284</v>
      </c>
      <c r="C279" s="981">
        <v>96</v>
      </c>
      <c r="D279" s="829">
        <v>0.2</v>
      </c>
      <c r="E279" s="807">
        <v>0.3</v>
      </c>
      <c r="F279" s="4"/>
    </row>
    <row r="280" spans="1:6" s="40" customFormat="1" ht="13" hidden="1" outlineLevel="2" x14ac:dyDescent="0.15">
      <c r="A280" s="39"/>
      <c r="B280" s="800" t="s">
        <v>2285</v>
      </c>
      <c r="C280" s="981">
        <v>84</v>
      </c>
      <c r="D280" s="829">
        <v>0.2</v>
      </c>
      <c r="E280" s="807">
        <v>0.3</v>
      </c>
      <c r="F280" s="4"/>
    </row>
    <row r="281" spans="1:6" s="40" customFormat="1" ht="13" hidden="1" outlineLevel="2" x14ac:dyDescent="0.15">
      <c r="A281" s="39"/>
      <c r="B281" s="800" t="s">
        <v>2286</v>
      </c>
      <c r="C281" s="981">
        <v>465</v>
      </c>
      <c r="D281" s="829">
        <v>1</v>
      </c>
      <c r="E281" s="807">
        <v>0.3</v>
      </c>
      <c r="F281" s="4"/>
    </row>
    <row r="282" spans="1:6" s="40" customFormat="1" ht="13" hidden="1" outlineLevel="2" x14ac:dyDescent="0.15">
      <c r="A282" s="39"/>
      <c r="B282" s="800" t="s">
        <v>2287</v>
      </c>
      <c r="C282" s="981">
        <v>171</v>
      </c>
      <c r="D282" s="829"/>
      <c r="E282" s="807">
        <v>0.3</v>
      </c>
      <c r="F282" s="4"/>
    </row>
    <row r="283" spans="1:6" s="40" customFormat="1" ht="13" hidden="1" outlineLevel="2" x14ac:dyDescent="0.15">
      <c r="A283" s="39"/>
      <c r="B283" s="800" t="s">
        <v>2288</v>
      </c>
      <c r="C283" s="981">
        <v>47</v>
      </c>
      <c r="D283" s="829"/>
      <c r="E283" s="807">
        <v>0.3</v>
      </c>
      <c r="F283" s="4"/>
    </row>
    <row r="284" spans="1:6" s="40" customFormat="1" ht="13" hidden="1" outlineLevel="2" x14ac:dyDescent="0.15">
      <c r="A284" s="39"/>
      <c r="B284" s="800" t="s">
        <v>2289</v>
      </c>
      <c r="C284" s="981">
        <v>66</v>
      </c>
      <c r="D284" s="829"/>
      <c r="E284" s="807">
        <v>0.3</v>
      </c>
      <c r="F284" s="4"/>
    </row>
    <row r="285" spans="1:6" s="40" customFormat="1" ht="13" hidden="1" outlineLevel="2" x14ac:dyDescent="0.15">
      <c r="A285" s="39"/>
      <c r="B285" s="800" t="s">
        <v>2290</v>
      </c>
      <c r="C285" s="981">
        <v>40</v>
      </c>
      <c r="D285" s="829">
        <v>0.8</v>
      </c>
      <c r="E285" s="807">
        <v>0.3</v>
      </c>
      <c r="F285" s="4"/>
    </row>
    <row r="286" spans="1:6" s="40" customFormat="1" ht="13" hidden="1" outlineLevel="2" x14ac:dyDescent="0.15">
      <c r="A286" s="39"/>
      <c r="B286" s="800" t="s">
        <v>2291</v>
      </c>
      <c r="C286" s="981">
        <v>42</v>
      </c>
      <c r="D286" s="829"/>
      <c r="E286" s="807">
        <v>0.3</v>
      </c>
      <c r="F286" s="4"/>
    </row>
    <row r="287" spans="1:6" s="40" customFormat="1" ht="13" hidden="1" outlineLevel="2" x14ac:dyDescent="0.15">
      <c r="A287" s="39"/>
      <c r="B287" s="800" t="s">
        <v>173</v>
      </c>
      <c r="C287" s="981">
        <v>58</v>
      </c>
      <c r="D287" s="829"/>
      <c r="E287" s="807">
        <v>0.3</v>
      </c>
      <c r="F287" s="4"/>
    </row>
    <row r="288" spans="1:6" s="40" customFormat="1" ht="13" hidden="1" outlineLevel="2" x14ac:dyDescent="0.15">
      <c r="A288" s="39"/>
      <c r="B288" s="800" t="s">
        <v>2292</v>
      </c>
      <c r="C288" s="981">
        <v>22</v>
      </c>
      <c r="D288" s="829"/>
      <c r="E288" s="807">
        <v>0.3</v>
      </c>
      <c r="F288" s="4"/>
    </row>
    <row r="289" spans="1:6" s="40" customFormat="1" ht="13" hidden="1" outlineLevel="2" x14ac:dyDescent="0.15">
      <c r="A289" s="39"/>
      <c r="B289" s="800" t="s">
        <v>2293</v>
      </c>
      <c r="C289" s="981">
        <v>20</v>
      </c>
      <c r="D289" s="829"/>
      <c r="E289" s="807">
        <v>0.3</v>
      </c>
      <c r="F289" s="4"/>
    </row>
    <row r="290" spans="1:6" s="40" customFormat="1" ht="13" hidden="1" outlineLevel="2" x14ac:dyDescent="0.15">
      <c r="A290" s="39"/>
      <c r="B290" s="800" t="s">
        <v>2294</v>
      </c>
      <c r="C290" s="981">
        <v>250</v>
      </c>
      <c r="D290" s="829">
        <v>0.9</v>
      </c>
      <c r="E290" s="807">
        <v>0.3</v>
      </c>
      <c r="F290" s="4"/>
    </row>
    <row r="291" spans="1:6" s="40" customFormat="1" ht="13" hidden="1" outlineLevel="2" x14ac:dyDescent="0.15">
      <c r="A291" s="39"/>
      <c r="B291" s="800" t="s">
        <v>2295</v>
      </c>
      <c r="C291" s="981">
        <v>285</v>
      </c>
      <c r="D291" s="829">
        <v>0.39</v>
      </c>
      <c r="E291" s="807">
        <v>0.3</v>
      </c>
      <c r="F291" s="4"/>
    </row>
    <row r="292" spans="1:6" s="40" customFormat="1" ht="13" hidden="1" outlineLevel="2" x14ac:dyDescent="0.15">
      <c r="A292" s="39"/>
      <c r="B292" s="800" t="s">
        <v>2296</v>
      </c>
      <c r="C292" s="981">
        <v>21</v>
      </c>
      <c r="D292" s="829"/>
      <c r="E292" s="807">
        <v>0.3</v>
      </c>
      <c r="F292" s="4"/>
    </row>
    <row r="293" spans="1:6" s="40" customFormat="1" ht="13" hidden="1" outlineLevel="2" x14ac:dyDescent="0.15">
      <c r="A293" s="39"/>
      <c r="B293" s="800" t="s">
        <v>2297</v>
      </c>
      <c r="C293" s="981">
        <v>40</v>
      </c>
      <c r="D293" s="829">
        <v>0.6</v>
      </c>
      <c r="E293" s="807">
        <v>0.3</v>
      </c>
      <c r="F293" s="4"/>
    </row>
    <row r="294" spans="1:6" s="40" customFormat="1" ht="13" hidden="1" outlineLevel="2" x14ac:dyDescent="0.15">
      <c r="A294" s="39"/>
      <c r="B294" s="800" t="s">
        <v>2298</v>
      </c>
      <c r="C294" s="981">
        <v>14</v>
      </c>
      <c r="D294" s="829"/>
      <c r="E294" s="807">
        <v>0.3</v>
      </c>
      <c r="F294" s="4"/>
    </row>
    <row r="295" spans="1:6" s="40" customFormat="1" ht="13" hidden="1" outlineLevel="2" x14ac:dyDescent="0.15">
      <c r="A295" s="39"/>
      <c r="B295" s="800" t="s">
        <v>2299</v>
      </c>
      <c r="C295" s="981">
        <v>219</v>
      </c>
      <c r="D295" s="829"/>
      <c r="E295" s="807">
        <v>0.3</v>
      </c>
      <c r="F295" s="4"/>
    </row>
    <row r="296" spans="1:6" s="40" customFormat="1" ht="13" hidden="1" outlineLevel="2" x14ac:dyDescent="0.15">
      <c r="A296" s="39"/>
      <c r="B296" s="800" t="s">
        <v>2300</v>
      </c>
      <c r="C296" s="981">
        <v>278</v>
      </c>
      <c r="D296" s="829"/>
      <c r="E296" s="807">
        <v>0.3</v>
      </c>
      <c r="F296" s="4"/>
    </row>
    <row r="297" spans="1:6" s="40" customFormat="1" ht="13" hidden="1" outlineLevel="2" x14ac:dyDescent="0.15">
      <c r="A297" s="39"/>
      <c r="B297" s="800" t="s">
        <v>2301</v>
      </c>
      <c r="C297" s="981">
        <v>329</v>
      </c>
      <c r="D297" s="829"/>
      <c r="E297" s="807">
        <v>0.3</v>
      </c>
      <c r="F297" s="4"/>
    </row>
    <row r="298" spans="1:6" s="40" customFormat="1" ht="13" hidden="1" outlineLevel="2" x14ac:dyDescent="0.15">
      <c r="A298" s="39"/>
      <c r="B298" s="800" t="s">
        <v>2302</v>
      </c>
      <c r="C298" s="981">
        <v>91</v>
      </c>
      <c r="D298" s="829"/>
      <c r="E298" s="807">
        <v>0.3</v>
      </c>
      <c r="F298" s="4"/>
    </row>
    <row r="299" spans="1:6" s="40" customFormat="1" ht="13" hidden="1" outlineLevel="2" x14ac:dyDescent="0.15">
      <c r="A299" s="39"/>
      <c r="B299" s="800" t="s">
        <v>2303</v>
      </c>
      <c r="C299" s="981">
        <v>35</v>
      </c>
      <c r="D299" s="829"/>
      <c r="E299" s="807">
        <v>0.3</v>
      </c>
      <c r="F299" s="4"/>
    </row>
    <row r="300" spans="1:6" s="40" customFormat="1" ht="13" hidden="1" outlineLevel="2" x14ac:dyDescent="0.15">
      <c r="A300" s="39"/>
      <c r="B300" s="800" t="s">
        <v>2304</v>
      </c>
      <c r="C300" s="981">
        <v>59</v>
      </c>
      <c r="D300" s="829"/>
      <c r="E300" s="807">
        <v>0.3</v>
      </c>
      <c r="F300" s="4"/>
    </row>
    <row r="301" spans="1:6" s="40" customFormat="1" ht="13" hidden="1" outlineLevel="2" x14ac:dyDescent="0.15">
      <c r="A301" s="39"/>
      <c r="B301" s="800" t="s">
        <v>2305</v>
      </c>
      <c r="C301" s="981">
        <v>1500</v>
      </c>
      <c r="D301" s="829">
        <v>0</v>
      </c>
      <c r="E301" s="807">
        <v>0.3</v>
      </c>
      <c r="F301" s="4"/>
    </row>
    <row r="302" spans="1:6" s="40" customFormat="1" ht="13" hidden="1" outlineLevel="2" x14ac:dyDescent="0.15">
      <c r="A302" s="39"/>
      <c r="B302" s="800" t="s">
        <v>2306</v>
      </c>
      <c r="C302" s="981">
        <v>250</v>
      </c>
      <c r="D302" s="829">
        <v>0.49</v>
      </c>
      <c r="E302" s="807">
        <v>0.3</v>
      </c>
      <c r="F302" s="4"/>
    </row>
    <row r="303" spans="1:6" s="40" customFormat="1" ht="13" hidden="1" outlineLevel="2" x14ac:dyDescent="0.15">
      <c r="A303" s="39"/>
      <c r="B303" s="800" t="s">
        <v>2307</v>
      </c>
      <c r="C303" s="981">
        <v>600</v>
      </c>
      <c r="D303" s="829">
        <v>0.56000000000000005</v>
      </c>
      <c r="E303" s="807">
        <v>0.3</v>
      </c>
      <c r="F303" s="4"/>
    </row>
    <row r="304" spans="1:6" s="40" customFormat="1" ht="13" hidden="1" outlineLevel="2" x14ac:dyDescent="0.15">
      <c r="A304" s="39"/>
      <c r="B304" s="800" t="s">
        <v>2309</v>
      </c>
      <c r="C304" s="981">
        <v>25</v>
      </c>
      <c r="D304" s="829">
        <v>0.1</v>
      </c>
      <c r="E304" s="807">
        <v>0.3</v>
      </c>
      <c r="F304" s="4"/>
    </row>
    <row r="305" spans="1:7" s="40" customFormat="1" ht="13" hidden="1" outlineLevel="2" x14ac:dyDescent="0.15">
      <c r="A305" s="39"/>
      <c r="B305" s="800" t="s">
        <v>174</v>
      </c>
      <c r="C305" s="981">
        <v>20</v>
      </c>
      <c r="D305" s="829"/>
      <c r="E305" s="807">
        <v>0.3</v>
      </c>
      <c r="F305" s="4"/>
    </row>
    <row r="306" spans="1:7" s="40" customFormat="1" ht="13" hidden="1" outlineLevel="2" x14ac:dyDescent="0.15">
      <c r="A306" s="39"/>
      <c r="B306" s="800" t="s">
        <v>2310</v>
      </c>
      <c r="C306" s="981">
        <v>430</v>
      </c>
      <c r="D306" s="829">
        <v>0.3</v>
      </c>
      <c r="E306" s="807">
        <v>0.3</v>
      </c>
      <c r="F306" s="4"/>
    </row>
    <row r="307" spans="1:7" s="40" customFormat="1" ht="13" hidden="1" outlineLevel="2" x14ac:dyDescent="0.15">
      <c r="A307" s="39"/>
      <c r="B307" s="800" t="s">
        <v>2308</v>
      </c>
      <c r="C307" s="981">
        <v>45</v>
      </c>
      <c r="D307" s="829">
        <v>0.8</v>
      </c>
      <c r="E307" s="807">
        <v>0.3</v>
      </c>
      <c r="F307" s="4"/>
    </row>
    <row r="308" spans="1:7" s="40" customFormat="1" ht="13" hidden="1" outlineLevel="2" x14ac:dyDescent="0.15">
      <c r="A308" s="39"/>
      <c r="B308" s="800" t="s">
        <v>2311</v>
      </c>
      <c r="C308" s="981">
        <v>307</v>
      </c>
      <c r="D308" s="829">
        <v>1</v>
      </c>
      <c r="E308" s="807">
        <v>0.3</v>
      </c>
      <c r="F308" s="4"/>
    </row>
    <row r="309" spans="1:7" s="40" customFormat="1" ht="13" hidden="1" outlineLevel="2" x14ac:dyDescent="0.15">
      <c r="A309" s="39"/>
      <c r="B309" s="800" t="s">
        <v>2312</v>
      </c>
      <c r="C309" s="981">
        <v>568</v>
      </c>
      <c r="D309" s="829">
        <v>1</v>
      </c>
      <c r="E309" s="807">
        <v>0.3</v>
      </c>
      <c r="F309" s="4"/>
    </row>
    <row r="310" spans="1:7" s="40" customFormat="1" ht="13" hidden="1" outlineLevel="2" x14ac:dyDescent="0.15">
      <c r="A310" s="39"/>
      <c r="B310" s="800" t="s">
        <v>2313</v>
      </c>
      <c r="C310" s="981">
        <v>546</v>
      </c>
      <c r="D310" s="829">
        <v>1</v>
      </c>
      <c r="E310" s="807">
        <v>0.3</v>
      </c>
      <c r="F310" s="4"/>
    </row>
    <row r="311" spans="1:7" s="40" customFormat="1" ht="13" hidden="1" outlineLevel="2" x14ac:dyDescent="0.15">
      <c r="A311" s="39"/>
      <c r="B311" s="800" t="s">
        <v>2314</v>
      </c>
      <c r="C311" s="981">
        <v>396</v>
      </c>
      <c r="D311" s="829"/>
      <c r="E311" s="807">
        <v>0.3</v>
      </c>
      <c r="F311" s="4"/>
    </row>
    <row r="312" spans="1:7" s="40" customFormat="1" ht="13" hidden="1" outlineLevel="2" x14ac:dyDescent="0.15">
      <c r="A312" s="39"/>
      <c r="B312" s="800" t="s">
        <v>2315</v>
      </c>
      <c r="C312" s="981">
        <v>228</v>
      </c>
      <c r="D312" s="829"/>
      <c r="E312" s="807">
        <v>0.3</v>
      </c>
      <c r="F312" s="4"/>
    </row>
    <row r="313" spans="1:7" s="40" customFormat="1" ht="13" hidden="1" outlineLevel="2" x14ac:dyDescent="0.15">
      <c r="A313" s="39"/>
      <c r="B313" s="800" t="s">
        <v>2316</v>
      </c>
      <c r="C313" s="981">
        <v>192</v>
      </c>
      <c r="D313" s="829">
        <v>1.37</v>
      </c>
      <c r="E313" s="807">
        <v>0.3</v>
      </c>
      <c r="F313" s="4"/>
    </row>
    <row r="314" spans="1:7" s="40" customFormat="1" ht="13" hidden="1" outlineLevel="2" x14ac:dyDescent="0.15">
      <c r="A314" s="39"/>
      <c r="B314" s="800" t="s">
        <v>2317</v>
      </c>
      <c r="C314" s="981">
        <v>502</v>
      </c>
      <c r="D314" s="829"/>
      <c r="E314" s="807">
        <v>0.3</v>
      </c>
      <c r="F314" s="4"/>
    </row>
    <row r="315" spans="1:7" s="40" customFormat="1" ht="13" hidden="1" outlineLevel="2" x14ac:dyDescent="0.15">
      <c r="A315" s="39"/>
      <c r="B315" s="800" t="s">
        <v>2318</v>
      </c>
      <c r="C315" s="981">
        <v>590</v>
      </c>
      <c r="D315" s="829"/>
      <c r="E315" s="807">
        <v>0.3</v>
      </c>
      <c r="F315" s="4"/>
    </row>
    <row r="316" spans="1:7" s="40" customFormat="1" ht="13" hidden="1" outlineLevel="2" x14ac:dyDescent="0.15">
      <c r="A316" s="39"/>
      <c r="B316" s="800" t="s">
        <v>2319</v>
      </c>
      <c r="C316" s="981">
        <v>47</v>
      </c>
      <c r="D316" s="829">
        <v>0.37</v>
      </c>
      <c r="E316" s="807">
        <v>0.3</v>
      </c>
      <c r="F316" s="4"/>
    </row>
    <row r="317" spans="1:7" s="40" customFormat="1" ht="13" hidden="1" outlineLevel="2" x14ac:dyDescent="0.15">
      <c r="A317" s="39"/>
      <c r="B317" s="800" t="s">
        <v>2320</v>
      </c>
      <c r="C317" s="981">
        <v>227</v>
      </c>
      <c r="D317" s="829"/>
      <c r="E317" s="807">
        <v>0.3</v>
      </c>
      <c r="F317" s="4"/>
    </row>
    <row r="318" spans="1:7" s="40" customFormat="1" ht="13" hidden="1" outlineLevel="2" x14ac:dyDescent="0.15">
      <c r="A318" s="39"/>
      <c r="B318" s="800" t="s">
        <v>2321</v>
      </c>
      <c r="C318" s="981">
        <v>153</v>
      </c>
      <c r="D318" s="829"/>
      <c r="E318" s="807">
        <v>0.3</v>
      </c>
      <c r="F318" s="4"/>
    </row>
    <row r="319" spans="1:7" s="40" customFormat="1" ht="13" hidden="1" outlineLevel="2" x14ac:dyDescent="0.15">
      <c r="A319" s="39"/>
      <c r="B319" s="801"/>
      <c r="C319" s="1039"/>
      <c r="D319" s="830"/>
      <c r="E319" s="814"/>
      <c r="F319" s="4"/>
    </row>
    <row r="320" spans="1:7" s="40" customFormat="1" ht="13" hidden="1" outlineLevel="2" x14ac:dyDescent="0.15">
      <c r="A320" s="39"/>
      <c r="B320" s="4"/>
      <c r="C320" s="4"/>
      <c r="D320" s="4"/>
      <c r="E320" s="4"/>
      <c r="F320" s="4"/>
      <c r="G320" s="4"/>
    </row>
    <row r="321" spans="2:17" ht="15" customHeight="1" x14ac:dyDescent="0.2"/>
    <row r="322" spans="2:17" ht="16" collapsed="1" x14ac:dyDescent="0.2">
      <c r="B322" s="1871" t="s">
        <v>10</v>
      </c>
      <c r="C322" s="1872"/>
      <c r="D322" s="1872"/>
      <c r="E322" s="1872"/>
      <c r="F322" s="1872"/>
      <c r="G322" s="1872"/>
      <c r="H322" s="1872"/>
      <c r="I322" s="1872"/>
      <c r="J322" s="1872"/>
      <c r="K322" s="1872"/>
      <c r="L322" s="1872"/>
      <c r="M322" s="1872"/>
      <c r="N322" s="1872"/>
      <c r="O322" s="1873"/>
    </row>
    <row r="323" spans="2:17" hidden="1" outlineLevel="1" x14ac:dyDescent="0.2"/>
    <row r="324" spans="2:17" ht="42" hidden="1" outlineLevel="1" x14ac:dyDescent="0.15">
      <c r="B324" s="1065" t="s">
        <v>2322</v>
      </c>
      <c r="C324" s="1092"/>
      <c r="D324" s="1612" t="s">
        <v>2323</v>
      </c>
      <c r="E324" s="1612" t="s">
        <v>2324</v>
      </c>
      <c r="F324" s="1612" t="s">
        <v>2325</v>
      </c>
      <c r="G324" s="1612" t="s">
        <v>2326</v>
      </c>
      <c r="H324" s="1612" t="s">
        <v>2327</v>
      </c>
      <c r="I324" s="1612" t="s">
        <v>2328</v>
      </c>
      <c r="J324" s="1612" t="s">
        <v>2329</v>
      </c>
      <c r="K324" s="1612" t="s">
        <v>2330</v>
      </c>
      <c r="L324" s="1612" t="s">
        <v>2331</v>
      </c>
      <c r="M324" s="1612" t="s">
        <v>2332</v>
      </c>
      <c r="N324" s="1612" t="s">
        <v>2333</v>
      </c>
      <c r="O324" s="1612" t="s">
        <v>2334</v>
      </c>
      <c r="P324" s="1612" t="s">
        <v>2335</v>
      </c>
      <c r="Q324" s="1612" t="s">
        <v>2336</v>
      </c>
    </row>
    <row r="325" spans="2:17" ht="13" hidden="1" outlineLevel="1" x14ac:dyDescent="0.15">
      <c r="B325" s="1092" t="s">
        <v>2338</v>
      </c>
      <c r="C325" s="795" t="s">
        <v>95</v>
      </c>
      <c r="D325" s="1092">
        <v>1</v>
      </c>
      <c r="E325" s="1092">
        <f t="shared" ref="E325:Q325" si="3">D325+1</f>
        <v>2</v>
      </c>
      <c r="F325" s="1092">
        <f t="shared" si="3"/>
        <v>3</v>
      </c>
      <c r="G325" s="1092">
        <f t="shared" si="3"/>
        <v>4</v>
      </c>
      <c r="H325" s="1092">
        <f t="shared" si="3"/>
        <v>5</v>
      </c>
      <c r="I325" s="1092">
        <f t="shared" si="3"/>
        <v>6</v>
      </c>
      <c r="J325" s="1092">
        <f t="shared" si="3"/>
        <v>7</v>
      </c>
      <c r="K325" s="1092">
        <f t="shared" si="3"/>
        <v>8</v>
      </c>
      <c r="L325" s="1092">
        <f t="shared" si="3"/>
        <v>9</v>
      </c>
      <c r="M325" s="1092">
        <f t="shared" si="3"/>
        <v>10</v>
      </c>
      <c r="N325" s="1092">
        <f t="shared" si="3"/>
        <v>11</v>
      </c>
      <c r="O325" s="1092">
        <f t="shared" si="3"/>
        <v>12</v>
      </c>
      <c r="P325" s="1092">
        <f t="shared" si="3"/>
        <v>13</v>
      </c>
      <c r="Q325" s="898">
        <f t="shared" si="3"/>
        <v>14</v>
      </c>
    </row>
    <row r="326" spans="2:17" ht="13" hidden="1" outlineLevel="1" x14ac:dyDescent="0.15">
      <c r="B326" s="898" t="s">
        <v>2337</v>
      </c>
      <c r="C326" s="898">
        <v>1</v>
      </c>
      <c r="D326" s="864">
        <v>102.6</v>
      </c>
      <c r="E326" s="941">
        <v>172.48</v>
      </c>
      <c r="F326" s="941">
        <v>165.983</v>
      </c>
      <c r="G326" s="941">
        <v>161.69999999999999</v>
      </c>
      <c r="H326" s="941">
        <v>69.42</v>
      </c>
      <c r="I326" s="941">
        <v>149.76</v>
      </c>
      <c r="J326" s="941">
        <v>127.4</v>
      </c>
      <c r="K326" s="941">
        <v>0.5</v>
      </c>
      <c r="L326" s="941">
        <v>157.41</v>
      </c>
      <c r="M326" s="941">
        <v>46.08</v>
      </c>
      <c r="N326" s="941">
        <v>57.76</v>
      </c>
      <c r="O326" s="941">
        <v>39.200000000000003</v>
      </c>
      <c r="P326" s="941">
        <v>15</v>
      </c>
      <c r="Q326" s="942">
        <f t="shared" ref="Q326:Q348" si="4">J326</f>
        <v>127.4</v>
      </c>
    </row>
    <row r="327" spans="2:17" ht="13" hidden="1" outlineLevel="1" x14ac:dyDescent="0.15">
      <c r="B327" s="834" t="s">
        <v>175</v>
      </c>
      <c r="C327" s="834">
        <v>2</v>
      </c>
      <c r="D327" s="865">
        <v>102.6</v>
      </c>
      <c r="E327" s="849">
        <v>172.48</v>
      </c>
      <c r="F327" s="849">
        <v>149.49</v>
      </c>
      <c r="G327" s="849">
        <v>161.69999999999999</v>
      </c>
      <c r="H327" s="849">
        <v>69.42</v>
      </c>
      <c r="I327" s="849">
        <v>168.3</v>
      </c>
      <c r="J327" s="849">
        <v>127.4</v>
      </c>
      <c r="K327" s="849">
        <v>0.5</v>
      </c>
      <c r="L327" s="849">
        <v>157.41</v>
      </c>
      <c r="M327" s="849">
        <v>46.08</v>
      </c>
      <c r="N327" s="849">
        <v>57.76</v>
      </c>
      <c r="O327" s="849">
        <v>39.200000000000003</v>
      </c>
      <c r="P327" s="849">
        <v>5.94</v>
      </c>
      <c r="Q327" s="894">
        <f t="shared" si="4"/>
        <v>127.4</v>
      </c>
    </row>
    <row r="328" spans="2:17" ht="13" hidden="1" outlineLevel="1" x14ac:dyDescent="0.15">
      <c r="B328" s="834" t="s">
        <v>176</v>
      </c>
      <c r="C328" s="834">
        <v>3</v>
      </c>
      <c r="D328" s="865">
        <v>102.6</v>
      </c>
      <c r="E328" s="849">
        <v>172.48</v>
      </c>
      <c r="F328" s="849">
        <v>155.80000000000001</v>
      </c>
      <c r="G328" s="849">
        <v>161.69999999999999</v>
      </c>
      <c r="H328" s="849">
        <v>144.06</v>
      </c>
      <c r="I328" s="849">
        <v>189.09</v>
      </c>
      <c r="J328" s="849">
        <v>127.4</v>
      </c>
      <c r="K328" s="849">
        <v>0.5</v>
      </c>
      <c r="L328" s="849">
        <v>157.41</v>
      </c>
      <c r="M328" s="849">
        <v>46.08</v>
      </c>
      <c r="N328" s="849">
        <v>62.4</v>
      </c>
      <c r="O328" s="849">
        <v>68.62</v>
      </c>
      <c r="P328" s="849">
        <v>6.44</v>
      </c>
      <c r="Q328" s="894">
        <f t="shared" si="4"/>
        <v>127.4</v>
      </c>
    </row>
    <row r="329" spans="2:17" ht="13" hidden="1" outlineLevel="1" x14ac:dyDescent="0.15">
      <c r="B329" s="834" t="s">
        <v>177</v>
      </c>
      <c r="C329" s="834">
        <v>4</v>
      </c>
      <c r="D329" s="865">
        <v>102.6</v>
      </c>
      <c r="E329" s="849">
        <v>172.48</v>
      </c>
      <c r="F329" s="849">
        <v>147</v>
      </c>
      <c r="G329" s="849">
        <v>161.69999999999999</v>
      </c>
      <c r="H329" s="849">
        <v>85</v>
      </c>
      <c r="I329" s="849">
        <v>157.78</v>
      </c>
      <c r="J329" s="849">
        <v>127.4</v>
      </c>
      <c r="K329" s="849">
        <v>0.5</v>
      </c>
      <c r="L329" s="849">
        <v>157.41</v>
      </c>
      <c r="M329" s="849">
        <v>46.08</v>
      </c>
      <c r="N329" s="849">
        <v>45.6</v>
      </c>
      <c r="O329" s="849">
        <v>39.200000000000003</v>
      </c>
      <c r="P329" s="849">
        <v>15</v>
      </c>
      <c r="Q329" s="894">
        <f t="shared" si="4"/>
        <v>127.4</v>
      </c>
    </row>
    <row r="330" spans="2:17" ht="13" hidden="1" outlineLevel="1" x14ac:dyDescent="0.15">
      <c r="B330" s="834" t="s">
        <v>178</v>
      </c>
      <c r="C330" s="834">
        <v>5</v>
      </c>
      <c r="D330" s="865">
        <v>102.6</v>
      </c>
      <c r="E330" s="849">
        <v>172.48</v>
      </c>
      <c r="F330" s="849">
        <v>171</v>
      </c>
      <c r="G330" s="849">
        <v>169</v>
      </c>
      <c r="H330" s="849">
        <v>95.06</v>
      </c>
      <c r="I330" s="849">
        <v>143</v>
      </c>
      <c r="J330" s="849">
        <v>129</v>
      </c>
      <c r="K330" s="849">
        <v>0.5</v>
      </c>
      <c r="L330" s="849">
        <v>157.41</v>
      </c>
      <c r="M330" s="849">
        <v>46.08</v>
      </c>
      <c r="N330" s="849">
        <v>40.950000000000003</v>
      </c>
      <c r="O330" s="849">
        <v>39.200000000000003</v>
      </c>
      <c r="P330" s="849">
        <v>8.68</v>
      </c>
      <c r="Q330" s="894">
        <f t="shared" si="4"/>
        <v>129</v>
      </c>
    </row>
    <row r="331" spans="2:17" ht="13" hidden="1" outlineLevel="1" x14ac:dyDescent="0.15">
      <c r="B331" s="834" t="s">
        <v>179</v>
      </c>
      <c r="C331" s="834">
        <v>6</v>
      </c>
      <c r="D331" s="865">
        <v>102.6</v>
      </c>
      <c r="E331" s="849">
        <v>172.48</v>
      </c>
      <c r="F331" s="849">
        <v>112.1</v>
      </c>
      <c r="G331" s="849">
        <v>161.69999999999999</v>
      </c>
      <c r="H331" s="849">
        <v>30.42</v>
      </c>
      <c r="I331" s="849">
        <v>32.369999999999997</v>
      </c>
      <c r="J331" s="849">
        <v>93.06</v>
      </c>
      <c r="K331" s="849">
        <v>0.5</v>
      </c>
      <c r="L331" s="849">
        <v>157.41</v>
      </c>
      <c r="M331" s="849">
        <v>45.14</v>
      </c>
      <c r="N331" s="849">
        <v>64.08</v>
      </c>
      <c r="O331" s="849">
        <v>39.200000000000003</v>
      </c>
      <c r="P331" s="849">
        <v>15</v>
      </c>
      <c r="Q331" s="894">
        <f t="shared" si="4"/>
        <v>93.06</v>
      </c>
    </row>
    <row r="332" spans="2:17" ht="13" hidden="1" outlineLevel="1" x14ac:dyDescent="0.15">
      <c r="B332" s="834" t="s">
        <v>180</v>
      </c>
      <c r="C332" s="834">
        <v>7</v>
      </c>
      <c r="D332" s="865">
        <v>102.6</v>
      </c>
      <c r="E332" s="849">
        <v>200</v>
      </c>
      <c r="F332" s="849">
        <v>172.26</v>
      </c>
      <c r="G332" s="849">
        <v>157.41</v>
      </c>
      <c r="H332" s="849">
        <v>93.1</v>
      </c>
      <c r="I332" s="849">
        <v>154.85</v>
      </c>
      <c r="J332" s="849">
        <v>123.48</v>
      </c>
      <c r="K332" s="849">
        <v>0.2</v>
      </c>
      <c r="L332" s="849">
        <v>157.41</v>
      </c>
      <c r="M332" s="849">
        <v>46.08</v>
      </c>
      <c r="N332" s="849">
        <v>58.93</v>
      </c>
      <c r="O332" s="849">
        <v>34.5</v>
      </c>
      <c r="P332" s="849">
        <v>15</v>
      </c>
      <c r="Q332" s="894">
        <f t="shared" si="4"/>
        <v>123.48</v>
      </c>
    </row>
    <row r="333" spans="2:17" ht="13" hidden="1" outlineLevel="1" x14ac:dyDescent="0.15">
      <c r="B333" s="834" t="s">
        <v>181</v>
      </c>
      <c r="C333" s="834">
        <v>8</v>
      </c>
      <c r="D333" s="865">
        <v>101.46</v>
      </c>
      <c r="E333" s="849">
        <v>172.48</v>
      </c>
      <c r="F333" s="849">
        <v>191.07</v>
      </c>
      <c r="G333" s="849">
        <v>168.78</v>
      </c>
      <c r="H333" s="849">
        <v>123.75</v>
      </c>
      <c r="I333" s="849">
        <v>148.5</v>
      </c>
      <c r="J333" s="849">
        <v>135.36000000000001</v>
      </c>
      <c r="K333" s="849">
        <v>1.5</v>
      </c>
      <c r="L333" s="849">
        <v>157.41</v>
      </c>
      <c r="M333" s="849">
        <v>46.08</v>
      </c>
      <c r="N333" s="849">
        <v>57.76</v>
      </c>
      <c r="O333" s="849">
        <v>39.200000000000003</v>
      </c>
      <c r="P333" s="849">
        <v>38.880000000000003</v>
      </c>
      <c r="Q333" s="894">
        <f t="shared" si="4"/>
        <v>135.36000000000001</v>
      </c>
    </row>
    <row r="334" spans="2:17" ht="13" hidden="1" outlineLevel="1" x14ac:dyDescent="0.15">
      <c r="B334" s="834" t="s">
        <v>2145</v>
      </c>
      <c r="C334" s="834">
        <v>9</v>
      </c>
      <c r="D334" s="865">
        <v>102.6</v>
      </c>
      <c r="E334" s="849">
        <v>172.48</v>
      </c>
      <c r="F334" s="849">
        <v>165.983</v>
      </c>
      <c r="G334" s="849">
        <v>161.69999999999999</v>
      </c>
      <c r="H334" s="849">
        <v>69.42</v>
      </c>
      <c r="I334" s="849">
        <v>149.76</v>
      </c>
      <c r="J334" s="849">
        <v>127.4</v>
      </c>
      <c r="K334" s="849">
        <v>0.5</v>
      </c>
      <c r="L334" s="849">
        <v>157.41</v>
      </c>
      <c r="M334" s="849">
        <v>46.08</v>
      </c>
      <c r="N334" s="849">
        <v>57.76</v>
      </c>
      <c r="O334" s="849">
        <v>39.200000000000003</v>
      </c>
      <c r="P334" s="849">
        <v>15</v>
      </c>
      <c r="Q334" s="894">
        <f t="shared" si="4"/>
        <v>127.4</v>
      </c>
    </row>
    <row r="335" spans="2:17" ht="13" hidden="1" outlineLevel="1" x14ac:dyDescent="0.15">
      <c r="B335" s="834" t="s">
        <v>182</v>
      </c>
      <c r="C335" s="834">
        <v>10</v>
      </c>
      <c r="D335" s="865">
        <v>102.6</v>
      </c>
      <c r="E335" s="849">
        <v>172.48</v>
      </c>
      <c r="F335" s="849">
        <v>165.62</v>
      </c>
      <c r="G335" s="849">
        <v>165</v>
      </c>
      <c r="H335" s="849">
        <v>127.71</v>
      </c>
      <c r="I335" s="849">
        <v>146.52000000000001</v>
      </c>
      <c r="J335" s="849">
        <v>118.34</v>
      </c>
      <c r="K335" s="849">
        <v>0.5</v>
      </c>
      <c r="L335" s="849">
        <v>157.41</v>
      </c>
      <c r="M335" s="849">
        <v>46.08</v>
      </c>
      <c r="N335" s="849">
        <v>32.83</v>
      </c>
      <c r="O335" s="849">
        <v>39.200000000000003</v>
      </c>
      <c r="P335" s="849">
        <v>15</v>
      </c>
      <c r="Q335" s="894">
        <f t="shared" si="4"/>
        <v>118.34</v>
      </c>
    </row>
    <row r="336" spans="2:17" ht="13" hidden="1" outlineLevel="1" x14ac:dyDescent="0.15">
      <c r="B336" s="834" t="s">
        <v>183</v>
      </c>
      <c r="C336" s="834">
        <v>11</v>
      </c>
      <c r="D336" s="865">
        <v>117.81</v>
      </c>
      <c r="E336" s="849">
        <v>172.48</v>
      </c>
      <c r="F336" s="849">
        <v>184</v>
      </c>
      <c r="G336" s="849">
        <v>167.58</v>
      </c>
      <c r="H336" s="849">
        <v>69.42</v>
      </c>
      <c r="I336" s="849">
        <v>158.4</v>
      </c>
      <c r="J336" s="849">
        <v>118.58</v>
      </c>
      <c r="K336" s="849">
        <v>0.2</v>
      </c>
      <c r="L336" s="849">
        <v>157.41</v>
      </c>
      <c r="M336" s="849">
        <v>46.08</v>
      </c>
      <c r="N336" s="849">
        <v>57.76</v>
      </c>
      <c r="O336" s="849">
        <v>39.200000000000003</v>
      </c>
      <c r="P336" s="849">
        <v>15</v>
      </c>
      <c r="Q336" s="894">
        <f t="shared" si="4"/>
        <v>118.58</v>
      </c>
    </row>
    <row r="337" spans="2:17" ht="13" hidden="1" outlineLevel="1" x14ac:dyDescent="0.15">
      <c r="B337" s="834" t="s">
        <v>184</v>
      </c>
      <c r="C337" s="834">
        <v>12</v>
      </c>
      <c r="D337" s="865">
        <v>102.6</v>
      </c>
      <c r="E337" s="849">
        <v>155.80000000000001</v>
      </c>
      <c r="F337" s="849">
        <v>165.983</v>
      </c>
      <c r="G337" s="849">
        <v>161.69999999999999</v>
      </c>
      <c r="H337" s="849">
        <v>69.42</v>
      </c>
      <c r="I337" s="849">
        <v>149.76</v>
      </c>
      <c r="J337" s="849">
        <v>127.4</v>
      </c>
      <c r="K337" s="849">
        <v>0.5</v>
      </c>
      <c r="L337" s="849">
        <v>157.41</v>
      </c>
      <c r="M337" s="849">
        <v>46.08</v>
      </c>
      <c r="N337" s="849">
        <v>57.76</v>
      </c>
      <c r="O337" s="849">
        <v>39.200000000000003</v>
      </c>
      <c r="P337" s="849">
        <v>14</v>
      </c>
      <c r="Q337" s="894">
        <f t="shared" si="4"/>
        <v>127.4</v>
      </c>
    </row>
    <row r="338" spans="2:17" ht="13" hidden="1" outlineLevel="1" x14ac:dyDescent="0.15">
      <c r="B338" s="834" t="s">
        <v>185</v>
      </c>
      <c r="C338" s="834">
        <v>13</v>
      </c>
      <c r="D338" s="865">
        <v>102.6</v>
      </c>
      <c r="E338" s="849">
        <v>172.48</v>
      </c>
      <c r="F338" s="849">
        <v>165.983</v>
      </c>
      <c r="G338" s="849">
        <v>161.69999999999999</v>
      </c>
      <c r="H338" s="849">
        <v>69.42</v>
      </c>
      <c r="I338" s="849">
        <v>149.76</v>
      </c>
      <c r="J338" s="849">
        <v>127.4</v>
      </c>
      <c r="K338" s="849">
        <v>0.5</v>
      </c>
      <c r="L338" s="849">
        <v>157.41</v>
      </c>
      <c r="M338" s="849">
        <v>46.08</v>
      </c>
      <c r="N338" s="849">
        <v>46.74</v>
      </c>
      <c r="O338" s="849">
        <v>39.200000000000003</v>
      </c>
      <c r="P338" s="849">
        <v>15</v>
      </c>
      <c r="Q338" s="894">
        <f t="shared" si="4"/>
        <v>127.4</v>
      </c>
    </row>
    <row r="339" spans="2:17" ht="13" hidden="1" outlineLevel="1" x14ac:dyDescent="0.15">
      <c r="B339" s="834" t="s">
        <v>186</v>
      </c>
      <c r="C339" s="834">
        <v>14</v>
      </c>
      <c r="D339" s="865">
        <v>102.6</v>
      </c>
      <c r="E339" s="849">
        <v>172.48</v>
      </c>
      <c r="F339" s="849">
        <v>163.35</v>
      </c>
      <c r="G339" s="849">
        <v>164.34</v>
      </c>
      <c r="H339" s="849">
        <v>115.64</v>
      </c>
      <c r="I339" s="849">
        <v>149.76</v>
      </c>
      <c r="J339" s="849">
        <v>136.62</v>
      </c>
      <c r="K339" s="849">
        <v>0.5</v>
      </c>
      <c r="L339" s="849">
        <v>157.41</v>
      </c>
      <c r="M339" s="849">
        <v>46.08</v>
      </c>
      <c r="N339" s="849">
        <v>57.76</v>
      </c>
      <c r="O339" s="849">
        <v>39.200000000000003</v>
      </c>
      <c r="P339" s="849">
        <v>15</v>
      </c>
      <c r="Q339" s="894">
        <f t="shared" si="4"/>
        <v>136.62</v>
      </c>
    </row>
    <row r="340" spans="2:17" ht="13" hidden="1" outlineLevel="1" x14ac:dyDescent="0.15">
      <c r="B340" s="834" t="s">
        <v>187</v>
      </c>
      <c r="C340" s="834">
        <v>15</v>
      </c>
      <c r="D340" s="865">
        <v>102.6</v>
      </c>
      <c r="E340" s="849">
        <v>184</v>
      </c>
      <c r="F340" s="849">
        <v>144.53</v>
      </c>
      <c r="G340" s="849">
        <v>161.69999999999999</v>
      </c>
      <c r="H340" s="849">
        <v>69.42</v>
      </c>
      <c r="I340" s="849">
        <v>188</v>
      </c>
      <c r="J340" s="849">
        <v>86</v>
      </c>
      <c r="K340" s="849">
        <v>0.5</v>
      </c>
      <c r="L340" s="849">
        <v>157.41</v>
      </c>
      <c r="M340" s="849">
        <v>46.08</v>
      </c>
      <c r="N340" s="849">
        <v>48.3</v>
      </c>
      <c r="O340" s="849">
        <v>40.81</v>
      </c>
      <c r="P340" s="849">
        <v>15</v>
      </c>
      <c r="Q340" s="894">
        <f t="shared" si="4"/>
        <v>86</v>
      </c>
    </row>
    <row r="341" spans="2:17" ht="13" hidden="1" outlineLevel="1" x14ac:dyDescent="0.15">
      <c r="B341" s="834" t="s">
        <v>188</v>
      </c>
      <c r="C341" s="834">
        <v>16</v>
      </c>
      <c r="D341" s="865">
        <v>105.45</v>
      </c>
      <c r="E341" s="849">
        <v>172.48</v>
      </c>
      <c r="F341" s="849">
        <v>162.36000000000001</v>
      </c>
      <c r="G341" s="849">
        <v>161.69999999999999</v>
      </c>
      <c r="H341" s="849">
        <v>87.4</v>
      </c>
      <c r="I341" s="849">
        <v>149.76</v>
      </c>
      <c r="J341" s="849">
        <v>138.6</v>
      </c>
      <c r="K341" s="849">
        <v>0.5</v>
      </c>
      <c r="L341" s="849">
        <v>157.41</v>
      </c>
      <c r="M341" s="849">
        <v>88.29</v>
      </c>
      <c r="N341" s="849">
        <v>57.76</v>
      </c>
      <c r="O341" s="849">
        <v>39.200000000000003</v>
      </c>
      <c r="P341" s="849">
        <v>15</v>
      </c>
      <c r="Q341" s="894">
        <f t="shared" si="4"/>
        <v>138.6</v>
      </c>
    </row>
    <row r="342" spans="2:17" ht="13" hidden="1" outlineLevel="1" x14ac:dyDescent="0.15">
      <c r="B342" s="834" t="s">
        <v>189</v>
      </c>
      <c r="C342" s="834">
        <v>17</v>
      </c>
      <c r="D342" s="865">
        <v>102.6</v>
      </c>
      <c r="E342" s="849">
        <v>172.48</v>
      </c>
      <c r="F342" s="849">
        <v>151.47</v>
      </c>
      <c r="G342" s="849">
        <v>161.69999999999999</v>
      </c>
      <c r="H342" s="849">
        <v>58.59</v>
      </c>
      <c r="I342" s="849">
        <v>149.76</v>
      </c>
      <c r="J342" s="849">
        <v>127.4</v>
      </c>
      <c r="K342" s="849">
        <v>0.5</v>
      </c>
      <c r="L342" s="849">
        <v>157.41</v>
      </c>
      <c r="M342" s="849">
        <v>39.06</v>
      </c>
      <c r="N342" s="849">
        <v>68.64</v>
      </c>
      <c r="O342" s="849">
        <v>39.200000000000003</v>
      </c>
      <c r="P342" s="849">
        <v>15</v>
      </c>
      <c r="Q342" s="894">
        <f t="shared" si="4"/>
        <v>127.4</v>
      </c>
    </row>
    <row r="343" spans="2:17" ht="13" hidden="1" outlineLevel="1" x14ac:dyDescent="0.15">
      <c r="B343" s="834" t="s">
        <v>190</v>
      </c>
      <c r="C343" s="834">
        <v>18</v>
      </c>
      <c r="D343" s="865">
        <v>102.6</v>
      </c>
      <c r="E343" s="849">
        <v>172.48</v>
      </c>
      <c r="F343" s="849">
        <v>163.93</v>
      </c>
      <c r="G343" s="849">
        <v>153.26</v>
      </c>
      <c r="H343" s="849">
        <v>83.66</v>
      </c>
      <c r="I343" s="849">
        <v>149.76</v>
      </c>
      <c r="J343" s="849">
        <v>132.30000000000001</v>
      </c>
      <c r="K343" s="849">
        <v>1.5</v>
      </c>
      <c r="L343" s="849">
        <v>157.41</v>
      </c>
      <c r="M343" s="849">
        <v>57.67</v>
      </c>
      <c r="N343" s="849">
        <v>57.76</v>
      </c>
      <c r="O343" s="849">
        <v>39.200000000000003</v>
      </c>
      <c r="P343" s="849">
        <v>15</v>
      </c>
      <c r="Q343" s="894">
        <f t="shared" si="4"/>
        <v>132.30000000000001</v>
      </c>
    </row>
    <row r="344" spans="2:17" ht="13" hidden="1" outlineLevel="1" x14ac:dyDescent="0.15">
      <c r="B344" s="834" t="s">
        <v>191</v>
      </c>
      <c r="C344" s="834">
        <v>19</v>
      </c>
      <c r="D344" s="865">
        <v>102.6</v>
      </c>
      <c r="E344" s="849">
        <v>172.48</v>
      </c>
      <c r="F344" s="849">
        <v>136.22</v>
      </c>
      <c r="G344" s="849">
        <v>161.69999999999999</v>
      </c>
      <c r="H344" s="849">
        <v>47.88</v>
      </c>
      <c r="I344" s="849">
        <v>91.8</v>
      </c>
      <c r="J344" s="849">
        <v>127.4</v>
      </c>
      <c r="K344" s="849">
        <v>0.5</v>
      </c>
      <c r="L344" s="849">
        <v>157.41</v>
      </c>
      <c r="M344" s="849">
        <v>26.46</v>
      </c>
      <c r="N344" s="849">
        <v>69.42</v>
      </c>
      <c r="O344" s="849">
        <v>24.48</v>
      </c>
      <c r="P344" s="849">
        <v>5</v>
      </c>
      <c r="Q344" s="894">
        <f t="shared" si="4"/>
        <v>127.4</v>
      </c>
    </row>
    <row r="345" spans="2:17" ht="13" hidden="1" outlineLevel="1" x14ac:dyDescent="0.15">
      <c r="B345" s="834" t="s">
        <v>192</v>
      </c>
      <c r="C345" s="834">
        <v>20</v>
      </c>
      <c r="D345" s="865">
        <v>97.97</v>
      </c>
      <c r="E345" s="849">
        <v>172.48</v>
      </c>
      <c r="F345" s="849">
        <v>174.24</v>
      </c>
      <c r="G345" s="849">
        <v>153.6</v>
      </c>
      <c r="H345" s="849">
        <v>94.09</v>
      </c>
      <c r="I345" s="849">
        <v>130.56</v>
      </c>
      <c r="J345" s="849">
        <v>133.65</v>
      </c>
      <c r="K345" s="849">
        <v>0.2</v>
      </c>
      <c r="L345" s="849">
        <v>157.41</v>
      </c>
      <c r="M345" s="849">
        <v>73.08</v>
      </c>
      <c r="N345" s="849">
        <v>57.76</v>
      </c>
      <c r="O345" s="849">
        <v>39.200000000000003</v>
      </c>
      <c r="P345" s="849">
        <v>15</v>
      </c>
      <c r="Q345" s="894">
        <f t="shared" si="4"/>
        <v>133.65</v>
      </c>
    </row>
    <row r="346" spans="2:17" ht="13" hidden="1" outlineLevel="1" x14ac:dyDescent="0.15">
      <c r="B346" s="834" t="s">
        <v>193</v>
      </c>
      <c r="C346" s="834">
        <v>21</v>
      </c>
      <c r="D346" s="865">
        <v>102.6</v>
      </c>
      <c r="E346" s="849">
        <v>172.48</v>
      </c>
      <c r="F346" s="849">
        <v>160.38</v>
      </c>
      <c r="G346" s="849">
        <v>159.74</v>
      </c>
      <c r="H346" s="849">
        <v>86.48</v>
      </c>
      <c r="I346" s="849">
        <v>168.78</v>
      </c>
      <c r="J346" s="849">
        <v>123.48</v>
      </c>
      <c r="K346" s="849">
        <v>0.5</v>
      </c>
      <c r="L346" s="849">
        <v>157.41</v>
      </c>
      <c r="M346" s="849">
        <v>46.08</v>
      </c>
      <c r="N346" s="849">
        <v>62.37</v>
      </c>
      <c r="O346" s="849">
        <v>37.520000000000003</v>
      </c>
      <c r="P346" s="849">
        <v>29</v>
      </c>
      <c r="Q346" s="894">
        <f t="shared" si="4"/>
        <v>123.48</v>
      </c>
    </row>
    <row r="347" spans="2:17" ht="13" hidden="1" outlineLevel="1" x14ac:dyDescent="0.15">
      <c r="B347" s="834" t="s">
        <v>194</v>
      </c>
      <c r="C347" s="834">
        <v>22</v>
      </c>
      <c r="D347" s="865">
        <v>102.6</v>
      </c>
      <c r="E347" s="849">
        <v>122.55</v>
      </c>
      <c r="F347" s="849">
        <v>165.983</v>
      </c>
      <c r="G347" s="849">
        <v>161.69999999999999</v>
      </c>
      <c r="H347" s="849">
        <v>69.42</v>
      </c>
      <c r="I347" s="849">
        <v>149.76</v>
      </c>
      <c r="J347" s="849">
        <v>127.4</v>
      </c>
      <c r="K347" s="849">
        <v>0.5</v>
      </c>
      <c r="L347" s="849">
        <v>157.41</v>
      </c>
      <c r="M347" s="849">
        <v>46.08</v>
      </c>
      <c r="N347" s="849">
        <v>57.76</v>
      </c>
      <c r="O347" s="849">
        <v>39.200000000000003</v>
      </c>
      <c r="P347" s="849">
        <v>9</v>
      </c>
      <c r="Q347" s="894">
        <f t="shared" si="4"/>
        <v>127.4</v>
      </c>
    </row>
    <row r="348" spans="2:17" ht="13" hidden="1" outlineLevel="1" x14ac:dyDescent="0.15">
      <c r="B348" s="834" t="s">
        <v>195</v>
      </c>
      <c r="C348" s="834">
        <v>23</v>
      </c>
      <c r="D348" s="865">
        <v>102.6</v>
      </c>
      <c r="E348" s="849">
        <v>172.48</v>
      </c>
      <c r="F348" s="849">
        <v>140.16</v>
      </c>
      <c r="G348" s="849">
        <v>161.69999999999999</v>
      </c>
      <c r="H348" s="849">
        <v>111.02</v>
      </c>
      <c r="I348" s="849">
        <v>157.78</v>
      </c>
      <c r="J348" s="849">
        <v>127.4</v>
      </c>
      <c r="K348" s="849">
        <v>0.5</v>
      </c>
      <c r="L348" s="849">
        <v>157.41</v>
      </c>
      <c r="M348" s="849">
        <v>46.08</v>
      </c>
      <c r="N348" s="849">
        <v>42.84</v>
      </c>
      <c r="O348" s="849">
        <v>39.200000000000003</v>
      </c>
      <c r="P348" s="849">
        <v>15</v>
      </c>
      <c r="Q348" s="894">
        <f t="shared" si="4"/>
        <v>127.4</v>
      </c>
    </row>
    <row r="349" spans="2:17" ht="13" hidden="1" outlineLevel="1" x14ac:dyDescent="0.15">
      <c r="B349" s="1072"/>
      <c r="C349" s="1072"/>
      <c r="D349" s="866"/>
      <c r="E349" s="854"/>
      <c r="F349" s="854"/>
      <c r="G349" s="854"/>
      <c r="H349" s="854"/>
      <c r="I349" s="854"/>
      <c r="J349" s="854"/>
      <c r="K349" s="854"/>
      <c r="L349" s="854"/>
      <c r="M349" s="854"/>
      <c r="N349" s="854"/>
      <c r="O349" s="854"/>
      <c r="P349" s="854"/>
      <c r="Q349" s="952"/>
    </row>
    <row r="350" spans="2:17" ht="13" hidden="1" outlineLevel="1" x14ac:dyDescent="0.15">
      <c r="B350" s="4"/>
      <c r="C350" s="4"/>
      <c r="D350" s="4"/>
      <c r="E350" s="4"/>
      <c r="F350" s="4"/>
      <c r="G350" s="4"/>
      <c r="H350" s="4"/>
      <c r="I350" s="4"/>
      <c r="J350" s="4"/>
      <c r="K350" s="4"/>
      <c r="L350" s="4"/>
      <c r="M350" s="4"/>
      <c r="N350" s="4"/>
      <c r="O350" s="4"/>
      <c r="P350" s="4"/>
      <c r="Q350" s="4"/>
    </row>
    <row r="351" spans="2:17" ht="13" hidden="1" outlineLevel="1" x14ac:dyDescent="0.15">
      <c r="N351" s="4"/>
      <c r="O351" s="4"/>
      <c r="P351" s="4"/>
      <c r="Q351" s="4"/>
    </row>
    <row r="352" spans="2:17" ht="13" hidden="1" outlineLevel="1" x14ac:dyDescent="0.15">
      <c r="B352" s="818" t="s">
        <v>2339</v>
      </c>
      <c r="C352" s="898"/>
      <c r="D352" s="898"/>
      <c r="E352" s="898"/>
      <c r="F352" s="898"/>
      <c r="G352" s="898"/>
      <c r="H352" s="898"/>
      <c r="I352" s="898"/>
      <c r="J352" s="898"/>
      <c r="K352" s="4"/>
      <c r="L352" s="4"/>
      <c r="M352" s="4"/>
      <c r="N352" s="4"/>
    </row>
    <row r="353" spans="2:14" ht="13" hidden="1" outlineLevel="1" x14ac:dyDescent="0.15">
      <c r="B353" s="834"/>
      <c r="C353" s="899" t="s">
        <v>3</v>
      </c>
      <c r="D353" s="1615" t="s">
        <v>2340</v>
      </c>
      <c r="E353" s="1615" t="s">
        <v>2341</v>
      </c>
      <c r="F353" s="1615" t="s">
        <v>2342</v>
      </c>
      <c r="G353" s="1615" t="s">
        <v>2343</v>
      </c>
      <c r="H353" s="1615" t="s">
        <v>2344</v>
      </c>
      <c r="I353" s="1615" t="s">
        <v>2345</v>
      </c>
      <c r="J353" s="1615" t="s">
        <v>2346</v>
      </c>
      <c r="K353" s="4"/>
      <c r="L353" s="4"/>
      <c r="M353" s="4"/>
      <c r="N353" s="4"/>
    </row>
    <row r="354" spans="2:14" ht="13" hidden="1" outlineLevel="1" x14ac:dyDescent="0.15">
      <c r="B354" s="836"/>
      <c r="C354" s="836" t="s">
        <v>2079</v>
      </c>
      <c r="D354" s="1609" t="s">
        <v>2079</v>
      </c>
      <c r="E354" s="1609" t="s">
        <v>2079</v>
      </c>
      <c r="F354" s="1609" t="s">
        <v>2079</v>
      </c>
      <c r="G354" s="1609" t="s">
        <v>2079</v>
      </c>
      <c r="H354" s="1609" t="s">
        <v>2079</v>
      </c>
      <c r="I354" s="1609" t="s">
        <v>2079</v>
      </c>
      <c r="J354" s="1609" t="s">
        <v>2079</v>
      </c>
      <c r="K354" s="4"/>
      <c r="L354" s="4"/>
      <c r="M354" s="4"/>
      <c r="N354" s="4"/>
    </row>
    <row r="355" spans="2:14" ht="13" hidden="1" outlineLevel="1" x14ac:dyDescent="0.15">
      <c r="B355" s="799" t="s">
        <v>179</v>
      </c>
      <c r="C355" s="1141">
        <v>300</v>
      </c>
      <c r="D355" s="1142">
        <v>56</v>
      </c>
      <c r="E355" s="1142">
        <v>16</v>
      </c>
      <c r="F355" s="1142">
        <v>0</v>
      </c>
      <c r="G355" s="1142">
        <v>0</v>
      </c>
      <c r="H355" s="1142">
        <v>0</v>
      </c>
      <c r="I355" s="1142">
        <v>28</v>
      </c>
      <c r="J355" s="1132">
        <v>0</v>
      </c>
      <c r="K355" s="4"/>
      <c r="L355" s="4"/>
      <c r="M355" s="4"/>
      <c r="N355" s="4"/>
    </row>
    <row r="356" spans="2:14" ht="13" hidden="1" outlineLevel="1" x14ac:dyDescent="0.15">
      <c r="B356" s="800" t="s">
        <v>196</v>
      </c>
      <c r="C356" s="1143">
        <v>287.10000000000002</v>
      </c>
      <c r="D356" s="1128">
        <v>42.9</v>
      </c>
      <c r="E356" s="1128">
        <v>0</v>
      </c>
      <c r="F356" s="1128">
        <v>0</v>
      </c>
      <c r="G356" s="1128">
        <v>0</v>
      </c>
      <c r="H356" s="1128">
        <v>0</v>
      </c>
      <c r="I356" s="1128">
        <v>0</v>
      </c>
      <c r="J356" s="1129">
        <v>0</v>
      </c>
      <c r="K356" s="4"/>
      <c r="L356" s="4"/>
      <c r="M356" s="4"/>
      <c r="N356" s="4"/>
    </row>
    <row r="357" spans="2:14" ht="13" hidden="1" outlineLevel="1" x14ac:dyDescent="0.15">
      <c r="B357" s="800" t="s">
        <v>197</v>
      </c>
      <c r="C357" s="1143">
        <v>205.32</v>
      </c>
      <c r="D357" s="1128">
        <v>95.58</v>
      </c>
      <c r="E357" s="1128">
        <v>0</v>
      </c>
      <c r="F357" s="1128">
        <v>0</v>
      </c>
      <c r="G357" s="1128">
        <v>0</v>
      </c>
      <c r="H357" s="1128">
        <v>53.1</v>
      </c>
      <c r="I357" s="1128">
        <v>0</v>
      </c>
      <c r="J357" s="1129">
        <v>0</v>
      </c>
      <c r="K357" s="4"/>
      <c r="L357" s="4"/>
      <c r="M357" s="4"/>
      <c r="N357" s="4"/>
    </row>
    <row r="358" spans="2:14" ht="13" hidden="1" outlineLevel="1" x14ac:dyDescent="0.15">
      <c r="B358" s="800" t="s">
        <v>198</v>
      </c>
      <c r="C358" s="1143">
        <v>196.67</v>
      </c>
      <c r="D358" s="1128">
        <v>0</v>
      </c>
      <c r="E358" s="1128">
        <v>0</v>
      </c>
      <c r="F358" s="1128">
        <v>47.09</v>
      </c>
      <c r="G358" s="1128">
        <v>0</v>
      </c>
      <c r="H358" s="1128">
        <v>0</v>
      </c>
      <c r="I358" s="1128">
        <v>33.24</v>
      </c>
      <c r="J358" s="1129">
        <v>0</v>
      </c>
      <c r="K358" s="4"/>
      <c r="L358" s="4"/>
      <c r="M358" s="4"/>
      <c r="N358" s="4"/>
    </row>
    <row r="359" spans="2:14" ht="13" hidden="1" outlineLevel="1" x14ac:dyDescent="0.15">
      <c r="B359" s="800" t="s">
        <v>199</v>
      </c>
      <c r="C359" s="1143">
        <v>168</v>
      </c>
      <c r="D359" s="1128">
        <v>19.2</v>
      </c>
      <c r="E359" s="1128">
        <v>0</v>
      </c>
      <c r="F359" s="1128">
        <v>4.8</v>
      </c>
      <c r="G359" s="1128">
        <v>2.4</v>
      </c>
      <c r="H359" s="1128">
        <v>4.8</v>
      </c>
      <c r="I359" s="1128">
        <v>0</v>
      </c>
      <c r="J359" s="1129">
        <v>40.799999999999997</v>
      </c>
      <c r="K359" s="4"/>
      <c r="L359" s="4"/>
      <c r="M359" s="4"/>
      <c r="N359" s="4"/>
    </row>
    <row r="360" spans="2:14" ht="13" hidden="1" outlineLevel="1" x14ac:dyDescent="0.15">
      <c r="B360" s="800" t="s">
        <v>2347</v>
      </c>
      <c r="C360" s="1143">
        <v>248.13300000000001</v>
      </c>
      <c r="D360" s="1128">
        <v>44.298000000000002</v>
      </c>
      <c r="E360" s="1128">
        <v>1.284</v>
      </c>
      <c r="F360" s="1128">
        <v>3.8519999999999999</v>
      </c>
      <c r="G360" s="1128">
        <v>1.605</v>
      </c>
      <c r="H360" s="1128">
        <v>8.3460000000000001</v>
      </c>
      <c r="I360" s="1128">
        <v>8.3460000000000001</v>
      </c>
      <c r="J360" s="1129">
        <v>4.8150000000000004</v>
      </c>
      <c r="K360" s="4"/>
      <c r="L360" s="4"/>
      <c r="M360" s="4"/>
      <c r="N360" s="4"/>
    </row>
    <row r="361" spans="2:14" ht="13" hidden="1" outlineLevel="1" x14ac:dyDescent="0.15">
      <c r="B361" s="801"/>
      <c r="C361" s="995"/>
      <c r="D361" s="996"/>
      <c r="E361" s="996"/>
      <c r="F361" s="996"/>
      <c r="G361" s="996"/>
      <c r="H361" s="996"/>
      <c r="I361" s="996"/>
      <c r="J361" s="997"/>
      <c r="K361" s="4"/>
      <c r="L361" s="4"/>
      <c r="M361" s="4"/>
      <c r="N361" s="4"/>
    </row>
    <row r="362" spans="2:14" ht="13" hidden="1" outlineLevel="1" x14ac:dyDescent="0.15">
      <c r="B362" s="4"/>
      <c r="C362" s="4"/>
      <c r="D362" s="4"/>
      <c r="E362" s="4"/>
      <c r="F362" s="4"/>
      <c r="G362" s="4"/>
      <c r="H362" s="4"/>
      <c r="I362" s="4"/>
      <c r="J362" s="4"/>
      <c r="K362" s="4"/>
      <c r="L362" s="4"/>
      <c r="M362" s="4"/>
      <c r="N362" s="4"/>
    </row>
    <row r="363" spans="2:14" ht="13" hidden="1" outlineLevel="1" x14ac:dyDescent="0.15">
      <c r="B363" s="1475" t="s">
        <v>2348</v>
      </c>
      <c r="C363" s="898"/>
      <c r="D363" s="898"/>
      <c r="E363" s="898"/>
      <c r="F363" s="898"/>
      <c r="G363" s="898"/>
      <c r="H363" s="898"/>
      <c r="I363" s="898"/>
      <c r="J363" s="898"/>
      <c r="K363" s="4"/>
      <c r="L363" s="4"/>
      <c r="M363" s="4"/>
      <c r="N363" s="4"/>
    </row>
    <row r="364" spans="2:14" ht="13" hidden="1" outlineLevel="1" x14ac:dyDescent="0.15">
      <c r="B364" s="1087"/>
      <c r="C364" s="1615" t="s">
        <v>2349</v>
      </c>
      <c r="D364" s="1615" t="s">
        <v>2340</v>
      </c>
      <c r="E364" s="1615" t="s">
        <v>2341</v>
      </c>
      <c r="F364" s="1615" t="s">
        <v>2342</v>
      </c>
      <c r="G364" s="1615" t="s">
        <v>2343</v>
      </c>
      <c r="H364" s="1615" t="s">
        <v>2344</v>
      </c>
      <c r="I364" s="1615" t="s">
        <v>2345</v>
      </c>
      <c r="J364" s="1615" t="s">
        <v>2346</v>
      </c>
      <c r="K364" s="4"/>
      <c r="L364" s="4"/>
      <c r="M364" s="4"/>
      <c r="N364" s="4"/>
    </row>
    <row r="365" spans="2:14" ht="13" hidden="1" outlineLevel="1" x14ac:dyDescent="0.15">
      <c r="B365" s="1133"/>
      <c r="C365" s="1609" t="s">
        <v>2079</v>
      </c>
      <c r="D365" s="1609" t="s">
        <v>2079</v>
      </c>
      <c r="E365" s="1609" t="s">
        <v>2079</v>
      </c>
      <c r="F365" s="1609" t="s">
        <v>2079</v>
      </c>
      <c r="G365" s="1609" t="s">
        <v>2079</v>
      </c>
      <c r="H365" s="1609" t="s">
        <v>2079</v>
      </c>
      <c r="I365" s="1609" t="s">
        <v>2079</v>
      </c>
      <c r="J365" s="1609" t="s">
        <v>2079</v>
      </c>
      <c r="K365" s="4"/>
      <c r="L365" s="4"/>
      <c r="M365" s="4"/>
      <c r="N365" s="4"/>
    </row>
    <row r="366" spans="2:14" ht="13" hidden="1" outlineLevel="1" x14ac:dyDescent="0.15">
      <c r="B366" s="799" t="s">
        <v>2351</v>
      </c>
      <c r="C366" s="1141">
        <v>88.69</v>
      </c>
      <c r="D366" s="1142">
        <v>28.055</v>
      </c>
      <c r="E366" s="1142">
        <v>0</v>
      </c>
      <c r="F366" s="1142">
        <v>24.434999999999999</v>
      </c>
      <c r="G366" s="1142">
        <v>0</v>
      </c>
      <c r="H366" s="1142">
        <v>0</v>
      </c>
      <c r="I366" s="1142">
        <v>9.9550000000000001</v>
      </c>
      <c r="J366" s="1132">
        <v>29.864999999999998</v>
      </c>
      <c r="K366" s="4"/>
      <c r="L366" s="4"/>
      <c r="M366" s="4"/>
      <c r="N366" s="4"/>
    </row>
    <row r="367" spans="2:14" ht="13" hidden="1" outlineLevel="1" x14ac:dyDescent="0.15">
      <c r="B367" s="800" t="s">
        <v>180</v>
      </c>
      <c r="C367" s="1143">
        <v>107.31</v>
      </c>
      <c r="D367" s="1128">
        <v>33.945</v>
      </c>
      <c r="E367" s="1128">
        <v>0</v>
      </c>
      <c r="F367" s="1128">
        <v>29.565000000000001</v>
      </c>
      <c r="G367" s="1128">
        <v>0</v>
      </c>
      <c r="H367" s="1128">
        <v>0</v>
      </c>
      <c r="I367" s="1128">
        <v>12.045</v>
      </c>
      <c r="J367" s="1129">
        <v>36.134999999999998</v>
      </c>
      <c r="K367" s="4"/>
      <c r="L367" s="4"/>
      <c r="M367" s="4"/>
      <c r="N367" s="4"/>
    </row>
    <row r="368" spans="2:14" ht="13" hidden="1" outlineLevel="1" x14ac:dyDescent="0.15">
      <c r="B368" s="800" t="s">
        <v>2352</v>
      </c>
      <c r="C368" s="1143">
        <v>59.29</v>
      </c>
      <c r="D368" s="1128">
        <v>18.754999999999999</v>
      </c>
      <c r="E368" s="1128">
        <v>0</v>
      </c>
      <c r="F368" s="1128">
        <v>16.335000000000001</v>
      </c>
      <c r="G368" s="1128">
        <v>0</v>
      </c>
      <c r="H368" s="1128">
        <v>0</v>
      </c>
      <c r="I368" s="1128">
        <v>6.6550000000000002</v>
      </c>
      <c r="J368" s="1129">
        <v>19.965</v>
      </c>
      <c r="K368" s="4"/>
      <c r="L368" s="4"/>
      <c r="M368" s="4"/>
      <c r="N368" s="4"/>
    </row>
    <row r="369" spans="2:25" ht="13" hidden="1" outlineLevel="1" x14ac:dyDescent="0.15">
      <c r="B369" s="800" t="s">
        <v>2350</v>
      </c>
      <c r="C369" s="1143">
        <v>49.98</v>
      </c>
      <c r="D369" s="1128">
        <v>15.81</v>
      </c>
      <c r="E369" s="1128">
        <v>0</v>
      </c>
      <c r="F369" s="1128">
        <v>13.77</v>
      </c>
      <c r="G369" s="1128">
        <v>0</v>
      </c>
      <c r="H369" s="1128">
        <v>0</v>
      </c>
      <c r="I369" s="1128">
        <v>5.61</v>
      </c>
      <c r="J369" s="1129">
        <v>16.829999999999998</v>
      </c>
      <c r="K369" s="4"/>
      <c r="L369" s="4"/>
      <c r="M369" s="4"/>
      <c r="N369" s="4"/>
    </row>
    <row r="370" spans="2:25" ht="13" hidden="1" outlineLevel="1" x14ac:dyDescent="0.15">
      <c r="B370" s="800" t="s">
        <v>2347</v>
      </c>
      <c r="C370" s="1143">
        <v>78.400000000000006</v>
      </c>
      <c r="D370" s="1128">
        <v>24.8</v>
      </c>
      <c r="E370" s="1128">
        <v>0</v>
      </c>
      <c r="F370" s="1128">
        <v>21.6</v>
      </c>
      <c r="G370" s="1128">
        <v>0</v>
      </c>
      <c r="H370" s="1128">
        <v>0</v>
      </c>
      <c r="I370" s="1128">
        <v>8.8000000000000007</v>
      </c>
      <c r="J370" s="1129">
        <v>26.4</v>
      </c>
      <c r="K370" s="4"/>
      <c r="L370" s="4"/>
      <c r="M370" s="4"/>
      <c r="N370" s="4"/>
    </row>
    <row r="371" spans="2:25" ht="13" hidden="1" outlineLevel="1" x14ac:dyDescent="0.15">
      <c r="B371" s="801"/>
      <c r="C371" s="995"/>
      <c r="D371" s="996"/>
      <c r="E371" s="996"/>
      <c r="F371" s="996"/>
      <c r="G371" s="996"/>
      <c r="H371" s="996"/>
      <c r="I371" s="996"/>
      <c r="J371" s="997"/>
      <c r="K371" s="5"/>
      <c r="L371" s="4"/>
      <c r="M371" s="4"/>
      <c r="N371" s="4"/>
    </row>
    <row r="372" spans="2:25" ht="13" hidden="1" outlineLevel="1" x14ac:dyDescent="0.15">
      <c r="B372" s="4"/>
      <c r="C372" s="4"/>
      <c r="D372" s="4"/>
      <c r="E372" s="4"/>
      <c r="F372" s="4"/>
      <c r="G372" s="4"/>
      <c r="H372" s="4"/>
      <c r="I372" s="4"/>
      <c r="J372" s="4"/>
      <c r="K372" s="5"/>
      <c r="L372" s="4"/>
      <c r="M372" s="4"/>
      <c r="N372" s="4"/>
    </row>
    <row r="373" spans="2:25" ht="13" hidden="1" outlineLevel="1" x14ac:dyDescent="0.15">
      <c r="B373" s="1475" t="s">
        <v>2353</v>
      </c>
      <c r="C373" s="898"/>
      <c r="D373" s="898"/>
      <c r="E373" s="898"/>
      <c r="F373" s="898"/>
      <c r="G373" s="898"/>
      <c r="H373" s="898"/>
      <c r="I373" s="898"/>
      <c r="J373" s="898"/>
      <c r="K373" s="5"/>
      <c r="L373" s="4"/>
      <c r="M373" s="4"/>
      <c r="N373" s="4"/>
    </row>
    <row r="374" spans="2:25" ht="13" hidden="1" outlineLevel="1" x14ac:dyDescent="0.15">
      <c r="B374" s="1087"/>
      <c r="C374" s="1615" t="s">
        <v>2349</v>
      </c>
      <c r="D374" s="1615" t="s">
        <v>2340</v>
      </c>
      <c r="E374" s="1615" t="s">
        <v>2341</v>
      </c>
      <c r="F374" s="1615" t="s">
        <v>2342</v>
      </c>
      <c r="G374" s="1615" t="s">
        <v>2343</v>
      </c>
      <c r="H374" s="1615" t="s">
        <v>2344</v>
      </c>
      <c r="I374" s="1615" t="s">
        <v>2345</v>
      </c>
      <c r="J374" s="1615" t="s">
        <v>2346</v>
      </c>
      <c r="K374" s="5"/>
      <c r="L374" s="4"/>
      <c r="M374" s="4"/>
      <c r="N374" s="4"/>
    </row>
    <row r="375" spans="2:25" ht="13" hidden="1" outlineLevel="1" x14ac:dyDescent="0.15">
      <c r="B375" s="1133"/>
      <c r="C375" s="1609" t="s">
        <v>2079</v>
      </c>
      <c r="D375" s="1609" t="s">
        <v>2079</v>
      </c>
      <c r="E375" s="1609" t="s">
        <v>2079</v>
      </c>
      <c r="F375" s="1609" t="s">
        <v>2079</v>
      </c>
      <c r="G375" s="1609" t="s">
        <v>2079</v>
      </c>
      <c r="H375" s="1609" t="s">
        <v>2079</v>
      </c>
      <c r="I375" s="1609" t="s">
        <v>2079</v>
      </c>
      <c r="J375" s="1609" t="s">
        <v>2079</v>
      </c>
      <c r="K375" s="5"/>
      <c r="L375" s="4"/>
      <c r="M375" s="4"/>
      <c r="N375" s="4"/>
    </row>
    <row r="376" spans="2:25" ht="13" hidden="1" outlineLevel="1" x14ac:dyDescent="0.15">
      <c r="B376" s="800" t="s">
        <v>200</v>
      </c>
      <c r="C376" s="1141">
        <v>2.5</v>
      </c>
      <c r="D376" s="1142">
        <v>0</v>
      </c>
      <c r="E376" s="1142">
        <v>0</v>
      </c>
      <c r="F376" s="1142">
        <v>17.5</v>
      </c>
      <c r="G376" s="1142">
        <v>0</v>
      </c>
      <c r="H376" s="1142">
        <v>0</v>
      </c>
      <c r="I376" s="1142">
        <v>0</v>
      </c>
      <c r="J376" s="1132">
        <v>5</v>
      </c>
      <c r="K376" s="5"/>
      <c r="L376" s="4"/>
      <c r="M376" s="4"/>
      <c r="N376" s="4"/>
    </row>
    <row r="377" spans="2:25" ht="13" hidden="1" outlineLevel="1" x14ac:dyDescent="0.15">
      <c r="B377" s="801"/>
      <c r="C377" s="995"/>
      <c r="D377" s="996"/>
      <c r="E377" s="996"/>
      <c r="F377" s="996"/>
      <c r="G377" s="996"/>
      <c r="H377" s="996"/>
      <c r="I377" s="996"/>
      <c r="J377" s="997"/>
      <c r="K377" s="4"/>
      <c r="L377" s="4"/>
      <c r="M377" s="4"/>
      <c r="N377" s="4"/>
    </row>
    <row r="378" spans="2:25" ht="13" hidden="1" outlineLevel="1" x14ac:dyDescent="0.15">
      <c r="N378" s="4"/>
      <c r="O378" s="4"/>
      <c r="P378" s="4"/>
      <c r="Q378" s="4"/>
    </row>
    <row r="379" spans="2:25" ht="15" customHeight="1" x14ac:dyDescent="0.15">
      <c r="N379" s="4"/>
      <c r="O379" s="4"/>
      <c r="P379" s="4"/>
      <c r="Q379" s="4"/>
    </row>
    <row r="380" spans="2:25" ht="16" collapsed="1" x14ac:dyDescent="0.2">
      <c r="B380" s="1871" t="s">
        <v>719</v>
      </c>
      <c r="C380" s="1872"/>
      <c r="D380" s="1872"/>
      <c r="E380" s="1872"/>
      <c r="F380" s="1872"/>
      <c r="G380" s="1872"/>
      <c r="H380" s="1872"/>
      <c r="I380" s="1872"/>
      <c r="J380" s="1872"/>
      <c r="K380" s="1872"/>
      <c r="L380" s="1872"/>
      <c r="M380" s="1872"/>
      <c r="N380" s="1872"/>
      <c r="O380" s="1873"/>
    </row>
    <row r="381" spans="2:25" ht="12.75" hidden="1" customHeight="1" outlineLevel="1" x14ac:dyDescent="0.15">
      <c r="N381" s="4"/>
      <c r="O381" s="4"/>
      <c r="P381" s="4"/>
      <c r="Q381" s="4"/>
    </row>
    <row r="382" spans="2:25" ht="38.25" hidden="1" customHeight="1" outlineLevel="1" x14ac:dyDescent="0.15">
      <c r="B382" s="1134" t="s">
        <v>2371</v>
      </c>
      <c r="C382" s="1135" t="s">
        <v>31</v>
      </c>
      <c r="D382" s="1136" t="s">
        <v>32</v>
      </c>
      <c r="E382" s="1136" t="s">
        <v>13</v>
      </c>
      <c r="F382" s="1136" t="s">
        <v>54</v>
      </c>
      <c r="G382" s="1136" t="s">
        <v>55</v>
      </c>
      <c r="H382" s="1136" t="s">
        <v>51</v>
      </c>
      <c r="I382" s="1136" t="s">
        <v>52</v>
      </c>
      <c r="J382" s="1136" t="s">
        <v>22</v>
      </c>
      <c r="K382" s="1136" t="s">
        <v>2146</v>
      </c>
      <c r="L382" s="1136" t="s">
        <v>23</v>
      </c>
      <c r="M382" s="1136" t="s">
        <v>26</v>
      </c>
      <c r="N382" s="1136" t="s">
        <v>16</v>
      </c>
      <c r="O382" s="1136" t="s">
        <v>18</v>
      </c>
      <c r="P382" s="1136" t="s">
        <v>28</v>
      </c>
      <c r="Q382" s="1136" t="s">
        <v>33</v>
      </c>
      <c r="R382" s="1136" t="s">
        <v>8</v>
      </c>
      <c r="S382" s="1136" t="s">
        <v>48</v>
      </c>
      <c r="T382" s="1136" t="s">
        <v>49</v>
      </c>
      <c r="U382" s="1136" t="s">
        <v>50</v>
      </c>
      <c r="V382" s="1136" t="s">
        <v>0</v>
      </c>
      <c r="W382" s="1136" t="s">
        <v>4</v>
      </c>
      <c r="X382" s="1137" t="s">
        <v>5</v>
      </c>
      <c r="Y382" s="1138" t="s">
        <v>19</v>
      </c>
    </row>
    <row r="383" spans="2:25" ht="12.75" hidden="1" customHeight="1" outlineLevel="1" x14ac:dyDescent="0.15">
      <c r="B383" s="804" t="s">
        <v>2354</v>
      </c>
      <c r="C383" s="815">
        <v>0.16135963255667779</v>
      </c>
      <c r="D383" s="815">
        <v>1.1322529302606728</v>
      </c>
      <c r="E383" s="815">
        <v>0</v>
      </c>
      <c r="F383" s="815">
        <v>0.11257543807345416</v>
      </c>
      <c r="G383" s="815">
        <v>0.32827826419645889</v>
      </c>
      <c r="H383" s="815">
        <v>0</v>
      </c>
      <c r="I383" s="815">
        <v>0</v>
      </c>
      <c r="J383" s="815">
        <v>0</v>
      </c>
      <c r="K383" s="815">
        <v>0</v>
      </c>
      <c r="L383" s="815">
        <v>0.11662320432492823</v>
      </c>
      <c r="M383" s="815">
        <v>0</v>
      </c>
      <c r="N383" s="815">
        <v>0</v>
      </c>
      <c r="O383" s="815">
        <v>0</v>
      </c>
      <c r="P383" s="815">
        <v>0</v>
      </c>
      <c r="Q383" s="815">
        <v>5.8985636969913123E-2</v>
      </c>
      <c r="R383" s="815">
        <v>0</v>
      </c>
      <c r="S383" s="815">
        <v>0</v>
      </c>
      <c r="T383" s="815">
        <v>0</v>
      </c>
      <c r="U383" s="815">
        <v>0</v>
      </c>
      <c r="V383" s="815">
        <v>0</v>
      </c>
      <c r="W383" s="815">
        <v>0</v>
      </c>
      <c r="X383" s="815">
        <v>5.2331036539969573E-2</v>
      </c>
      <c r="Y383" s="877">
        <v>8.2426337906225902E-2</v>
      </c>
    </row>
    <row r="384" spans="2:25" ht="12.75" hidden="1" customHeight="1" outlineLevel="1" x14ac:dyDescent="0.15">
      <c r="B384" s="806" t="s">
        <v>2355</v>
      </c>
      <c r="C384" s="815">
        <v>11.99112415628451</v>
      </c>
      <c r="D384" s="815">
        <v>20.789928272266252</v>
      </c>
      <c r="E384" s="815">
        <v>34.556882306830737</v>
      </c>
      <c r="F384" s="815">
        <v>14.227346780640884</v>
      </c>
      <c r="G384" s="815">
        <v>17.281594492651546</v>
      </c>
      <c r="H384" s="815">
        <v>16.191899241517351</v>
      </c>
      <c r="I384" s="815">
        <v>9.5702202448932088</v>
      </c>
      <c r="J384" s="815">
        <v>12.970180197159785</v>
      </c>
      <c r="K384" s="815">
        <v>6.9444380390167408</v>
      </c>
      <c r="L384" s="815">
        <v>17.529455471913302</v>
      </c>
      <c r="M384" s="815">
        <v>10.913761549316028</v>
      </c>
      <c r="N384" s="815">
        <v>15.515851655006555</v>
      </c>
      <c r="O384" s="815">
        <v>23.229424981530268</v>
      </c>
      <c r="P384" s="815">
        <v>42.572482308608755</v>
      </c>
      <c r="Q384" s="815">
        <v>24.881569926280399</v>
      </c>
      <c r="R384" s="815">
        <v>16.150589786286485</v>
      </c>
      <c r="S384" s="815">
        <v>7.6391194188642908</v>
      </c>
      <c r="T384" s="815">
        <v>19.193094420000119</v>
      </c>
      <c r="U384" s="815">
        <v>19.382767306906505</v>
      </c>
      <c r="V384" s="815">
        <v>29.17576405368558</v>
      </c>
      <c r="W384" s="815">
        <v>8.6113037490310465</v>
      </c>
      <c r="X384" s="815">
        <v>21.647155820652081</v>
      </c>
      <c r="Y384" s="981">
        <v>16.96292174452153</v>
      </c>
    </row>
    <row r="385" spans="2:25" ht="12.75" hidden="1" customHeight="1" outlineLevel="1" x14ac:dyDescent="0.15">
      <c r="B385" s="806" t="s">
        <v>2356</v>
      </c>
      <c r="C385" s="815">
        <v>330.41228040331112</v>
      </c>
      <c r="D385" s="815">
        <v>360.23892339288238</v>
      </c>
      <c r="E385" s="815">
        <v>291.18703729453779</v>
      </c>
      <c r="F385" s="815">
        <v>251.01211860837452</v>
      </c>
      <c r="G385" s="815">
        <v>374.7811823979996</v>
      </c>
      <c r="H385" s="815">
        <v>289.28977285435229</v>
      </c>
      <c r="I385" s="815">
        <v>355.44989220715729</v>
      </c>
      <c r="J385" s="815">
        <v>264.10999185764206</v>
      </c>
      <c r="K385" s="815">
        <v>75.136777659917911</v>
      </c>
      <c r="L385" s="815">
        <v>291.27524956157197</v>
      </c>
      <c r="M385" s="815">
        <v>325.47932414031743</v>
      </c>
      <c r="N385" s="815">
        <v>171.74045944621494</v>
      </c>
      <c r="O385" s="815">
        <v>193.32540485300882</v>
      </c>
      <c r="P385" s="815">
        <v>324.16719015274168</v>
      </c>
      <c r="Q385" s="815">
        <v>288.68795295657503</v>
      </c>
      <c r="R385" s="815">
        <v>285.35411945117096</v>
      </c>
      <c r="S385" s="815">
        <v>227.50280264065248</v>
      </c>
      <c r="T385" s="815">
        <v>323.95636395462407</v>
      </c>
      <c r="U385" s="815">
        <v>255.25825243972886</v>
      </c>
      <c r="V385" s="815">
        <v>454.04713828938799</v>
      </c>
      <c r="W385" s="815">
        <v>242.77449801393695</v>
      </c>
      <c r="X385" s="815">
        <v>307.93324431701734</v>
      </c>
      <c r="Y385" s="981">
        <v>271.77373836039078</v>
      </c>
    </row>
    <row r="386" spans="2:25" ht="12.75" hidden="1" customHeight="1" outlineLevel="1" x14ac:dyDescent="0.15">
      <c r="B386" s="806" t="s">
        <v>2357</v>
      </c>
      <c r="C386" s="815">
        <v>0.15239325431264397</v>
      </c>
      <c r="D386" s="815">
        <v>11.350882748656545</v>
      </c>
      <c r="E386" s="815">
        <v>62.255243040222233</v>
      </c>
      <c r="F386" s="815">
        <v>11.2162645998117</v>
      </c>
      <c r="G386" s="815">
        <v>31.937082742519411</v>
      </c>
      <c r="H386" s="815">
        <v>20.898924952437842</v>
      </c>
      <c r="I386" s="815">
        <v>4.3761410858945657</v>
      </c>
      <c r="J386" s="815">
        <v>17.067461632956213</v>
      </c>
      <c r="K386" s="815">
        <v>0</v>
      </c>
      <c r="L386" s="815">
        <v>9.1366275192268276</v>
      </c>
      <c r="M386" s="815">
        <v>9.8540331604680844</v>
      </c>
      <c r="N386" s="815">
        <v>3.8990892174962206</v>
      </c>
      <c r="O386" s="815">
        <v>7.1162678250324092</v>
      </c>
      <c r="P386" s="815">
        <v>13.368882562357671</v>
      </c>
      <c r="Q386" s="815">
        <v>5.1552595767961575</v>
      </c>
      <c r="R386" s="815">
        <v>29.512049479422828</v>
      </c>
      <c r="S386" s="815">
        <v>1.9366291947030818</v>
      </c>
      <c r="T386" s="815">
        <v>16.882859449277962</v>
      </c>
      <c r="U386" s="815">
        <v>9.3213507971279377</v>
      </c>
      <c r="V386" s="815">
        <v>29.131479914247457</v>
      </c>
      <c r="W386" s="815">
        <v>14.401437279842597</v>
      </c>
      <c r="X386" s="815">
        <v>17.008991734342626</v>
      </c>
      <c r="Y386" s="981">
        <v>12.784275713645256</v>
      </c>
    </row>
    <row r="387" spans="2:25" ht="12.75" hidden="1" customHeight="1" outlineLevel="1" x14ac:dyDescent="0.15">
      <c r="B387" s="806" t="s">
        <v>2358</v>
      </c>
      <c r="C387" s="815">
        <v>199.69978462008655</v>
      </c>
      <c r="D387" s="815">
        <v>160.84744868154172</v>
      </c>
      <c r="E387" s="815">
        <v>241.69791454971357</v>
      </c>
      <c r="F387" s="815">
        <v>163.62754351905824</v>
      </c>
      <c r="G387" s="815">
        <v>161.31287704176285</v>
      </c>
      <c r="H387" s="815">
        <v>255.21769377643705</v>
      </c>
      <c r="I387" s="815">
        <v>201.04275448105562</v>
      </c>
      <c r="J387" s="815">
        <v>209.06764265701602</v>
      </c>
      <c r="K387" s="815">
        <v>199.28924349336654</v>
      </c>
      <c r="L387" s="815">
        <v>202.9508253368891</v>
      </c>
      <c r="M387" s="815">
        <v>118.60133288993546</v>
      </c>
      <c r="N387" s="815">
        <v>61.156571336533538</v>
      </c>
      <c r="O387" s="815">
        <v>118.14604329583629</v>
      </c>
      <c r="P387" s="815">
        <v>204.83251165008531</v>
      </c>
      <c r="Q387" s="815">
        <v>180.60701028750299</v>
      </c>
      <c r="R387" s="815">
        <v>187.32831221070609</v>
      </c>
      <c r="S387" s="815">
        <v>136.55990559947634</v>
      </c>
      <c r="T387" s="815">
        <v>273.73651678227071</v>
      </c>
      <c r="U387" s="815">
        <v>185.855242126299</v>
      </c>
      <c r="V387" s="815">
        <v>224.72819724548006</v>
      </c>
      <c r="W387" s="815">
        <v>93.910805030723566</v>
      </c>
      <c r="X387" s="815">
        <v>193.12186047879277</v>
      </c>
      <c r="Y387" s="981">
        <v>158.2828234438077</v>
      </c>
    </row>
    <row r="388" spans="2:25" ht="12.75" hidden="1" customHeight="1" outlineLevel="1" x14ac:dyDescent="0.15">
      <c r="B388" s="802" t="s">
        <v>2359</v>
      </c>
      <c r="C388" s="817">
        <v>3449.95231136958</v>
      </c>
      <c r="D388" s="817">
        <v>3254.723907536862</v>
      </c>
      <c r="E388" s="817">
        <v>2301.9987386142939</v>
      </c>
      <c r="F388" s="817">
        <v>2847.1676122720332</v>
      </c>
      <c r="G388" s="817">
        <v>3226.9062225360808</v>
      </c>
      <c r="H388" s="817">
        <v>3347.1984049945686</v>
      </c>
      <c r="I388" s="817">
        <v>3202.1431475018326</v>
      </c>
      <c r="J388" s="817">
        <v>4301.052403113018</v>
      </c>
      <c r="K388" s="817">
        <v>498.93886147365833</v>
      </c>
      <c r="L388" s="817">
        <v>2760.4944000272144</v>
      </c>
      <c r="M388" s="817">
        <v>4630.1082428187519</v>
      </c>
      <c r="N388" s="817">
        <v>1231.3584635734935</v>
      </c>
      <c r="O388" s="817">
        <v>2400.0827883891607</v>
      </c>
      <c r="P388" s="817">
        <v>2355.4455825323971</v>
      </c>
      <c r="Q388" s="817">
        <v>3288.8354016835356</v>
      </c>
      <c r="R388" s="817">
        <v>2222.9567748708992</v>
      </c>
      <c r="S388" s="817">
        <v>2968.425286018974</v>
      </c>
      <c r="T388" s="817">
        <v>3548.8687889521643</v>
      </c>
      <c r="U388" s="817">
        <v>3642.8234695267406</v>
      </c>
      <c r="V388" s="817">
        <v>3856.8187983668968</v>
      </c>
      <c r="W388" s="817">
        <v>2219.4677956863852</v>
      </c>
      <c r="X388" s="817">
        <v>2808.0958065556656</v>
      </c>
      <c r="Y388" s="1039">
        <v>2711.3355660899447</v>
      </c>
    </row>
    <row r="389" spans="2:25" ht="12.75" hidden="1" customHeight="1" outlineLevel="1" x14ac:dyDescent="0.15">
      <c r="B389" s="13"/>
      <c r="C389" s="13"/>
      <c r="D389" s="13"/>
      <c r="E389" s="13"/>
      <c r="F389" s="13"/>
      <c r="G389" s="13"/>
      <c r="H389" s="13"/>
      <c r="I389" s="13"/>
      <c r="J389" s="4"/>
      <c r="K389" s="4"/>
      <c r="L389" s="4"/>
      <c r="M389" s="4"/>
      <c r="N389" s="4"/>
      <c r="O389" s="4"/>
      <c r="P389" s="4"/>
      <c r="Q389" s="4"/>
      <c r="R389" s="4"/>
      <c r="S389" s="4"/>
      <c r="T389" s="4"/>
      <c r="U389" s="4"/>
      <c r="V389" s="4"/>
      <c r="W389" s="13"/>
      <c r="X389" s="13"/>
      <c r="Y389" s="13"/>
    </row>
    <row r="390" spans="2:25" ht="38.25" hidden="1" customHeight="1" outlineLevel="1" x14ac:dyDescent="0.15">
      <c r="B390" s="1134" t="s">
        <v>2372</v>
      </c>
      <c r="C390" s="1139" t="s">
        <v>31</v>
      </c>
      <c r="D390" s="1140" t="s">
        <v>32</v>
      </c>
      <c r="E390" s="1140" t="s">
        <v>13</v>
      </c>
      <c r="F390" s="1140" t="s">
        <v>54</v>
      </c>
      <c r="G390" s="1140" t="s">
        <v>55</v>
      </c>
      <c r="H390" s="1140" t="s">
        <v>51</v>
      </c>
      <c r="I390" s="1140" t="s">
        <v>52</v>
      </c>
      <c r="J390" s="1140" t="s">
        <v>22</v>
      </c>
      <c r="K390" s="1140" t="s">
        <v>2146</v>
      </c>
      <c r="L390" s="1140" t="s">
        <v>23</v>
      </c>
      <c r="M390" s="1140" t="s">
        <v>26</v>
      </c>
      <c r="N390" s="1140" t="s">
        <v>16</v>
      </c>
      <c r="O390" s="1140" t="s">
        <v>18</v>
      </c>
      <c r="P390" s="1140" t="s">
        <v>28</v>
      </c>
      <c r="Q390" s="1140" t="s">
        <v>33</v>
      </c>
      <c r="R390" s="1140" t="s">
        <v>8</v>
      </c>
      <c r="S390" s="1140" t="s">
        <v>48</v>
      </c>
      <c r="T390" s="1140" t="s">
        <v>49</v>
      </c>
      <c r="U390" s="1140" t="s">
        <v>50</v>
      </c>
      <c r="V390" s="1140" t="s">
        <v>0</v>
      </c>
      <c r="W390" s="1140" t="s">
        <v>4</v>
      </c>
      <c r="X390" s="1138" t="s">
        <v>5</v>
      </c>
      <c r="Y390" s="1138" t="s">
        <v>19</v>
      </c>
    </row>
    <row r="391" spans="2:25" ht="12.75" hidden="1" customHeight="1" outlineLevel="1" x14ac:dyDescent="0.15">
      <c r="B391" s="1512" t="s">
        <v>2354</v>
      </c>
      <c r="C391" s="883">
        <v>0.16135963255667779</v>
      </c>
      <c r="D391" s="883">
        <v>1.1322529302606728</v>
      </c>
      <c r="E391" s="883">
        <v>0</v>
      </c>
      <c r="F391" s="883">
        <v>0.11257543807345416</v>
      </c>
      <c r="G391" s="883">
        <v>0.32827826419645889</v>
      </c>
      <c r="H391" s="883">
        <v>0</v>
      </c>
      <c r="I391" s="883">
        <v>0</v>
      </c>
      <c r="J391" s="883">
        <v>0</v>
      </c>
      <c r="K391" s="883">
        <v>0</v>
      </c>
      <c r="L391" s="883">
        <v>0.11662320432492823</v>
      </c>
      <c r="M391" s="883">
        <v>0</v>
      </c>
      <c r="N391" s="883">
        <v>0</v>
      </c>
      <c r="O391" s="883">
        <v>0</v>
      </c>
      <c r="P391" s="883">
        <v>0</v>
      </c>
      <c r="Q391" s="883">
        <v>5.8985636969913123E-2</v>
      </c>
      <c r="R391" s="883">
        <v>0</v>
      </c>
      <c r="S391" s="883">
        <v>0</v>
      </c>
      <c r="T391" s="883">
        <v>0</v>
      </c>
      <c r="U391" s="883">
        <v>0</v>
      </c>
      <c r="V391" s="883">
        <v>0</v>
      </c>
      <c r="W391" s="883">
        <v>0</v>
      </c>
      <c r="X391" s="979">
        <v>5.2331036539969573E-2</v>
      </c>
      <c r="Y391" s="877">
        <v>8.2426337906225902E-2</v>
      </c>
    </row>
    <row r="392" spans="2:25" ht="12.75" hidden="1" customHeight="1" outlineLevel="1" x14ac:dyDescent="0.15">
      <c r="B392" s="806" t="s">
        <v>2355</v>
      </c>
      <c r="C392" s="815">
        <v>16.725585807415182</v>
      </c>
      <c r="D392" s="815">
        <v>14.528460207285276</v>
      </c>
      <c r="E392" s="815">
        <v>40.210307606973302</v>
      </c>
      <c r="F392" s="815">
        <v>9.140805080604391</v>
      </c>
      <c r="G392" s="815">
        <v>21.665295916256902</v>
      </c>
      <c r="H392" s="815">
        <v>14.295988193505121</v>
      </c>
      <c r="I392" s="815">
        <v>8.2585598089437937</v>
      </c>
      <c r="J392" s="815">
        <v>13.838963082266122</v>
      </c>
      <c r="K392" s="815">
        <v>6.9444380390167408</v>
      </c>
      <c r="L392" s="815">
        <v>17.729320474567594</v>
      </c>
      <c r="M392" s="815">
        <v>12.14762733457964</v>
      </c>
      <c r="N392" s="815">
        <v>16.06020903375645</v>
      </c>
      <c r="O392" s="815">
        <v>22.749138805252372</v>
      </c>
      <c r="P392" s="815">
        <v>45.158477731563465</v>
      </c>
      <c r="Q392" s="815">
        <v>21.412649283060421</v>
      </c>
      <c r="R392" s="815">
        <v>21.448697273607618</v>
      </c>
      <c r="S392" s="815">
        <v>9.4351912181090469</v>
      </c>
      <c r="T392" s="815">
        <v>24.127247125364789</v>
      </c>
      <c r="U392" s="815">
        <v>19.140809515682797</v>
      </c>
      <c r="V392" s="815">
        <v>21.946778426260373</v>
      </c>
      <c r="W392" s="815">
        <v>9.2572197425252725</v>
      </c>
      <c r="X392" s="812">
        <v>18.461860765751698</v>
      </c>
      <c r="Y392" s="981">
        <v>16.96292174452153</v>
      </c>
    </row>
    <row r="393" spans="2:25" ht="12.75" hidden="1" customHeight="1" outlineLevel="1" x14ac:dyDescent="0.15">
      <c r="B393" s="806" t="s">
        <v>2356</v>
      </c>
      <c r="C393" s="815">
        <v>342.7441027134409</v>
      </c>
      <c r="D393" s="815">
        <v>387.97292115588209</v>
      </c>
      <c r="E393" s="815">
        <v>304.72196491957232</v>
      </c>
      <c r="F393" s="815">
        <v>268.76622511853174</v>
      </c>
      <c r="G393" s="815">
        <v>369.83317837083797</v>
      </c>
      <c r="H393" s="815">
        <v>304.90236381084969</v>
      </c>
      <c r="I393" s="815">
        <v>316.70303102573462</v>
      </c>
      <c r="J393" s="815">
        <v>253.46626359635957</v>
      </c>
      <c r="K393" s="815">
        <v>84.567160909468242</v>
      </c>
      <c r="L393" s="815">
        <v>301.59285856879541</v>
      </c>
      <c r="M393" s="815">
        <v>306.18901949902033</v>
      </c>
      <c r="N393" s="815">
        <v>180.70673331135259</v>
      </c>
      <c r="O393" s="815">
        <v>254.54931984346032</v>
      </c>
      <c r="P393" s="815">
        <v>318.46247005720602</v>
      </c>
      <c r="Q393" s="815">
        <v>271.15585168821008</v>
      </c>
      <c r="R393" s="815">
        <v>313.57453128067823</v>
      </c>
      <c r="S393" s="815">
        <v>183.73278931928937</v>
      </c>
      <c r="T393" s="815">
        <v>354.45449449901787</v>
      </c>
      <c r="U393" s="815">
        <v>261.50184793276486</v>
      </c>
      <c r="V393" s="815">
        <v>326.00235660960396</v>
      </c>
      <c r="W393" s="815">
        <v>247.86591749810427</v>
      </c>
      <c r="X393" s="812">
        <v>296.0150688869731</v>
      </c>
      <c r="Y393" s="981">
        <v>271.77373836039078</v>
      </c>
    </row>
    <row r="394" spans="2:25" ht="12.75" hidden="1" customHeight="1" outlineLevel="1" x14ac:dyDescent="0.15">
      <c r="B394" s="806" t="s">
        <v>2357</v>
      </c>
      <c r="C394" s="815">
        <v>1.674972969388373</v>
      </c>
      <c r="D394" s="815">
        <v>16.402773522801002</v>
      </c>
      <c r="E394" s="815">
        <v>39.138550728180931</v>
      </c>
      <c r="F394" s="815">
        <v>7.9351452299371461</v>
      </c>
      <c r="G394" s="815">
        <v>32.273484892243616</v>
      </c>
      <c r="H394" s="815">
        <v>23.740082313759185</v>
      </c>
      <c r="I394" s="815">
        <v>6.6882121222179469</v>
      </c>
      <c r="J394" s="815">
        <v>6.3794353688234855</v>
      </c>
      <c r="K394" s="815">
        <v>0</v>
      </c>
      <c r="L394" s="815">
        <v>8.8245893905335357</v>
      </c>
      <c r="M394" s="815">
        <v>9.4080829483561317</v>
      </c>
      <c r="N394" s="815">
        <v>6.8005731550123532</v>
      </c>
      <c r="O394" s="815">
        <v>6.8467556872830677</v>
      </c>
      <c r="P394" s="815">
        <v>12.496191656386834</v>
      </c>
      <c r="Q394" s="815">
        <v>3.2351439765648533</v>
      </c>
      <c r="R394" s="815">
        <v>23.822005990546646</v>
      </c>
      <c r="S394" s="815">
        <v>5.2220373979004089</v>
      </c>
      <c r="T394" s="815">
        <v>22.137815516217724</v>
      </c>
      <c r="U394" s="815">
        <v>3.4368771470609927</v>
      </c>
      <c r="V394" s="815">
        <v>24.798184587468324</v>
      </c>
      <c r="W394" s="815">
        <v>12.453351430078575</v>
      </c>
      <c r="X394" s="812">
        <v>17.683855211856294</v>
      </c>
      <c r="Y394" s="981">
        <v>12.784275713645256</v>
      </c>
    </row>
    <row r="395" spans="2:25" ht="12.75" hidden="1" customHeight="1" outlineLevel="1" x14ac:dyDescent="0.15">
      <c r="B395" s="806" t="s">
        <v>2358</v>
      </c>
      <c r="C395" s="815">
        <v>194.83738557041076</v>
      </c>
      <c r="D395" s="815">
        <v>183.87458322717382</v>
      </c>
      <c r="E395" s="815">
        <v>247.48513612422241</v>
      </c>
      <c r="F395" s="815">
        <v>162.04666384942126</v>
      </c>
      <c r="G395" s="815">
        <v>168.90804854704805</v>
      </c>
      <c r="H395" s="815">
        <v>236.5934848876384</v>
      </c>
      <c r="I395" s="815">
        <v>206.09040871128443</v>
      </c>
      <c r="J395" s="815">
        <v>193.76092681338804</v>
      </c>
      <c r="K395" s="815">
        <v>201.98691755445896</v>
      </c>
      <c r="L395" s="815">
        <v>233.37117197927773</v>
      </c>
      <c r="M395" s="815">
        <v>149.50338502813179</v>
      </c>
      <c r="N395" s="815">
        <v>69.577569909307073</v>
      </c>
      <c r="O395" s="815">
        <v>125.48809225107681</v>
      </c>
      <c r="P395" s="815">
        <v>177.62365969513559</v>
      </c>
      <c r="Q395" s="815">
        <v>149.03685417438547</v>
      </c>
      <c r="R395" s="815">
        <v>184.48658750073972</v>
      </c>
      <c r="S395" s="815">
        <v>134.65699616773108</v>
      </c>
      <c r="T395" s="815">
        <v>285.80600491424588</v>
      </c>
      <c r="U395" s="815">
        <v>138.8258205602103</v>
      </c>
      <c r="V395" s="815">
        <v>242.36770121726659</v>
      </c>
      <c r="W395" s="815">
        <v>95.783999470945375</v>
      </c>
      <c r="X395" s="812">
        <v>176.42155614289635</v>
      </c>
      <c r="Y395" s="981">
        <v>158.2828234438077</v>
      </c>
    </row>
    <row r="396" spans="2:25" ht="12.75" hidden="1" customHeight="1" outlineLevel="1" x14ac:dyDescent="0.15">
      <c r="B396" s="802" t="s">
        <v>2359</v>
      </c>
      <c r="C396" s="817">
        <v>3048.3147268538673</v>
      </c>
      <c r="D396" s="817">
        <v>3246.5481331568762</v>
      </c>
      <c r="E396" s="817">
        <v>2489.5973138825775</v>
      </c>
      <c r="F396" s="817">
        <v>2916.7808729194981</v>
      </c>
      <c r="G396" s="817">
        <v>3425.179320487905</v>
      </c>
      <c r="H396" s="817">
        <v>3567.9058756168283</v>
      </c>
      <c r="I396" s="817">
        <v>3201.881777416078</v>
      </c>
      <c r="J396" s="817">
        <v>3875.378721701954</v>
      </c>
      <c r="K396" s="817">
        <v>394.54333656166892</v>
      </c>
      <c r="L396" s="817">
        <v>2821.7233431716677</v>
      </c>
      <c r="M396" s="817">
        <v>3810.9069021768437</v>
      </c>
      <c r="N396" s="817">
        <v>1420.8863179556704</v>
      </c>
      <c r="O396" s="817">
        <v>2065.5095964189632</v>
      </c>
      <c r="P396" s="817">
        <v>3092.5890786691966</v>
      </c>
      <c r="Q396" s="817">
        <v>2989.1646931062305</v>
      </c>
      <c r="R396" s="817">
        <v>2461.2597066176222</v>
      </c>
      <c r="S396" s="817">
        <v>5751.1621830921777</v>
      </c>
      <c r="T396" s="817">
        <v>3553.2733989207527</v>
      </c>
      <c r="U396" s="817">
        <v>3273.8806550376557</v>
      </c>
      <c r="V396" s="817">
        <v>3428.1260435542918</v>
      </c>
      <c r="W396" s="817">
        <v>2269.0489209083316</v>
      </c>
      <c r="X396" s="813">
        <v>2747.0634653976231</v>
      </c>
      <c r="Y396" s="1039">
        <v>2711.3355660899447</v>
      </c>
    </row>
    <row r="397" spans="2:25" ht="12" hidden="1" customHeight="1" outlineLevel="1" x14ac:dyDescent="0.2"/>
    <row r="398" spans="2:25" ht="15" customHeight="1" x14ac:dyDescent="0.2"/>
    <row r="399" spans="2:25" ht="16" collapsed="1" x14ac:dyDescent="0.2">
      <c r="B399" s="1871" t="s">
        <v>1408</v>
      </c>
      <c r="C399" s="1872"/>
      <c r="D399" s="1872"/>
      <c r="E399" s="1872"/>
      <c r="F399" s="1872"/>
      <c r="G399" s="1872"/>
      <c r="H399" s="1872"/>
      <c r="I399" s="1872"/>
      <c r="J399" s="1872"/>
      <c r="K399" s="1872"/>
      <c r="L399" s="1872"/>
      <c r="M399" s="1872"/>
      <c r="N399" s="1872"/>
      <c r="O399" s="1873"/>
    </row>
    <row r="400" spans="2:25" ht="12" hidden="1" customHeight="1" outlineLevel="1" x14ac:dyDescent="0.2"/>
    <row r="401" spans="2:12" ht="12.75" hidden="1" customHeight="1" outlineLevel="1" x14ac:dyDescent="0.15">
      <c r="B401" s="1125" t="s">
        <v>2360</v>
      </c>
      <c r="C401" s="1608" t="s">
        <v>2361</v>
      </c>
      <c r="D401" s="40"/>
    </row>
    <row r="402" spans="2:12" ht="12.75" hidden="1" customHeight="1" outlineLevel="1" x14ac:dyDescent="0.15">
      <c r="B402" s="800" t="s">
        <v>2362</v>
      </c>
      <c r="C402" s="877">
        <v>13000</v>
      </c>
      <c r="D402" s="40"/>
    </row>
    <row r="403" spans="2:12" ht="12.75" hidden="1" customHeight="1" outlineLevel="1" x14ac:dyDescent="0.15">
      <c r="B403" s="800" t="s">
        <v>2363</v>
      </c>
      <c r="C403" s="981">
        <v>16000</v>
      </c>
      <c r="D403" s="40"/>
    </row>
    <row r="404" spans="2:12" ht="12.75" hidden="1" customHeight="1" outlineLevel="1" x14ac:dyDescent="0.15">
      <c r="B404" s="800" t="s">
        <v>2364</v>
      </c>
      <c r="C404" s="981">
        <v>14269.767941939974</v>
      </c>
      <c r="D404" s="40"/>
    </row>
    <row r="405" spans="2:12" ht="12.75" hidden="1" customHeight="1" outlineLevel="1" x14ac:dyDescent="0.15">
      <c r="B405" s="801"/>
      <c r="C405" s="960"/>
      <c r="D405" s="40"/>
    </row>
    <row r="406" spans="2:12" ht="12.75" hidden="1" customHeight="1" outlineLevel="1" x14ac:dyDescent="0.2">
      <c r="B406" s="40"/>
      <c r="C406" s="40"/>
      <c r="D406" s="40"/>
    </row>
    <row r="407" spans="2:12" ht="12.75" hidden="1" customHeight="1" outlineLevel="1" x14ac:dyDescent="0.15">
      <c r="B407" s="1144" t="s">
        <v>2365</v>
      </c>
      <c r="C407" s="1612" t="s">
        <v>2366</v>
      </c>
      <c r="D407" s="795" t="s">
        <v>723</v>
      </c>
    </row>
    <row r="408" spans="2:12" ht="12.75" hidden="1" customHeight="1" outlineLevel="1" x14ac:dyDescent="0.15">
      <c r="B408" s="799" t="s">
        <v>2367</v>
      </c>
      <c r="C408" s="1145">
        <v>1.25</v>
      </c>
      <c r="D408" s="805">
        <v>0.1</v>
      </c>
    </row>
    <row r="409" spans="2:12" ht="12.75" hidden="1" customHeight="1" outlineLevel="1" x14ac:dyDescent="0.15">
      <c r="B409" s="800" t="s">
        <v>2368</v>
      </c>
      <c r="C409" s="1146">
        <v>2.1</v>
      </c>
      <c r="D409" s="807">
        <v>0.1</v>
      </c>
    </row>
    <row r="410" spans="2:12" ht="12.75" hidden="1" customHeight="1" outlineLevel="1" x14ac:dyDescent="0.15">
      <c r="B410" s="801"/>
      <c r="C410" s="1039"/>
      <c r="D410" s="814"/>
    </row>
    <row r="411" spans="2:12" ht="12" hidden="1" customHeight="1" outlineLevel="1" x14ac:dyDescent="0.2"/>
    <row r="412" spans="2:12" ht="12" hidden="1" customHeight="1" outlineLevel="1" x14ac:dyDescent="0.2"/>
    <row r="413" spans="2:12" ht="38.25" hidden="1" customHeight="1" outlineLevel="1" x14ac:dyDescent="0.15">
      <c r="B413" s="1147" t="s">
        <v>2369</v>
      </c>
      <c r="C413" s="1042" t="s">
        <v>2373</v>
      </c>
      <c r="D413" s="1042" t="s">
        <v>2374</v>
      </c>
      <c r="E413" s="1042" t="s">
        <v>2376</v>
      </c>
      <c r="F413" s="1042" t="s">
        <v>2375</v>
      </c>
      <c r="G413" s="1042" t="s">
        <v>2377</v>
      </c>
      <c r="H413" s="1042" t="s">
        <v>2378</v>
      </c>
      <c r="I413" s="1042" t="s">
        <v>29</v>
      </c>
      <c r="J413" s="1042" t="s">
        <v>2380</v>
      </c>
      <c r="K413" s="1063" t="s">
        <v>2379</v>
      </c>
      <c r="L413" s="797" t="s">
        <v>723</v>
      </c>
    </row>
    <row r="414" spans="2:12" ht="12.75" hidden="1" customHeight="1" outlineLevel="1" x14ac:dyDescent="0.15">
      <c r="B414" s="804" t="s">
        <v>2381</v>
      </c>
      <c r="C414" s="815">
        <v>1195.1427408163261</v>
      </c>
      <c r="D414" s="815">
        <v>1598.1055501457727</v>
      </c>
      <c r="E414" s="815">
        <v>1231.1331454810495</v>
      </c>
      <c r="F414" s="815">
        <v>1766.2757565597667</v>
      </c>
      <c r="G414" s="815">
        <v>1145.6424198250731</v>
      </c>
      <c r="H414" s="815">
        <v>1210.3740524781335</v>
      </c>
      <c r="I414" s="815">
        <v>1888.8807463556857</v>
      </c>
      <c r="J414" s="815">
        <v>1766.7812230320694</v>
      </c>
      <c r="K414" s="815">
        <v>1473.8023206997084</v>
      </c>
      <c r="L414" s="805">
        <v>0.1</v>
      </c>
    </row>
    <row r="415" spans="2:12" ht="12.75" hidden="1" customHeight="1" outlineLevel="1" x14ac:dyDescent="0.15">
      <c r="B415" s="806" t="s">
        <v>2382</v>
      </c>
      <c r="C415" s="815"/>
      <c r="D415" s="815"/>
      <c r="E415" s="815"/>
      <c r="F415" s="815">
        <v>178.45958833819242</v>
      </c>
      <c r="G415" s="815"/>
      <c r="H415" s="815"/>
      <c r="I415" s="815">
        <v>721.50254460641395</v>
      </c>
      <c r="J415" s="815">
        <v>421.65271768707481</v>
      </c>
      <c r="K415" s="815">
        <v>68.862142915451898</v>
      </c>
      <c r="L415" s="807">
        <v>0.1</v>
      </c>
    </row>
    <row r="416" spans="2:12" ht="12.75" hidden="1" customHeight="1" outlineLevel="1" x14ac:dyDescent="0.15">
      <c r="B416" s="806" t="s">
        <v>2383</v>
      </c>
      <c r="C416" s="815">
        <v>270.49420000000003</v>
      </c>
      <c r="D416" s="815">
        <v>377.06862390670545</v>
      </c>
      <c r="E416" s="815">
        <v>414.52294460641394</v>
      </c>
      <c r="F416" s="815">
        <v>713.83835335276967</v>
      </c>
      <c r="G416" s="815">
        <v>581.98634927113699</v>
      </c>
      <c r="H416" s="815">
        <v>393.03157434402323</v>
      </c>
      <c r="I416" s="815">
        <v>1443.0050892128279</v>
      </c>
      <c r="J416" s="815">
        <v>843.30543537414962</v>
      </c>
      <c r="K416" s="815">
        <v>619.75928623906714</v>
      </c>
      <c r="L416" s="807">
        <v>0.1</v>
      </c>
    </row>
    <row r="417" spans="2:12" ht="12.75" hidden="1" customHeight="1" outlineLevel="1" x14ac:dyDescent="0.15">
      <c r="B417" s="806" t="s">
        <v>2384</v>
      </c>
      <c r="C417" s="815">
        <v>7722.8854244897966</v>
      </c>
      <c r="D417" s="815">
        <v>5504.0928836734684</v>
      </c>
      <c r="E417" s="815">
        <v>7477.9939206997087</v>
      </c>
      <c r="F417" s="815">
        <v>4617.7496137026237</v>
      </c>
      <c r="G417" s="815">
        <v>5865.6891895043718</v>
      </c>
      <c r="H417" s="815">
        <v>7361.5221865889207</v>
      </c>
      <c r="I417" s="815">
        <v>1977.8210518950434</v>
      </c>
      <c r="J417" s="815">
        <v>5728.0633323615148</v>
      </c>
      <c r="K417" s="815">
        <v>6317.0216711370267</v>
      </c>
      <c r="L417" s="807">
        <v>0.1</v>
      </c>
    </row>
    <row r="418" spans="2:12" ht="12.75" hidden="1" customHeight="1" outlineLevel="1" x14ac:dyDescent="0.15">
      <c r="B418" s="806" t="s">
        <v>2385</v>
      </c>
      <c r="C418" s="815">
        <v>448.5235459183674</v>
      </c>
      <c r="D418" s="815">
        <v>276.14731574344017</v>
      </c>
      <c r="E418" s="815">
        <v>516.77193760932937</v>
      </c>
      <c r="F418" s="815">
        <v>267.25832069970852</v>
      </c>
      <c r="G418" s="815">
        <v>420.4507680758017</v>
      </c>
      <c r="H418" s="815">
        <v>539.90842565597666</v>
      </c>
      <c r="I418" s="815">
        <v>124.16418892128279</v>
      </c>
      <c r="J418" s="815">
        <v>325.01494169096208</v>
      </c>
      <c r="K418" s="815">
        <v>397.67252274052481</v>
      </c>
      <c r="L418" s="807">
        <v>0.1</v>
      </c>
    </row>
    <row r="419" spans="2:12" ht="12.75" hidden="1" customHeight="1" outlineLevel="1" x14ac:dyDescent="0.15">
      <c r="B419" s="802"/>
      <c r="C419" s="823"/>
      <c r="D419" s="823"/>
      <c r="E419" s="823"/>
      <c r="F419" s="823"/>
      <c r="G419" s="823"/>
      <c r="H419" s="823"/>
      <c r="I419" s="823"/>
      <c r="J419" s="823"/>
      <c r="K419" s="823"/>
      <c r="L419" s="814"/>
    </row>
    <row r="420" spans="2:12" ht="12" hidden="1" customHeight="1" outlineLevel="1" x14ac:dyDescent="0.15">
      <c r="B420" s="2"/>
      <c r="C420" s="2"/>
      <c r="D420" s="2"/>
      <c r="E420" s="2"/>
      <c r="F420" s="2"/>
      <c r="G420" s="2"/>
      <c r="H420" s="2"/>
      <c r="I420" s="2"/>
      <c r="J420" s="2"/>
      <c r="K420" s="2"/>
      <c r="L420" s="2"/>
    </row>
    <row r="421" spans="2:12" ht="25.5" hidden="1" customHeight="1" outlineLevel="1" x14ac:dyDescent="0.15">
      <c r="B421" s="1149" t="s">
        <v>2386</v>
      </c>
      <c r="C421" s="1612" t="s">
        <v>2387</v>
      </c>
      <c r="D421" s="795" t="s">
        <v>723</v>
      </c>
      <c r="E421" s="2"/>
      <c r="F421" s="2"/>
      <c r="G421" s="2"/>
      <c r="H421" s="2"/>
      <c r="I421" s="2"/>
      <c r="J421" s="2"/>
      <c r="K421" s="2"/>
      <c r="L421" s="2"/>
    </row>
    <row r="422" spans="2:12" ht="12.75" hidden="1" customHeight="1" outlineLevel="1" x14ac:dyDescent="0.15">
      <c r="B422" s="804" t="s">
        <v>2385</v>
      </c>
      <c r="C422" s="812">
        <v>12.858747803481242</v>
      </c>
      <c r="D422" s="805">
        <v>0.3</v>
      </c>
      <c r="E422" s="2"/>
      <c r="F422" s="2"/>
      <c r="G422" s="2"/>
      <c r="H422" s="2"/>
      <c r="I422" s="2"/>
      <c r="J422" s="2"/>
      <c r="K422" s="2"/>
      <c r="L422" s="2"/>
    </row>
    <row r="423" spans="2:12" ht="12.75" hidden="1" customHeight="1" outlineLevel="1" x14ac:dyDescent="0.15">
      <c r="B423" s="806" t="s">
        <v>2384</v>
      </c>
      <c r="C423" s="812">
        <v>1593.6672786641668</v>
      </c>
      <c r="D423" s="807">
        <v>0.15</v>
      </c>
      <c r="E423" s="2"/>
      <c r="F423" s="2"/>
      <c r="G423" s="2"/>
      <c r="H423" s="2"/>
      <c r="I423" s="2"/>
      <c r="J423" s="2"/>
      <c r="K423" s="2"/>
      <c r="L423" s="2"/>
    </row>
    <row r="424" spans="2:12" ht="12.75" hidden="1" customHeight="1" outlineLevel="1" x14ac:dyDescent="0.15">
      <c r="B424" s="806" t="s">
        <v>2383</v>
      </c>
      <c r="C424" s="812">
        <v>215.47587390690711</v>
      </c>
      <c r="D424" s="807">
        <v>0.3</v>
      </c>
      <c r="E424" s="2"/>
      <c r="F424" s="2"/>
      <c r="G424" s="2"/>
      <c r="H424" s="2"/>
      <c r="I424" s="2"/>
      <c r="J424" s="2"/>
      <c r="K424" s="2"/>
      <c r="L424" s="2"/>
    </row>
    <row r="425" spans="2:12" ht="12.75" hidden="1" customHeight="1" outlineLevel="1" x14ac:dyDescent="0.15">
      <c r="B425" s="806" t="s">
        <v>2388</v>
      </c>
      <c r="C425" s="812">
        <v>772.5351983934338</v>
      </c>
      <c r="D425" s="807">
        <v>0.3</v>
      </c>
      <c r="E425" s="2"/>
      <c r="F425" s="2"/>
      <c r="G425" s="2"/>
      <c r="H425" s="2"/>
      <c r="I425" s="2"/>
      <c r="J425" s="2"/>
      <c r="K425" s="2"/>
      <c r="L425" s="2"/>
    </row>
    <row r="426" spans="2:12" ht="12.75" hidden="1" customHeight="1" outlineLevel="1" x14ac:dyDescent="0.15">
      <c r="B426" s="806" t="s">
        <v>2389</v>
      </c>
      <c r="C426" s="812">
        <v>1379.0455930042053</v>
      </c>
      <c r="D426" s="807">
        <v>0.8</v>
      </c>
      <c r="E426" s="2"/>
      <c r="F426" s="2"/>
      <c r="G426" s="2"/>
      <c r="H426" s="2"/>
      <c r="I426" s="2"/>
      <c r="J426" s="2"/>
      <c r="K426" s="2"/>
      <c r="L426" s="2"/>
    </row>
    <row r="427" spans="2:12" ht="12.75" hidden="1" customHeight="1" outlineLevel="1" x14ac:dyDescent="0.15">
      <c r="B427" s="802"/>
      <c r="C427" s="824"/>
      <c r="D427" s="814"/>
      <c r="E427" s="2"/>
      <c r="F427" s="2"/>
      <c r="G427" s="2"/>
      <c r="H427" s="2"/>
      <c r="I427" s="2"/>
      <c r="J427" s="2"/>
      <c r="K427" s="2"/>
      <c r="L427" s="2"/>
    </row>
    <row r="428" spans="2:12" ht="12" hidden="1" customHeight="1" outlineLevel="1" x14ac:dyDescent="0.15">
      <c r="B428" s="2"/>
      <c r="C428" s="2"/>
      <c r="D428" s="2"/>
      <c r="E428" s="2"/>
      <c r="F428" s="2"/>
      <c r="G428" s="2"/>
      <c r="H428" s="2"/>
      <c r="I428" s="2"/>
      <c r="J428" s="2"/>
      <c r="K428" s="2"/>
      <c r="L428" s="2"/>
    </row>
    <row r="429" spans="2:12" ht="12" hidden="1" customHeight="1" outlineLevel="1" x14ac:dyDescent="0.15">
      <c r="B429" s="2"/>
      <c r="C429" s="2"/>
      <c r="D429" s="2"/>
      <c r="E429" s="2"/>
      <c r="F429" s="2"/>
      <c r="G429" s="2"/>
      <c r="H429" s="2"/>
      <c r="I429" s="2"/>
      <c r="J429" s="2"/>
      <c r="K429" s="2"/>
      <c r="L429" s="2"/>
    </row>
    <row r="430" spans="2:12" ht="38.25" hidden="1" customHeight="1" outlineLevel="1" x14ac:dyDescent="0.15">
      <c r="B430" s="1147" t="s">
        <v>2549</v>
      </c>
      <c r="C430" s="1042" t="s">
        <v>2373</v>
      </c>
      <c r="D430" s="1042" t="s">
        <v>2374</v>
      </c>
      <c r="E430" s="1042" t="s">
        <v>2376</v>
      </c>
      <c r="F430" s="1042" t="s">
        <v>2375</v>
      </c>
      <c r="G430" s="1042" t="s">
        <v>2377</v>
      </c>
      <c r="H430" s="1042" t="s">
        <v>2378</v>
      </c>
      <c r="I430" s="1042" t="s">
        <v>29</v>
      </c>
      <c r="J430" s="1042" t="s">
        <v>2380</v>
      </c>
      <c r="K430" s="1063" t="s">
        <v>2379</v>
      </c>
      <c r="L430" s="797" t="s">
        <v>723</v>
      </c>
    </row>
    <row r="431" spans="2:12" ht="12.75" hidden="1" customHeight="1" outlineLevel="1" x14ac:dyDescent="0.15">
      <c r="B431" s="804" t="s">
        <v>2390</v>
      </c>
      <c r="C431" s="1148">
        <v>0.5</v>
      </c>
      <c r="D431" s="1148">
        <v>0.5</v>
      </c>
      <c r="E431" s="1148">
        <v>0.5</v>
      </c>
      <c r="F431" s="1148">
        <v>0.5</v>
      </c>
      <c r="G431" s="1148">
        <v>0.5</v>
      </c>
      <c r="H431" s="1148">
        <v>0.5</v>
      </c>
      <c r="I431" s="1148">
        <v>0.33</v>
      </c>
      <c r="J431" s="1148">
        <v>0.33</v>
      </c>
      <c r="K431" s="1148">
        <v>0.5</v>
      </c>
      <c r="L431" s="805">
        <v>0.1</v>
      </c>
    </row>
    <row r="432" spans="2:12" ht="12.75" hidden="1" customHeight="1" outlineLevel="1" x14ac:dyDescent="0.15">
      <c r="B432" s="802"/>
      <c r="C432" s="817"/>
      <c r="D432" s="817"/>
      <c r="E432" s="817"/>
      <c r="F432" s="817"/>
      <c r="G432" s="817"/>
      <c r="H432" s="817"/>
      <c r="I432" s="817"/>
      <c r="J432" s="817"/>
      <c r="K432" s="817"/>
      <c r="L432" s="814"/>
    </row>
    <row r="433" spans="1:15" ht="12" hidden="1" customHeight="1" outlineLevel="1" x14ac:dyDescent="0.15">
      <c r="B433" s="2"/>
      <c r="C433" s="2"/>
      <c r="D433" s="2"/>
      <c r="E433" s="2"/>
      <c r="F433" s="2"/>
      <c r="G433" s="2"/>
      <c r="H433" s="2"/>
      <c r="I433" s="2"/>
      <c r="J433" s="2"/>
      <c r="K433" s="2"/>
      <c r="L433" s="2"/>
    </row>
    <row r="435" spans="1:15" ht="16" x14ac:dyDescent="0.2">
      <c r="B435" s="1871" t="s">
        <v>2391</v>
      </c>
      <c r="C435" s="1872"/>
      <c r="D435" s="1872"/>
      <c r="E435" s="1872"/>
      <c r="F435" s="1872"/>
      <c r="G435" s="1872"/>
      <c r="H435" s="1872"/>
      <c r="I435" s="1872"/>
      <c r="J435" s="1872"/>
      <c r="K435" s="1872"/>
      <c r="L435" s="1872"/>
      <c r="M435" s="1872"/>
      <c r="N435" s="1872"/>
      <c r="O435" s="1873"/>
    </row>
    <row r="436" spans="1:15" outlineLevel="1" x14ac:dyDescent="0.2"/>
    <row r="437" spans="1:15" s="1327" customFormat="1" ht="18.5" customHeight="1" outlineLevel="1" x14ac:dyDescent="0.15">
      <c r="A437" s="39"/>
      <c r="B437" s="1610" t="s">
        <v>2392</v>
      </c>
      <c r="C437" s="1511" t="s">
        <v>1912</v>
      </c>
      <c r="D437" s="1047" t="s">
        <v>1912</v>
      </c>
      <c r="E437" s="1047" t="s">
        <v>1912</v>
      </c>
      <c r="F437" s="1047" t="s">
        <v>1912</v>
      </c>
      <c r="G437" s="1047" t="s">
        <v>1912</v>
      </c>
      <c r="H437" s="1511" t="s">
        <v>1918</v>
      </c>
      <c r="I437" s="1047" t="s">
        <v>1918</v>
      </c>
      <c r="J437" s="1047" t="s">
        <v>1918</v>
      </c>
      <c r="K437" s="1613" t="s">
        <v>1918</v>
      </c>
      <c r="L437" s="1613" t="s">
        <v>1922</v>
      </c>
      <c r="M437" s="1047" t="s">
        <v>2393</v>
      </c>
      <c r="N437" s="1613" t="s">
        <v>1924</v>
      </c>
      <c r="O437" s="1328" t="s">
        <v>44</v>
      </c>
    </row>
    <row r="438" spans="1:15" s="1327" customFormat="1" ht="38" customHeight="1" outlineLevel="1" x14ac:dyDescent="0.15">
      <c r="A438" s="39"/>
      <c r="B438" s="1329"/>
      <c r="C438" s="1077" t="s">
        <v>1913</v>
      </c>
      <c r="D438" s="881" t="s">
        <v>1914</v>
      </c>
      <c r="E438" s="881" t="s">
        <v>1915</v>
      </c>
      <c r="F438" s="881" t="s">
        <v>1916</v>
      </c>
      <c r="G438" s="1614" t="s">
        <v>1921</v>
      </c>
      <c r="H438" s="1077" t="s">
        <v>1919</v>
      </c>
      <c r="I438" s="881" t="s">
        <v>1915</v>
      </c>
      <c r="J438" s="881" t="s">
        <v>1916</v>
      </c>
      <c r="K438" s="1614" t="s">
        <v>1921</v>
      </c>
      <c r="L438" s="1607"/>
      <c r="M438" s="881"/>
      <c r="N438" s="1614"/>
      <c r="O438" s="1330"/>
    </row>
    <row r="439" spans="1:15" ht="13" outlineLevel="1" x14ac:dyDescent="0.15">
      <c r="B439" s="978" t="s">
        <v>2147</v>
      </c>
      <c r="C439" s="1037">
        <v>0</v>
      </c>
      <c r="D439" s="1048">
        <v>0.46</v>
      </c>
      <c r="E439" s="1048">
        <v>0</v>
      </c>
      <c r="F439" s="1048">
        <v>0</v>
      </c>
      <c r="G439" s="959">
        <v>0</v>
      </c>
      <c r="H439" s="1037">
        <v>0.01</v>
      </c>
      <c r="I439" s="1048">
        <v>0</v>
      </c>
      <c r="J439" s="1048">
        <v>0</v>
      </c>
      <c r="K439" s="959">
        <v>0</v>
      </c>
      <c r="L439" s="807">
        <v>0.53</v>
      </c>
      <c r="M439" s="1038">
        <v>0</v>
      </c>
      <c r="N439" s="895">
        <v>0</v>
      </c>
      <c r="O439" s="959">
        <f>SUM(C439:N439)</f>
        <v>1</v>
      </c>
    </row>
    <row r="440" spans="1:15" ht="13" outlineLevel="1" x14ac:dyDescent="0.15">
      <c r="B440" s="980" t="s">
        <v>2395</v>
      </c>
      <c r="C440" s="1038">
        <v>0</v>
      </c>
      <c r="D440" s="1049">
        <v>0.6</v>
      </c>
      <c r="E440" s="1049">
        <v>0</v>
      </c>
      <c r="F440" s="1049">
        <v>0</v>
      </c>
      <c r="G440" s="895">
        <v>0</v>
      </c>
      <c r="H440" s="1038">
        <v>0</v>
      </c>
      <c r="I440" s="1049">
        <v>0</v>
      </c>
      <c r="J440" s="1049">
        <v>0</v>
      </c>
      <c r="K440" s="895">
        <v>0</v>
      </c>
      <c r="L440" s="807">
        <v>0.4</v>
      </c>
      <c r="M440" s="1038">
        <v>0</v>
      </c>
      <c r="N440" s="895">
        <v>0</v>
      </c>
      <c r="O440" s="895">
        <f>SUM(C440:N440)</f>
        <v>1</v>
      </c>
    </row>
    <row r="441" spans="1:15" ht="13" outlineLevel="1" x14ac:dyDescent="0.15">
      <c r="B441" s="980" t="s">
        <v>1951</v>
      </c>
      <c r="C441" s="1038">
        <v>0</v>
      </c>
      <c r="D441" s="1049">
        <v>0.89</v>
      </c>
      <c r="E441" s="1049">
        <v>0</v>
      </c>
      <c r="F441" s="1049">
        <v>0</v>
      </c>
      <c r="G441" s="895">
        <v>0</v>
      </c>
      <c r="H441" s="1038">
        <v>0.09</v>
      </c>
      <c r="I441" s="1049">
        <v>0</v>
      </c>
      <c r="J441" s="1049">
        <v>0</v>
      </c>
      <c r="K441" s="895">
        <v>0</v>
      </c>
      <c r="L441" s="807">
        <v>0.02</v>
      </c>
      <c r="M441" s="1038">
        <v>0</v>
      </c>
      <c r="N441" s="895">
        <v>0</v>
      </c>
      <c r="O441" s="895">
        <f t="shared" ref="O441:O504" si="5">SUM(C441:N441)</f>
        <v>1</v>
      </c>
    </row>
    <row r="442" spans="1:15" ht="13" outlineLevel="1" x14ac:dyDescent="0.15">
      <c r="B442" s="980" t="s">
        <v>2448</v>
      </c>
      <c r="C442" s="1038">
        <v>0</v>
      </c>
      <c r="D442" s="1049">
        <v>1</v>
      </c>
      <c r="E442" s="1049">
        <v>0</v>
      </c>
      <c r="F442" s="1049">
        <v>0</v>
      </c>
      <c r="G442" s="895">
        <v>0</v>
      </c>
      <c r="H442" s="1038">
        <v>0</v>
      </c>
      <c r="I442" s="1049">
        <v>0</v>
      </c>
      <c r="J442" s="1049">
        <v>0</v>
      </c>
      <c r="K442" s="895">
        <v>0</v>
      </c>
      <c r="L442" s="807">
        <v>0</v>
      </c>
      <c r="M442" s="1038">
        <v>0</v>
      </c>
      <c r="N442" s="895">
        <v>0</v>
      </c>
      <c r="O442" s="895">
        <f t="shared" si="5"/>
        <v>1</v>
      </c>
    </row>
    <row r="443" spans="1:15" ht="13" outlineLevel="1" x14ac:dyDescent="0.15">
      <c r="B443" s="980" t="s">
        <v>1952</v>
      </c>
      <c r="C443" s="1038">
        <v>0</v>
      </c>
      <c r="D443" s="1049">
        <v>0.64</v>
      </c>
      <c r="E443" s="1049">
        <v>0</v>
      </c>
      <c r="F443" s="1049">
        <v>0</v>
      </c>
      <c r="G443" s="895">
        <v>0</v>
      </c>
      <c r="H443" s="1038">
        <v>0.35</v>
      </c>
      <c r="I443" s="1049">
        <v>0</v>
      </c>
      <c r="J443" s="1049">
        <v>0</v>
      </c>
      <c r="K443" s="895">
        <v>0</v>
      </c>
      <c r="L443" s="807">
        <v>0.01</v>
      </c>
      <c r="M443" s="1038">
        <v>0</v>
      </c>
      <c r="N443" s="895">
        <v>0</v>
      </c>
      <c r="O443" s="895">
        <f t="shared" si="5"/>
        <v>1</v>
      </c>
    </row>
    <row r="444" spans="1:15" ht="13" outlineLevel="1" x14ac:dyDescent="0.15">
      <c r="B444" s="980" t="s">
        <v>1953</v>
      </c>
      <c r="C444" s="1038">
        <v>0.39</v>
      </c>
      <c r="D444" s="1049">
        <v>0.4</v>
      </c>
      <c r="E444" s="1049">
        <v>0</v>
      </c>
      <c r="F444" s="1049">
        <v>0</v>
      </c>
      <c r="G444" s="895">
        <v>0</v>
      </c>
      <c r="H444" s="1038">
        <v>0.16</v>
      </c>
      <c r="I444" s="1049">
        <v>0</v>
      </c>
      <c r="J444" s="1049">
        <v>0</v>
      </c>
      <c r="K444" s="895">
        <v>0</v>
      </c>
      <c r="L444" s="807">
        <v>0.05</v>
      </c>
      <c r="M444" s="1038">
        <v>0</v>
      </c>
      <c r="N444" s="895">
        <v>0</v>
      </c>
      <c r="O444" s="895">
        <f t="shared" si="5"/>
        <v>1</v>
      </c>
    </row>
    <row r="445" spans="1:15" ht="13" outlineLevel="1" x14ac:dyDescent="0.15">
      <c r="B445" s="980" t="s">
        <v>2463</v>
      </c>
      <c r="C445" s="1038">
        <v>0</v>
      </c>
      <c r="D445" s="1049">
        <v>0.99</v>
      </c>
      <c r="E445" s="1049">
        <v>0</v>
      </c>
      <c r="F445" s="1049">
        <v>0</v>
      </c>
      <c r="G445" s="895">
        <v>0</v>
      </c>
      <c r="H445" s="1038">
        <v>0.01</v>
      </c>
      <c r="I445" s="1049">
        <v>0</v>
      </c>
      <c r="J445" s="1049">
        <v>0</v>
      </c>
      <c r="K445" s="895">
        <v>0</v>
      </c>
      <c r="L445" s="807">
        <v>0</v>
      </c>
      <c r="M445" s="1038">
        <v>0</v>
      </c>
      <c r="N445" s="895">
        <v>0</v>
      </c>
      <c r="O445" s="895">
        <f t="shared" si="5"/>
        <v>1</v>
      </c>
    </row>
    <row r="446" spans="1:15" ht="13" outlineLevel="1" x14ac:dyDescent="0.15">
      <c r="B446" s="980" t="s">
        <v>2154</v>
      </c>
      <c r="C446" s="1038">
        <v>0.17</v>
      </c>
      <c r="D446" s="1049">
        <v>0.57999999999999996</v>
      </c>
      <c r="E446" s="1049">
        <v>0</v>
      </c>
      <c r="F446" s="1049">
        <v>0</v>
      </c>
      <c r="G446" s="895">
        <v>0</v>
      </c>
      <c r="H446" s="1038">
        <v>0</v>
      </c>
      <c r="I446" s="1049">
        <v>0</v>
      </c>
      <c r="J446" s="1049">
        <v>0</v>
      </c>
      <c r="K446" s="895">
        <v>0</v>
      </c>
      <c r="L446" s="807">
        <v>0.25</v>
      </c>
      <c r="M446" s="1038">
        <v>0</v>
      </c>
      <c r="N446" s="895">
        <v>0</v>
      </c>
      <c r="O446" s="895">
        <f t="shared" si="5"/>
        <v>1</v>
      </c>
    </row>
    <row r="447" spans="1:15" ht="13" outlineLevel="1" x14ac:dyDescent="0.15">
      <c r="B447" s="980" t="s">
        <v>2478</v>
      </c>
      <c r="C447" s="1038">
        <v>0</v>
      </c>
      <c r="D447" s="1049">
        <v>0</v>
      </c>
      <c r="E447" s="1049">
        <v>0</v>
      </c>
      <c r="F447" s="1049">
        <v>0</v>
      </c>
      <c r="G447" s="895">
        <v>0</v>
      </c>
      <c r="H447" s="1038">
        <v>0</v>
      </c>
      <c r="I447" s="1049">
        <v>0</v>
      </c>
      <c r="J447" s="1049">
        <v>0</v>
      </c>
      <c r="K447" s="895">
        <v>0</v>
      </c>
      <c r="L447" s="807">
        <v>1</v>
      </c>
      <c r="M447" s="1038">
        <v>0</v>
      </c>
      <c r="N447" s="895">
        <v>0</v>
      </c>
      <c r="O447" s="895">
        <f t="shared" si="5"/>
        <v>1</v>
      </c>
    </row>
    <row r="448" spans="1:15" ht="13" outlineLevel="1" x14ac:dyDescent="0.15">
      <c r="B448" s="980" t="s">
        <v>2148</v>
      </c>
      <c r="C448" s="1038">
        <v>0</v>
      </c>
      <c r="D448" s="1049">
        <v>0.49</v>
      </c>
      <c r="E448" s="1049">
        <v>0</v>
      </c>
      <c r="F448" s="1049">
        <v>0</v>
      </c>
      <c r="G448" s="895">
        <v>0</v>
      </c>
      <c r="H448" s="1038">
        <v>0</v>
      </c>
      <c r="I448" s="1049">
        <v>0</v>
      </c>
      <c r="J448" s="1049">
        <v>0</v>
      </c>
      <c r="K448" s="895">
        <v>0</v>
      </c>
      <c r="L448" s="807">
        <v>0.51</v>
      </c>
      <c r="M448" s="1038">
        <v>0</v>
      </c>
      <c r="N448" s="895">
        <v>0</v>
      </c>
      <c r="O448" s="895">
        <f t="shared" si="5"/>
        <v>1</v>
      </c>
    </row>
    <row r="449" spans="2:15" ht="13" outlineLevel="1" x14ac:dyDescent="0.15">
      <c r="B449" s="980" t="s">
        <v>2396</v>
      </c>
      <c r="C449" s="1038">
        <v>0</v>
      </c>
      <c r="D449" s="1049">
        <v>0.4</v>
      </c>
      <c r="E449" s="1049">
        <v>0</v>
      </c>
      <c r="F449" s="1049">
        <v>0</v>
      </c>
      <c r="G449" s="895">
        <v>0</v>
      </c>
      <c r="H449" s="1038">
        <v>0</v>
      </c>
      <c r="I449" s="1049">
        <v>0</v>
      </c>
      <c r="J449" s="1049">
        <v>0</v>
      </c>
      <c r="K449" s="895">
        <v>0</v>
      </c>
      <c r="L449" s="807">
        <v>0.6</v>
      </c>
      <c r="M449" s="1038">
        <v>0</v>
      </c>
      <c r="N449" s="895">
        <v>0</v>
      </c>
      <c r="O449" s="895">
        <f t="shared" si="5"/>
        <v>1</v>
      </c>
    </row>
    <row r="450" spans="2:15" ht="13" outlineLevel="1" x14ac:dyDescent="0.15">
      <c r="B450" s="980" t="s">
        <v>1954</v>
      </c>
      <c r="C450" s="1038">
        <v>0</v>
      </c>
      <c r="D450" s="1049">
        <v>0.89</v>
      </c>
      <c r="E450" s="1049">
        <v>0</v>
      </c>
      <c r="F450" s="1049">
        <v>0</v>
      </c>
      <c r="G450" s="895">
        <v>0</v>
      </c>
      <c r="H450" s="1038">
        <v>0.09</v>
      </c>
      <c r="I450" s="1049">
        <v>0</v>
      </c>
      <c r="J450" s="1049">
        <v>0</v>
      </c>
      <c r="K450" s="895">
        <v>0</v>
      </c>
      <c r="L450" s="807">
        <v>0.02</v>
      </c>
      <c r="M450" s="1038">
        <v>0</v>
      </c>
      <c r="N450" s="895">
        <v>0</v>
      </c>
      <c r="O450" s="895">
        <f t="shared" si="5"/>
        <v>1</v>
      </c>
    </row>
    <row r="451" spans="2:15" ht="13" outlineLevel="1" x14ac:dyDescent="0.15">
      <c r="B451" s="980" t="s">
        <v>2449</v>
      </c>
      <c r="C451" s="1038">
        <v>0</v>
      </c>
      <c r="D451" s="1049">
        <v>1</v>
      </c>
      <c r="E451" s="1049">
        <v>0</v>
      </c>
      <c r="F451" s="1049">
        <v>0</v>
      </c>
      <c r="G451" s="895">
        <v>0</v>
      </c>
      <c r="H451" s="1038">
        <v>0</v>
      </c>
      <c r="I451" s="1049">
        <v>0</v>
      </c>
      <c r="J451" s="1049">
        <v>0</v>
      </c>
      <c r="K451" s="895">
        <v>0</v>
      </c>
      <c r="L451" s="807">
        <v>0</v>
      </c>
      <c r="M451" s="1038">
        <v>0</v>
      </c>
      <c r="N451" s="895">
        <v>0</v>
      </c>
      <c r="O451" s="895">
        <f t="shared" si="5"/>
        <v>1</v>
      </c>
    </row>
    <row r="452" spans="2:15" ht="13" outlineLevel="1" x14ac:dyDescent="0.15">
      <c r="B452" s="980" t="s">
        <v>1955</v>
      </c>
      <c r="C452" s="1038">
        <v>0</v>
      </c>
      <c r="D452" s="1049">
        <v>0.64</v>
      </c>
      <c r="E452" s="1049">
        <v>0</v>
      </c>
      <c r="F452" s="1049">
        <v>0</v>
      </c>
      <c r="G452" s="895">
        <v>0</v>
      </c>
      <c r="H452" s="1038">
        <v>0.35</v>
      </c>
      <c r="I452" s="1049">
        <v>0</v>
      </c>
      <c r="J452" s="1049">
        <v>0</v>
      </c>
      <c r="K452" s="895">
        <v>0</v>
      </c>
      <c r="L452" s="807">
        <v>0.01</v>
      </c>
      <c r="M452" s="1038">
        <v>0</v>
      </c>
      <c r="N452" s="895">
        <v>0</v>
      </c>
      <c r="O452" s="895">
        <f t="shared" si="5"/>
        <v>1</v>
      </c>
    </row>
    <row r="453" spans="2:15" ht="13" outlineLevel="1" x14ac:dyDescent="0.15">
      <c r="B453" s="980" t="s">
        <v>1956</v>
      </c>
      <c r="C453" s="1038">
        <v>0.39</v>
      </c>
      <c r="D453" s="1049">
        <v>0.4</v>
      </c>
      <c r="E453" s="1049">
        <v>0</v>
      </c>
      <c r="F453" s="1049">
        <v>0</v>
      </c>
      <c r="G453" s="895">
        <v>0</v>
      </c>
      <c r="H453" s="1038">
        <v>0.16</v>
      </c>
      <c r="I453" s="1049">
        <v>0</v>
      </c>
      <c r="J453" s="1049">
        <v>0</v>
      </c>
      <c r="K453" s="895">
        <v>0</v>
      </c>
      <c r="L453" s="807">
        <v>0.05</v>
      </c>
      <c r="M453" s="1038">
        <v>0</v>
      </c>
      <c r="N453" s="895">
        <v>0</v>
      </c>
      <c r="O453" s="895">
        <f t="shared" si="5"/>
        <v>1</v>
      </c>
    </row>
    <row r="454" spans="2:15" ht="13" outlineLevel="1" x14ac:dyDescent="0.15">
      <c r="B454" s="980" t="s">
        <v>2464</v>
      </c>
      <c r="C454" s="1038">
        <v>0</v>
      </c>
      <c r="D454" s="1049">
        <v>0.99</v>
      </c>
      <c r="E454" s="1049">
        <v>0</v>
      </c>
      <c r="F454" s="1049">
        <v>0</v>
      </c>
      <c r="G454" s="895">
        <v>0</v>
      </c>
      <c r="H454" s="1038">
        <v>0.01</v>
      </c>
      <c r="I454" s="1049">
        <v>0</v>
      </c>
      <c r="J454" s="1049">
        <v>0</v>
      </c>
      <c r="K454" s="895">
        <v>0</v>
      </c>
      <c r="L454" s="807">
        <v>0</v>
      </c>
      <c r="M454" s="1038">
        <v>0</v>
      </c>
      <c r="N454" s="895">
        <v>0</v>
      </c>
      <c r="O454" s="895">
        <f t="shared" si="5"/>
        <v>1</v>
      </c>
    </row>
    <row r="455" spans="2:15" ht="13" outlineLevel="1" x14ac:dyDescent="0.15">
      <c r="B455" s="980" t="s">
        <v>2155</v>
      </c>
      <c r="C455" s="1038">
        <v>0.17</v>
      </c>
      <c r="D455" s="1049">
        <v>0.57999999999999996</v>
      </c>
      <c r="E455" s="1049">
        <v>0</v>
      </c>
      <c r="F455" s="1049">
        <v>0</v>
      </c>
      <c r="G455" s="895">
        <v>0</v>
      </c>
      <c r="H455" s="1038">
        <v>0</v>
      </c>
      <c r="I455" s="1049">
        <v>0</v>
      </c>
      <c r="J455" s="1049">
        <v>0</v>
      </c>
      <c r="K455" s="895">
        <v>0</v>
      </c>
      <c r="L455" s="807">
        <v>0.25</v>
      </c>
      <c r="M455" s="1038">
        <v>0</v>
      </c>
      <c r="N455" s="895">
        <v>0</v>
      </c>
      <c r="O455" s="895">
        <f t="shared" si="5"/>
        <v>1</v>
      </c>
    </row>
    <row r="456" spans="2:15" ht="13" outlineLevel="1" x14ac:dyDescent="0.15">
      <c r="B456" s="980" t="s">
        <v>2479</v>
      </c>
      <c r="C456" s="1038">
        <v>0</v>
      </c>
      <c r="D456" s="1049">
        <v>0.16</v>
      </c>
      <c r="E456" s="1049">
        <v>0</v>
      </c>
      <c r="F456" s="1049">
        <v>0</v>
      </c>
      <c r="G456" s="895">
        <v>0</v>
      </c>
      <c r="H456" s="1038">
        <v>0</v>
      </c>
      <c r="I456" s="1049">
        <v>0</v>
      </c>
      <c r="J456" s="1049">
        <v>0</v>
      </c>
      <c r="K456" s="895">
        <v>0</v>
      </c>
      <c r="L456" s="807">
        <v>0.84</v>
      </c>
      <c r="M456" s="1038">
        <v>0</v>
      </c>
      <c r="N456" s="895">
        <v>0</v>
      </c>
      <c r="O456" s="895">
        <f t="shared" si="5"/>
        <v>1</v>
      </c>
    </row>
    <row r="457" spans="2:15" ht="13" outlineLevel="1" x14ac:dyDescent="0.15">
      <c r="B457" s="980" t="s">
        <v>2149</v>
      </c>
      <c r="C457" s="1038">
        <v>0</v>
      </c>
      <c r="D457" s="1049">
        <v>0.32</v>
      </c>
      <c r="E457" s="1049">
        <v>0.13</v>
      </c>
      <c r="F457" s="1049">
        <v>0.02</v>
      </c>
      <c r="G457" s="895">
        <v>0</v>
      </c>
      <c r="H457" s="1038">
        <v>0.02</v>
      </c>
      <c r="I457" s="1049">
        <v>0.15</v>
      </c>
      <c r="J457" s="1049">
        <v>0.04</v>
      </c>
      <c r="K457" s="895">
        <v>0.17</v>
      </c>
      <c r="L457" s="807">
        <v>0.15</v>
      </c>
      <c r="M457" s="1038">
        <v>0</v>
      </c>
      <c r="N457" s="895">
        <v>0</v>
      </c>
      <c r="O457" s="895">
        <f t="shared" si="5"/>
        <v>1</v>
      </c>
    </row>
    <row r="458" spans="2:15" ht="13" outlineLevel="1" x14ac:dyDescent="0.15">
      <c r="B458" s="980" t="s">
        <v>2397</v>
      </c>
      <c r="C458" s="1038">
        <v>0</v>
      </c>
      <c r="D458" s="1049">
        <v>0.37119999999999997</v>
      </c>
      <c r="E458" s="1049">
        <v>0.17399999999999999</v>
      </c>
      <c r="F458" s="1049">
        <v>2.3199999999999998E-2</v>
      </c>
      <c r="G458" s="895">
        <v>1.1599999999999999E-2</v>
      </c>
      <c r="H458" s="1038">
        <v>1.4162797895388424E-2</v>
      </c>
      <c r="I458" s="1049">
        <v>0.12476632621479418</v>
      </c>
      <c r="J458" s="1049">
        <v>3.513463324048282E-2</v>
      </c>
      <c r="K458" s="895">
        <v>0.14593624264933458</v>
      </c>
      <c r="L458" s="807">
        <v>0.1</v>
      </c>
      <c r="M458" s="1038">
        <v>0</v>
      </c>
      <c r="N458" s="895">
        <v>0</v>
      </c>
      <c r="O458" s="895">
        <f t="shared" si="5"/>
        <v>0.99999999999999989</v>
      </c>
    </row>
    <row r="459" spans="2:15" ht="13" outlineLevel="1" x14ac:dyDescent="0.15">
      <c r="B459" s="980" t="s">
        <v>1957</v>
      </c>
      <c r="C459" s="1038">
        <v>0</v>
      </c>
      <c r="D459" s="1049">
        <v>0.89</v>
      </c>
      <c r="E459" s="1049">
        <v>0</v>
      </c>
      <c r="F459" s="1049">
        <v>0</v>
      </c>
      <c r="G459" s="895">
        <v>0</v>
      </c>
      <c r="H459" s="1038">
        <v>0</v>
      </c>
      <c r="I459" s="1049">
        <v>0.04</v>
      </c>
      <c r="J459" s="1049">
        <v>0.01</v>
      </c>
      <c r="K459" s="895">
        <v>0.04</v>
      </c>
      <c r="L459" s="807">
        <v>0.02</v>
      </c>
      <c r="M459" s="1038">
        <v>0</v>
      </c>
      <c r="N459" s="895">
        <v>0</v>
      </c>
      <c r="O459" s="895">
        <f t="shared" si="5"/>
        <v>1</v>
      </c>
    </row>
    <row r="460" spans="2:15" ht="13" outlineLevel="1" x14ac:dyDescent="0.15">
      <c r="B460" s="980" t="s">
        <v>2450</v>
      </c>
      <c r="C460" s="1038">
        <v>0</v>
      </c>
      <c r="D460" s="1049">
        <v>1</v>
      </c>
      <c r="E460" s="1049">
        <v>0</v>
      </c>
      <c r="F460" s="1049">
        <v>0</v>
      </c>
      <c r="G460" s="895">
        <v>0</v>
      </c>
      <c r="H460" s="1038">
        <v>0</v>
      </c>
      <c r="I460" s="1049">
        <v>0</v>
      </c>
      <c r="J460" s="1049">
        <v>0</v>
      </c>
      <c r="K460" s="895">
        <v>0</v>
      </c>
      <c r="L460" s="807">
        <v>0</v>
      </c>
      <c r="M460" s="1038">
        <v>0</v>
      </c>
      <c r="N460" s="895">
        <v>0</v>
      </c>
      <c r="O460" s="895">
        <f t="shared" si="5"/>
        <v>1</v>
      </c>
    </row>
    <row r="461" spans="2:15" ht="13" outlineLevel="1" x14ac:dyDescent="0.15">
      <c r="B461" s="980" t="s">
        <v>1958</v>
      </c>
      <c r="C461" s="1038">
        <v>0</v>
      </c>
      <c r="D461" s="1049">
        <v>0.64</v>
      </c>
      <c r="E461" s="1049">
        <v>0</v>
      </c>
      <c r="F461" s="1049">
        <v>0</v>
      </c>
      <c r="G461" s="895">
        <v>0</v>
      </c>
      <c r="H461" s="1038">
        <v>0</v>
      </c>
      <c r="I461" s="1049">
        <v>0.14000000000000001</v>
      </c>
      <c r="J461" s="1049">
        <v>0.04</v>
      </c>
      <c r="K461" s="895">
        <v>0.17</v>
      </c>
      <c r="L461" s="807">
        <v>0.01</v>
      </c>
      <c r="M461" s="1038">
        <v>0</v>
      </c>
      <c r="N461" s="895">
        <v>0</v>
      </c>
      <c r="O461" s="895">
        <f t="shared" si="5"/>
        <v>1</v>
      </c>
    </row>
    <row r="462" spans="2:15" ht="13" outlineLevel="1" x14ac:dyDescent="0.15">
      <c r="B462" s="980" t="s">
        <v>1959</v>
      </c>
      <c r="C462" s="1038">
        <v>0.41</v>
      </c>
      <c r="D462" s="1049">
        <v>0.42</v>
      </c>
      <c r="E462" s="1049">
        <v>0</v>
      </c>
      <c r="F462" s="1049">
        <v>0</v>
      </c>
      <c r="G462" s="895">
        <v>0</v>
      </c>
      <c r="H462" s="1038">
        <v>0.17</v>
      </c>
      <c r="I462" s="1049">
        <v>0</v>
      </c>
      <c r="J462" s="1049">
        <v>0</v>
      </c>
      <c r="K462" s="895">
        <v>0</v>
      </c>
      <c r="L462" s="807">
        <v>0</v>
      </c>
      <c r="M462" s="1038">
        <v>0</v>
      </c>
      <c r="N462" s="895">
        <v>0</v>
      </c>
      <c r="O462" s="895">
        <f t="shared" si="5"/>
        <v>1</v>
      </c>
    </row>
    <row r="463" spans="2:15" ht="13" outlineLevel="1" x14ac:dyDescent="0.15">
      <c r="B463" s="980" t="s">
        <v>2465</v>
      </c>
      <c r="C463" s="1038">
        <v>0</v>
      </c>
      <c r="D463" s="1049">
        <v>0.99</v>
      </c>
      <c r="E463" s="1049">
        <v>0</v>
      </c>
      <c r="F463" s="1049">
        <v>0</v>
      </c>
      <c r="G463" s="895">
        <v>0</v>
      </c>
      <c r="H463" s="1038">
        <v>0.01</v>
      </c>
      <c r="I463" s="1049">
        <v>0</v>
      </c>
      <c r="J463" s="1049">
        <v>0</v>
      </c>
      <c r="K463" s="895">
        <v>0</v>
      </c>
      <c r="L463" s="807">
        <v>0</v>
      </c>
      <c r="M463" s="1038">
        <v>0</v>
      </c>
      <c r="N463" s="895">
        <v>0</v>
      </c>
      <c r="O463" s="895">
        <f t="shared" si="5"/>
        <v>1</v>
      </c>
    </row>
    <row r="464" spans="2:15" ht="13" outlineLevel="1" x14ac:dyDescent="0.15">
      <c r="B464" s="980" t="s">
        <v>2156</v>
      </c>
      <c r="C464" s="1038">
        <v>0.17</v>
      </c>
      <c r="D464" s="1049">
        <v>0.57999999999999996</v>
      </c>
      <c r="E464" s="1049">
        <v>0</v>
      </c>
      <c r="F464" s="1049">
        <v>0</v>
      </c>
      <c r="G464" s="895">
        <v>0</v>
      </c>
      <c r="H464" s="1038">
        <v>0</v>
      </c>
      <c r="I464" s="1049">
        <v>0</v>
      </c>
      <c r="J464" s="1049">
        <v>0</v>
      </c>
      <c r="K464" s="895">
        <v>0</v>
      </c>
      <c r="L464" s="807">
        <v>0.25</v>
      </c>
      <c r="M464" s="1038">
        <v>0</v>
      </c>
      <c r="N464" s="895">
        <v>0</v>
      </c>
      <c r="O464" s="895">
        <f t="shared" si="5"/>
        <v>1</v>
      </c>
    </row>
    <row r="465" spans="2:17" ht="13" outlineLevel="1" x14ac:dyDescent="0.15">
      <c r="B465" s="980" t="s">
        <v>2480</v>
      </c>
      <c r="C465" s="1038">
        <v>0</v>
      </c>
      <c r="D465" s="1049">
        <v>0.16</v>
      </c>
      <c r="E465" s="1049">
        <v>0</v>
      </c>
      <c r="F465" s="1049">
        <v>0</v>
      </c>
      <c r="G465" s="895">
        <v>0</v>
      </c>
      <c r="H465" s="1038">
        <v>0</v>
      </c>
      <c r="I465" s="1049">
        <v>0</v>
      </c>
      <c r="J465" s="1049">
        <v>0</v>
      </c>
      <c r="K465" s="895">
        <v>0</v>
      </c>
      <c r="L465" s="807">
        <v>0.84</v>
      </c>
      <c r="M465" s="1038">
        <v>0</v>
      </c>
      <c r="N465" s="895">
        <v>0</v>
      </c>
      <c r="O465" s="895">
        <f t="shared" si="5"/>
        <v>1</v>
      </c>
    </row>
    <row r="466" spans="2:17" ht="13" outlineLevel="1" x14ac:dyDescent="0.15">
      <c r="B466" s="980" t="s">
        <v>2150</v>
      </c>
      <c r="C466" s="1038">
        <v>0</v>
      </c>
      <c r="D466" s="1049">
        <v>0.17</v>
      </c>
      <c r="E466" s="1049">
        <v>7.0000000000000007E-2</v>
      </c>
      <c r="F466" s="1049">
        <v>0.01</v>
      </c>
      <c r="G466" s="895">
        <v>0</v>
      </c>
      <c r="H466" s="1038">
        <v>0.02</v>
      </c>
      <c r="I466" s="1049">
        <v>0.09</v>
      </c>
      <c r="J466" s="1049">
        <v>0.02</v>
      </c>
      <c r="K466" s="895">
        <v>0.1</v>
      </c>
      <c r="L466" s="807">
        <v>0.52</v>
      </c>
      <c r="M466" s="1038">
        <v>0</v>
      </c>
      <c r="N466" s="895">
        <v>0</v>
      </c>
      <c r="O466" s="895">
        <f t="shared" si="5"/>
        <v>1</v>
      </c>
      <c r="Q466" s="295"/>
    </row>
    <row r="467" spans="2:17" ht="13" outlineLevel="1" x14ac:dyDescent="0.15">
      <c r="B467" s="980" t="s">
        <v>2398</v>
      </c>
      <c r="C467" s="1038">
        <v>0</v>
      </c>
      <c r="D467" s="1049">
        <v>7.6799999999999993E-2</v>
      </c>
      <c r="E467" s="1049">
        <v>3.5999999999999997E-2</v>
      </c>
      <c r="F467" s="1049">
        <v>4.7999999999999996E-3</v>
      </c>
      <c r="G467" s="895">
        <v>2.3999999999999998E-3</v>
      </c>
      <c r="H467" s="1038">
        <v>3.0981120396162179E-3</v>
      </c>
      <c r="I467" s="1049">
        <v>2.7292633859486229E-2</v>
      </c>
      <c r="J467" s="1049">
        <v>7.6857010213556183E-3</v>
      </c>
      <c r="K467" s="895">
        <v>3.1923553079541943E-2</v>
      </c>
      <c r="L467" s="807">
        <v>0.8</v>
      </c>
      <c r="M467" s="1038">
        <v>0.01</v>
      </c>
      <c r="N467" s="895">
        <v>0</v>
      </c>
      <c r="O467" s="895">
        <f t="shared" si="5"/>
        <v>1</v>
      </c>
      <c r="Q467" s="295"/>
    </row>
    <row r="468" spans="2:17" ht="13" outlineLevel="1" x14ac:dyDescent="0.15">
      <c r="B468" s="980" t="s">
        <v>1960</v>
      </c>
      <c r="C468" s="1038">
        <v>0</v>
      </c>
      <c r="D468" s="1049">
        <v>0.89</v>
      </c>
      <c r="E468" s="1049">
        <v>0</v>
      </c>
      <c r="F468" s="1049">
        <v>0</v>
      </c>
      <c r="G468" s="895">
        <v>0</v>
      </c>
      <c r="H468" s="1038">
        <v>0</v>
      </c>
      <c r="I468" s="1049">
        <v>0.04</v>
      </c>
      <c r="J468" s="1049">
        <v>0.01</v>
      </c>
      <c r="K468" s="895">
        <v>0.04</v>
      </c>
      <c r="L468" s="807">
        <v>0.02</v>
      </c>
      <c r="M468" s="1038">
        <v>0</v>
      </c>
      <c r="N468" s="895">
        <v>0</v>
      </c>
      <c r="O468" s="895">
        <f t="shared" si="5"/>
        <v>1</v>
      </c>
      <c r="Q468" s="295"/>
    </row>
    <row r="469" spans="2:17" ht="13" outlineLevel="1" x14ac:dyDescent="0.15">
      <c r="B469" s="980" t="s">
        <v>2451</v>
      </c>
      <c r="C469" s="1038">
        <v>0</v>
      </c>
      <c r="D469" s="1049">
        <v>1</v>
      </c>
      <c r="E469" s="1049">
        <v>0</v>
      </c>
      <c r="F469" s="1049">
        <v>0</v>
      </c>
      <c r="G469" s="895">
        <v>0</v>
      </c>
      <c r="H469" s="1038">
        <v>0</v>
      </c>
      <c r="I469" s="1049">
        <v>0</v>
      </c>
      <c r="J469" s="1049">
        <v>0</v>
      </c>
      <c r="K469" s="895">
        <v>0</v>
      </c>
      <c r="L469" s="807">
        <v>0</v>
      </c>
      <c r="M469" s="1038">
        <v>0</v>
      </c>
      <c r="N469" s="895">
        <v>0</v>
      </c>
      <c r="O469" s="895">
        <f t="shared" si="5"/>
        <v>1</v>
      </c>
      <c r="Q469" s="295"/>
    </row>
    <row r="470" spans="2:17" ht="13" outlineLevel="1" x14ac:dyDescent="0.15">
      <c r="B470" s="980" t="s">
        <v>1961</v>
      </c>
      <c r="C470" s="1038">
        <v>0</v>
      </c>
      <c r="D470" s="1049">
        <v>0.64</v>
      </c>
      <c r="E470" s="1049">
        <v>0</v>
      </c>
      <c r="F470" s="1049">
        <v>0</v>
      </c>
      <c r="G470" s="895">
        <v>0</v>
      </c>
      <c r="H470" s="1038">
        <v>0</v>
      </c>
      <c r="I470" s="1049">
        <v>0.14000000000000001</v>
      </c>
      <c r="J470" s="1049">
        <v>0.04</v>
      </c>
      <c r="K470" s="895">
        <v>0.17</v>
      </c>
      <c r="L470" s="807">
        <v>0.01</v>
      </c>
      <c r="M470" s="1038">
        <v>0</v>
      </c>
      <c r="N470" s="895">
        <v>0</v>
      </c>
      <c r="O470" s="895">
        <f t="shared" si="5"/>
        <v>1</v>
      </c>
      <c r="Q470" s="295"/>
    </row>
    <row r="471" spans="2:17" ht="13" outlineLevel="1" x14ac:dyDescent="0.15">
      <c r="B471" s="980" t="s">
        <v>1962</v>
      </c>
      <c r="C471" s="1038">
        <v>0.41</v>
      </c>
      <c r="D471" s="1049">
        <v>0.42</v>
      </c>
      <c r="E471" s="1049">
        <v>0</v>
      </c>
      <c r="F471" s="1049">
        <v>0</v>
      </c>
      <c r="G471" s="895">
        <v>0</v>
      </c>
      <c r="H471" s="1038">
        <v>0.17</v>
      </c>
      <c r="I471" s="1049">
        <v>0</v>
      </c>
      <c r="J471" s="1049">
        <v>0</v>
      </c>
      <c r="K471" s="895">
        <v>0</v>
      </c>
      <c r="L471" s="807">
        <v>0</v>
      </c>
      <c r="M471" s="1038">
        <v>0</v>
      </c>
      <c r="N471" s="895">
        <v>0</v>
      </c>
      <c r="O471" s="895">
        <f t="shared" si="5"/>
        <v>1</v>
      </c>
      <c r="Q471" s="295"/>
    </row>
    <row r="472" spans="2:17" ht="13" outlineLevel="1" x14ac:dyDescent="0.15">
      <c r="B472" s="980" t="s">
        <v>2466</v>
      </c>
      <c r="C472" s="1038">
        <v>0</v>
      </c>
      <c r="D472" s="1049">
        <v>0.99</v>
      </c>
      <c r="E472" s="1049">
        <v>0</v>
      </c>
      <c r="F472" s="1049">
        <v>0</v>
      </c>
      <c r="G472" s="895">
        <v>0</v>
      </c>
      <c r="H472" s="1038">
        <v>0.01</v>
      </c>
      <c r="I472" s="1049">
        <v>0</v>
      </c>
      <c r="J472" s="1049">
        <v>0</v>
      </c>
      <c r="K472" s="895">
        <v>0</v>
      </c>
      <c r="L472" s="807">
        <v>0</v>
      </c>
      <c r="M472" s="1038">
        <v>0</v>
      </c>
      <c r="N472" s="895">
        <v>0</v>
      </c>
      <c r="O472" s="895">
        <f t="shared" si="5"/>
        <v>1</v>
      </c>
      <c r="Q472" s="295"/>
    </row>
    <row r="473" spans="2:17" ht="13" outlineLevel="1" x14ac:dyDescent="0.15">
      <c r="B473" s="980" t="s">
        <v>2157</v>
      </c>
      <c r="C473" s="1038">
        <v>0.17</v>
      </c>
      <c r="D473" s="1049">
        <v>0.57999999999999996</v>
      </c>
      <c r="E473" s="1049">
        <v>0</v>
      </c>
      <c r="F473" s="1049">
        <v>0</v>
      </c>
      <c r="G473" s="895">
        <v>0</v>
      </c>
      <c r="H473" s="1038">
        <v>0</v>
      </c>
      <c r="I473" s="1049">
        <v>0</v>
      </c>
      <c r="J473" s="1049">
        <v>0</v>
      </c>
      <c r="K473" s="895">
        <v>0</v>
      </c>
      <c r="L473" s="807">
        <v>0.25</v>
      </c>
      <c r="M473" s="1038">
        <v>0</v>
      </c>
      <c r="N473" s="895">
        <v>0</v>
      </c>
      <c r="O473" s="895">
        <f t="shared" si="5"/>
        <v>1</v>
      </c>
      <c r="Q473" s="295"/>
    </row>
    <row r="474" spans="2:17" ht="13" outlineLevel="1" x14ac:dyDescent="0.15">
      <c r="B474" s="980" t="s">
        <v>2481</v>
      </c>
      <c r="C474" s="1038">
        <v>0</v>
      </c>
      <c r="D474" s="1049">
        <v>0.23</v>
      </c>
      <c r="E474" s="1049">
        <v>0</v>
      </c>
      <c r="F474" s="1049">
        <v>0</v>
      </c>
      <c r="G474" s="895">
        <v>0</v>
      </c>
      <c r="H474" s="1038">
        <v>0</v>
      </c>
      <c r="I474" s="1049">
        <v>0</v>
      </c>
      <c r="J474" s="1049">
        <v>0</v>
      </c>
      <c r="K474" s="895">
        <v>0</v>
      </c>
      <c r="L474" s="807">
        <v>0.77</v>
      </c>
      <c r="M474" s="1038">
        <v>0</v>
      </c>
      <c r="N474" s="895">
        <v>0</v>
      </c>
      <c r="O474" s="895">
        <f t="shared" si="5"/>
        <v>1</v>
      </c>
      <c r="Q474" s="295"/>
    </row>
    <row r="475" spans="2:17" ht="13" outlineLevel="1" x14ac:dyDescent="0.15">
      <c r="B475" s="980" t="s">
        <v>2151</v>
      </c>
      <c r="C475" s="1038">
        <v>0</v>
      </c>
      <c r="D475" s="1049">
        <v>0.17</v>
      </c>
      <c r="E475" s="1049">
        <v>7.0000000000000007E-2</v>
      </c>
      <c r="F475" s="1049">
        <v>0.01</v>
      </c>
      <c r="G475" s="895">
        <v>0</v>
      </c>
      <c r="H475" s="1038">
        <v>0.02</v>
      </c>
      <c r="I475" s="1049">
        <v>0.09</v>
      </c>
      <c r="J475" s="1049">
        <v>0.02</v>
      </c>
      <c r="K475" s="895">
        <v>0.1</v>
      </c>
      <c r="L475" s="807">
        <v>0.52</v>
      </c>
      <c r="M475" s="1038">
        <v>0</v>
      </c>
      <c r="N475" s="895">
        <v>0</v>
      </c>
      <c r="O475" s="895">
        <f t="shared" si="5"/>
        <v>1</v>
      </c>
    </row>
    <row r="476" spans="2:17" ht="13" outlineLevel="1" x14ac:dyDescent="0.15">
      <c r="B476" s="980" t="s">
        <v>2399</v>
      </c>
      <c r="C476" s="1038">
        <v>0</v>
      </c>
      <c r="D476" s="1049">
        <v>0.15359999999999999</v>
      </c>
      <c r="E476" s="1049">
        <v>7.1999999999999995E-2</v>
      </c>
      <c r="F476" s="1049">
        <v>9.5999999999999992E-3</v>
      </c>
      <c r="G476" s="895">
        <v>4.7999999999999996E-3</v>
      </c>
      <c r="H476" s="1038">
        <v>6.1962240792324359E-3</v>
      </c>
      <c r="I476" s="1049">
        <v>5.4585267718972458E-2</v>
      </c>
      <c r="J476" s="1049">
        <v>1.5371402042711237E-2</v>
      </c>
      <c r="K476" s="895">
        <v>6.3847106159083886E-2</v>
      </c>
      <c r="L476" s="807">
        <v>0.6</v>
      </c>
      <c r="M476" s="1038">
        <v>0.02</v>
      </c>
      <c r="N476" s="895">
        <v>0</v>
      </c>
      <c r="O476" s="895">
        <f t="shared" si="5"/>
        <v>1</v>
      </c>
    </row>
    <row r="477" spans="2:17" ht="13" outlineLevel="1" x14ac:dyDescent="0.15">
      <c r="B477" s="980" t="s">
        <v>1963</v>
      </c>
      <c r="C477" s="1038">
        <v>0</v>
      </c>
      <c r="D477" s="1049">
        <v>0.89</v>
      </c>
      <c r="E477" s="1049">
        <v>0</v>
      </c>
      <c r="F477" s="1049">
        <v>0</v>
      </c>
      <c r="G477" s="895">
        <v>0</v>
      </c>
      <c r="H477" s="1038">
        <v>0</v>
      </c>
      <c r="I477" s="1049">
        <v>0.04</v>
      </c>
      <c r="J477" s="1049">
        <v>0.01</v>
      </c>
      <c r="K477" s="895">
        <v>0.04</v>
      </c>
      <c r="L477" s="807">
        <v>0.02</v>
      </c>
      <c r="M477" s="1038">
        <v>0</v>
      </c>
      <c r="N477" s="895">
        <v>0</v>
      </c>
      <c r="O477" s="895">
        <f t="shared" si="5"/>
        <v>1</v>
      </c>
    </row>
    <row r="478" spans="2:17" ht="13" outlineLevel="1" x14ac:dyDescent="0.15">
      <c r="B478" s="980" t="s">
        <v>2452</v>
      </c>
      <c r="C478" s="1038">
        <v>0</v>
      </c>
      <c r="D478" s="1049">
        <v>1</v>
      </c>
      <c r="E478" s="1049">
        <v>0</v>
      </c>
      <c r="F478" s="1049">
        <v>0</v>
      </c>
      <c r="G478" s="895">
        <v>0</v>
      </c>
      <c r="H478" s="1038">
        <v>0</v>
      </c>
      <c r="I478" s="1049">
        <v>0</v>
      </c>
      <c r="J478" s="1049">
        <v>0</v>
      </c>
      <c r="K478" s="895">
        <v>0</v>
      </c>
      <c r="L478" s="807">
        <v>0</v>
      </c>
      <c r="M478" s="1038">
        <v>0</v>
      </c>
      <c r="N478" s="895">
        <v>0</v>
      </c>
      <c r="O478" s="895">
        <f t="shared" si="5"/>
        <v>1</v>
      </c>
    </row>
    <row r="479" spans="2:17" ht="13" outlineLevel="1" x14ac:dyDescent="0.15">
      <c r="B479" s="980" t="s">
        <v>1964</v>
      </c>
      <c r="C479" s="1038">
        <v>0</v>
      </c>
      <c r="D479" s="1049">
        <v>0.64</v>
      </c>
      <c r="E479" s="1049">
        <v>0</v>
      </c>
      <c r="F479" s="1049">
        <v>0</v>
      </c>
      <c r="G479" s="895">
        <v>0</v>
      </c>
      <c r="H479" s="1038">
        <v>0</v>
      </c>
      <c r="I479" s="1049">
        <v>0.14000000000000001</v>
      </c>
      <c r="J479" s="1049">
        <v>0.04</v>
      </c>
      <c r="K479" s="895">
        <v>0.17</v>
      </c>
      <c r="L479" s="807">
        <v>0.01</v>
      </c>
      <c r="M479" s="1038">
        <v>0</v>
      </c>
      <c r="N479" s="895">
        <v>0</v>
      </c>
      <c r="O479" s="895">
        <f t="shared" si="5"/>
        <v>1</v>
      </c>
    </row>
    <row r="480" spans="2:17" ht="13" outlineLevel="1" x14ac:dyDescent="0.15">
      <c r="B480" s="980" t="s">
        <v>1965</v>
      </c>
      <c r="C480" s="1038">
        <v>0.41</v>
      </c>
      <c r="D480" s="1049">
        <v>0.42</v>
      </c>
      <c r="E480" s="1049">
        <v>0</v>
      </c>
      <c r="F480" s="1049">
        <v>0</v>
      </c>
      <c r="G480" s="895">
        <v>0</v>
      </c>
      <c r="H480" s="1038">
        <v>0.17</v>
      </c>
      <c r="I480" s="1049">
        <v>0</v>
      </c>
      <c r="J480" s="1049">
        <v>0</v>
      </c>
      <c r="K480" s="895">
        <v>0</v>
      </c>
      <c r="L480" s="807">
        <v>0</v>
      </c>
      <c r="M480" s="1038">
        <v>0</v>
      </c>
      <c r="N480" s="895">
        <v>0</v>
      </c>
      <c r="O480" s="895">
        <f t="shared" si="5"/>
        <v>1</v>
      </c>
    </row>
    <row r="481" spans="2:15" ht="13" outlineLevel="1" x14ac:dyDescent="0.15">
      <c r="B481" s="980" t="s">
        <v>2467</v>
      </c>
      <c r="C481" s="1038">
        <v>0</v>
      </c>
      <c r="D481" s="1049">
        <v>0.99</v>
      </c>
      <c r="E481" s="1049">
        <v>0</v>
      </c>
      <c r="F481" s="1049">
        <v>0</v>
      </c>
      <c r="G481" s="895">
        <v>0</v>
      </c>
      <c r="H481" s="1038">
        <v>0.01</v>
      </c>
      <c r="I481" s="1049">
        <v>0</v>
      </c>
      <c r="J481" s="1049">
        <v>0</v>
      </c>
      <c r="K481" s="895">
        <v>0</v>
      </c>
      <c r="L481" s="807">
        <v>0</v>
      </c>
      <c r="M481" s="1038">
        <v>0</v>
      </c>
      <c r="N481" s="895">
        <v>0</v>
      </c>
      <c r="O481" s="895">
        <f t="shared" si="5"/>
        <v>1</v>
      </c>
    </row>
    <row r="482" spans="2:15" ht="13" outlineLevel="1" x14ac:dyDescent="0.15">
      <c r="B482" s="980" t="s">
        <v>2158</v>
      </c>
      <c r="C482" s="1038">
        <v>0.17</v>
      </c>
      <c r="D482" s="1049">
        <v>0.57999999999999996</v>
      </c>
      <c r="E482" s="1049">
        <v>0</v>
      </c>
      <c r="F482" s="1049">
        <v>0</v>
      </c>
      <c r="G482" s="895">
        <v>0</v>
      </c>
      <c r="H482" s="1038">
        <v>0</v>
      </c>
      <c r="I482" s="1049">
        <v>0</v>
      </c>
      <c r="J482" s="1049">
        <v>0</v>
      </c>
      <c r="K482" s="895">
        <v>0</v>
      </c>
      <c r="L482" s="807">
        <v>0.25</v>
      </c>
      <c r="M482" s="1038">
        <v>0</v>
      </c>
      <c r="N482" s="895">
        <v>0</v>
      </c>
      <c r="O482" s="895">
        <f t="shared" si="5"/>
        <v>1</v>
      </c>
    </row>
    <row r="483" spans="2:15" ht="13" outlineLevel="1" x14ac:dyDescent="0.15">
      <c r="B483" s="980" t="s">
        <v>2482</v>
      </c>
      <c r="C483" s="1038">
        <v>0</v>
      </c>
      <c r="D483" s="1049">
        <v>0.23</v>
      </c>
      <c r="E483" s="1049">
        <v>0</v>
      </c>
      <c r="F483" s="1049">
        <v>0</v>
      </c>
      <c r="G483" s="895">
        <v>0</v>
      </c>
      <c r="H483" s="1038">
        <v>0</v>
      </c>
      <c r="I483" s="1049">
        <v>0</v>
      </c>
      <c r="J483" s="1049">
        <v>0</v>
      </c>
      <c r="K483" s="895">
        <v>0</v>
      </c>
      <c r="L483" s="807">
        <v>0.77</v>
      </c>
      <c r="M483" s="1038">
        <v>0</v>
      </c>
      <c r="N483" s="895">
        <v>0</v>
      </c>
      <c r="O483" s="895">
        <f t="shared" si="5"/>
        <v>1</v>
      </c>
    </row>
    <row r="484" spans="2:15" ht="13" outlineLevel="1" x14ac:dyDescent="0.15">
      <c r="B484" s="980" t="s">
        <v>1975</v>
      </c>
      <c r="C484" s="1038">
        <v>0</v>
      </c>
      <c r="D484" s="1049">
        <v>0.36</v>
      </c>
      <c r="E484" s="1049">
        <v>0.15</v>
      </c>
      <c r="F484" s="1049">
        <v>0.02</v>
      </c>
      <c r="G484" s="895">
        <v>0.01</v>
      </c>
      <c r="H484" s="1038">
        <v>0.02</v>
      </c>
      <c r="I484" s="1049">
        <v>0.13</v>
      </c>
      <c r="J484" s="1049">
        <v>0.04</v>
      </c>
      <c r="K484" s="895">
        <v>0.15</v>
      </c>
      <c r="L484" s="807">
        <v>0.12</v>
      </c>
      <c r="M484" s="1038">
        <v>0</v>
      </c>
      <c r="N484" s="895">
        <v>0</v>
      </c>
      <c r="O484" s="895">
        <f t="shared" si="5"/>
        <v>1</v>
      </c>
    </row>
    <row r="485" spans="2:15" ht="13" outlineLevel="1" x14ac:dyDescent="0.15">
      <c r="B485" s="980" t="s">
        <v>2400</v>
      </c>
      <c r="C485" s="1038">
        <v>0</v>
      </c>
      <c r="D485" s="1049">
        <v>0.35200000000000004</v>
      </c>
      <c r="E485" s="1049">
        <v>0.16500000000000001</v>
      </c>
      <c r="F485" s="1049">
        <v>2.2000000000000002E-2</v>
      </c>
      <c r="G485" s="895">
        <v>1.1000000000000001E-2</v>
      </c>
      <c r="H485" s="1038">
        <v>1.3720210461157536E-2</v>
      </c>
      <c r="I485" s="1049">
        <v>0.12086737852058185</v>
      </c>
      <c r="J485" s="1049">
        <v>3.4036675951717735E-2</v>
      </c>
      <c r="K485" s="895">
        <v>0.14137573506654286</v>
      </c>
      <c r="L485" s="807">
        <v>0</v>
      </c>
      <c r="M485" s="1038">
        <v>0.12</v>
      </c>
      <c r="N485" s="895">
        <v>0.02</v>
      </c>
      <c r="O485" s="895">
        <f t="shared" si="5"/>
        <v>1</v>
      </c>
    </row>
    <row r="486" spans="2:15" ht="13" outlineLevel="1" x14ac:dyDescent="0.15">
      <c r="B486" s="980" t="s">
        <v>1966</v>
      </c>
      <c r="C486" s="1038">
        <v>0</v>
      </c>
      <c r="D486" s="1049">
        <v>0.89</v>
      </c>
      <c r="E486" s="1049">
        <v>0</v>
      </c>
      <c r="F486" s="1049">
        <v>0</v>
      </c>
      <c r="G486" s="895">
        <v>0</v>
      </c>
      <c r="H486" s="1038">
        <v>0</v>
      </c>
      <c r="I486" s="1049">
        <v>0.04</v>
      </c>
      <c r="J486" s="1049">
        <v>0.01</v>
      </c>
      <c r="K486" s="895">
        <v>0.04</v>
      </c>
      <c r="L486" s="807">
        <v>0.02</v>
      </c>
      <c r="M486" s="1038">
        <v>0</v>
      </c>
      <c r="N486" s="895">
        <v>0</v>
      </c>
      <c r="O486" s="895">
        <f t="shared" si="5"/>
        <v>1</v>
      </c>
    </row>
    <row r="487" spans="2:15" ht="13" outlineLevel="1" x14ac:dyDescent="0.15">
      <c r="B487" s="980" t="s">
        <v>2453</v>
      </c>
      <c r="C487" s="1038">
        <v>0</v>
      </c>
      <c r="D487" s="1049">
        <v>1</v>
      </c>
      <c r="E487" s="1049">
        <v>0</v>
      </c>
      <c r="F487" s="1049">
        <v>0</v>
      </c>
      <c r="G487" s="895">
        <v>0</v>
      </c>
      <c r="H487" s="1038">
        <v>0</v>
      </c>
      <c r="I487" s="1049">
        <v>0</v>
      </c>
      <c r="J487" s="1049">
        <v>0</v>
      </c>
      <c r="K487" s="895">
        <v>0</v>
      </c>
      <c r="L487" s="807">
        <v>0</v>
      </c>
      <c r="M487" s="1038">
        <v>0</v>
      </c>
      <c r="N487" s="895">
        <v>0</v>
      </c>
      <c r="O487" s="895">
        <f t="shared" si="5"/>
        <v>1</v>
      </c>
    </row>
    <row r="488" spans="2:15" ht="13" outlineLevel="1" x14ac:dyDescent="0.15">
      <c r="B488" s="980" t="s">
        <v>1967</v>
      </c>
      <c r="C488" s="1038">
        <v>0</v>
      </c>
      <c r="D488" s="1049">
        <v>0</v>
      </c>
      <c r="E488" s="1049">
        <v>0</v>
      </c>
      <c r="F488" s="1049">
        <v>0</v>
      </c>
      <c r="G488" s="895">
        <v>0</v>
      </c>
      <c r="H488" s="1038">
        <v>0</v>
      </c>
      <c r="I488" s="1049">
        <v>0</v>
      </c>
      <c r="J488" s="1049">
        <v>0</v>
      </c>
      <c r="K488" s="895">
        <v>0</v>
      </c>
      <c r="L488" s="807">
        <v>0</v>
      </c>
      <c r="M488" s="1038">
        <v>0.5</v>
      </c>
      <c r="N488" s="895">
        <v>0.5</v>
      </c>
      <c r="O488" s="895">
        <f t="shared" si="5"/>
        <v>1</v>
      </c>
    </row>
    <row r="489" spans="2:15" ht="13" outlineLevel="1" x14ac:dyDescent="0.15">
      <c r="B489" s="980" t="s">
        <v>1968</v>
      </c>
      <c r="C489" s="1038">
        <v>0.41</v>
      </c>
      <c r="D489" s="1049">
        <v>0.42</v>
      </c>
      <c r="E489" s="1049">
        <v>0</v>
      </c>
      <c r="F489" s="1049">
        <v>0</v>
      </c>
      <c r="G489" s="895">
        <v>0</v>
      </c>
      <c r="H489" s="1038">
        <v>0.17</v>
      </c>
      <c r="I489" s="1049">
        <v>0</v>
      </c>
      <c r="J489" s="1049">
        <v>0</v>
      </c>
      <c r="K489" s="895">
        <v>0</v>
      </c>
      <c r="L489" s="807">
        <v>0</v>
      </c>
      <c r="M489" s="1038">
        <v>0</v>
      </c>
      <c r="N489" s="895">
        <v>0</v>
      </c>
      <c r="O489" s="895">
        <f t="shared" si="5"/>
        <v>1</v>
      </c>
    </row>
    <row r="490" spans="2:15" ht="13" outlineLevel="1" x14ac:dyDescent="0.15">
      <c r="B490" s="980" t="s">
        <v>2468</v>
      </c>
      <c r="C490" s="1038">
        <v>0</v>
      </c>
      <c r="D490" s="1049">
        <v>0.99</v>
      </c>
      <c r="E490" s="1049">
        <v>0</v>
      </c>
      <c r="F490" s="1049">
        <v>0</v>
      </c>
      <c r="G490" s="895">
        <v>0</v>
      </c>
      <c r="H490" s="1038">
        <v>0.01</v>
      </c>
      <c r="I490" s="1049">
        <v>0</v>
      </c>
      <c r="J490" s="1049">
        <v>0</v>
      </c>
      <c r="K490" s="895">
        <v>0</v>
      </c>
      <c r="L490" s="807">
        <v>0</v>
      </c>
      <c r="M490" s="1038">
        <v>0</v>
      </c>
      <c r="N490" s="895">
        <v>0</v>
      </c>
      <c r="O490" s="895">
        <f t="shared" si="5"/>
        <v>1</v>
      </c>
    </row>
    <row r="491" spans="2:15" ht="13" outlineLevel="1" x14ac:dyDescent="0.15">
      <c r="B491" s="980" t="s">
        <v>2159</v>
      </c>
      <c r="C491" s="1038">
        <v>0.22</v>
      </c>
      <c r="D491" s="1049">
        <v>0.78</v>
      </c>
      <c r="E491" s="1049">
        <v>0</v>
      </c>
      <c r="F491" s="1049">
        <v>0</v>
      </c>
      <c r="G491" s="895">
        <v>0</v>
      </c>
      <c r="H491" s="1038">
        <v>0</v>
      </c>
      <c r="I491" s="1049">
        <v>0</v>
      </c>
      <c r="J491" s="1049">
        <v>0</v>
      </c>
      <c r="K491" s="895">
        <v>0</v>
      </c>
      <c r="L491" s="807">
        <v>0</v>
      </c>
      <c r="M491" s="1038">
        <v>0</v>
      </c>
      <c r="N491" s="895">
        <v>0</v>
      </c>
      <c r="O491" s="895">
        <f t="shared" si="5"/>
        <v>1</v>
      </c>
    </row>
    <row r="492" spans="2:15" ht="13" outlineLevel="1" x14ac:dyDescent="0.15">
      <c r="B492" s="980" t="s">
        <v>2483</v>
      </c>
      <c r="C492" s="1038">
        <v>0</v>
      </c>
      <c r="D492" s="1049">
        <v>0</v>
      </c>
      <c r="E492" s="1049">
        <v>0</v>
      </c>
      <c r="F492" s="1049">
        <v>0</v>
      </c>
      <c r="G492" s="895">
        <v>0</v>
      </c>
      <c r="H492" s="1038">
        <v>0</v>
      </c>
      <c r="I492" s="1049">
        <v>0</v>
      </c>
      <c r="J492" s="1049">
        <v>0</v>
      </c>
      <c r="K492" s="895">
        <v>0</v>
      </c>
      <c r="L492" s="807">
        <v>0</v>
      </c>
      <c r="M492" s="1038">
        <v>1</v>
      </c>
      <c r="N492" s="895">
        <v>0</v>
      </c>
      <c r="O492" s="895">
        <f t="shared" si="5"/>
        <v>1</v>
      </c>
    </row>
    <row r="493" spans="2:15" ht="13" outlineLevel="1" x14ac:dyDescent="0.15">
      <c r="B493" s="980" t="s">
        <v>2152</v>
      </c>
      <c r="C493" s="1038">
        <v>0</v>
      </c>
      <c r="D493" s="1049">
        <v>0.26</v>
      </c>
      <c r="E493" s="1049">
        <v>0.12</v>
      </c>
      <c r="F493" s="1049">
        <v>0.02</v>
      </c>
      <c r="G493" s="895">
        <v>0.01</v>
      </c>
      <c r="H493" s="1038">
        <v>0.02</v>
      </c>
      <c r="I493" s="1049">
        <v>0.21</v>
      </c>
      <c r="J493" s="1049">
        <v>0.06</v>
      </c>
      <c r="K493" s="895">
        <v>0.25</v>
      </c>
      <c r="L493" s="807">
        <v>0.01</v>
      </c>
      <c r="M493" s="1038">
        <v>0.03</v>
      </c>
      <c r="N493" s="895">
        <v>0.01</v>
      </c>
      <c r="O493" s="895">
        <f t="shared" si="5"/>
        <v>1</v>
      </c>
    </row>
    <row r="494" spans="2:15" ht="13" outlineLevel="1" x14ac:dyDescent="0.15">
      <c r="B494" s="980" t="s">
        <v>2401</v>
      </c>
      <c r="C494" s="1038">
        <v>0</v>
      </c>
      <c r="D494" s="1049">
        <v>0.25600000000000001</v>
      </c>
      <c r="E494" s="1049">
        <v>0.12</v>
      </c>
      <c r="F494" s="1049">
        <v>1.6E-2</v>
      </c>
      <c r="G494" s="895">
        <v>8.0000000000000002E-3</v>
      </c>
      <c r="H494" s="1038">
        <v>2.4342308882698855E-2</v>
      </c>
      <c r="I494" s="1049">
        <v>0.21444212318167752</v>
      </c>
      <c r="J494" s="1049">
        <v>6.0387650882079855E-2</v>
      </c>
      <c r="K494" s="895">
        <v>0.25082791705354379</v>
      </c>
      <c r="L494" s="807">
        <v>0.01</v>
      </c>
      <c r="M494" s="1038">
        <v>0.03</v>
      </c>
      <c r="N494" s="895">
        <v>0.01</v>
      </c>
      <c r="O494" s="895">
        <f t="shared" si="5"/>
        <v>1</v>
      </c>
    </row>
    <row r="495" spans="2:15" ht="13" outlineLevel="1" x14ac:dyDescent="0.15">
      <c r="B495" s="980" t="s">
        <v>1969</v>
      </c>
      <c r="C495" s="1038">
        <v>0</v>
      </c>
      <c r="D495" s="1049">
        <v>0.89</v>
      </c>
      <c r="E495" s="1049">
        <v>0</v>
      </c>
      <c r="F495" s="1049">
        <v>0</v>
      </c>
      <c r="G495" s="895">
        <v>0</v>
      </c>
      <c r="H495" s="1038">
        <v>0</v>
      </c>
      <c r="I495" s="1049">
        <v>0.04</v>
      </c>
      <c r="J495" s="1049">
        <v>0.01</v>
      </c>
      <c r="K495" s="895">
        <v>0.04</v>
      </c>
      <c r="L495" s="807">
        <v>0.02</v>
      </c>
      <c r="M495" s="1038">
        <v>0</v>
      </c>
      <c r="N495" s="895">
        <v>0</v>
      </c>
      <c r="O495" s="895">
        <f t="shared" si="5"/>
        <v>1</v>
      </c>
    </row>
    <row r="496" spans="2:15" ht="13" outlineLevel="1" x14ac:dyDescent="0.15">
      <c r="B496" s="980" t="s">
        <v>2454</v>
      </c>
      <c r="C496" s="1038">
        <v>0</v>
      </c>
      <c r="D496" s="1049">
        <v>1</v>
      </c>
      <c r="E496" s="1049">
        <v>0</v>
      </c>
      <c r="F496" s="1049">
        <v>0</v>
      </c>
      <c r="G496" s="895">
        <v>0</v>
      </c>
      <c r="H496" s="1038">
        <v>0</v>
      </c>
      <c r="I496" s="1049">
        <v>0</v>
      </c>
      <c r="J496" s="1049">
        <v>0</v>
      </c>
      <c r="K496" s="895">
        <v>0</v>
      </c>
      <c r="L496" s="807">
        <v>0</v>
      </c>
      <c r="M496" s="1038">
        <v>0</v>
      </c>
      <c r="N496" s="895">
        <v>0</v>
      </c>
      <c r="O496" s="895">
        <f t="shared" si="5"/>
        <v>1</v>
      </c>
    </row>
    <row r="497" spans="2:15" ht="13" outlineLevel="1" x14ac:dyDescent="0.15">
      <c r="B497" s="980" t="s">
        <v>1970</v>
      </c>
      <c r="C497" s="1038">
        <v>0</v>
      </c>
      <c r="D497" s="1049">
        <v>0.64</v>
      </c>
      <c r="E497" s="1049">
        <v>0</v>
      </c>
      <c r="F497" s="1049">
        <v>0</v>
      </c>
      <c r="G497" s="895">
        <v>0</v>
      </c>
      <c r="H497" s="1038">
        <v>0</v>
      </c>
      <c r="I497" s="1049">
        <v>0.14000000000000001</v>
      </c>
      <c r="J497" s="1049">
        <v>0.04</v>
      </c>
      <c r="K497" s="895">
        <v>0.17</v>
      </c>
      <c r="L497" s="807">
        <v>0.01</v>
      </c>
      <c r="M497" s="1038">
        <v>0</v>
      </c>
      <c r="N497" s="895">
        <v>0</v>
      </c>
      <c r="O497" s="895">
        <f t="shared" si="5"/>
        <v>1</v>
      </c>
    </row>
    <row r="498" spans="2:15" ht="13" outlineLevel="1" x14ac:dyDescent="0.15">
      <c r="B498" s="980" t="s">
        <v>1971</v>
      </c>
      <c r="C498" s="1038">
        <v>0.41</v>
      </c>
      <c r="D498" s="1049">
        <v>0.42</v>
      </c>
      <c r="E498" s="1049">
        <v>0</v>
      </c>
      <c r="F498" s="1049">
        <v>0</v>
      </c>
      <c r="G498" s="895">
        <v>0</v>
      </c>
      <c r="H498" s="1038">
        <v>0.17</v>
      </c>
      <c r="I498" s="1049">
        <v>0</v>
      </c>
      <c r="J498" s="1049">
        <v>0</v>
      </c>
      <c r="K498" s="895">
        <v>0</v>
      </c>
      <c r="L498" s="807">
        <v>0</v>
      </c>
      <c r="M498" s="1038">
        <v>0</v>
      </c>
      <c r="N498" s="895">
        <v>0</v>
      </c>
      <c r="O498" s="895">
        <f t="shared" si="5"/>
        <v>1</v>
      </c>
    </row>
    <row r="499" spans="2:15" ht="13" outlineLevel="1" x14ac:dyDescent="0.15">
      <c r="B499" s="980" t="s">
        <v>2469</v>
      </c>
      <c r="C499" s="1038">
        <v>0</v>
      </c>
      <c r="D499" s="1049">
        <v>0.99</v>
      </c>
      <c r="E499" s="1049">
        <v>0</v>
      </c>
      <c r="F499" s="1049">
        <v>0</v>
      </c>
      <c r="G499" s="895">
        <v>0</v>
      </c>
      <c r="H499" s="1038">
        <v>0.01</v>
      </c>
      <c r="I499" s="1049">
        <v>0</v>
      </c>
      <c r="J499" s="1049">
        <v>0</v>
      </c>
      <c r="K499" s="895">
        <v>0</v>
      </c>
      <c r="L499" s="807">
        <v>0</v>
      </c>
      <c r="M499" s="1038">
        <v>0</v>
      </c>
      <c r="N499" s="895">
        <v>0</v>
      </c>
      <c r="O499" s="895">
        <f t="shared" si="5"/>
        <v>1</v>
      </c>
    </row>
    <row r="500" spans="2:15" ht="13" outlineLevel="1" x14ac:dyDescent="0.15">
      <c r="B500" s="980" t="s">
        <v>2160</v>
      </c>
      <c r="C500" s="1038">
        <v>0.22</v>
      </c>
      <c r="D500" s="1049">
        <v>0.78</v>
      </c>
      <c r="E500" s="1049">
        <v>0</v>
      </c>
      <c r="F500" s="1049">
        <v>0</v>
      </c>
      <c r="G500" s="895">
        <v>0</v>
      </c>
      <c r="H500" s="1038">
        <v>0</v>
      </c>
      <c r="I500" s="1049">
        <v>0</v>
      </c>
      <c r="J500" s="1049">
        <v>0</v>
      </c>
      <c r="K500" s="895">
        <v>0</v>
      </c>
      <c r="L500" s="807">
        <v>0</v>
      </c>
      <c r="M500" s="1038">
        <v>0</v>
      </c>
      <c r="N500" s="895">
        <v>0</v>
      </c>
      <c r="O500" s="895">
        <f t="shared" si="5"/>
        <v>1</v>
      </c>
    </row>
    <row r="501" spans="2:15" ht="13" outlineLevel="1" x14ac:dyDescent="0.15">
      <c r="B501" s="980" t="s">
        <v>2484</v>
      </c>
      <c r="C501" s="1038">
        <v>0</v>
      </c>
      <c r="D501" s="1049">
        <v>1</v>
      </c>
      <c r="E501" s="1049">
        <v>0</v>
      </c>
      <c r="F501" s="1049">
        <v>0</v>
      </c>
      <c r="G501" s="895">
        <v>0</v>
      </c>
      <c r="H501" s="1038">
        <v>0</v>
      </c>
      <c r="I501" s="1049">
        <v>0</v>
      </c>
      <c r="J501" s="1049">
        <v>0</v>
      </c>
      <c r="K501" s="895">
        <v>0</v>
      </c>
      <c r="L501" s="807">
        <v>0</v>
      </c>
      <c r="M501" s="1038">
        <v>0</v>
      </c>
      <c r="N501" s="895">
        <v>0</v>
      </c>
      <c r="O501" s="895">
        <f t="shared" si="5"/>
        <v>1</v>
      </c>
    </row>
    <row r="502" spans="2:15" ht="13" outlineLevel="1" x14ac:dyDescent="0.15">
      <c r="B502" s="980" t="s">
        <v>2153</v>
      </c>
      <c r="C502" s="1038">
        <v>0</v>
      </c>
      <c r="D502" s="1049">
        <v>0.5</v>
      </c>
      <c r="E502" s="1049">
        <v>0</v>
      </c>
      <c r="F502" s="1049">
        <v>0</v>
      </c>
      <c r="G502" s="895">
        <v>0</v>
      </c>
      <c r="H502" s="1038">
        <v>0</v>
      </c>
      <c r="I502" s="1049">
        <v>0</v>
      </c>
      <c r="J502" s="1049">
        <v>0</v>
      </c>
      <c r="K502" s="895">
        <v>0</v>
      </c>
      <c r="L502" s="807">
        <v>0.5</v>
      </c>
      <c r="M502" s="1038">
        <v>0</v>
      </c>
      <c r="N502" s="895">
        <v>0</v>
      </c>
      <c r="O502" s="895">
        <f t="shared" si="5"/>
        <v>1</v>
      </c>
    </row>
    <row r="503" spans="2:15" ht="13" outlineLevel="1" x14ac:dyDescent="0.15">
      <c r="B503" s="980" t="s">
        <v>2402</v>
      </c>
      <c r="C503" s="1038">
        <v>0</v>
      </c>
      <c r="D503" s="1049">
        <v>0.5</v>
      </c>
      <c r="E503" s="1049">
        <v>0</v>
      </c>
      <c r="F503" s="1049">
        <v>0</v>
      </c>
      <c r="G503" s="895">
        <v>0</v>
      </c>
      <c r="H503" s="1038">
        <v>0</v>
      </c>
      <c r="I503" s="1049">
        <v>0</v>
      </c>
      <c r="J503" s="1049">
        <v>0</v>
      </c>
      <c r="K503" s="895">
        <v>0</v>
      </c>
      <c r="L503" s="807">
        <v>0.5</v>
      </c>
      <c r="M503" s="1038">
        <v>0</v>
      </c>
      <c r="N503" s="895">
        <v>0</v>
      </c>
      <c r="O503" s="895">
        <f t="shared" si="5"/>
        <v>1</v>
      </c>
    </row>
    <row r="504" spans="2:15" ht="13" outlineLevel="1" x14ac:dyDescent="0.15">
      <c r="B504" s="980" t="s">
        <v>1972</v>
      </c>
      <c r="C504" s="1038">
        <v>0</v>
      </c>
      <c r="D504" s="1049">
        <v>0.5</v>
      </c>
      <c r="E504" s="1049">
        <v>0</v>
      </c>
      <c r="F504" s="1049">
        <v>0</v>
      </c>
      <c r="G504" s="895">
        <v>0</v>
      </c>
      <c r="H504" s="1038">
        <v>0</v>
      </c>
      <c r="I504" s="1049">
        <v>0</v>
      </c>
      <c r="J504" s="1049">
        <v>0</v>
      </c>
      <c r="K504" s="895">
        <v>0</v>
      </c>
      <c r="L504" s="807">
        <v>0.5</v>
      </c>
      <c r="M504" s="1038">
        <v>0</v>
      </c>
      <c r="N504" s="895">
        <v>0</v>
      </c>
      <c r="O504" s="895">
        <f t="shared" si="5"/>
        <v>1</v>
      </c>
    </row>
    <row r="505" spans="2:15" ht="13" outlineLevel="1" x14ac:dyDescent="0.15">
      <c r="B505" s="980" t="s">
        <v>2455</v>
      </c>
      <c r="C505" s="1038">
        <v>0</v>
      </c>
      <c r="D505" s="1049">
        <v>1</v>
      </c>
      <c r="E505" s="1049">
        <v>0</v>
      </c>
      <c r="F505" s="1049">
        <v>0</v>
      </c>
      <c r="G505" s="895">
        <v>0</v>
      </c>
      <c r="H505" s="1038">
        <v>0</v>
      </c>
      <c r="I505" s="1049">
        <v>0</v>
      </c>
      <c r="J505" s="1049">
        <v>0</v>
      </c>
      <c r="K505" s="895">
        <v>0</v>
      </c>
      <c r="L505" s="807">
        <v>0</v>
      </c>
      <c r="M505" s="1038">
        <v>0</v>
      </c>
      <c r="N505" s="895">
        <v>0</v>
      </c>
      <c r="O505" s="895">
        <f t="shared" ref="O505:O510" si="6">SUM(C505:N505)</f>
        <v>1</v>
      </c>
    </row>
    <row r="506" spans="2:15" ht="13" outlineLevel="1" x14ac:dyDescent="0.15">
      <c r="B506" s="980" t="s">
        <v>1973</v>
      </c>
      <c r="C506" s="1038">
        <v>0</v>
      </c>
      <c r="D506" s="1049">
        <v>0.5</v>
      </c>
      <c r="E506" s="1049">
        <v>0</v>
      </c>
      <c r="F506" s="1049">
        <v>0</v>
      </c>
      <c r="G506" s="895">
        <v>0</v>
      </c>
      <c r="H506" s="1038">
        <v>0</v>
      </c>
      <c r="I506" s="1049">
        <v>0</v>
      </c>
      <c r="J506" s="1049">
        <v>0</v>
      </c>
      <c r="K506" s="895">
        <v>0</v>
      </c>
      <c r="L506" s="807">
        <v>0.5</v>
      </c>
      <c r="M506" s="1038">
        <v>0</v>
      </c>
      <c r="N506" s="895">
        <v>0</v>
      </c>
      <c r="O506" s="895">
        <f t="shared" si="6"/>
        <v>1</v>
      </c>
    </row>
    <row r="507" spans="2:15" ht="13" outlineLevel="1" x14ac:dyDescent="0.15">
      <c r="B507" s="980" t="s">
        <v>1974</v>
      </c>
      <c r="C507" s="1038">
        <v>0.41</v>
      </c>
      <c r="D507" s="1049">
        <v>0.42</v>
      </c>
      <c r="E507" s="1049">
        <v>0</v>
      </c>
      <c r="F507" s="1049">
        <v>0</v>
      </c>
      <c r="G507" s="895">
        <v>0</v>
      </c>
      <c r="H507" s="1038">
        <v>0.17</v>
      </c>
      <c r="I507" s="1049">
        <v>0</v>
      </c>
      <c r="J507" s="1049">
        <v>0</v>
      </c>
      <c r="K507" s="895">
        <v>0</v>
      </c>
      <c r="L507" s="807">
        <v>0</v>
      </c>
      <c r="M507" s="1038">
        <v>0</v>
      </c>
      <c r="N507" s="895">
        <v>0</v>
      </c>
      <c r="O507" s="895">
        <f t="shared" si="6"/>
        <v>1</v>
      </c>
    </row>
    <row r="508" spans="2:15" ht="13" outlineLevel="1" x14ac:dyDescent="0.15">
      <c r="B508" s="980" t="s">
        <v>2470</v>
      </c>
      <c r="C508" s="1038">
        <v>0</v>
      </c>
      <c r="D508" s="1049">
        <v>1</v>
      </c>
      <c r="E508" s="1049">
        <v>0</v>
      </c>
      <c r="F508" s="1049">
        <v>0</v>
      </c>
      <c r="G508" s="895">
        <v>0</v>
      </c>
      <c r="H508" s="1038">
        <v>0</v>
      </c>
      <c r="I508" s="1049">
        <v>0</v>
      </c>
      <c r="J508" s="1049">
        <v>0</v>
      </c>
      <c r="K508" s="895">
        <v>0</v>
      </c>
      <c r="L508" s="807">
        <v>0</v>
      </c>
      <c r="M508" s="1038">
        <v>0</v>
      </c>
      <c r="N508" s="895">
        <v>0</v>
      </c>
      <c r="O508" s="895">
        <f t="shared" si="6"/>
        <v>1</v>
      </c>
    </row>
    <row r="509" spans="2:15" ht="13" outlineLevel="1" x14ac:dyDescent="0.15">
      <c r="B509" s="980" t="s">
        <v>2161</v>
      </c>
      <c r="C509" s="1038">
        <v>0.22</v>
      </c>
      <c r="D509" s="1049">
        <v>0.78</v>
      </c>
      <c r="E509" s="1049">
        <v>0</v>
      </c>
      <c r="F509" s="1049">
        <v>0</v>
      </c>
      <c r="G509" s="895">
        <v>0</v>
      </c>
      <c r="H509" s="1038">
        <v>0</v>
      </c>
      <c r="I509" s="1049">
        <v>0</v>
      </c>
      <c r="J509" s="1049">
        <v>0</v>
      </c>
      <c r="K509" s="895">
        <v>0</v>
      </c>
      <c r="L509" s="807">
        <v>0</v>
      </c>
      <c r="M509" s="1038">
        <v>0</v>
      </c>
      <c r="N509" s="895">
        <v>0</v>
      </c>
      <c r="O509" s="895">
        <f t="shared" si="6"/>
        <v>1</v>
      </c>
    </row>
    <row r="510" spans="2:15" ht="13" outlineLevel="1" x14ac:dyDescent="0.15">
      <c r="B510" s="980" t="s">
        <v>2485</v>
      </c>
      <c r="C510" s="1038">
        <v>0</v>
      </c>
      <c r="D510" s="1049">
        <v>0.5</v>
      </c>
      <c r="E510" s="1049">
        <v>0</v>
      </c>
      <c r="F510" s="1049">
        <v>0</v>
      </c>
      <c r="G510" s="895">
        <v>0</v>
      </c>
      <c r="H510" s="1038">
        <v>0</v>
      </c>
      <c r="I510" s="1049">
        <v>0</v>
      </c>
      <c r="J510" s="1049">
        <v>0</v>
      </c>
      <c r="K510" s="895">
        <v>0</v>
      </c>
      <c r="L510" s="807">
        <v>0.5</v>
      </c>
      <c r="M510" s="1038">
        <v>0</v>
      </c>
      <c r="N510" s="895">
        <v>0</v>
      </c>
      <c r="O510" s="895">
        <f t="shared" si="6"/>
        <v>1</v>
      </c>
    </row>
    <row r="511" spans="2:15" ht="13" outlineLevel="1" x14ac:dyDescent="0.15">
      <c r="B511" s="1045"/>
      <c r="C511" s="1040"/>
      <c r="D511" s="1050"/>
      <c r="E511" s="1050"/>
      <c r="F511" s="1050"/>
      <c r="G511" s="1062"/>
      <c r="H511" s="1040"/>
      <c r="I511" s="1050"/>
      <c r="J511" s="1050"/>
      <c r="K511" s="1062"/>
      <c r="L511" s="814"/>
      <c r="M511" s="1040"/>
      <c r="N511" s="1062"/>
      <c r="O511" s="1062"/>
    </row>
    <row r="512" spans="2:15" outlineLevel="1" x14ac:dyDescent="0.2"/>
    <row r="515" spans="2:15" ht="20" customHeight="1" collapsed="1" x14ac:dyDescent="0.2">
      <c r="B515" s="1868" t="s">
        <v>2403</v>
      </c>
      <c r="C515" s="1869"/>
      <c r="D515" s="1869"/>
      <c r="E515" s="1869"/>
      <c r="F515" s="1869"/>
      <c r="G515" s="1869"/>
      <c r="H515" s="1869"/>
      <c r="I515" s="1869"/>
      <c r="J515" s="1869"/>
      <c r="K515" s="1869"/>
      <c r="L515" s="1869"/>
      <c r="M515" s="1869"/>
      <c r="N515" s="1869"/>
      <c r="O515" s="1870"/>
    </row>
    <row r="516" spans="2:15" hidden="1" outlineLevel="1" x14ac:dyDescent="0.2"/>
    <row r="517" spans="2:15" ht="20" hidden="1" customHeight="1" outlineLevel="1" x14ac:dyDescent="0.2">
      <c r="B517" s="1955" t="s">
        <v>2404</v>
      </c>
      <c r="C517" s="1956"/>
      <c r="D517" s="1956"/>
      <c r="E517" s="1956"/>
      <c r="F517" s="1956"/>
      <c r="G517" s="1956"/>
      <c r="H517" s="1956"/>
      <c r="I517" s="1956"/>
      <c r="J517" s="1956"/>
      <c r="K517" s="1956"/>
      <c r="L517" s="1956"/>
      <c r="M517" s="1956"/>
      <c r="N517" s="1956"/>
      <c r="O517" s="1957"/>
    </row>
    <row r="518" spans="2:15" ht="20" hidden="1" customHeight="1" outlineLevel="1" x14ac:dyDescent="0.2">
      <c r="B518" s="1961" t="s">
        <v>2405</v>
      </c>
      <c r="C518" s="1962"/>
      <c r="D518" s="1962"/>
      <c r="E518" s="1962"/>
      <c r="F518" s="1962"/>
      <c r="G518" s="1962"/>
      <c r="H518" s="1962"/>
      <c r="I518" s="1962"/>
      <c r="J518" s="1962"/>
      <c r="K518" s="1962"/>
      <c r="L518" s="1962"/>
      <c r="M518" s="1962"/>
      <c r="N518" s="1962"/>
      <c r="O518" s="1963"/>
    </row>
    <row r="519" spans="2:15" ht="20" hidden="1" customHeight="1" outlineLevel="1" x14ac:dyDescent="0.2">
      <c r="B519" s="1961" t="s">
        <v>2407</v>
      </c>
      <c r="C519" s="1962"/>
      <c r="D519" s="1962"/>
      <c r="E519" s="1962"/>
      <c r="F519" s="1962"/>
      <c r="G519" s="1962"/>
      <c r="H519" s="1962"/>
      <c r="I519" s="1962"/>
      <c r="J519" s="1962"/>
      <c r="K519" s="1962"/>
      <c r="L519" s="1962"/>
      <c r="M519" s="1962"/>
      <c r="N519" s="1962"/>
      <c r="O519" s="1963"/>
    </row>
    <row r="520" spans="2:15" ht="20" hidden="1" customHeight="1" outlineLevel="1" x14ac:dyDescent="0.2">
      <c r="B520" s="1958" t="s">
        <v>2406</v>
      </c>
      <c r="C520" s="1959"/>
      <c r="D520" s="1959"/>
      <c r="E520" s="1959"/>
      <c r="F520" s="1959"/>
      <c r="G520" s="1959"/>
      <c r="H520" s="1959"/>
      <c r="I520" s="1959"/>
      <c r="J520" s="1959"/>
      <c r="K520" s="1959"/>
      <c r="L520" s="1959"/>
      <c r="M520" s="1959"/>
      <c r="N520" s="1959"/>
      <c r="O520" s="1960"/>
    </row>
    <row r="521" spans="2:15" hidden="1" outlineLevel="1" x14ac:dyDescent="0.2"/>
    <row r="524" spans="2:15" ht="20" customHeight="1" collapsed="1" x14ac:dyDescent="0.2">
      <c r="B524" s="1915" t="s">
        <v>2408</v>
      </c>
      <c r="C524" s="1916"/>
      <c r="D524" s="1916"/>
      <c r="E524" s="1916"/>
      <c r="F524" s="1916"/>
      <c r="G524" s="1916"/>
      <c r="H524" s="1916"/>
      <c r="I524" s="1916"/>
      <c r="J524" s="1916"/>
      <c r="K524" s="1916"/>
      <c r="L524" s="1916"/>
      <c r="M524" s="1916"/>
      <c r="N524" s="1916"/>
      <c r="O524" s="1917"/>
    </row>
    <row r="525" spans="2:15" hidden="1" outlineLevel="1" x14ac:dyDescent="0.2"/>
    <row r="526" spans="2:15" ht="13" hidden="1" outlineLevel="1" x14ac:dyDescent="0.2">
      <c r="B526" s="1150" t="s">
        <v>2409</v>
      </c>
      <c r="C526" s="42"/>
      <c r="D526" s="42"/>
      <c r="E526" s="42"/>
      <c r="F526" s="42"/>
      <c r="G526" s="42"/>
      <c r="H526" s="42"/>
    </row>
    <row r="527" spans="2:15" ht="13" hidden="1" outlineLevel="1" x14ac:dyDescent="0.2">
      <c r="B527" s="1151" t="s">
        <v>2033</v>
      </c>
      <c r="C527" s="42"/>
      <c r="G527" s="42"/>
      <c r="H527" s="42"/>
    </row>
    <row r="528" spans="2:15" ht="13" hidden="1" outlineLevel="1" x14ac:dyDescent="0.2">
      <c r="B528" s="1151" t="s">
        <v>2034</v>
      </c>
      <c r="C528" s="42"/>
      <c r="D528" s="42"/>
      <c r="E528" s="42"/>
      <c r="F528" s="42"/>
      <c r="G528" s="42"/>
      <c r="H528" s="42"/>
    </row>
    <row r="529" spans="2:12" ht="13" hidden="1" outlineLevel="1" x14ac:dyDescent="0.2">
      <c r="B529" s="1151" t="s">
        <v>2035</v>
      </c>
      <c r="C529" s="42"/>
      <c r="D529" s="42"/>
      <c r="E529" s="42"/>
      <c r="F529" s="42"/>
      <c r="G529" s="42"/>
      <c r="H529" s="42"/>
    </row>
    <row r="530" spans="2:12" ht="13" hidden="1" outlineLevel="1" x14ac:dyDescent="0.2">
      <c r="B530" s="42"/>
      <c r="C530" s="42"/>
      <c r="D530" s="42"/>
      <c r="E530" s="42"/>
      <c r="F530" s="42"/>
      <c r="G530" s="42"/>
      <c r="H530" s="42"/>
    </row>
    <row r="531" spans="2:12" ht="13" hidden="1" outlineLevel="1" x14ac:dyDescent="0.2">
      <c r="B531" s="1150" t="s">
        <v>2410</v>
      </c>
      <c r="C531" s="1937" t="s">
        <v>716</v>
      </c>
      <c r="D531" s="1938"/>
      <c r="E531" s="1937" t="s">
        <v>2411</v>
      </c>
      <c r="F531" s="1938"/>
      <c r="G531" s="1937" t="s">
        <v>719</v>
      </c>
      <c r="H531" s="1938"/>
      <c r="I531" s="1937" t="s">
        <v>1408</v>
      </c>
      <c r="J531" s="1938"/>
      <c r="K531" s="1937" t="s">
        <v>720</v>
      </c>
      <c r="L531" s="1938"/>
    </row>
    <row r="532" spans="2:12" ht="13" hidden="1" outlineLevel="1" x14ac:dyDescent="0.2">
      <c r="B532" s="1967" t="str">
        <f>B527&amp;" Approach "&amp;" 
or  "&amp;B529 &amp;" approach"</f>
        <v>Financial control Approach  
or  Share of capital approach</v>
      </c>
      <c r="C532" s="1152" t="s">
        <v>2421</v>
      </c>
      <c r="D532" s="1153"/>
      <c r="E532" s="1206" t="s">
        <v>2429</v>
      </c>
      <c r="F532" s="1206"/>
      <c r="G532" s="1152" t="s">
        <v>2421</v>
      </c>
      <c r="H532" s="1153"/>
      <c r="I532" s="1152" t="s">
        <v>2421</v>
      </c>
      <c r="J532" s="1153"/>
      <c r="K532" s="1152" t="s">
        <v>2421</v>
      </c>
      <c r="L532" s="1153"/>
    </row>
    <row r="533" spans="2:12" ht="13" hidden="1" outlineLevel="1" x14ac:dyDescent="0.2">
      <c r="B533" s="1968"/>
      <c r="C533" s="1154" t="s">
        <v>2431</v>
      </c>
      <c r="D533" s="1155"/>
      <c r="E533" s="1207" t="s">
        <v>2422</v>
      </c>
      <c r="F533" s="1207"/>
      <c r="G533" s="1154" t="s">
        <v>2432</v>
      </c>
      <c r="H533" s="1155"/>
      <c r="I533" s="1154" t="s">
        <v>2431</v>
      </c>
      <c r="J533" s="1155"/>
      <c r="K533" s="1154" t="s">
        <v>2436</v>
      </c>
      <c r="L533" s="1155"/>
    </row>
    <row r="534" spans="2:12" ht="13" hidden="1" outlineLevel="1" x14ac:dyDescent="0.2">
      <c r="B534" s="1968"/>
      <c r="C534" s="1154" t="s">
        <v>2424</v>
      </c>
      <c r="D534" s="1155"/>
      <c r="E534" s="1207" t="s">
        <v>2431</v>
      </c>
      <c r="F534" s="1207"/>
      <c r="G534" s="1154" t="s">
        <v>2434</v>
      </c>
      <c r="H534" s="1155"/>
      <c r="I534" s="1154" t="s">
        <v>2424</v>
      </c>
      <c r="J534" s="1155"/>
      <c r="K534" s="1154"/>
      <c r="L534" s="1155"/>
    </row>
    <row r="535" spans="2:12" ht="13" hidden="1" outlineLevel="1" x14ac:dyDescent="0.2">
      <c r="B535" s="1969"/>
      <c r="C535" s="1156"/>
      <c r="D535" s="1157"/>
      <c r="E535" s="1208" t="s">
        <v>2424</v>
      </c>
      <c r="F535" s="1208"/>
      <c r="G535" s="1156"/>
      <c r="H535" s="1157"/>
      <c r="I535" s="1156"/>
      <c r="J535" s="1157"/>
      <c r="K535" s="1156"/>
      <c r="L535" s="1157"/>
    </row>
    <row r="536" spans="2:12" ht="6.75" hidden="1" customHeight="1" outlineLevel="1" x14ac:dyDescent="0.2">
      <c r="B536" s="662"/>
      <c r="C536" s="316"/>
      <c r="D536" s="573"/>
      <c r="E536" s="573"/>
      <c r="F536" s="573"/>
      <c r="G536" s="316"/>
      <c r="H536" s="573"/>
      <c r="I536" s="316"/>
      <c r="J536" s="573"/>
      <c r="K536" s="663"/>
      <c r="L536" s="661"/>
    </row>
    <row r="537" spans="2:12" ht="13" hidden="1" outlineLevel="1" x14ac:dyDescent="0.2">
      <c r="B537" s="1970" t="str">
        <f>B528 &amp; " Approach "</f>
        <v xml:space="preserve">Operational control Approach </v>
      </c>
      <c r="C537" s="1152" t="s">
        <v>2426</v>
      </c>
      <c r="D537" s="1153"/>
      <c r="E537" s="1206" t="s">
        <v>2430</v>
      </c>
      <c r="F537" s="1206"/>
      <c r="G537" s="1152" t="s">
        <v>2426</v>
      </c>
      <c r="H537" s="1153"/>
      <c r="I537" s="1152" t="s">
        <v>2426</v>
      </c>
      <c r="J537" s="1153"/>
      <c r="K537" s="1152" t="s">
        <v>2426</v>
      </c>
      <c r="L537" s="1153"/>
    </row>
    <row r="538" spans="2:12" ht="13" hidden="1" outlineLevel="1" x14ac:dyDescent="0.2">
      <c r="B538" s="1971"/>
      <c r="C538" s="1154" t="s">
        <v>2427</v>
      </c>
      <c r="D538" s="1155"/>
      <c r="E538" s="1207" t="s">
        <v>2425</v>
      </c>
      <c r="F538" s="1207"/>
      <c r="G538" s="1154" t="s">
        <v>2433</v>
      </c>
      <c r="H538" s="1155"/>
      <c r="I538" s="1154" t="s">
        <v>2428</v>
      </c>
      <c r="J538" s="1155"/>
      <c r="K538" s="1154" t="s">
        <v>2428</v>
      </c>
      <c r="L538" s="1155"/>
    </row>
    <row r="539" spans="2:12" ht="13" hidden="1" outlineLevel="1" x14ac:dyDescent="0.2">
      <c r="B539" s="1971"/>
      <c r="C539" s="1154" t="str">
        <f>""</f>
        <v/>
      </c>
      <c r="D539" s="1155"/>
      <c r="E539" s="1207" t="s">
        <v>2428</v>
      </c>
      <c r="F539" s="1207"/>
      <c r="G539" s="1154" t="s">
        <v>2435</v>
      </c>
      <c r="H539" s="1155"/>
      <c r="I539" s="1154" t="str">
        <f>""</f>
        <v/>
      </c>
      <c r="J539" s="1155"/>
      <c r="K539" s="1154"/>
      <c r="L539" s="1155"/>
    </row>
    <row r="540" spans="2:12" ht="13" hidden="1" outlineLevel="1" x14ac:dyDescent="0.2">
      <c r="B540" s="1972"/>
      <c r="C540" s="1156"/>
      <c r="D540" s="1158"/>
      <c r="E540" s="1156" t="str">
        <f>""</f>
        <v/>
      </c>
      <c r="F540" s="1209"/>
      <c r="G540" s="1156"/>
      <c r="H540" s="1158"/>
      <c r="I540" s="1159"/>
      <c r="J540" s="1158"/>
      <c r="K540" s="1159"/>
      <c r="L540" s="1158"/>
    </row>
    <row r="541" spans="2:12" ht="13" hidden="1" outlineLevel="1" x14ac:dyDescent="0.2">
      <c r="B541" s="42"/>
      <c r="C541" s="42"/>
      <c r="D541" s="42"/>
      <c r="E541" s="42"/>
      <c r="F541" s="42"/>
      <c r="G541" s="42"/>
      <c r="H541" s="42"/>
      <c r="I541" s="39" t="str">
        <f>""</f>
        <v/>
      </c>
    </row>
    <row r="542" spans="2:12" ht="13" hidden="1" outlineLevel="1" x14ac:dyDescent="0.2">
      <c r="B542" s="1150" t="s">
        <v>2413</v>
      </c>
      <c r="C542" s="42"/>
      <c r="D542" s="42"/>
      <c r="E542" s="42"/>
      <c r="F542" s="42"/>
      <c r="G542" s="42"/>
      <c r="H542" s="42"/>
    </row>
    <row r="543" spans="2:12" ht="13" hidden="1" outlineLevel="1" x14ac:dyDescent="0.2">
      <c r="B543" s="1151" t="s">
        <v>2415</v>
      </c>
      <c r="C543" s="42"/>
      <c r="D543" s="42"/>
      <c r="E543" s="42"/>
      <c r="F543" s="42"/>
      <c r="G543" s="42"/>
      <c r="H543" s="42"/>
    </row>
    <row r="544" spans="2:12" hidden="1" outlineLevel="1" x14ac:dyDescent="0.2"/>
    <row r="545" spans="2:20" ht="13" hidden="1" outlineLevel="1" x14ac:dyDescent="0.2">
      <c r="B545" s="1964" t="s">
        <v>2414</v>
      </c>
      <c r="C545" s="1937" t="s">
        <v>716</v>
      </c>
      <c r="D545" s="1938"/>
      <c r="E545" s="1937" t="s">
        <v>2411</v>
      </c>
      <c r="F545" s="1938"/>
      <c r="G545" s="1937" t="s">
        <v>719</v>
      </c>
      <c r="H545" s="1938"/>
      <c r="I545" s="1937" t="s">
        <v>1408</v>
      </c>
      <c r="J545" s="1938"/>
      <c r="K545" s="1937" t="s">
        <v>720</v>
      </c>
      <c r="L545" s="1954"/>
      <c r="M545" s="1938"/>
      <c r="N545" s="1304" t="s">
        <v>105</v>
      </c>
      <c r="O545" s="1964" t="s">
        <v>2044</v>
      </c>
      <c r="P545" s="1964"/>
      <c r="Q545" s="1937" t="s">
        <v>2412</v>
      </c>
      <c r="R545" s="1954"/>
      <c r="S545" s="1954"/>
      <c r="T545" s="1938"/>
    </row>
    <row r="546" spans="2:20" ht="13" hidden="1" outlineLevel="1" x14ac:dyDescent="0.2">
      <c r="B546" s="1965"/>
      <c r="C546" s="1152" t="str">
        <f>IF(OR(Description!$D$7=$B$527,Description!$D$7=$B$529),C532,IF(Description!$D$7=$B$528,C537,$B$543))</f>
        <v>Owned</v>
      </c>
      <c r="D546" s="1153"/>
      <c r="E546" s="1152" t="str">
        <f>IF(OR(Description!$D$7=$B$527,Description!$D$7=$B$529),E532,IF(Description!$D$7=$B$528,E537,$B$543))</f>
        <v>Owned, processes</v>
      </c>
      <c r="F546" s="1206"/>
      <c r="G546" s="1152" t="str">
        <f>IF(OR(Description!$D$7=$B$527,Description!$D$7=$B$529),G532,IF(Description!$D$7=$B$528,G537,$B$543))</f>
        <v>Owned</v>
      </c>
      <c r="H546" s="1153"/>
      <c r="I546" s="1152" t="str">
        <f>IF(OR(Description!$D$7=$B$527,Description!$D$7=$B$529),I532,IF(Description!$D$7=$B$528,I537,$B$543))</f>
        <v>Owned</v>
      </c>
      <c r="J546" s="1153"/>
      <c r="K546" s="1152" t="str">
        <f>IF(OR(Description!$D$7=$B$527,Description!$D$7=$B$529),K532,IF(Description!$D$7=$B$528,K537,$B$543))</f>
        <v>Owned</v>
      </c>
      <c r="L546" s="1153"/>
      <c r="M546" s="1152" t="s">
        <v>2437</v>
      </c>
      <c r="N546" s="1305" t="s">
        <v>2437</v>
      </c>
      <c r="O546" s="1152" t="s">
        <v>2439</v>
      </c>
      <c r="P546" s="1153"/>
      <c r="Q546" s="1154" t="s">
        <v>2146</v>
      </c>
      <c r="R546" s="1155"/>
      <c r="S546" s="1152" t="str">
        <f>IF('Rifiuti di processo'!D7='Info utili'!Q551,"A Mayotte",IF('Rifiuti di processo'!D7='Info utili'!Q553,"French Polynesia","Not customizable"))</f>
        <v>Not customizable</v>
      </c>
      <c r="T546" s="1153"/>
    </row>
    <row r="547" spans="2:20" ht="13" hidden="1" outlineLevel="1" x14ac:dyDescent="0.2">
      <c r="B547" s="1965"/>
      <c r="C547" s="1154" t="str">
        <f>IF(OR(Description!$D$7=$B$527,Description!$D$7=$B$529),C533,IF(Description!$D$7=$B$528,C538,""))</f>
        <v>Not owned, operational leasing</v>
      </c>
      <c r="D547" s="1155"/>
      <c r="E547" s="1154" t="str">
        <f>IF(OR(Description!$D$7=$B$527,Description!$D$7=$B$529),E533,IF(Description!$D$7=$B$528,E538,""))</f>
        <v>Owned, fugitives</v>
      </c>
      <c r="F547" s="1207"/>
      <c r="G547" s="1154" t="str">
        <f>IF(OR(Description!$D$7=$B$527,Description!$D$7=$B$529),G533,IF(Description!$D$7=$B$528,G538,""))</f>
        <v>Not owned, financially supported</v>
      </c>
      <c r="H547" s="1155"/>
      <c r="I547" s="1154" t="str">
        <f>IF(OR(Description!$D$7=$B$527,Description!$D$7=$B$529),I533,IF(Description!$D$7=$B$528,I538,""))</f>
        <v>Not owned, operational leasing</v>
      </c>
      <c r="J547" s="1155"/>
      <c r="K547" s="1154" t="str">
        <f>IF(OR(Description!$D$7=$B$527,Description!$D$7=$B$529),K533,IF(Description!$D$7=$B$528,K538,""))</f>
        <v>Not owned</v>
      </c>
      <c r="L547" s="1155"/>
      <c r="M547" s="1154" t="s">
        <v>2438</v>
      </c>
      <c r="N547" s="1306" t="s">
        <v>2438</v>
      </c>
      <c r="O547" s="1154" t="s">
        <v>2440</v>
      </c>
      <c r="P547" s="1155"/>
      <c r="Q547" s="1154" t="s">
        <v>2394</v>
      </c>
      <c r="R547" s="1155"/>
      <c r="S547" s="1154" t="str">
        <f>IF('Rifiuti di processo'!D7='Info utili'!Q551,"En métropôle",IF('Rifiuti di processo'!D7='Info utili'!Q553,"En dehors de la French Polynesia",""))</f>
        <v/>
      </c>
      <c r="T547" s="1155"/>
    </row>
    <row r="548" spans="2:20" ht="13" hidden="1" outlineLevel="1" x14ac:dyDescent="0.2">
      <c r="B548" s="1965"/>
      <c r="C548" s="1154" t="str">
        <f>IF(OR(Description!$D$7=$B$527,Description!$D$7=$B$529),C534,IF(Description!$D$7=$B$528,C539,""))</f>
        <v>Not owned, other</v>
      </c>
      <c r="D548" s="1155"/>
      <c r="E548" s="1154" t="str">
        <f>IF(OR(Description!$D$7=$B$527,Description!$D$7=$B$529),E534,IF(Description!$D$7=$B$528,E539,""))</f>
        <v>Not owned, operational leasing</v>
      </c>
      <c r="F548" s="1207"/>
      <c r="G548" s="1154" t="str">
        <f>IF(OR(Description!$D$7=$B$527,Description!$D$7=$B$529),G534,IF(Description!$D$7=$B$528,G539,""))</f>
        <v>Not owned, not financially supported</v>
      </c>
      <c r="H548" s="1155"/>
      <c r="I548" s="1154" t="str">
        <f>IF(OR(Description!$D$7=$B$527,Description!$D$7=$B$529),I534,IF(Description!$D$7=$B$528,I539,""))</f>
        <v>Not owned, other</v>
      </c>
      <c r="J548" s="1155"/>
      <c r="K548" s="1154"/>
      <c r="L548" s="1155"/>
      <c r="M548" s="1154"/>
      <c r="N548" s="1306"/>
      <c r="O548" s="1154" t="s">
        <v>2441</v>
      </c>
      <c r="P548" s="1155"/>
      <c r="Q548" s="1154" t="s">
        <v>126</v>
      </c>
      <c r="R548" s="1155"/>
      <c r="S548" s="1154" t="str">
        <f>IF('Rifiuti di processo'!D7='Info utili'!Q551,"Dans l'Océan Indien","")</f>
        <v/>
      </c>
      <c r="T548" s="1155"/>
    </row>
    <row r="549" spans="2:20" ht="13" hidden="1" outlineLevel="1" x14ac:dyDescent="0.2">
      <c r="B549" s="1966"/>
      <c r="C549" s="1156"/>
      <c r="D549" s="1157"/>
      <c r="E549" s="1156" t="str">
        <f>IF(OR(Description!$D$7=$B$527,Description!$D$7=$B$529),E535,IF(Description!$D$7=$B$528,E540,""))</f>
        <v>Not owned, other</v>
      </c>
      <c r="F549" s="1208"/>
      <c r="G549" s="1156"/>
      <c r="H549" s="1157"/>
      <c r="I549" s="1156"/>
      <c r="J549" s="1157"/>
      <c r="K549" s="1156"/>
      <c r="L549" s="1157"/>
      <c r="M549" s="1156"/>
      <c r="N549" s="1307"/>
      <c r="O549" s="1156"/>
      <c r="P549" s="1157"/>
      <c r="Q549" s="1154" t="s">
        <v>2456</v>
      </c>
      <c r="R549" s="1155"/>
      <c r="S549" s="1156"/>
      <c r="T549" s="1157"/>
    </row>
    <row r="550" spans="2:20" ht="13" hidden="1" outlineLevel="1" x14ac:dyDescent="0.2">
      <c r="Q550" s="1154" t="s">
        <v>127</v>
      </c>
      <c r="R550" s="1155"/>
    </row>
    <row r="551" spans="2:20" ht="13" hidden="1" outlineLevel="1" x14ac:dyDescent="0.2">
      <c r="Q551" s="1154" t="s">
        <v>125</v>
      </c>
      <c r="R551" s="1155"/>
    </row>
    <row r="552" spans="2:20" ht="13" hidden="1" outlineLevel="1" x14ac:dyDescent="0.2">
      <c r="B552" s="330" t="s">
        <v>2416</v>
      </c>
      <c r="Q552" s="1154" t="s">
        <v>2471</v>
      </c>
      <c r="R552" s="1155"/>
    </row>
    <row r="553" spans="2:20" ht="13" hidden="1" outlineLevel="1" x14ac:dyDescent="0.2">
      <c r="B553" s="40" t="s">
        <v>2417</v>
      </c>
      <c r="Q553" s="1154" t="s">
        <v>2162</v>
      </c>
      <c r="R553" s="1155"/>
    </row>
    <row r="554" spans="2:20" ht="13" hidden="1" outlineLevel="1" x14ac:dyDescent="0.15">
      <c r="B554" s="40" t="s">
        <v>2418</v>
      </c>
      <c r="E554" s="2"/>
      <c r="F554" s="2"/>
      <c r="G554" s="2"/>
      <c r="H554" s="2"/>
      <c r="I554" s="2"/>
      <c r="J554" s="2"/>
      <c r="K554" s="2"/>
      <c r="L554" s="2"/>
      <c r="Q554" s="1156" t="s">
        <v>2486</v>
      </c>
      <c r="R554" s="1157"/>
    </row>
    <row r="555" spans="2:20" hidden="1" outlineLevel="1" x14ac:dyDescent="0.15">
      <c r="E555" s="2"/>
      <c r="F555" s="2"/>
      <c r="G555" s="2"/>
      <c r="H555" s="2"/>
      <c r="I555" s="2"/>
      <c r="J555" s="2"/>
      <c r="K555" s="2"/>
      <c r="L555" s="2"/>
    </row>
    <row r="556" spans="2:20" ht="13" hidden="1" outlineLevel="1" x14ac:dyDescent="0.15">
      <c r="B556" s="40" t="s">
        <v>2419</v>
      </c>
      <c r="E556" s="2"/>
      <c r="F556" s="2"/>
      <c r="G556" s="2"/>
      <c r="H556" s="2"/>
      <c r="I556" s="2"/>
      <c r="J556" s="2"/>
      <c r="K556" s="2"/>
      <c r="L556" s="2"/>
    </row>
    <row r="557" spans="2:20" ht="13" hidden="1" outlineLevel="1" x14ac:dyDescent="0.15">
      <c r="B557" s="4"/>
      <c r="C557" s="4" t="s">
        <v>2423</v>
      </c>
      <c r="D557" s="4"/>
      <c r="E557" s="4"/>
      <c r="F557" s="4"/>
      <c r="G557" s="4"/>
      <c r="H557" s="4"/>
      <c r="I557" s="4"/>
      <c r="J557" s="4"/>
      <c r="K557" s="4"/>
      <c r="L557" s="4"/>
    </row>
    <row r="558" spans="2:20" ht="13" hidden="1" outlineLevel="1" x14ac:dyDescent="0.15">
      <c r="C558" s="40" t="s">
        <v>2420</v>
      </c>
      <c r="E558" s="4"/>
      <c r="F558" s="4"/>
      <c r="G558" s="4"/>
      <c r="H558" s="4"/>
      <c r="I558" s="4"/>
      <c r="J558" s="4"/>
      <c r="K558" s="4"/>
      <c r="L558" s="4"/>
    </row>
    <row r="559" spans="2:20" ht="15" hidden="1" customHeight="1" outlineLevel="1" x14ac:dyDescent="0.15">
      <c r="E559" s="4"/>
      <c r="F559" s="4"/>
      <c r="G559" s="4"/>
      <c r="H559" s="4"/>
      <c r="I559" s="4"/>
      <c r="J559" s="4"/>
      <c r="K559" s="4"/>
      <c r="L559" s="4"/>
    </row>
    <row r="560" spans="2:20" ht="13" x14ac:dyDescent="0.15">
      <c r="E560" s="4"/>
      <c r="F560" s="4"/>
      <c r="G560" s="4"/>
      <c r="H560" s="4"/>
      <c r="I560" s="4"/>
      <c r="J560" s="4"/>
      <c r="K560" s="4"/>
      <c r="L560" s="4"/>
    </row>
    <row r="561" spans="2:12" ht="17" x14ac:dyDescent="0.15">
      <c r="B561" s="1649" t="s">
        <v>2768</v>
      </c>
      <c r="E561" s="4"/>
      <c r="F561" s="4"/>
      <c r="G561" s="4"/>
      <c r="H561" s="4"/>
      <c r="I561" s="4"/>
      <c r="J561" s="4"/>
      <c r="K561" s="4"/>
      <c r="L561" s="4"/>
    </row>
    <row r="562" spans="2:12" ht="17" x14ac:dyDescent="0.15">
      <c r="B562" s="1649" t="s">
        <v>2769</v>
      </c>
      <c r="E562" s="4"/>
      <c r="F562" s="4"/>
      <c r="G562" s="4"/>
      <c r="H562" s="4"/>
      <c r="I562" s="4"/>
      <c r="J562" s="4"/>
      <c r="K562" s="4"/>
      <c r="L562" s="4"/>
    </row>
    <row r="563" spans="2:12" ht="17" x14ac:dyDescent="0.15">
      <c r="B563" s="1650" t="s">
        <v>2770</v>
      </c>
      <c r="E563" s="4"/>
      <c r="F563" s="4"/>
      <c r="G563" s="4"/>
      <c r="H563" s="4"/>
      <c r="I563" s="4"/>
      <c r="J563" s="4"/>
      <c r="K563" s="4"/>
      <c r="L563" s="4"/>
    </row>
    <row r="564" spans="2:12" ht="16" x14ac:dyDescent="0.15">
      <c r="B564" s="1651" t="s">
        <v>2771</v>
      </c>
      <c r="E564" s="4"/>
      <c r="F564" s="4"/>
      <c r="G564" s="4"/>
      <c r="H564" s="4"/>
      <c r="I564" s="4"/>
      <c r="J564" s="4"/>
      <c r="K564" s="4"/>
      <c r="L564" s="4"/>
    </row>
    <row r="565" spans="2:12" ht="17" x14ac:dyDescent="0.15">
      <c r="B565" s="1649" t="s">
        <v>2772</v>
      </c>
      <c r="C565" s="4"/>
      <c r="D565" s="4"/>
      <c r="E565" s="4"/>
      <c r="F565" s="4"/>
      <c r="G565" s="4"/>
      <c r="H565" s="4"/>
      <c r="I565" s="4"/>
      <c r="J565" s="4"/>
      <c r="K565" s="4"/>
      <c r="L565" s="4"/>
    </row>
  </sheetData>
  <mergeCells count="54">
    <mergeCell ref="Q545:T545"/>
    <mergeCell ref="B435:O435"/>
    <mergeCell ref="B517:O517"/>
    <mergeCell ref="B520:O520"/>
    <mergeCell ref="B515:O515"/>
    <mergeCell ref="B518:O518"/>
    <mergeCell ref="B519:O519"/>
    <mergeCell ref="K545:M545"/>
    <mergeCell ref="O545:P545"/>
    <mergeCell ref="B545:B549"/>
    <mergeCell ref="B532:B535"/>
    <mergeCell ref="B537:B540"/>
    <mergeCell ref="C545:D545"/>
    <mergeCell ref="G545:H545"/>
    <mergeCell ref="I545:J545"/>
    <mergeCell ref="E545:F545"/>
    <mergeCell ref="B322:O322"/>
    <mergeCell ref="B69:O69"/>
    <mergeCell ref="B380:O380"/>
    <mergeCell ref="B399:O399"/>
    <mergeCell ref="B176:O176"/>
    <mergeCell ref="C178:D178"/>
    <mergeCell ref="E178:F178"/>
    <mergeCell ref="G178:G180"/>
    <mergeCell ref="B117:B118"/>
    <mergeCell ref="B84:O84"/>
    <mergeCell ref="C86:F86"/>
    <mergeCell ref="B71:O71"/>
    <mergeCell ref="B2:O2"/>
    <mergeCell ref="B6:O6"/>
    <mergeCell ref="B18:J18"/>
    <mergeCell ref="B8:D8"/>
    <mergeCell ref="F9:G9"/>
    <mergeCell ref="F10:G10"/>
    <mergeCell ref="F11:G11"/>
    <mergeCell ref="F12:G12"/>
    <mergeCell ref="F13:G13"/>
    <mergeCell ref="F14:G14"/>
    <mergeCell ref="B524:O524"/>
    <mergeCell ref="C531:D531"/>
    <mergeCell ref="G531:H531"/>
    <mergeCell ref="I531:J531"/>
    <mergeCell ref="K531:L531"/>
    <mergeCell ref="E531:F531"/>
    <mergeCell ref="J45:L45"/>
    <mergeCell ref="J56:L56"/>
    <mergeCell ref="B32:O32"/>
    <mergeCell ref="J34:L34"/>
    <mergeCell ref="B4:C4"/>
    <mergeCell ref="M4:O4"/>
    <mergeCell ref="J4:L4"/>
    <mergeCell ref="G4:I4"/>
    <mergeCell ref="D4:F4"/>
    <mergeCell ref="F15:G15"/>
  </mergeCells>
  <phoneticPr fontId="9" type="noConversion"/>
  <dataValidations count="3">
    <dataValidation type="list" allowBlank="1" showInputMessage="1" showErrorMessage="1" sqref="B38:B41" xr:uid="{00000000-0002-0000-0C00-000000000000}">
      <formula1>culture_vers</formula1>
    </dataValidation>
    <dataValidation type="list" allowBlank="1" showInputMessage="1" showErrorMessage="1" sqref="B49:B52" xr:uid="{00000000-0002-0000-0C00-000001000000}">
      <formula1>foret_vers</formula1>
    </dataValidation>
    <dataValidation type="list" allowBlank="1" showInputMessage="1" showErrorMessage="1" sqref="B60:B63" xr:uid="{00000000-0002-0000-0C00-000002000000}">
      <formula1>prairie_vers</formula1>
    </dataValidation>
  </dataValidations>
  <hyperlinks>
    <hyperlink ref="B518:O518" r:id="rId1" display="Base Carbone de l'ADEME" xr:uid="{00000000-0004-0000-0C00-000000000000}"/>
    <hyperlink ref="B519:O519" r:id="rId2" display="Documentation Base Carbone® (guide des facteurs d'émissions)" xr:uid="{00000000-0004-0000-0C00-000001000000}"/>
    <hyperlink ref="B517:O517" r:id="rId3" display="Guide méthodologique Bilan Carbone® V6.1" xr:uid="{00000000-0004-0000-0C00-000002000000}"/>
    <hyperlink ref="B520:O520" r:id="rId4" display="Guide des facteurs d'émissions V6.1 (Archive)" xr:uid="{00000000-0004-0000-0C00-000003000000}"/>
    <hyperlink ref="B4" location="Convertisseurs" display="Converstisseurs" xr:uid="{00000000-0004-0000-0C00-000004000000}"/>
    <hyperlink ref="L4:N4" location="Documents" display="Documents de référence" xr:uid="{00000000-0004-0000-0C00-000005000000}"/>
    <hyperlink ref="I4:J4" location="Données_statistiques" display="Données statistiques" xr:uid="{00000000-0004-0000-0C00-000006000000}"/>
    <hyperlink ref="D4:F4" location="calculette_UTFC" display="Calculette UTCF" xr:uid="{00000000-0004-0000-0C00-000007000000}"/>
    <hyperlink ref="B564" r:id="rId5" xr:uid="{00000000-0004-0000-0C00-000008000000}"/>
    <hyperlink ref="B563" r:id="rId6" xr:uid="{00000000-0004-0000-0C00-000009000000}"/>
  </hyperlinks>
  <pageMargins left="0.78740157499999996" right="0.78740157499999996" top="0.984251969" bottom="0.984251969" header="0.5" footer="0.5"/>
  <pageSetup paperSize="9" orientation="portrait" horizontalDpi="4294967292" verticalDpi="4294967292"/>
  <headerFooter alignWithMargins="0"/>
  <drawing r:id="rId7"/>
  <legacyDrawing r:id="rId8"/>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1">
    <tabColor rgb="FFFFD833"/>
  </sheetPr>
  <dimension ref="A1:V136"/>
  <sheetViews>
    <sheetView showGridLines="0" workbookViewId="0">
      <pane ySplit="5" topLeftCell="A64" activePane="bottomLeft" state="frozenSplit"/>
      <selection pane="bottomLeft" activeCell="D96" sqref="D96"/>
    </sheetView>
  </sheetViews>
  <sheetFormatPr baseColWidth="10" defaultColWidth="0" defaultRowHeight="13" zeroHeight="1" x14ac:dyDescent="0.2"/>
  <cols>
    <col min="1" max="1" width="2.6640625" style="40" customWidth="1"/>
    <col min="2" max="2" width="46.5" style="40" bestFit="1" customWidth="1"/>
    <col min="3" max="4" width="15.6640625" style="40" customWidth="1"/>
    <col min="5" max="5" width="5.6640625" style="40" customWidth="1"/>
    <col min="6" max="7" width="15.6640625" style="40" customWidth="1"/>
    <col min="8" max="8" width="5.6640625" style="40" customWidth="1"/>
    <col min="9" max="10" width="15.6640625" style="40" customWidth="1"/>
    <col min="11" max="11" width="5.6640625" style="40" customWidth="1"/>
    <col min="12" max="14" width="15.6640625" style="40" customWidth="1"/>
    <col min="15" max="21" width="10.6640625" style="40" customWidth="1"/>
    <col min="22" max="22" width="2.6640625" style="40" customWidth="1"/>
    <col min="23" max="16384" width="10.83203125" style="40" hidden="1"/>
  </cols>
  <sheetData>
    <row r="1" spans="2:14" x14ac:dyDescent="0.2"/>
    <row r="2" spans="2:14" ht="30" customHeight="1" x14ac:dyDescent="0.2">
      <c r="B2" s="1976" t="s">
        <v>2752</v>
      </c>
      <c r="C2" s="1977"/>
      <c r="D2" s="1977"/>
      <c r="E2" s="1977"/>
      <c r="F2" s="1977"/>
      <c r="G2" s="1977"/>
      <c r="H2" s="1977"/>
      <c r="I2" s="1977"/>
      <c r="J2" s="1977"/>
      <c r="K2" s="1977"/>
      <c r="L2" s="1977"/>
      <c r="M2" s="1977"/>
      <c r="N2" s="1978"/>
    </row>
    <row r="3" spans="2:14" x14ac:dyDescent="0.2"/>
    <row r="4" spans="2:14" ht="14" x14ac:dyDescent="0.2">
      <c r="C4" s="1973" t="s">
        <v>56</v>
      </c>
      <c r="D4" s="1974"/>
      <c r="F4" s="1973" t="s">
        <v>723</v>
      </c>
      <c r="G4" s="1974"/>
      <c r="I4" s="1973" t="s">
        <v>2753</v>
      </c>
      <c r="J4" s="1974"/>
      <c r="L4" s="1973" t="s">
        <v>2754</v>
      </c>
      <c r="M4" s="1974"/>
    </row>
    <row r="5" spans="2:14" ht="14" x14ac:dyDescent="0.2">
      <c r="B5" s="293"/>
      <c r="C5" s="642" t="s">
        <v>61</v>
      </c>
      <c r="D5" s="642" t="s">
        <v>73</v>
      </c>
      <c r="F5" s="642" t="s">
        <v>61</v>
      </c>
      <c r="G5" s="642" t="s">
        <v>47</v>
      </c>
      <c r="I5" s="642" t="s">
        <v>61</v>
      </c>
      <c r="J5" s="642" t="s">
        <v>47</v>
      </c>
      <c r="L5" s="642" t="s">
        <v>61</v>
      </c>
      <c r="M5" s="642" t="s">
        <v>47</v>
      </c>
    </row>
    <row r="6" spans="2:14" s="121" customFormat="1" ht="20" customHeight="1" x14ac:dyDescent="0.2">
      <c r="B6" s="643" t="str">
        <f>Energia!$B$139</f>
        <v>Energia</v>
      </c>
      <c r="C6" s="644">
        <f>SUM(C7:C11)</f>
        <v>214.59946666666667</v>
      </c>
      <c r="D6" s="645">
        <f t="shared" ref="D6:D11" si="0">IF(C6&lt;&gt;0,C6/$C$105/1000,"")</f>
        <v>7.7163988007336818E-7</v>
      </c>
      <c r="F6" s="644">
        <f>SQRT(SUMSQ(F7:F11))</f>
        <v>0</v>
      </c>
      <c r="G6" s="645">
        <f t="shared" ref="G6:G11" si="1">IF(C6&lt;&gt;0,F6/C6,"")</f>
        <v>0</v>
      </c>
      <c r="I6" s="644">
        <f>SUM(I7:I11)</f>
        <v>0</v>
      </c>
      <c r="J6" s="645">
        <f t="shared" ref="J6:J11" si="2">IF(C6=0,"",I6/C6)</f>
        <v>0</v>
      </c>
      <c r="L6" s="644">
        <f>SUM(L7:L11)</f>
        <v>0</v>
      </c>
      <c r="M6" s="793">
        <f t="shared" ref="M6:M11" si="3">IF(C6=0,"",L6/C6)</f>
        <v>0</v>
      </c>
    </row>
    <row r="7" spans="2:14" ht="12.75" customHeight="1" x14ac:dyDescent="0.2">
      <c r="B7" s="583" t="str">
        <f>Energia!B141</f>
        <v>Consumi da combustione diretta di carburante</v>
      </c>
      <c r="C7" s="630">
        <f>Energia!D141</f>
        <v>0</v>
      </c>
      <c r="D7" s="646" t="str">
        <f t="shared" si="0"/>
        <v/>
      </c>
      <c r="F7" s="647">
        <f>Energia!H141</f>
        <v>0</v>
      </c>
      <c r="G7" s="646" t="str">
        <f t="shared" si="1"/>
        <v/>
      </c>
      <c r="I7" s="647">
        <f>Energia!K141</f>
        <v>0</v>
      </c>
      <c r="J7" s="648" t="str">
        <f t="shared" si="2"/>
        <v/>
      </c>
      <c r="L7" s="630">
        <f>Energia!L141</f>
        <v>0</v>
      </c>
      <c r="M7" s="648" t="str">
        <f t="shared" si="3"/>
        <v/>
      </c>
    </row>
    <row r="8" spans="2:14" ht="12.75" customHeight="1" x14ac:dyDescent="0.2">
      <c r="B8" s="583" t="str">
        <f>Energia!B142</f>
        <v>Stima del riscaldamento da combustibili fossii</v>
      </c>
      <c r="C8" s="630">
        <f>Energia!D142</f>
        <v>0</v>
      </c>
      <c r="D8" s="646" t="str">
        <f t="shared" si="0"/>
        <v/>
      </c>
      <c r="F8" s="647">
        <f>Energia!H142</f>
        <v>0</v>
      </c>
      <c r="G8" s="646" t="str">
        <f t="shared" si="1"/>
        <v/>
      </c>
      <c r="I8" s="647">
        <f>Energia!K142</f>
        <v>0</v>
      </c>
      <c r="J8" s="648" t="str">
        <f t="shared" si="2"/>
        <v/>
      </c>
      <c r="L8" s="630">
        <f>Energia!L142</f>
        <v>0</v>
      </c>
      <c r="M8" s="648" t="str">
        <f t="shared" si="3"/>
        <v/>
      </c>
    </row>
    <row r="9" spans="2:14" ht="12.75" customHeight="1" x14ac:dyDescent="0.2">
      <c r="B9" s="583" t="str">
        <f>Energia!B143</f>
        <v>Calore acquistato</v>
      </c>
      <c r="C9" s="630">
        <f>Energia!D143</f>
        <v>0</v>
      </c>
      <c r="D9" s="646" t="str">
        <f t="shared" si="0"/>
        <v/>
      </c>
      <c r="F9" s="647">
        <f>Energia!H143</f>
        <v>0</v>
      </c>
      <c r="G9" s="646" t="str">
        <f t="shared" si="1"/>
        <v/>
      </c>
      <c r="I9" s="647">
        <f>Energia!K143</f>
        <v>0</v>
      </c>
      <c r="J9" s="648" t="str">
        <f t="shared" si="2"/>
        <v/>
      </c>
      <c r="L9" s="630">
        <f>Energia!L143</f>
        <v>0</v>
      </c>
      <c r="M9" s="648" t="str">
        <f t="shared" si="3"/>
        <v/>
      </c>
    </row>
    <row r="10" spans="2:14" ht="12.75" customHeight="1" x14ac:dyDescent="0.2">
      <c r="B10" s="583" t="str">
        <f>Energia!B144</f>
        <v>Raffreddamento acquistato</v>
      </c>
      <c r="C10" s="630">
        <f>Energia!D144</f>
        <v>0</v>
      </c>
      <c r="D10" s="646" t="str">
        <f t="shared" si="0"/>
        <v/>
      </c>
      <c r="F10" s="647">
        <f>Energia!H144</f>
        <v>0</v>
      </c>
      <c r="G10" s="646" t="str">
        <f t="shared" si="1"/>
        <v/>
      </c>
      <c r="I10" s="647">
        <f>Energia!K144</f>
        <v>0</v>
      </c>
      <c r="J10" s="648" t="str">
        <f t="shared" si="2"/>
        <v/>
      </c>
      <c r="L10" s="630">
        <f>Energia!L144</f>
        <v>0</v>
      </c>
      <c r="M10" s="648" t="str">
        <f t="shared" si="3"/>
        <v/>
      </c>
    </row>
    <row r="11" spans="2:14" ht="12.75" customHeight="1" x14ac:dyDescent="0.2">
      <c r="B11" s="583" t="str">
        <f>Energia!B145</f>
        <v>Elettricità acquistata</v>
      </c>
      <c r="C11" s="630">
        <f>Energia!D145</f>
        <v>214.59946666666667</v>
      </c>
      <c r="D11" s="646">
        <f t="shared" si="0"/>
        <v>7.7163988007336818E-7</v>
      </c>
      <c r="F11" s="647">
        <f>Energia!H145</f>
        <v>0</v>
      </c>
      <c r="G11" s="646">
        <f t="shared" si="1"/>
        <v>0</v>
      </c>
      <c r="I11" s="647">
        <f>Energia!K145</f>
        <v>0</v>
      </c>
      <c r="J11" s="648">
        <f t="shared" si="2"/>
        <v>0</v>
      </c>
      <c r="L11" s="630">
        <f>Energia!L145</f>
        <v>0</v>
      </c>
      <c r="M11" s="648">
        <f t="shared" si="3"/>
        <v>0</v>
      </c>
    </row>
    <row r="12" spans="2:14" ht="12.75" customHeight="1" x14ac:dyDescent="0.2">
      <c r="B12" s="649"/>
      <c r="C12" s="603"/>
      <c r="D12" s="604"/>
      <c r="F12" s="605"/>
      <c r="G12" s="637"/>
      <c r="I12" s="605"/>
      <c r="J12" s="637"/>
      <c r="L12" s="606"/>
      <c r="M12" s="314"/>
    </row>
    <row r="13" spans="2:14" s="121" customFormat="1" ht="20" customHeight="1" x14ac:dyDescent="0.2">
      <c r="B13" s="643" t="str">
        <f>'Non-energetici'!B105</f>
        <v>Non-energetici</v>
      </c>
      <c r="C13" s="644">
        <f>SUM(C14:C18)</f>
        <v>278000000</v>
      </c>
      <c r="D13" s="645">
        <f t="shared" ref="D13:D18" si="4">IF(C13&lt;&gt;0,C13/$C$105/1000,"")</f>
        <v>0.99961053022373003</v>
      </c>
      <c r="F13" s="644">
        <f>SQRT(SUMSQ(F14:F18))</f>
        <v>79507358.150047973</v>
      </c>
      <c r="G13" s="645">
        <f t="shared" ref="G13:G18" si="5">IF(C13&lt;&gt;0,F13/C13,"")</f>
        <v>0.2859976911872229</v>
      </c>
      <c r="I13" s="644">
        <f>SUM(I14:I18)</f>
        <v>0</v>
      </c>
      <c r="J13" s="645">
        <f t="shared" ref="J13:J18" si="6">IF(C13=0,"",I13/C13)</f>
        <v>0</v>
      </c>
      <c r="L13" s="644">
        <f>SUM(L14:L18)</f>
        <v>0</v>
      </c>
      <c r="M13" s="793">
        <f t="shared" ref="M13:M18" si="7">IF(C13=0,"",L13/C13)</f>
        <v>0</v>
      </c>
    </row>
    <row r="14" spans="2:14" ht="12.75" customHeight="1" x14ac:dyDescent="0.2">
      <c r="B14" s="583" t="str">
        <f>'Non-energetici'!B107</f>
        <v>Emissioni di CO2 escluse quelle dovute all'energia</v>
      </c>
      <c r="C14" s="630">
        <f>'Non-energetici'!D107</f>
        <v>10000000</v>
      </c>
      <c r="D14" s="646">
        <f t="shared" si="4"/>
        <v>3.5957213317400358E-2</v>
      </c>
      <c r="F14" s="647">
        <f>'Non-energetici'!H107</f>
        <v>0</v>
      </c>
      <c r="G14" s="646">
        <f t="shared" si="5"/>
        <v>0</v>
      </c>
      <c r="I14" s="647">
        <f>'Non-energetici'!K107</f>
        <v>0</v>
      </c>
      <c r="J14" s="648">
        <f t="shared" si="6"/>
        <v>0</v>
      </c>
      <c r="L14" s="630">
        <f>'Non-energetici'!L107</f>
        <v>0</v>
      </c>
      <c r="M14" s="648">
        <f t="shared" si="7"/>
        <v>0</v>
      </c>
    </row>
    <row r="15" spans="2:14" ht="12.75" customHeight="1" x14ac:dyDescent="0.2">
      <c r="B15" s="583" t="str">
        <f>'Non-energetici'!B108</f>
        <v>Ossido di diazoto (N2O)</v>
      </c>
      <c r="C15" s="630">
        <f>'Non-energetici'!D108</f>
        <v>265000000</v>
      </c>
      <c r="D15" s="646">
        <f t="shared" si="4"/>
        <v>0.95286615291110954</v>
      </c>
      <c r="F15" s="647">
        <f>'Non-energetici'!H108</f>
        <v>79500000</v>
      </c>
      <c r="G15" s="646">
        <f t="shared" si="5"/>
        <v>0.3</v>
      </c>
      <c r="I15" s="647">
        <f>'Non-energetici'!K108</f>
        <v>0</v>
      </c>
      <c r="J15" s="648">
        <f t="shared" si="6"/>
        <v>0</v>
      </c>
      <c r="L15" s="630">
        <f>'Non-energetici'!L108</f>
        <v>0</v>
      </c>
      <c r="M15" s="648">
        <f t="shared" si="7"/>
        <v>0</v>
      </c>
    </row>
    <row r="16" spans="2:14" ht="12.75" customHeight="1" x14ac:dyDescent="0.2">
      <c r="B16" s="583" t="str">
        <f>'Non-energetici'!B109</f>
        <v>Metano (CH4)</v>
      </c>
      <c r="C16" s="630">
        <f>'Non-energetici'!D109</f>
        <v>3000000</v>
      </c>
      <c r="D16" s="646">
        <f t="shared" si="4"/>
        <v>1.0787163995220108E-2</v>
      </c>
      <c r="F16" s="647">
        <f>'Non-energetici'!H109</f>
        <v>1081665.3826391969</v>
      </c>
      <c r="G16" s="646">
        <f t="shared" si="5"/>
        <v>0.36055512754639896</v>
      </c>
      <c r="I16" s="647">
        <f>'Non-energetici'!K109</f>
        <v>0</v>
      </c>
      <c r="J16" s="648">
        <f t="shared" si="6"/>
        <v>0</v>
      </c>
      <c r="L16" s="630">
        <f>'Non-energetici'!L109</f>
        <v>0</v>
      </c>
      <c r="M16" s="648">
        <f t="shared" si="7"/>
        <v>0</v>
      </c>
    </row>
    <row r="17" spans="2:13" ht="12.75" customHeight="1" x14ac:dyDescent="0.2">
      <c r="B17" s="583" t="str">
        <f>'Non-energetici'!B110</f>
        <v>Idrocarburi alogenati</v>
      </c>
      <c r="C17" s="630">
        <f>'Non-energetici'!D110</f>
        <v>0</v>
      </c>
      <c r="D17" s="646" t="str">
        <f t="shared" si="4"/>
        <v/>
      </c>
      <c r="F17" s="647">
        <f>'Non-energetici'!H110</f>
        <v>0</v>
      </c>
      <c r="G17" s="646" t="str">
        <f t="shared" si="5"/>
        <v/>
      </c>
      <c r="I17" s="647">
        <f>'Non-energetici'!K110</f>
        <v>0</v>
      </c>
      <c r="J17" s="648" t="str">
        <f t="shared" si="6"/>
        <v/>
      </c>
      <c r="L17" s="630">
        <f>'Non-energetici'!L110</f>
        <v>0</v>
      </c>
      <c r="M17" s="648" t="str">
        <f t="shared" si="7"/>
        <v/>
      </c>
    </row>
    <row r="18" spans="2:13" ht="12.75" customHeight="1" x14ac:dyDescent="0.2">
      <c r="B18" s="583" t="str">
        <f>'Non-energetici'!B111</f>
        <v>Gas non coperti da Kyoto</v>
      </c>
      <c r="C18" s="630">
        <f>'Non-energetici'!D111</f>
        <v>0</v>
      </c>
      <c r="D18" s="646" t="str">
        <f t="shared" si="4"/>
        <v/>
      </c>
      <c r="F18" s="647">
        <f>'Non-energetici'!H111</f>
        <v>0</v>
      </c>
      <c r="G18" s="646" t="str">
        <f t="shared" si="5"/>
        <v/>
      </c>
      <c r="I18" s="647">
        <f>'Non-energetici'!K111</f>
        <v>0</v>
      </c>
      <c r="J18" s="648" t="str">
        <f t="shared" si="6"/>
        <v/>
      </c>
      <c r="L18" s="630">
        <f>'Non-energetici'!L111</f>
        <v>0</v>
      </c>
      <c r="M18" s="648" t="str">
        <f t="shared" si="7"/>
        <v/>
      </c>
    </row>
    <row r="19" spans="2:13" ht="12.75" customHeight="1" x14ac:dyDescent="0.2">
      <c r="C19" s="602"/>
      <c r="D19" s="49"/>
      <c r="F19" s="605"/>
      <c r="G19" s="637"/>
      <c r="I19" s="605"/>
      <c r="J19" s="637"/>
      <c r="L19" s="605"/>
      <c r="M19" s="314"/>
    </row>
    <row r="20" spans="2:13" s="121" customFormat="1" ht="20" customHeight="1" x14ac:dyDescent="0.2">
      <c r="B20" s="643" t="str">
        <f>Input!B197</f>
        <v>Input</v>
      </c>
      <c r="C20" s="644">
        <f>SUM(C21:C29)</f>
        <v>96800.000000000015</v>
      </c>
      <c r="D20" s="645">
        <f t="shared" ref="D20:D29" si="8">IF(C20&lt;&gt;0,C20/$C$105/1000,"")</f>
        <v>3.4806582491243556E-4</v>
      </c>
      <c r="F20" s="644">
        <f>SQRT(SUMSQ(F21:F29))</f>
        <v>19360.000000000004</v>
      </c>
      <c r="G20" s="645">
        <f t="shared" ref="G20:G29" si="9">IF(C20&lt;&gt;0,F20/C20,"")</f>
        <v>0.2</v>
      </c>
      <c r="I20" s="644">
        <f>SUM(I21:I29)</f>
        <v>0</v>
      </c>
      <c r="J20" s="645">
        <f t="shared" ref="J20:J29" si="10">IF(C20=0,"",I20/C20)</f>
        <v>0</v>
      </c>
      <c r="L20" s="644">
        <f>SUM(L21:L29)</f>
        <v>0</v>
      </c>
      <c r="M20" s="793">
        <f t="shared" ref="M20:M29" si="11">IF(C20=0,"",L20/C20)</f>
        <v>0</v>
      </c>
    </row>
    <row r="21" spans="2:13" ht="12.75" customHeight="1" x14ac:dyDescent="0.2">
      <c r="B21" s="583" t="str">
        <f>Input!B199</f>
        <v>Metalli</v>
      </c>
      <c r="C21" s="630">
        <f>Input!D199</f>
        <v>0</v>
      </c>
      <c r="D21" s="646" t="str">
        <f t="shared" si="8"/>
        <v/>
      </c>
      <c r="F21" s="647">
        <f>Input!H199</f>
        <v>0</v>
      </c>
      <c r="G21" s="646" t="str">
        <f t="shared" si="9"/>
        <v/>
      </c>
      <c r="I21" s="647">
        <f>Input!K199</f>
        <v>0</v>
      </c>
      <c r="J21" s="648" t="str">
        <f t="shared" si="10"/>
        <v/>
      </c>
      <c r="L21" s="630">
        <f>Input!L199</f>
        <v>0</v>
      </c>
      <c r="M21" s="648" t="str">
        <f t="shared" si="11"/>
        <v/>
      </c>
    </row>
    <row r="22" spans="2:13" ht="12.75" customHeight="1" x14ac:dyDescent="0.2">
      <c r="B22" s="583" t="str">
        <f>Input!B200</f>
        <v>Plastica</v>
      </c>
      <c r="C22" s="630">
        <f>Input!D200</f>
        <v>0</v>
      </c>
      <c r="D22" s="646" t="str">
        <f t="shared" si="8"/>
        <v/>
      </c>
      <c r="F22" s="647">
        <f>Input!H200</f>
        <v>0</v>
      </c>
      <c r="G22" s="646" t="str">
        <f t="shared" si="9"/>
        <v/>
      </c>
      <c r="I22" s="647">
        <f>Input!K200</f>
        <v>0</v>
      </c>
      <c r="J22" s="648" t="str">
        <f t="shared" si="10"/>
        <v/>
      </c>
      <c r="L22" s="630">
        <f>Input!L200</f>
        <v>0</v>
      </c>
      <c r="M22" s="648" t="str">
        <f t="shared" si="11"/>
        <v/>
      </c>
    </row>
    <row r="23" spans="2:13" ht="12.75" customHeight="1" x14ac:dyDescent="0.2">
      <c r="B23" s="583" t="str">
        <f>Input!B201</f>
        <v>Vetro</v>
      </c>
      <c r="C23" s="630">
        <f>Input!D201</f>
        <v>0</v>
      </c>
      <c r="D23" s="646" t="str">
        <f t="shared" si="8"/>
        <v/>
      </c>
      <c r="F23" s="647">
        <f>Input!H201</f>
        <v>0</v>
      </c>
      <c r="G23" s="646" t="str">
        <f t="shared" si="9"/>
        <v/>
      </c>
      <c r="I23" s="647">
        <f>Input!K201</f>
        <v>0</v>
      </c>
      <c r="J23" s="648" t="str">
        <f t="shared" si="10"/>
        <v/>
      </c>
      <c r="L23" s="630">
        <f>Input!L201</f>
        <v>0</v>
      </c>
      <c r="M23" s="648" t="str">
        <f t="shared" si="11"/>
        <v/>
      </c>
    </row>
    <row r="24" spans="2:13" ht="12.75" customHeight="1" x14ac:dyDescent="0.2">
      <c r="B24" s="583" t="str">
        <f>Input!B202</f>
        <v>Carta, Cartone</v>
      </c>
      <c r="C24" s="630">
        <f>Input!D202</f>
        <v>0</v>
      </c>
      <c r="D24" s="646" t="str">
        <f t="shared" si="8"/>
        <v/>
      </c>
      <c r="F24" s="647">
        <f>Input!H202</f>
        <v>0</v>
      </c>
      <c r="G24" s="646" t="str">
        <f t="shared" si="9"/>
        <v/>
      </c>
      <c r="I24" s="647">
        <f>Input!K202</f>
        <v>0</v>
      </c>
      <c r="J24" s="648" t="str">
        <f t="shared" si="10"/>
        <v/>
      </c>
      <c r="L24" s="630">
        <f>Input!L202</f>
        <v>0</v>
      </c>
      <c r="M24" s="648" t="str">
        <f t="shared" si="11"/>
        <v/>
      </c>
    </row>
    <row r="25" spans="2:13" ht="12.75" customHeight="1" x14ac:dyDescent="0.2">
      <c r="B25" s="583" t="str">
        <f>Input!B203</f>
        <v>Materiali da costruzione</v>
      </c>
      <c r="C25" s="630">
        <f>Input!D203</f>
        <v>96800.000000000015</v>
      </c>
      <c r="D25" s="646">
        <f t="shared" si="8"/>
        <v>3.4806582491243556E-4</v>
      </c>
      <c r="F25" s="647">
        <f>Input!H203</f>
        <v>19360.000000000004</v>
      </c>
      <c r="G25" s="646">
        <f t="shared" si="9"/>
        <v>0.2</v>
      </c>
      <c r="I25" s="647">
        <f>Input!K203</f>
        <v>0</v>
      </c>
      <c r="J25" s="648">
        <f t="shared" si="10"/>
        <v>0</v>
      </c>
      <c r="L25" s="630">
        <f>Input!L203</f>
        <v>0</v>
      </c>
      <c r="M25" s="648">
        <f t="shared" si="11"/>
        <v>0</v>
      </c>
    </row>
    <row r="26" spans="2:13" ht="12.75" customHeight="1" x14ac:dyDescent="0.2">
      <c r="B26" s="583" t="str">
        <f>Input!B204</f>
        <v>Prodotti chimici e tessuti sintetici</v>
      </c>
      <c r="C26" s="630">
        <f>Input!D204</f>
        <v>0</v>
      </c>
      <c r="D26" s="646" t="str">
        <f t="shared" si="8"/>
        <v/>
      </c>
      <c r="F26" s="647">
        <f>Input!H204</f>
        <v>0</v>
      </c>
      <c r="G26" s="646" t="str">
        <f t="shared" si="9"/>
        <v/>
      </c>
      <c r="I26" s="647">
        <f>Input!K204</f>
        <v>0</v>
      </c>
      <c r="J26" s="648" t="str">
        <f t="shared" si="10"/>
        <v/>
      </c>
      <c r="L26" s="630">
        <f>Input!L204</f>
        <v>0</v>
      </c>
      <c r="M26" s="648" t="str">
        <f t="shared" si="11"/>
        <v/>
      </c>
    </row>
    <row r="27" spans="2:13" ht="12.75" customHeight="1" x14ac:dyDescent="0.2">
      <c r="B27" s="583" t="str">
        <f>Input!B205</f>
        <v>Prodotti agricoli</v>
      </c>
      <c r="C27" s="630">
        <f>Input!D205</f>
        <v>0</v>
      </c>
      <c r="D27" s="646" t="str">
        <f t="shared" si="8"/>
        <v/>
      </c>
      <c r="F27" s="647">
        <f>Input!H205</f>
        <v>0</v>
      </c>
      <c r="G27" s="646" t="str">
        <f t="shared" si="9"/>
        <v/>
      </c>
      <c r="I27" s="647">
        <f>Input!K205</f>
        <v>0</v>
      </c>
      <c r="J27" s="648" t="str">
        <f t="shared" si="10"/>
        <v/>
      </c>
      <c r="L27" s="630">
        <f>Input!L205</f>
        <v>0</v>
      </c>
      <c r="M27" s="648" t="str">
        <f t="shared" si="11"/>
        <v/>
      </c>
    </row>
    <row r="28" spans="2:13" ht="12.75" customHeight="1" x14ac:dyDescent="0.2">
      <c r="B28" s="583" t="str">
        <f>Input!B206</f>
        <v>Altri input</v>
      </c>
      <c r="C28" s="630">
        <f>Input!D206</f>
        <v>0</v>
      </c>
      <c r="D28" s="646" t="str">
        <f t="shared" si="8"/>
        <v/>
      </c>
      <c r="F28" s="647">
        <f>Input!H206</f>
        <v>0</v>
      </c>
      <c r="G28" s="646" t="str">
        <f t="shared" si="9"/>
        <v/>
      </c>
      <c r="I28" s="647">
        <f>Input!K206</f>
        <v>0</v>
      </c>
      <c r="J28" s="648" t="str">
        <f t="shared" si="10"/>
        <v/>
      </c>
      <c r="L28" s="630">
        <f>Input!L206</f>
        <v>0</v>
      </c>
      <c r="M28" s="648" t="str">
        <f t="shared" si="11"/>
        <v/>
      </c>
    </row>
    <row r="29" spans="2:13" ht="12.75" customHeight="1" x14ac:dyDescent="0.2">
      <c r="B29" s="583" t="str">
        <f>Input!B207</f>
        <v>Uso del valore monetario</v>
      </c>
      <c r="C29" s="630">
        <f>Input!D207</f>
        <v>0</v>
      </c>
      <c r="D29" s="646" t="str">
        <f t="shared" si="8"/>
        <v/>
      </c>
      <c r="F29" s="647">
        <f>Input!H207</f>
        <v>0</v>
      </c>
      <c r="G29" s="646" t="str">
        <f t="shared" si="9"/>
        <v/>
      </c>
      <c r="I29" s="647">
        <f>Input!K207</f>
        <v>0</v>
      </c>
      <c r="J29" s="648" t="str">
        <f t="shared" si="10"/>
        <v/>
      </c>
      <c r="L29" s="630">
        <f>Input!L207</f>
        <v>0</v>
      </c>
      <c r="M29" s="648" t="str">
        <f t="shared" si="11"/>
        <v/>
      </c>
    </row>
    <row r="30" spans="2:13" ht="12.75" customHeight="1" x14ac:dyDescent="0.2">
      <c r="B30" s="330"/>
      <c r="C30" s="654"/>
      <c r="D30" s="655"/>
      <c r="F30" s="605"/>
      <c r="G30" s="637"/>
      <c r="I30" s="605"/>
      <c r="J30" s="637"/>
      <c r="L30" s="656"/>
      <c r="M30" s="314"/>
    </row>
    <row r="31" spans="2:13" s="121" customFormat="1" ht="20" customHeight="1" x14ac:dyDescent="0.2">
      <c r="B31" s="650" t="str">
        <f>Imballaggi!B92</f>
        <v xml:space="preserve">Imballaggi </v>
      </c>
      <c r="C31" s="651">
        <f>SUM(C32:C37)</f>
        <v>0</v>
      </c>
      <c r="D31" s="652" t="str">
        <f t="shared" ref="D31:D37" si="12">IF(C31&lt;&gt;0,C31/$C$105/1000,"")</f>
        <v/>
      </c>
      <c r="F31" s="791">
        <f>SQRT(SUMSQ(F32:F37))</f>
        <v>0</v>
      </c>
      <c r="G31" s="652" t="str">
        <f t="shared" ref="G31:G37" si="13">IF(C31&lt;&gt;0,F31/C31,"")</f>
        <v/>
      </c>
      <c r="I31" s="791">
        <f>SUM(I32:I37)</f>
        <v>0</v>
      </c>
      <c r="J31" s="792" t="str">
        <f t="shared" ref="J31:J37" si="14">IF(C31=0,"",I31/C31)</f>
        <v/>
      </c>
      <c r="L31" s="651">
        <f>SUM(L32:L37)</f>
        <v>0</v>
      </c>
      <c r="M31" s="794" t="str">
        <f t="shared" ref="M31:M37" si="15">IF(C31=0,"",L31/C31)</f>
        <v/>
      </c>
    </row>
    <row r="32" spans="2:13" ht="12.75" customHeight="1" x14ac:dyDescent="0.2">
      <c r="B32" s="628" t="str">
        <f>Imballaggi!B94</f>
        <v>Metalli</v>
      </c>
      <c r="C32" s="629">
        <f>Imballaggi!F94</f>
        <v>0</v>
      </c>
      <c r="D32" s="653" t="str">
        <f t="shared" si="12"/>
        <v/>
      </c>
      <c r="F32" s="638">
        <f>Imballaggi!J94</f>
        <v>0</v>
      </c>
      <c r="G32" s="653" t="str">
        <f t="shared" si="13"/>
        <v/>
      </c>
      <c r="I32" s="638">
        <f>Imballaggi!M94</f>
        <v>0</v>
      </c>
      <c r="J32" s="639" t="str">
        <f t="shared" si="14"/>
        <v/>
      </c>
      <c r="L32" s="629">
        <f>Imballaggi!N94</f>
        <v>0</v>
      </c>
      <c r="M32" s="639" t="str">
        <f t="shared" si="15"/>
        <v/>
      </c>
    </row>
    <row r="33" spans="2:13" ht="12.75" customHeight="1" x14ac:dyDescent="0.2">
      <c r="B33" s="628" t="str">
        <f>Imballaggi!B95</f>
        <v>Plastica</v>
      </c>
      <c r="C33" s="629">
        <f>Imballaggi!F95</f>
        <v>0</v>
      </c>
      <c r="D33" s="653" t="str">
        <f t="shared" si="12"/>
        <v/>
      </c>
      <c r="F33" s="638">
        <f>Imballaggi!J95</f>
        <v>0</v>
      </c>
      <c r="G33" s="653" t="str">
        <f t="shared" si="13"/>
        <v/>
      </c>
      <c r="I33" s="638">
        <f>Imballaggi!M95</f>
        <v>0</v>
      </c>
      <c r="J33" s="639" t="str">
        <f t="shared" si="14"/>
        <v/>
      </c>
      <c r="L33" s="629">
        <f>Imballaggi!N95</f>
        <v>0</v>
      </c>
      <c r="M33" s="639" t="str">
        <f t="shared" si="15"/>
        <v/>
      </c>
    </row>
    <row r="34" spans="2:13" ht="12.75" customHeight="1" x14ac:dyDescent="0.2">
      <c r="B34" s="628" t="str">
        <f>Imballaggi!B96</f>
        <v>Vetro</v>
      </c>
      <c r="C34" s="629">
        <f>Imballaggi!F96</f>
        <v>0</v>
      </c>
      <c r="D34" s="653" t="str">
        <f t="shared" si="12"/>
        <v/>
      </c>
      <c r="F34" s="638">
        <f>Imballaggi!J96</f>
        <v>0</v>
      </c>
      <c r="G34" s="653" t="str">
        <f t="shared" si="13"/>
        <v/>
      </c>
      <c r="I34" s="638">
        <f>Imballaggi!M96</f>
        <v>0</v>
      </c>
      <c r="J34" s="639" t="str">
        <f t="shared" si="14"/>
        <v/>
      </c>
      <c r="L34" s="629">
        <f>Imballaggi!N96</f>
        <v>0</v>
      </c>
      <c r="M34" s="639" t="str">
        <f t="shared" si="15"/>
        <v/>
      </c>
    </row>
    <row r="35" spans="2:13" ht="12.75" customHeight="1" x14ac:dyDescent="0.2">
      <c r="B35" s="628" t="str">
        <f>Imballaggi!B97</f>
        <v>Carta, Cartone</v>
      </c>
      <c r="C35" s="629">
        <f>Imballaggi!F97</f>
        <v>0</v>
      </c>
      <c r="D35" s="653" t="str">
        <f t="shared" si="12"/>
        <v/>
      </c>
      <c r="F35" s="638">
        <f>Imballaggi!J97</f>
        <v>0</v>
      </c>
      <c r="G35" s="653" t="str">
        <f t="shared" si="13"/>
        <v/>
      </c>
      <c r="I35" s="638">
        <f>Imballaggi!M97</f>
        <v>0</v>
      </c>
      <c r="J35" s="639" t="str">
        <f t="shared" si="14"/>
        <v/>
      </c>
      <c r="L35" s="629">
        <f>Imballaggi!N97</f>
        <v>0</v>
      </c>
      <c r="M35" s="639" t="str">
        <f t="shared" si="15"/>
        <v/>
      </c>
    </row>
    <row r="36" spans="2:13" ht="12.75" customHeight="1" x14ac:dyDescent="0.2">
      <c r="B36" s="628" t="str">
        <f>Imballaggi!B98</f>
        <v>Prodotti chimici e tessuti sintetici</v>
      </c>
      <c r="C36" s="629">
        <f>Imballaggi!F98</f>
        <v>0</v>
      </c>
      <c r="D36" s="653" t="str">
        <f t="shared" si="12"/>
        <v/>
      </c>
      <c r="F36" s="638">
        <f>Imballaggi!J98</f>
        <v>0</v>
      </c>
      <c r="G36" s="653" t="str">
        <f t="shared" si="13"/>
        <v/>
      </c>
      <c r="I36" s="638">
        <f>Imballaggi!M98</f>
        <v>0</v>
      </c>
      <c r="J36" s="639" t="str">
        <f t="shared" si="14"/>
        <v/>
      </c>
      <c r="L36" s="629">
        <f>Imballaggi!N98</f>
        <v>0</v>
      </c>
      <c r="M36" s="639" t="str">
        <f t="shared" si="15"/>
        <v/>
      </c>
    </row>
    <row r="37" spans="2:13" ht="12.75" customHeight="1" x14ac:dyDescent="0.2">
      <c r="B37" s="628" t="str">
        <f>Imballaggi!B99</f>
        <v>Protoddi agricoli</v>
      </c>
      <c r="C37" s="629">
        <f>Imballaggi!F99</f>
        <v>0</v>
      </c>
      <c r="D37" s="653" t="str">
        <f t="shared" si="12"/>
        <v/>
      </c>
      <c r="F37" s="638">
        <f>Imballaggi!J99</f>
        <v>0</v>
      </c>
      <c r="G37" s="653" t="str">
        <f t="shared" si="13"/>
        <v/>
      </c>
      <c r="I37" s="638">
        <f>Imballaggi!M99</f>
        <v>0</v>
      </c>
      <c r="J37" s="639" t="str">
        <f t="shared" si="14"/>
        <v/>
      </c>
      <c r="L37" s="629">
        <f>Imballaggi!N99</f>
        <v>0</v>
      </c>
      <c r="M37" s="639" t="str">
        <f t="shared" si="15"/>
        <v/>
      </c>
    </row>
    <row r="38" spans="2:13" ht="12.75" customHeight="1" x14ac:dyDescent="0.2">
      <c r="B38" s="330"/>
      <c r="C38" s="654"/>
      <c r="D38" s="655"/>
      <c r="F38" s="605"/>
      <c r="G38" s="637"/>
      <c r="I38" s="605"/>
      <c r="J38" s="637"/>
      <c r="L38" s="656"/>
      <c r="M38" s="314"/>
    </row>
    <row r="39" spans="2:13" s="121" customFormat="1" ht="20" customHeight="1" x14ac:dyDescent="0.2">
      <c r="B39" s="643" t="str">
        <f>'Trasporti merci'!B618</f>
        <v>Trasporto merci</v>
      </c>
      <c r="C39" s="644">
        <f>SUM(C40:C51)</f>
        <v>0</v>
      </c>
      <c r="D39" s="645" t="str">
        <f t="shared" ref="D39:D51" si="16">IF(C39&lt;&gt;0,C39/$C$105/1000,"")</f>
        <v/>
      </c>
      <c r="F39" s="644">
        <f>SQRT(SUMSQ(F40:F51))</f>
        <v>0</v>
      </c>
      <c r="G39" s="645" t="str">
        <f t="shared" ref="G39:G51" si="17">IF(C39&lt;&gt;0,F39/C39,"")</f>
        <v/>
      </c>
      <c r="I39" s="644">
        <f>SUM(I40:I51)</f>
        <v>0</v>
      </c>
      <c r="J39" s="645" t="str">
        <f t="shared" ref="J39:J51" si="18">IF(C39=0,"",I39/C39)</f>
        <v/>
      </c>
      <c r="L39" s="644">
        <f>SUM(L40:L51)</f>
        <v>0</v>
      </c>
      <c r="M39" s="793" t="str">
        <f t="shared" ref="M39:M51" si="19">IF(C39=0,"",L39/C39)</f>
        <v/>
      </c>
    </row>
    <row r="40" spans="2:13" ht="12.75" customHeight="1" x14ac:dyDescent="0.2">
      <c r="B40" s="583" t="str">
        <f>'Trasporti merci'!B620</f>
        <v>Upstream trasporto su strada</v>
      </c>
      <c r="C40" s="630">
        <f>'Trasporti merci'!D620</f>
        <v>0</v>
      </c>
      <c r="D40" s="646" t="str">
        <f t="shared" si="16"/>
        <v/>
      </c>
      <c r="F40" s="647">
        <f>'Trasporti merci'!H620</f>
        <v>0</v>
      </c>
      <c r="G40" s="646" t="str">
        <f t="shared" si="17"/>
        <v/>
      </c>
      <c r="I40" s="647">
        <f>'Trasporti merci'!K620</f>
        <v>0</v>
      </c>
      <c r="J40" s="648" t="str">
        <f t="shared" si="18"/>
        <v/>
      </c>
      <c r="L40" s="630">
        <f>'Trasporti merci'!L620</f>
        <v>0</v>
      </c>
      <c r="M40" s="648" t="str">
        <f t="shared" si="19"/>
        <v/>
      </c>
    </row>
    <row r="41" spans="2:13" ht="12.75" customHeight="1" x14ac:dyDescent="0.2">
      <c r="B41" s="583" t="str">
        <f>'Trasporti merci'!B621</f>
        <v>Upstream trasporto aereo merci</v>
      </c>
      <c r="C41" s="630">
        <f>'Trasporti merci'!D621</f>
        <v>0</v>
      </c>
      <c r="D41" s="646" t="str">
        <f t="shared" si="16"/>
        <v/>
      </c>
      <c r="F41" s="647">
        <f>'Trasporti merci'!H621</f>
        <v>0</v>
      </c>
      <c r="G41" s="646" t="str">
        <f t="shared" si="17"/>
        <v/>
      </c>
      <c r="I41" s="647">
        <f>'Trasporti merci'!K621</f>
        <v>0</v>
      </c>
      <c r="J41" s="648" t="str">
        <f t="shared" si="18"/>
        <v/>
      </c>
      <c r="L41" s="630">
        <f>'Trasporti merci'!L621</f>
        <v>0</v>
      </c>
      <c r="M41" s="648" t="str">
        <f t="shared" si="19"/>
        <v/>
      </c>
    </row>
    <row r="42" spans="2:13" ht="12.75" customHeight="1" x14ac:dyDescent="0.2">
      <c r="B42" s="583" t="str">
        <f>'Trasporti merci'!B622</f>
        <v>Upstream  trasporto ferroviario merci</v>
      </c>
      <c r="C42" s="630">
        <f>'Trasporti merci'!D622</f>
        <v>0</v>
      </c>
      <c r="D42" s="646" t="str">
        <f t="shared" si="16"/>
        <v/>
      </c>
      <c r="F42" s="647">
        <f>'Trasporti merci'!H622</f>
        <v>0</v>
      </c>
      <c r="G42" s="646" t="str">
        <f t="shared" si="17"/>
        <v/>
      </c>
      <c r="I42" s="647">
        <f>'Trasporti merci'!K622</f>
        <v>0</v>
      </c>
      <c r="J42" s="648" t="str">
        <f t="shared" si="18"/>
        <v/>
      </c>
      <c r="L42" s="630">
        <f>'Trasporti merci'!L622</f>
        <v>0</v>
      </c>
      <c r="M42" s="648" t="str">
        <f t="shared" si="19"/>
        <v/>
      </c>
    </row>
    <row r="43" spans="2:13" ht="12.75" customHeight="1" x14ac:dyDescent="0.2">
      <c r="B43" s="583" t="str">
        <f>'Trasporti merci'!B623</f>
        <v>Upstream trasporto merci via mare e fiume</v>
      </c>
      <c r="C43" s="630">
        <f>'Trasporti merci'!D623</f>
        <v>0</v>
      </c>
      <c r="D43" s="646" t="str">
        <f t="shared" si="16"/>
        <v/>
      </c>
      <c r="F43" s="647">
        <f>'Trasporti merci'!H623</f>
        <v>0</v>
      </c>
      <c r="G43" s="646" t="str">
        <f t="shared" si="17"/>
        <v/>
      </c>
      <c r="I43" s="647">
        <f>'Trasporti merci'!K623</f>
        <v>0</v>
      </c>
      <c r="J43" s="648" t="str">
        <f t="shared" si="18"/>
        <v/>
      </c>
      <c r="L43" s="630">
        <f>'Trasporti merci'!L623</f>
        <v>0</v>
      </c>
      <c r="M43" s="648" t="str">
        <f t="shared" si="19"/>
        <v/>
      </c>
    </row>
    <row r="44" spans="2:13" ht="12.75" customHeight="1" x14ac:dyDescent="0.2">
      <c r="B44" s="583" t="str">
        <f>'Trasporti merci'!B624</f>
        <v>Trasporto su strada uso interno merci</v>
      </c>
      <c r="C44" s="630">
        <f>'Trasporti merci'!D624</f>
        <v>0</v>
      </c>
      <c r="D44" s="646" t="str">
        <f t="shared" si="16"/>
        <v/>
      </c>
      <c r="F44" s="647">
        <f>'Trasporti merci'!H624</f>
        <v>0</v>
      </c>
      <c r="G44" s="646" t="str">
        <f t="shared" si="17"/>
        <v/>
      </c>
      <c r="I44" s="647">
        <f>'Trasporti merci'!K624</f>
        <v>0</v>
      </c>
      <c r="J44" s="648" t="str">
        <f t="shared" si="18"/>
        <v/>
      </c>
      <c r="L44" s="630">
        <f>'Trasporti merci'!L624</f>
        <v>0</v>
      </c>
      <c r="M44" s="648" t="str">
        <f t="shared" si="19"/>
        <v/>
      </c>
    </row>
    <row r="45" spans="2:13" ht="12.75" customHeight="1" x14ac:dyDescent="0.2">
      <c r="B45" s="583" t="str">
        <f>'Trasporti merci'!B625</f>
        <v>Trasporto aereo uso interno merci</v>
      </c>
      <c r="C45" s="630">
        <f>'Trasporti merci'!D625</f>
        <v>0</v>
      </c>
      <c r="D45" s="646" t="str">
        <f t="shared" si="16"/>
        <v/>
      </c>
      <c r="F45" s="647">
        <f>'Trasporti merci'!H625</f>
        <v>0</v>
      </c>
      <c r="G45" s="646" t="str">
        <f t="shared" si="17"/>
        <v/>
      </c>
      <c r="I45" s="647">
        <f>'Trasporti merci'!K625</f>
        <v>0</v>
      </c>
      <c r="J45" s="648" t="str">
        <f t="shared" si="18"/>
        <v/>
      </c>
      <c r="L45" s="630">
        <f>'Trasporti merci'!L625</f>
        <v>0</v>
      </c>
      <c r="M45" s="648" t="str">
        <f t="shared" si="19"/>
        <v/>
      </c>
    </row>
    <row r="46" spans="2:13" ht="12.75" customHeight="1" x14ac:dyDescent="0.2">
      <c r="B46" s="583" t="str">
        <f>'Trasporti merci'!B626</f>
        <v xml:space="preserve"> Trasporto treno uso interno merci</v>
      </c>
      <c r="C46" s="630">
        <f>'Trasporti merci'!D626</f>
        <v>0</v>
      </c>
      <c r="D46" s="646" t="str">
        <f t="shared" si="16"/>
        <v/>
      </c>
      <c r="F46" s="647">
        <f>'Trasporti merci'!H626</f>
        <v>0</v>
      </c>
      <c r="G46" s="646" t="str">
        <f t="shared" si="17"/>
        <v/>
      </c>
      <c r="I46" s="647">
        <f>'Trasporti merci'!K626</f>
        <v>0</v>
      </c>
      <c r="J46" s="648" t="str">
        <f t="shared" si="18"/>
        <v/>
      </c>
      <c r="L46" s="630">
        <f>'Trasporti merci'!L626</f>
        <v>0</v>
      </c>
      <c r="M46" s="648" t="str">
        <f t="shared" si="19"/>
        <v/>
      </c>
    </row>
    <row r="47" spans="2:13" ht="12.75" customHeight="1" x14ac:dyDescent="0.2">
      <c r="B47" s="583" t="str">
        <f>'Trasporti merci'!B627</f>
        <v>Trasporto merci via mare e fiume  uso interno</v>
      </c>
      <c r="C47" s="630">
        <f>'Trasporti merci'!D627</f>
        <v>0</v>
      </c>
      <c r="D47" s="646" t="str">
        <f t="shared" si="16"/>
        <v/>
      </c>
      <c r="F47" s="647">
        <f>'Trasporti merci'!H627</f>
        <v>0</v>
      </c>
      <c r="G47" s="646" t="str">
        <f t="shared" si="17"/>
        <v/>
      </c>
      <c r="I47" s="647">
        <f>'Trasporti merci'!K627</f>
        <v>0</v>
      </c>
      <c r="J47" s="648" t="str">
        <f t="shared" si="18"/>
        <v/>
      </c>
      <c r="L47" s="630">
        <f>'Trasporti merci'!L627</f>
        <v>0</v>
      </c>
      <c r="M47" s="648" t="str">
        <f t="shared" si="19"/>
        <v/>
      </c>
    </row>
    <row r="48" spans="2:13" ht="12.75" customHeight="1" x14ac:dyDescent="0.2">
      <c r="B48" s="583" t="str">
        <f>'Trasporti merci'!B628</f>
        <v xml:space="preserve">Downstream trasporto su strada </v>
      </c>
      <c r="C48" s="630">
        <f>'Trasporti merci'!D628</f>
        <v>0</v>
      </c>
      <c r="D48" s="646" t="str">
        <f t="shared" si="16"/>
        <v/>
      </c>
      <c r="F48" s="647">
        <f>'Trasporti merci'!H628</f>
        <v>0</v>
      </c>
      <c r="G48" s="646" t="str">
        <f t="shared" si="17"/>
        <v/>
      </c>
      <c r="I48" s="647">
        <f>'Trasporti merci'!K628</f>
        <v>0</v>
      </c>
      <c r="J48" s="648" t="str">
        <f t="shared" si="18"/>
        <v/>
      </c>
      <c r="L48" s="630">
        <f>'Trasporti merci'!L628</f>
        <v>0</v>
      </c>
      <c r="M48" s="648" t="str">
        <f t="shared" si="19"/>
        <v/>
      </c>
    </row>
    <row r="49" spans="2:13" ht="12.75" customHeight="1" x14ac:dyDescent="0.2">
      <c r="B49" s="583" t="str">
        <f>'Trasporti merci'!B629</f>
        <v>Downstream trasporto aereo merci</v>
      </c>
      <c r="C49" s="630">
        <f>'Trasporti merci'!D629</f>
        <v>0</v>
      </c>
      <c r="D49" s="646" t="str">
        <f t="shared" si="16"/>
        <v/>
      </c>
      <c r="F49" s="647">
        <f>'Trasporti merci'!H629</f>
        <v>0</v>
      </c>
      <c r="G49" s="646" t="str">
        <f t="shared" si="17"/>
        <v/>
      </c>
      <c r="I49" s="647">
        <f>'Trasporti merci'!K629</f>
        <v>0</v>
      </c>
      <c r="J49" s="648" t="str">
        <f t="shared" si="18"/>
        <v/>
      </c>
      <c r="L49" s="630">
        <f>'Trasporti merci'!L629</f>
        <v>0</v>
      </c>
      <c r="M49" s="648" t="str">
        <f t="shared" si="19"/>
        <v/>
      </c>
    </row>
    <row r="50" spans="2:13" ht="12.75" customHeight="1" x14ac:dyDescent="0.2">
      <c r="B50" s="583" t="str">
        <f>'Trasporti merci'!B630</f>
        <v>Downstream  trasporto treno merci</v>
      </c>
      <c r="C50" s="630">
        <f>'Trasporti merci'!D630</f>
        <v>0</v>
      </c>
      <c r="D50" s="646" t="str">
        <f t="shared" si="16"/>
        <v/>
      </c>
      <c r="F50" s="647">
        <f>'Trasporti merci'!H630</f>
        <v>0</v>
      </c>
      <c r="G50" s="646" t="str">
        <f t="shared" si="17"/>
        <v/>
      </c>
      <c r="I50" s="647">
        <f>'Trasporti merci'!K630</f>
        <v>0</v>
      </c>
      <c r="J50" s="648" t="str">
        <f t="shared" si="18"/>
        <v/>
      </c>
      <c r="L50" s="630">
        <f>'Trasporti merci'!L630</f>
        <v>0</v>
      </c>
      <c r="M50" s="648" t="str">
        <f t="shared" si="19"/>
        <v/>
      </c>
    </row>
    <row r="51" spans="2:13" ht="12.75" customHeight="1" x14ac:dyDescent="0.2">
      <c r="B51" s="583" t="str">
        <f>'Trasporti merci'!B631</f>
        <v>Downstream trasporto merci via mare e fiume</v>
      </c>
      <c r="C51" s="630">
        <f>'Trasporti merci'!D631</f>
        <v>0</v>
      </c>
      <c r="D51" s="646" t="str">
        <f t="shared" si="16"/>
        <v/>
      </c>
      <c r="F51" s="647">
        <f>'Trasporti merci'!H631</f>
        <v>0</v>
      </c>
      <c r="G51" s="646" t="str">
        <f t="shared" si="17"/>
        <v/>
      </c>
      <c r="I51" s="647">
        <f>'Trasporti merci'!K631</f>
        <v>0</v>
      </c>
      <c r="J51" s="648" t="str">
        <f t="shared" si="18"/>
        <v/>
      </c>
      <c r="L51" s="630">
        <f>'Trasporti merci'!L631</f>
        <v>0</v>
      </c>
      <c r="M51" s="648" t="str">
        <f t="shared" si="19"/>
        <v/>
      </c>
    </row>
    <row r="52" spans="2:13" x14ac:dyDescent="0.2">
      <c r="C52" s="602"/>
      <c r="D52" s="49"/>
      <c r="F52" s="602"/>
      <c r="G52" s="49"/>
      <c r="I52" s="602"/>
      <c r="J52" s="49"/>
      <c r="L52" s="602"/>
    </row>
    <row r="53" spans="2:13" s="121" customFormat="1" ht="20" customHeight="1" x14ac:dyDescent="0.2">
      <c r="B53" s="650" t="str">
        <f>'Trasporto persone'!B391</f>
        <v>Trasporto persone</v>
      </c>
      <c r="C53" s="651">
        <f>SUM(C54:C60)</f>
        <v>1477.183670815697</v>
      </c>
      <c r="D53" s="652">
        <f t="shared" ref="D53:D60" si="20">IF(C53&lt;&gt;0,C53/$C$105/1000,"")</f>
        <v>5.3115408360500531E-6</v>
      </c>
      <c r="F53" s="791">
        <f>SQRT(SUMSQ(F54:F60))</f>
        <v>0</v>
      </c>
      <c r="G53" s="652">
        <f t="shared" ref="G53:G60" si="21">IF(C53&lt;&gt;0,F53/C53,"")</f>
        <v>0</v>
      </c>
      <c r="I53" s="791">
        <f>SUM(I54:I60)</f>
        <v>0</v>
      </c>
      <c r="J53" s="792">
        <f t="shared" ref="J53:J60" si="22">IF(C53=0,"",I53/C53)</f>
        <v>0</v>
      </c>
      <c r="L53" s="651">
        <f>SUM(L54:L60)</f>
        <v>0</v>
      </c>
      <c r="M53" s="794">
        <f t="shared" ref="M53:M60" si="23">IF(C53=0,"",L53/C53)</f>
        <v>0</v>
      </c>
    </row>
    <row r="54" spans="2:13" ht="12.75" customHeight="1" x14ac:dyDescent="0.2">
      <c r="B54" s="628" t="str">
        <f>'Trasporto persone'!B393</f>
        <v>Dipendenti viaggi casa-lavoro</v>
      </c>
      <c r="C54" s="629">
        <f>'Trasporto persone'!D393</f>
        <v>1095.1491958156971</v>
      </c>
      <c r="D54" s="653">
        <f t="shared" si="20"/>
        <v>3.9378513248324479E-6</v>
      </c>
      <c r="F54" s="638">
        <f>'Trasporto persone'!H393</f>
        <v>0</v>
      </c>
      <c r="G54" s="653">
        <f t="shared" si="21"/>
        <v>0</v>
      </c>
      <c r="I54" s="638">
        <f>'Trasporto persone'!K393</f>
        <v>0</v>
      </c>
      <c r="J54" s="639">
        <f t="shared" si="22"/>
        <v>0</v>
      </c>
      <c r="L54" s="629">
        <f>'Trasporto persone'!L393</f>
        <v>0</v>
      </c>
      <c r="M54" s="639">
        <f t="shared" si="23"/>
        <v>0</v>
      </c>
    </row>
    <row r="55" spans="2:13" ht="12.75" customHeight="1" x14ac:dyDescent="0.2">
      <c r="B55" s="628" t="str">
        <f>'Trasporto persone'!B394</f>
        <v xml:space="preserve">Dipendenti viaggi di lavoro - macchina </v>
      </c>
      <c r="C55" s="629">
        <f>'Trasporto persone'!D394</f>
        <v>382.03447499999999</v>
      </c>
      <c r="D55" s="653">
        <f t="shared" si="20"/>
        <v>1.3736895112176056E-6</v>
      </c>
      <c r="F55" s="638">
        <f>'Trasporto persone'!H394</f>
        <v>0</v>
      </c>
      <c r="G55" s="653">
        <f t="shared" si="21"/>
        <v>0</v>
      </c>
      <c r="I55" s="638">
        <f>'Trasporto persone'!K394</f>
        <v>0</v>
      </c>
      <c r="J55" s="639">
        <f t="shared" si="22"/>
        <v>0</v>
      </c>
      <c r="L55" s="629">
        <f>'Trasporto persone'!L394</f>
        <v>0</v>
      </c>
      <c r="M55" s="639">
        <f t="shared" si="23"/>
        <v>0</v>
      </c>
    </row>
    <row r="56" spans="2:13" ht="12.75" customHeight="1" x14ac:dyDescent="0.2">
      <c r="B56" s="628" t="str">
        <f>'Trasporto persone'!B395</f>
        <v xml:space="preserve">Dipendenti viaggi di lavoro, altri veicoli su strada </v>
      </c>
      <c r="C56" s="629">
        <f>'Trasporto persone'!D395</f>
        <v>0</v>
      </c>
      <c r="D56" s="653" t="str">
        <f t="shared" si="20"/>
        <v/>
      </c>
      <c r="F56" s="638">
        <f>'Trasporto persone'!H395</f>
        <v>0</v>
      </c>
      <c r="G56" s="653" t="str">
        <f t="shared" si="21"/>
        <v/>
      </c>
      <c r="I56" s="638">
        <f>'Trasporto persone'!K395</f>
        <v>0</v>
      </c>
      <c r="J56" s="639" t="str">
        <f t="shared" si="22"/>
        <v/>
      </c>
      <c r="L56" s="629">
        <f>'Trasporto persone'!L395</f>
        <v>0</v>
      </c>
      <c r="M56" s="639" t="str">
        <f t="shared" si="23"/>
        <v/>
      </c>
    </row>
    <row r="57" spans="2:13" ht="12.75" customHeight="1" x14ac:dyDescent="0.2">
      <c r="B57" s="628" t="str">
        <f>'Trasporto persone'!B396</f>
        <v>Dipendenti viaggi di lavoro - treno</v>
      </c>
      <c r="C57" s="629">
        <f>'Trasporto persone'!D396</f>
        <v>0</v>
      </c>
      <c r="D57" s="653" t="str">
        <f t="shared" si="20"/>
        <v/>
      </c>
      <c r="F57" s="638">
        <f>'Trasporto persone'!H396</f>
        <v>0</v>
      </c>
      <c r="G57" s="653" t="str">
        <f t="shared" si="21"/>
        <v/>
      </c>
      <c r="I57" s="638">
        <f>'Trasporto persone'!K396</f>
        <v>0</v>
      </c>
      <c r="J57" s="639" t="str">
        <f t="shared" si="22"/>
        <v/>
      </c>
      <c r="L57" s="629">
        <f>'Trasporto persone'!L396</f>
        <v>0</v>
      </c>
      <c r="M57" s="639" t="str">
        <f t="shared" si="23"/>
        <v/>
      </c>
    </row>
    <row r="58" spans="2:13" ht="12.75" customHeight="1" x14ac:dyDescent="0.2">
      <c r="B58" s="628" t="str">
        <f>'Trasporto persone'!B397</f>
        <v>Dipendenti viaggi di lavoro - aereo</v>
      </c>
      <c r="C58" s="629">
        <f>'Trasporto persone'!D397</f>
        <v>0</v>
      </c>
      <c r="D58" s="653" t="str">
        <f t="shared" si="20"/>
        <v/>
      </c>
      <c r="F58" s="638">
        <f>'Trasporto persone'!H397</f>
        <v>0</v>
      </c>
      <c r="G58" s="653" t="str">
        <f t="shared" si="21"/>
        <v/>
      </c>
      <c r="I58" s="638">
        <f>'Trasporto persone'!K397</f>
        <v>0</v>
      </c>
      <c r="J58" s="639" t="str">
        <f t="shared" si="22"/>
        <v/>
      </c>
      <c r="L58" s="629">
        <f>'Trasporto persone'!L397</f>
        <v>0</v>
      </c>
      <c r="M58" s="639" t="str">
        <f t="shared" si="23"/>
        <v/>
      </c>
    </row>
    <row r="59" spans="2:13" ht="12.75" customHeight="1" x14ac:dyDescent="0.2">
      <c r="B59" s="628" t="str">
        <f>'Trasporto persone'!B398</f>
        <v>Dipendenti viaggi di lavoro - nave</v>
      </c>
      <c r="C59" s="629">
        <f>'Trasporto persone'!D398</f>
        <v>0</v>
      </c>
      <c r="D59" s="653" t="str">
        <f t="shared" si="20"/>
        <v/>
      </c>
      <c r="F59" s="638">
        <f>'Trasporto persone'!H398</f>
        <v>0</v>
      </c>
      <c r="G59" s="653" t="str">
        <f t="shared" si="21"/>
        <v/>
      </c>
      <c r="I59" s="638">
        <f>'Trasporto persone'!K398</f>
        <v>0</v>
      </c>
      <c r="J59" s="639" t="str">
        <f t="shared" si="22"/>
        <v/>
      </c>
      <c r="L59" s="629">
        <f>'Trasporto persone'!L398</f>
        <v>0</v>
      </c>
      <c r="M59" s="639" t="str">
        <f t="shared" si="23"/>
        <v/>
      </c>
    </row>
    <row r="60" spans="2:13" ht="12.75" customHeight="1" x14ac:dyDescent="0.2">
      <c r="B60" s="628" t="str">
        <f>'Trasporto persone'!B399</f>
        <v xml:space="preserve">Viaggi dei visitatori - ogni mezzo </v>
      </c>
      <c r="C60" s="629">
        <f>'Trasporto persone'!D399</f>
        <v>0</v>
      </c>
      <c r="D60" s="653" t="str">
        <f t="shared" si="20"/>
        <v/>
      </c>
      <c r="F60" s="638">
        <f>'Trasporto persone'!H399</f>
        <v>0</v>
      </c>
      <c r="G60" s="653" t="str">
        <f t="shared" si="21"/>
        <v/>
      </c>
      <c r="I60" s="638">
        <f>'Trasporto persone'!K399</f>
        <v>0</v>
      </c>
      <c r="J60" s="639" t="str">
        <f t="shared" si="22"/>
        <v/>
      </c>
      <c r="L60" s="629">
        <f>'Trasporto persone'!L399</f>
        <v>0</v>
      </c>
      <c r="M60" s="639" t="str">
        <f t="shared" si="23"/>
        <v/>
      </c>
    </row>
    <row r="61" spans="2:13" ht="12.75" customHeight="1" x14ac:dyDescent="0.2">
      <c r="B61" s="657"/>
      <c r="C61" s="654"/>
      <c r="D61" s="655"/>
      <c r="F61" s="605"/>
      <c r="G61" s="637"/>
      <c r="I61" s="605"/>
      <c r="J61" s="637"/>
      <c r="L61" s="656"/>
      <c r="M61" s="314"/>
    </row>
    <row r="62" spans="2:13" s="121" customFormat="1" ht="20" customHeight="1" x14ac:dyDescent="0.2">
      <c r="B62" s="643" t="str">
        <f>'Rifiuti di processo'!B165</f>
        <v>Rifiuti di processo</v>
      </c>
      <c r="C62" s="644">
        <f>SUM(C63:C68)</f>
        <v>0</v>
      </c>
      <c r="D62" s="645" t="str">
        <f t="shared" ref="D62:D68" si="24">IF(C62&lt;&gt;0,C62/$C$105/1000,"")</f>
        <v/>
      </c>
      <c r="F62" s="644">
        <f>SQRT(SUMSQ(F63:F68))</f>
        <v>0</v>
      </c>
      <c r="G62" s="645" t="str">
        <f t="shared" ref="G62:G68" si="25">IF(C62&lt;&gt;0,F62/C62,"")</f>
        <v/>
      </c>
      <c r="I62" s="644">
        <f>SUM(I63:I68)</f>
        <v>0</v>
      </c>
      <c r="J62" s="645" t="str">
        <f t="shared" ref="J62:J68" si="26">IF(C62=0,"",I62/C62)</f>
        <v/>
      </c>
      <c r="L62" s="644">
        <f>SUM(L63:L68)</f>
        <v>0</v>
      </c>
      <c r="M62" s="793" t="str">
        <f t="shared" ref="M62:M68" si="27">IF(C62=0,"",L62/C62)</f>
        <v/>
      </c>
    </row>
    <row r="63" spans="2:13" ht="12.75" customHeight="1" x14ac:dyDescent="0.2">
      <c r="B63" s="583" t="str">
        <f>'Rifiuti di processo'!B167</f>
        <v>Discarica</v>
      </c>
      <c r="C63" s="630">
        <f>'Rifiuti di processo'!D167</f>
        <v>0</v>
      </c>
      <c r="D63" s="646" t="str">
        <f t="shared" si="24"/>
        <v/>
      </c>
      <c r="F63" s="647">
        <f>'Rifiuti di processo'!H167</f>
        <v>0</v>
      </c>
      <c r="G63" s="646" t="str">
        <f t="shared" si="25"/>
        <v/>
      </c>
      <c r="I63" s="647">
        <f>'Rifiuti di processo'!K167</f>
        <v>0</v>
      </c>
      <c r="J63" s="648" t="str">
        <f t="shared" si="26"/>
        <v/>
      </c>
      <c r="L63" s="630">
        <f>'Rifiuti di processo'!L167</f>
        <v>0</v>
      </c>
      <c r="M63" s="648" t="str">
        <f t="shared" si="27"/>
        <v/>
      </c>
    </row>
    <row r="64" spans="2:13" ht="12.75" customHeight="1" x14ac:dyDescent="0.2">
      <c r="B64" s="583" t="str">
        <f>'Rifiuti di processo'!B168</f>
        <v>Inceneritore</v>
      </c>
      <c r="C64" s="630">
        <f>'Rifiuti di processo'!D168</f>
        <v>0</v>
      </c>
      <c r="D64" s="646" t="str">
        <f t="shared" si="24"/>
        <v/>
      </c>
      <c r="F64" s="647">
        <f>'Rifiuti di processo'!H168</f>
        <v>0</v>
      </c>
      <c r="G64" s="646" t="str">
        <f t="shared" si="25"/>
        <v/>
      </c>
      <c r="I64" s="647">
        <f>'Rifiuti di processo'!K168</f>
        <v>0</v>
      </c>
      <c r="J64" s="648" t="str">
        <f t="shared" si="26"/>
        <v/>
      </c>
      <c r="L64" s="630">
        <f>'Rifiuti di processo'!L168</f>
        <v>0</v>
      </c>
      <c r="M64" s="648" t="str">
        <f t="shared" si="27"/>
        <v/>
      </c>
    </row>
    <row r="65" spans="2:13" ht="12.75" customHeight="1" x14ac:dyDescent="0.2">
      <c r="B65" s="583" t="str">
        <f>'Rifiuti di processo'!B169</f>
        <v>Rifiuti riusati o riciclati</v>
      </c>
      <c r="C65" s="630">
        <f>'Rifiuti di processo'!D169</f>
        <v>0</v>
      </c>
      <c r="D65" s="646" t="str">
        <f t="shared" si="24"/>
        <v/>
      </c>
      <c r="F65" s="647">
        <f>'Rifiuti di processo'!H169</f>
        <v>0</v>
      </c>
      <c r="G65" s="646" t="str">
        <f t="shared" si="25"/>
        <v/>
      </c>
      <c r="I65" s="647">
        <f>'Rifiuti di processo'!K169</f>
        <v>0</v>
      </c>
      <c r="J65" s="648" t="str">
        <f t="shared" si="26"/>
        <v/>
      </c>
      <c r="L65" s="630">
        <f>'Rifiuti di processo'!L169</f>
        <v>0</v>
      </c>
      <c r="M65" s="648" t="str">
        <f t="shared" si="27"/>
        <v/>
      </c>
    </row>
    <row r="66" spans="2:13" ht="12.75" customHeight="1" x14ac:dyDescent="0.2">
      <c r="B66" s="583" t="str">
        <f>'Rifiuti di processo'!B170</f>
        <v>Rifiuti di processo - suddivisione per tipo/trattamento di rifiuto</v>
      </c>
      <c r="C66" s="630">
        <f>'Rifiuti di processo'!D170</f>
        <v>0</v>
      </c>
      <c r="D66" s="646" t="str">
        <f t="shared" si="24"/>
        <v/>
      </c>
      <c r="F66" s="647">
        <f>'Rifiuti di processo'!H170</f>
        <v>0</v>
      </c>
      <c r="G66" s="646" t="str">
        <f t="shared" si="25"/>
        <v/>
      </c>
      <c r="I66" s="647">
        <f>'Rifiuti di processo'!K170</f>
        <v>0</v>
      </c>
      <c r="J66" s="648" t="str">
        <f t="shared" si="26"/>
        <v/>
      </c>
      <c r="L66" s="630">
        <f>'Rifiuti di processo'!L170</f>
        <v>0</v>
      </c>
      <c r="M66" s="648" t="str">
        <f t="shared" si="27"/>
        <v/>
      </c>
    </row>
    <row r="67" spans="2:13" ht="12.75" customHeight="1" x14ac:dyDescent="0.2">
      <c r="B67" s="583" t="str">
        <f>'Rifiuti di processo'!B171</f>
        <v>Rifiuti pericolosi</v>
      </c>
      <c r="C67" s="630">
        <f>'Rifiuti di processo'!D171</f>
        <v>0</v>
      </c>
      <c r="D67" s="646" t="str">
        <f t="shared" si="24"/>
        <v/>
      </c>
      <c r="F67" s="647">
        <f>'Rifiuti di processo'!H171</f>
        <v>0</v>
      </c>
      <c r="G67" s="646" t="str">
        <f t="shared" si="25"/>
        <v/>
      </c>
      <c r="I67" s="647">
        <f>'Rifiuti di processo'!K171</f>
        <v>0</v>
      </c>
      <c r="J67" s="648" t="str">
        <f t="shared" si="26"/>
        <v/>
      </c>
      <c r="L67" s="630">
        <f>'Rifiuti di processo'!L171</f>
        <v>0</v>
      </c>
      <c r="M67" s="648" t="str">
        <f t="shared" si="27"/>
        <v/>
      </c>
    </row>
    <row r="68" spans="2:13" ht="12.75" customHeight="1" x14ac:dyDescent="0.2">
      <c r="B68" s="583" t="str">
        <f>'Rifiuti di processo'!B172</f>
        <v>Trattamento reflui</v>
      </c>
      <c r="C68" s="630">
        <f>'Rifiuti di processo'!D172</f>
        <v>0</v>
      </c>
      <c r="D68" s="646" t="str">
        <f t="shared" si="24"/>
        <v/>
      </c>
      <c r="F68" s="647">
        <f>'Rifiuti di processo'!H172</f>
        <v>0</v>
      </c>
      <c r="G68" s="646" t="str">
        <f t="shared" si="25"/>
        <v/>
      </c>
      <c r="I68" s="647">
        <f>'Rifiuti di processo'!K172</f>
        <v>0</v>
      </c>
      <c r="J68" s="648" t="str">
        <f t="shared" si="26"/>
        <v/>
      </c>
      <c r="L68" s="630">
        <f>'Rifiuti di processo'!L172</f>
        <v>0</v>
      </c>
      <c r="M68" s="648" t="str">
        <f t="shared" si="27"/>
        <v/>
      </c>
    </row>
    <row r="69" spans="2:13" x14ac:dyDescent="0.2">
      <c r="C69" s="603"/>
      <c r="D69" s="604"/>
      <c r="F69" s="605"/>
      <c r="G69" s="637"/>
      <c r="I69" s="605"/>
      <c r="J69" s="637"/>
      <c r="L69" s="606"/>
      <c r="M69" s="314"/>
    </row>
    <row r="70" spans="2:13" s="121" customFormat="1" ht="20" customHeight="1" x14ac:dyDescent="0.2">
      <c r="B70" s="650" t="str">
        <f>'Beni durevoli'!B257</f>
        <v>Beni di durevoli</v>
      </c>
      <c r="C70" s="651">
        <f>SUM(C71:C74)</f>
        <v>9680.0000000000018</v>
      </c>
      <c r="D70" s="652">
        <f>IF(C70&lt;&gt;0,C70/$C$105/1000,"")</f>
        <v>3.4806582491243558E-5</v>
      </c>
      <c r="F70" s="791">
        <f>SQRT(SUMSQ(F71:F74))</f>
        <v>1936.0000000000005</v>
      </c>
      <c r="G70" s="652">
        <f>IF(C70&lt;&gt;0,F70/C70,"")</f>
        <v>0.2</v>
      </c>
      <c r="I70" s="791">
        <f>SUM(I71:I74)</f>
        <v>0</v>
      </c>
      <c r="J70" s="792">
        <f>IF(C70=0,"",I70/C70)</f>
        <v>0</v>
      </c>
      <c r="L70" s="651">
        <f>SUM(L71:L74)</f>
        <v>0</v>
      </c>
      <c r="M70" s="794">
        <f>IF(C70=0,"",L70/C70)</f>
        <v>0</v>
      </c>
    </row>
    <row r="71" spans="2:13" x14ac:dyDescent="0.2">
      <c r="B71" s="628" t="str">
        <f>'Beni durevoli'!B259</f>
        <v>Edifici</v>
      </c>
      <c r="C71" s="629">
        <f>'Beni durevoli'!D259</f>
        <v>9680.0000000000018</v>
      </c>
      <c r="D71" s="653">
        <f>IF(C71&lt;&gt;0,C71/$C$105/1000,"")</f>
        <v>3.4806582491243558E-5</v>
      </c>
      <c r="F71" s="638">
        <f>'Beni durevoli'!H259</f>
        <v>1936.0000000000005</v>
      </c>
      <c r="G71" s="653">
        <f>IF(C71&lt;&gt;0,F71/C71,"")</f>
        <v>0.2</v>
      </c>
      <c r="I71" s="638">
        <f>'Beni durevoli'!K259</f>
        <v>0</v>
      </c>
      <c r="J71" s="639">
        <f>IF(C71=0,"",I71/C71)</f>
        <v>0</v>
      </c>
      <c r="L71" s="629">
        <f>'Beni durevoli'!L259</f>
        <v>0</v>
      </c>
      <c r="M71" s="639">
        <f>IF(C71=0,"",L71/C71)</f>
        <v>0</v>
      </c>
    </row>
    <row r="72" spans="2:13" x14ac:dyDescent="0.2">
      <c r="B72" s="628" t="str">
        <f>'Beni durevoli'!B260</f>
        <v>Infrastrutture esclusi gli edifici</v>
      </c>
      <c r="C72" s="629">
        <f>'Beni durevoli'!D260</f>
        <v>0</v>
      </c>
      <c r="D72" s="653" t="str">
        <f>IF(C72&lt;&gt;0,C72/$C$105/1000,"")</f>
        <v/>
      </c>
      <c r="F72" s="638">
        <f>'Beni durevoli'!H260</f>
        <v>0</v>
      </c>
      <c r="G72" s="653" t="str">
        <f>IF(C72&lt;&gt;0,F72/C72,"")</f>
        <v/>
      </c>
      <c r="I72" s="638">
        <f>'Beni durevoli'!K260</f>
        <v>0</v>
      </c>
      <c r="J72" s="639" t="str">
        <f>IF(C72=0,"",I72/C72)</f>
        <v/>
      </c>
      <c r="L72" s="629">
        <f>'Beni durevoli'!L260</f>
        <v>0</v>
      </c>
      <c r="M72" s="639" t="str">
        <f>IF(C72=0,"",L72/C72)</f>
        <v/>
      </c>
    </row>
    <row r="73" spans="2:13" x14ac:dyDescent="0.2">
      <c r="B73" s="628" t="str">
        <f>'Beni durevoli'!B261</f>
        <v>Veicoli, macchinari e strumentazioni</v>
      </c>
      <c r="C73" s="629">
        <f>'Beni durevoli'!D261</f>
        <v>0</v>
      </c>
      <c r="D73" s="653" t="str">
        <f>IF(C73&lt;&gt;0,C73/$C$105/1000,"")</f>
        <v/>
      </c>
      <c r="F73" s="638">
        <f>'Beni durevoli'!H261</f>
        <v>0</v>
      </c>
      <c r="G73" s="653" t="str">
        <f>IF(C73&lt;&gt;0,F73/C73,"")</f>
        <v/>
      </c>
      <c r="I73" s="638">
        <f>'Beni durevoli'!K261</f>
        <v>0</v>
      </c>
      <c r="J73" s="639" t="str">
        <f>IF(C73=0,"",I73/C73)</f>
        <v/>
      </c>
      <c r="L73" s="629">
        <f>'Beni durevoli'!L261</f>
        <v>0</v>
      </c>
      <c r="M73" s="639" t="str">
        <f>IF(C73=0,"",L73/C73)</f>
        <v/>
      </c>
    </row>
    <row r="74" spans="2:13" x14ac:dyDescent="0.2">
      <c r="B74" s="628" t="str">
        <f>'Beni durevoli'!B262</f>
        <v>IT</v>
      </c>
      <c r="C74" s="629">
        <f>'Beni durevoli'!D262</f>
        <v>0</v>
      </c>
      <c r="D74" s="653" t="str">
        <f>IF(C74&lt;&gt;0,C74/$C$105/1000,"")</f>
        <v/>
      </c>
      <c r="F74" s="638">
        <f>'Beni durevoli'!H262</f>
        <v>0</v>
      </c>
      <c r="G74" s="653" t="str">
        <f>IF(C74&lt;&gt;0,F74/C74,"")</f>
        <v/>
      </c>
      <c r="I74" s="638">
        <f>'Beni durevoli'!K262</f>
        <v>0</v>
      </c>
      <c r="J74" s="639" t="str">
        <f>IF(C74=0,"",I74/C74)</f>
        <v/>
      </c>
      <c r="L74" s="629">
        <f>'Beni durevoli'!L262</f>
        <v>0</v>
      </c>
      <c r="M74" s="639" t="str">
        <f>IF(C74=0,"",L74/C74)</f>
        <v/>
      </c>
    </row>
    <row r="75" spans="2:13" ht="14" x14ac:dyDescent="0.2">
      <c r="C75" s="607"/>
      <c r="D75" s="608"/>
      <c r="F75" s="605"/>
      <c r="G75" s="637"/>
      <c r="I75" s="605"/>
      <c r="J75" s="637"/>
      <c r="L75" s="609"/>
      <c r="M75" s="610"/>
    </row>
    <row r="76" spans="2:13" s="121" customFormat="1" ht="20" customHeight="1" x14ac:dyDescent="0.2">
      <c r="B76" s="643" t="str">
        <f>'Fase d''uso'!B110</f>
        <v>Fase d'uso</v>
      </c>
      <c r="C76" s="644">
        <f>SUM(C77:C80)</f>
        <v>0</v>
      </c>
      <c r="D76" s="645" t="str">
        <f>IF(C76&lt;&gt;0,C76/$C$105/1000,"")</f>
        <v/>
      </c>
      <c r="F76" s="644">
        <f>SQRT(SUMSQ(F77:F80))</f>
        <v>0</v>
      </c>
      <c r="G76" s="645" t="str">
        <f>IF(C76&lt;&gt;0,F76/C76,"")</f>
        <v/>
      </c>
      <c r="I76" s="644">
        <f>SUM(I77:I80)</f>
        <v>0</v>
      </c>
      <c r="J76" s="645" t="str">
        <f>IF(C76=0,"",I76/C76)</f>
        <v/>
      </c>
      <c r="L76" s="644">
        <f>SUM(L77:L80)</f>
        <v>0</v>
      </c>
      <c r="M76" s="793" t="str">
        <f>IF(C76=0,"",L76/C76)</f>
        <v/>
      </c>
    </row>
    <row r="77" spans="2:13" x14ac:dyDescent="0.2">
      <c r="B77" s="583" t="str">
        <f>'Fase d''uso'!B112</f>
        <v>Combustibili</v>
      </c>
      <c r="C77" s="630">
        <f>'Fase d''uso'!D112</f>
        <v>0</v>
      </c>
      <c r="D77" s="646" t="str">
        <f>IF(C77&lt;&gt;0,C77/$C$105/1000,"")</f>
        <v/>
      </c>
      <c r="F77" s="647">
        <f>'Fase d''uso'!H112</f>
        <v>0</v>
      </c>
      <c r="G77" s="646" t="str">
        <f>IF(C77&lt;&gt;0,F77/C77,"")</f>
        <v/>
      </c>
      <c r="I77" s="647">
        <f>'Fase d''uso'!K112</f>
        <v>0</v>
      </c>
      <c r="J77" s="648" t="str">
        <f>IF(C77=0,"",I77/C77)</f>
        <v/>
      </c>
      <c r="L77" s="630">
        <f>'Fase d''uso'!L112</f>
        <v>0</v>
      </c>
      <c r="M77" s="648" t="str">
        <f>IF(C77=0,"",L77/C77)</f>
        <v/>
      </c>
    </row>
    <row r="78" spans="2:13" x14ac:dyDescent="0.2">
      <c r="B78" s="583" t="str">
        <f>'Fase d''uso'!B113</f>
        <v>Calore e raffrescamento</v>
      </c>
      <c r="C78" s="630">
        <f>'Fase d''uso'!D113</f>
        <v>0</v>
      </c>
      <c r="D78" s="646" t="str">
        <f>IF(C78&lt;&gt;0,C78/$C$105/1000,"")</f>
        <v/>
      </c>
      <c r="F78" s="647">
        <f>'Fase d''uso'!H113</f>
        <v>0</v>
      </c>
      <c r="G78" s="646" t="str">
        <f>IF(C78&lt;&gt;0,F78/C78,"")</f>
        <v/>
      </c>
      <c r="I78" s="647">
        <f>'Fase d''uso'!K113</f>
        <v>0</v>
      </c>
      <c r="J78" s="648" t="str">
        <f>IF(C78=0,"",I78/C78)</f>
        <v/>
      </c>
      <c r="L78" s="630">
        <f>'Fase d''uso'!L113</f>
        <v>0</v>
      </c>
      <c r="M78" s="648" t="str">
        <f>IF(C78=0,"",L78/C78)</f>
        <v/>
      </c>
    </row>
    <row r="79" spans="2:13" x14ac:dyDescent="0.2">
      <c r="B79" s="583" t="str">
        <f>'Fase d''uso'!B114</f>
        <v>Eletricità</v>
      </c>
      <c r="C79" s="630">
        <f>'Fase d''uso'!D114</f>
        <v>0</v>
      </c>
      <c r="D79" s="646" t="str">
        <f>IF(C79&lt;&gt;0,C79/$C$105/1000,"")</f>
        <v/>
      </c>
      <c r="F79" s="647">
        <f>'Fase d''uso'!H114</f>
        <v>0</v>
      </c>
      <c r="G79" s="646" t="str">
        <f>IF(C79&lt;&gt;0,F79/C79,"")</f>
        <v/>
      </c>
      <c r="I79" s="647">
        <f>'Fase d''uso'!K114</f>
        <v>0</v>
      </c>
      <c r="J79" s="648" t="str">
        <f>IF(C79=0,"",I79/C79)</f>
        <v/>
      </c>
      <c r="L79" s="630">
        <f>'Fase d''uso'!L114</f>
        <v>0</v>
      </c>
      <c r="M79" s="648" t="str">
        <f>IF(C79=0,"",L79/C79)</f>
        <v/>
      </c>
    </row>
    <row r="80" spans="2:13" x14ac:dyDescent="0.2">
      <c r="B80" s="583" t="str">
        <f>'Fase d''uso'!B115</f>
        <v>Emissioni non energetiche</v>
      </c>
      <c r="C80" s="630">
        <f>'Fase d''uso'!D115</f>
        <v>0</v>
      </c>
      <c r="D80" s="646" t="str">
        <f>IF(C80&lt;&gt;0,C80/$C$105/1000,"")</f>
        <v/>
      </c>
      <c r="F80" s="647">
        <f>'Fase d''uso'!H115</f>
        <v>0</v>
      </c>
      <c r="G80" s="646" t="str">
        <f>IF(C80&lt;&gt;0,F80/C80,"")</f>
        <v/>
      </c>
      <c r="I80" s="647">
        <f>'Fase d''uso'!K115</f>
        <v>0</v>
      </c>
      <c r="J80" s="648" t="str">
        <f>IF(C80=0,"",I80/C80)</f>
        <v/>
      </c>
      <c r="L80" s="630">
        <f>'Fase d''uso'!L115</f>
        <v>0</v>
      </c>
      <c r="M80" s="648" t="str">
        <f>IF(C80=0,"",L80/C80)</f>
        <v/>
      </c>
    </row>
    <row r="81" spans="2:21" x14ac:dyDescent="0.2">
      <c r="B81" s="314"/>
      <c r="C81" s="602"/>
      <c r="D81" s="49"/>
      <c r="F81" s="605"/>
      <c r="G81" s="637"/>
      <c r="I81" s="605"/>
      <c r="J81" s="637"/>
      <c r="L81" s="605"/>
      <c r="M81" s="314"/>
    </row>
    <row r="82" spans="2:21" s="121" customFormat="1" ht="20" customHeight="1" x14ac:dyDescent="0.2">
      <c r="B82" s="650" t="str">
        <f>'Fine vita'!B131</f>
        <v>Fine vita</v>
      </c>
      <c r="C82" s="651">
        <f>SUM(C83:C90)</f>
        <v>143</v>
      </c>
      <c r="D82" s="652">
        <f t="shared" ref="D82:D90" si="28">IF(C82&lt;&gt;0,C82/$C$105/1000,"")</f>
        <v>5.141881504388252E-7</v>
      </c>
      <c r="F82" s="791">
        <f>SQRT(SUMSQ(F83:F90))</f>
        <v>71.5</v>
      </c>
      <c r="G82" s="652">
        <f t="shared" ref="G82:G90" si="29">IF(C82&lt;&gt;0,F82/C82,"")</f>
        <v>0.5</v>
      </c>
      <c r="I82" s="791">
        <f>SUM(I83:I90)</f>
        <v>0</v>
      </c>
      <c r="J82" s="792">
        <f t="shared" ref="J82:J90" si="30">IF(C82=0,"",I82/C82)</f>
        <v>0</v>
      </c>
      <c r="L82" s="651">
        <f>SUM(L83:L90)</f>
        <v>0</v>
      </c>
      <c r="M82" s="794">
        <f t="shared" ref="M82:M90" si="31">IF(C82=0,"",L82/C82)</f>
        <v>0</v>
      </c>
    </row>
    <row r="83" spans="2:21" x14ac:dyDescent="0.2">
      <c r="B83" s="628" t="str">
        <f>'Fine vita'!B133</f>
        <v>Combustibili</v>
      </c>
      <c r="C83" s="629">
        <f>'Fine vita'!D133</f>
        <v>0</v>
      </c>
      <c r="D83" s="653" t="str">
        <f t="shared" si="28"/>
        <v/>
      </c>
      <c r="F83" s="638">
        <f>'Fine vita'!H133</f>
        <v>0</v>
      </c>
      <c r="G83" s="653" t="str">
        <f t="shared" si="29"/>
        <v/>
      </c>
      <c r="I83" s="638">
        <f>'Fine vita'!K133</f>
        <v>0</v>
      </c>
      <c r="J83" s="639" t="str">
        <f t="shared" si="30"/>
        <v/>
      </c>
      <c r="L83" s="629">
        <f>'Fine vita'!L133</f>
        <v>0</v>
      </c>
      <c r="M83" s="639" t="str">
        <f t="shared" si="31"/>
        <v/>
      </c>
    </row>
    <row r="84" spans="2:21" x14ac:dyDescent="0.2">
      <c r="B84" s="628" t="str">
        <f>'Fine vita'!B134</f>
        <v>Metalli</v>
      </c>
      <c r="C84" s="629">
        <f>'Fine vita'!D134</f>
        <v>0</v>
      </c>
      <c r="D84" s="653" t="str">
        <f t="shared" si="28"/>
        <v/>
      </c>
      <c r="F84" s="638">
        <f>'Fine vita'!H134</f>
        <v>0</v>
      </c>
      <c r="G84" s="653" t="str">
        <f t="shared" si="29"/>
        <v/>
      </c>
      <c r="I84" s="638">
        <f>'Fine vita'!K134</f>
        <v>0</v>
      </c>
      <c r="J84" s="639" t="str">
        <f t="shared" si="30"/>
        <v/>
      </c>
      <c r="L84" s="629">
        <f>'Fine vita'!L134</f>
        <v>0</v>
      </c>
      <c r="M84" s="639" t="str">
        <f t="shared" si="31"/>
        <v/>
      </c>
    </row>
    <row r="85" spans="2:21" x14ac:dyDescent="0.2">
      <c r="B85" s="628" t="str">
        <f>'Fine vita'!B135</f>
        <v>Plastica</v>
      </c>
      <c r="C85" s="629">
        <f>'Fine vita'!D135</f>
        <v>0</v>
      </c>
      <c r="D85" s="653" t="str">
        <f t="shared" si="28"/>
        <v/>
      </c>
      <c r="F85" s="638">
        <f>'Fine vita'!H135</f>
        <v>0</v>
      </c>
      <c r="G85" s="653" t="str">
        <f t="shared" si="29"/>
        <v/>
      </c>
      <c r="I85" s="638">
        <f>'Fine vita'!K135</f>
        <v>0</v>
      </c>
      <c r="J85" s="639" t="str">
        <f t="shared" si="30"/>
        <v/>
      </c>
      <c r="L85" s="629">
        <f>'Fine vita'!L135</f>
        <v>0</v>
      </c>
      <c r="M85" s="639" t="str">
        <f t="shared" si="31"/>
        <v/>
      </c>
    </row>
    <row r="86" spans="2:21" x14ac:dyDescent="0.2">
      <c r="B86" s="628" t="str">
        <f>'Fine vita'!B136</f>
        <v>Vetro</v>
      </c>
      <c r="C86" s="629">
        <f>'Fine vita'!D136</f>
        <v>0</v>
      </c>
      <c r="D86" s="653" t="str">
        <f t="shared" si="28"/>
        <v/>
      </c>
      <c r="F86" s="638">
        <f>'Fine vita'!H136</f>
        <v>0</v>
      </c>
      <c r="G86" s="653" t="str">
        <f t="shared" si="29"/>
        <v/>
      </c>
      <c r="I86" s="638">
        <f>'Fine vita'!K136</f>
        <v>0</v>
      </c>
      <c r="J86" s="639" t="str">
        <f t="shared" si="30"/>
        <v/>
      </c>
      <c r="L86" s="629">
        <f>'Fine vita'!L136</f>
        <v>0</v>
      </c>
      <c r="M86" s="639" t="str">
        <f t="shared" si="31"/>
        <v/>
      </c>
    </row>
    <row r="87" spans="2:21" x14ac:dyDescent="0.2">
      <c r="B87" s="628" t="str">
        <f>'Fine vita'!B137</f>
        <v>Carta e cartone</v>
      </c>
      <c r="C87" s="629">
        <f>'Fine vita'!D137</f>
        <v>0</v>
      </c>
      <c r="D87" s="653" t="str">
        <f t="shared" si="28"/>
        <v/>
      </c>
      <c r="F87" s="638">
        <f>'Fine vita'!H137</f>
        <v>0</v>
      </c>
      <c r="G87" s="653" t="str">
        <f t="shared" si="29"/>
        <v/>
      </c>
      <c r="I87" s="638">
        <f>'Fine vita'!K137</f>
        <v>0</v>
      </c>
      <c r="J87" s="639" t="str">
        <f t="shared" si="30"/>
        <v/>
      </c>
      <c r="L87" s="629">
        <f>'Fine vita'!L137</f>
        <v>0</v>
      </c>
      <c r="M87" s="639" t="str">
        <f t="shared" si="31"/>
        <v/>
      </c>
    </row>
    <row r="88" spans="2:21" x14ac:dyDescent="0.2">
      <c r="B88" s="628" t="str">
        <f>'Fine vita'!B138</f>
        <v xml:space="preserve">Organico/ food e mix </v>
      </c>
      <c r="C88" s="629">
        <f>'Fine vita'!D138</f>
        <v>143</v>
      </c>
      <c r="D88" s="653">
        <f t="shared" si="28"/>
        <v>5.141881504388252E-7</v>
      </c>
      <c r="F88" s="638">
        <f>'Fine vita'!H138</f>
        <v>71.5</v>
      </c>
      <c r="G88" s="653">
        <f t="shared" si="29"/>
        <v>0.5</v>
      </c>
      <c r="I88" s="638">
        <f>'Fine vita'!K138</f>
        <v>0</v>
      </c>
      <c r="J88" s="639">
        <f t="shared" si="30"/>
        <v>0</v>
      </c>
      <c r="L88" s="629">
        <f>'Fine vita'!L138</f>
        <v>0</v>
      </c>
      <c r="M88" s="639">
        <f t="shared" si="31"/>
        <v>0</v>
      </c>
    </row>
    <row r="89" spans="2:21" x14ac:dyDescent="0.2">
      <c r="B89" s="628" t="str">
        <f>'Fine vita'!B139</f>
        <v xml:space="preserve">Perdite e non energetici </v>
      </c>
      <c r="C89" s="629">
        <f>'Fine vita'!D139</f>
        <v>0</v>
      </c>
      <c r="D89" s="653" t="str">
        <f t="shared" si="28"/>
        <v/>
      </c>
      <c r="F89" s="638">
        <f>'Fine vita'!H139</f>
        <v>0</v>
      </c>
      <c r="G89" s="653" t="str">
        <f t="shared" si="29"/>
        <v/>
      </c>
      <c r="I89" s="638">
        <f>'Fine vita'!K139</f>
        <v>0</v>
      </c>
      <c r="J89" s="639" t="str">
        <f t="shared" si="30"/>
        <v/>
      </c>
      <c r="L89" s="629">
        <f>'Fine vita'!L139</f>
        <v>0</v>
      </c>
      <c r="M89" s="639" t="str">
        <f t="shared" si="31"/>
        <v/>
      </c>
    </row>
    <row r="90" spans="2:21" x14ac:dyDescent="0.2">
      <c r="B90" s="628" t="str">
        <f>'Fine vita'!B140</f>
        <v>Rifiuti pericolosi</v>
      </c>
      <c r="C90" s="629">
        <f>'Fine vita'!D140</f>
        <v>0</v>
      </c>
      <c r="D90" s="653" t="str">
        <f t="shared" si="28"/>
        <v/>
      </c>
      <c r="F90" s="638">
        <f>'Fine vita'!H140</f>
        <v>0</v>
      </c>
      <c r="G90" s="653" t="str">
        <f t="shared" si="29"/>
        <v/>
      </c>
      <c r="I90" s="638">
        <f>'Fine vita'!K140</f>
        <v>0</v>
      </c>
      <c r="J90" s="639" t="str">
        <f t="shared" si="30"/>
        <v/>
      </c>
      <c r="L90" s="629">
        <f>'Fine vita'!L140</f>
        <v>0</v>
      </c>
      <c r="M90" s="639" t="str">
        <f t="shared" si="31"/>
        <v/>
      </c>
    </row>
    <row r="91" spans="2:21" x14ac:dyDescent="0.2">
      <c r="C91" s="602"/>
      <c r="D91" s="49"/>
      <c r="F91" s="602"/>
      <c r="G91" s="314"/>
      <c r="I91" s="602"/>
      <c r="J91" s="314"/>
      <c r="L91" s="602"/>
      <c r="M91" s="314"/>
    </row>
    <row r="92" spans="2:21" x14ac:dyDescent="0.2">
      <c r="C92" s="602"/>
      <c r="D92" s="49"/>
      <c r="F92" s="602"/>
      <c r="G92" s="314"/>
      <c r="I92" s="602"/>
      <c r="J92" s="314"/>
      <c r="L92" s="602"/>
      <c r="M92" s="314"/>
    </row>
    <row r="93" spans="2:21" ht="14" x14ac:dyDescent="0.2">
      <c r="B93" s="1982" t="s">
        <v>62</v>
      </c>
      <c r="C93" s="1973" t="s">
        <v>56</v>
      </c>
      <c r="D93" s="1974"/>
      <c r="F93" s="1973" t="s">
        <v>723</v>
      </c>
      <c r="G93" s="1974"/>
      <c r="I93" s="1973" t="s">
        <v>2753</v>
      </c>
      <c r="J93" s="1974"/>
      <c r="L93" s="1973" t="s">
        <v>2754</v>
      </c>
      <c r="M93" s="1975"/>
      <c r="N93" s="1974"/>
      <c r="R93" s="1979" t="s">
        <v>2493</v>
      </c>
      <c r="S93" s="1980"/>
      <c r="T93" s="1980"/>
      <c r="U93" s="1981"/>
    </row>
    <row r="94" spans="2:21" s="121" customFormat="1" ht="30" x14ac:dyDescent="0.2">
      <c r="B94" s="1983"/>
      <c r="C94" s="642" t="s">
        <v>66</v>
      </c>
      <c r="D94" s="642" t="s">
        <v>73</v>
      </c>
      <c r="E94" s="40"/>
      <c r="F94" s="642" t="s">
        <v>66</v>
      </c>
      <c r="G94" s="642" t="s">
        <v>47</v>
      </c>
      <c r="H94" s="40"/>
      <c r="I94" s="642" t="s">
        <v>66</v>
      </c>
      <c r="J94" s="642" t="s">
        <v>47</v>
      </c>
      <c r="K94" s="40"/>
      <c r="L94" s="642" t="s">
        <v>66</v>
      </c>
      <c r="M94" s="642" t="s">
        <v>47</v>
      </c>
      <c r="N94" s="128" t="s">
        <v>83</v>
      </c>
      <c r="P94" s="611"/>
      <c r="Q94" s="611"/>
      <c r="R94" s="716" t="s">
        <v>2494</v>
      </c>
      <c r="S94" s="716" t="s">
        <v>72</v>
      </c>
      <c r="T94" s="716" t="s">
        <v>72</v>
      </c>
      <c r="U94" s="716" t="s">
        <v>2495</v>
      </c>
    </row>
    <row r="95" spans="2:21" ht="14" customHeight="1" x14ac:dyDescent="0.2">
      <c r="B95" s="658" t="str">
        <f>B6</f>
        <v>Energia</v>
      </c>
      <c r="C95" s="640">
        <f>C6/1000</f>
        <v>0.21459946666666668</v>
      </c>
      <c r="D95" s="641">
        <f>D6</f>
        <v>7.7163988007336818E-7</v>
      </c>
      <c r="F95" s="640">
        <f>F6/1000</f>
        <v>0</v>
      </c>
      <c r="G95" s="641">
        <f>G6</f>
        <v>0</v>
      </c>
      <c r="I95" s="640">
        <f>I6/1000</f>
        <v>0</v>
      </c>
      <c r="J95" s="641">
        <f t="shared" ref="J95:J105" si="32">IF(C95=0,"",I95/C95)</f>
        <v>0</v>
      </c>
      <c r="L95" s="640">
        <f>L6/1000</f>
        <v>0</v>
      </c>
      <c r="M95" s="641">
        <f>IF(C95=0,"",L95/C95)</f>
        <v>0</v>
      </c>
      <c r="N95" s="640">
        <f t="shared" ref="N95:N105" si="33">C95-L95</f>
        <v>0.21459946666666668</v>
      </c>
      <c r="P95" s="612" t="str">
        <f t="shared" ref="P95:P100" si="34">B95</f>
        <v>Energia</v>
      </c>
      <c r="Q95" s="613"/>
      <c r="R95" s="614">
        <f t="shared" ref="R95:R104" si="35">C95-F95</f>
        <v>0.21459946666666668</v>
      </c>
      <c r="S95" s="614">
        <f t="shared" ref="S95:S104" si="36">C95</f>
        <v>0.21459946666666668</v>
      </c>
      <c r="T95" s="614">
        <f t="shared" ref="T95:T104" si="37">C95</f>
        <v>0.21459946666666668</v>
      </c>
      <c r="U95" s="614">
        <f t="shared" ref="U95:U104" si="38">C95+F95</f>
        <v>0.21459946666666668</v>
      </c>
    </row>
    <row r="96" spans="2:21" ht="14" customHeight="1" x14ac:dyDescent="0.2">
      <c r="B96" s="658" t="str">
        <f>B13</f>
        <v>Non-energetici</v>
      </c>
      <c r="C96" s="640">
        <f>C13/1000</f>
        <v>278000</v>
      </c>
      <c r="D96" s="641">
        <f>D13</f>
        <v>0.99961053022373003</v>
      </c>
      <c r="F96" s="640">
        <f>F13/1000</f>
        <v>79507.358150047978</v>
      </c>
      <c r="G96" s="641">
        <f>G13</f>
        <v>0.2859976911872229</v>
      </c>
      <c r="I96" s="640">
        <f>I13/1000</f>
        <v>0</v>
      </c>
      <c r="J96" s="641">
        <f t="shared" si="32"/>
        <v>0</v>
      </c>
      <c r="L96" s="640">
        <f>L13/1000</f>
        <v>0</v>
      </c>
      <c r="M96" s="641">
        <f t="shared" ref="M96:M104" si="39">IF(C96=0,"",L96/C96)</f>
        <v>0</v>
      </c>
      <c r="N96" s="640">
        <f t="shared" si="33"/>
        <v>278000</v>
      </c>
      <c r="P96" s="615" t="str">
        <f t="shared" si="34"/>
        <v>Non-energetici</v>
      </c>
      <c r="Q96" s="616"/>
      <c r="R96" s="617">
        <f t="shared" si="35"/>
        <v>198492.64184995202</v>
      </c>
      <c r="S96" s="617">
        <f t="shared" si="36"/>
        <v>278000</v>
      </c>
      <c r="T96" s="617">
        <f t="shared" si="37"/>
        <v>278000</v>
      </c>
      <c r="U96" s="617">
        <f t="shared" si="38"/>
        <v>357507.35815004795</v>
      </c>
    </row>
    <row r="97" spans="2:21" ht="14" customHeight="1" x14ac:dyDescent="0.2">
      <c r="B97" s="658" t="str">
        <f>B20</f>
        <v>Input</v>
      </c>
      <c r="C97" s="640">
        <f>C20/1000</f>
        <v>96.800000000000011</v>
      </c>
      <c r="D97" s="641">
        <f>D20</f>
        <v>3.4806582491243556E-4</v>
      </c>
      <c r="F97" s="640">
        <f>F20/1000</f>
        <v>19.360000000000003</v>
      </c>
      <c r="G97" s="641">
        <f>G20</f>
        <v>0.2</v>
      </c>
      <c r="I97" s="640">
        <f>I20/1000</f>
        <v>0</v>
      </c>
      <c r="J97" s="641">
        <f t="shared" si="32"/>
        <v>0</v>
      </c>
      <c r="L97" s="640">
        <f>L20/1000</f>
        <v>0</v>
      </c>
      <c r="M97" s="641">
        <f t="shared" si="39"/>
        <v>0</v>
      </c>
      <c r="N97" s="640">
        <f t="shared" si="33"/>
        <v>96.800000000000011</v>
      </c>
      <c r="P97" s="615" t="str">
        <f t="shared" si="34"/>
        <v>Input</v>
      </c>
      <c r="Q97" s="616"/>
      <c r="R97" s="617">
        <f t="shared" si="35"/>
        <v>77.440000000000012</v>
      </c>
      <c r="S97" s="617">
        <f t="shared" si="36"/>
        <v>96.800000000000011</v>
      </c>
      <c r="T97" s="617">
        <f t="shared" si="37"/>
        <v>96.800000000000011</v>
      </c>
      <c r="U97" s="617">
        <f t="shared" si="38"/>
        <v>116.16000000000001</v>
      </c>
    </row>
    <row r="98" spans="2:21" ht="14" customHeight="1" x14ac:dyDescent="0.2">
      <c r="B98" s="659" t="str">
        <f>B31</f>
        <v xml:space="preserve">Imballaggi </v>
      </c>
      <c r="C98" s="626">
        <f>C31/1000</f>
        <v>0</v>
      </c>
      <c r="D98" s="627" t="str">
        <f>D31</f>
        <v/>
      </c>
      <c r="F98" s="626">
        <f>F31/1000</f>
        <v>0</v>
      </c>
      <c r="G98" s="627" t="str">
        <f>G31</f>
        <v/>
      </c>
      <c r="I98" s="626">
        <f>I31/1000</f>
        <v>0</v>
      </c>
      <c r="J98" s="627" t="str">
        <f t="shared" si="32"/>
        <v/>
      </c>
      <c r="L98" s="626">
        <f>L31/1000</f>
        <v>0</v>
      </c>
      <c r="M98" s="627" t="str">
        <f t="shared" si="39"/>
        <v/>
      </c>
      <c r="N98" s="626">
        <f t="shared" si="33"/>
        <v>0</v>
      </c>
      <c r="P98" s="615" t="str">
        <f t="shared" si="34"/>
        <v xml:space="preserve">Imballaggi </v>
      </c>
      <c r="Q98" s="616"/>
      <c r="R98" s="617">
        <f t="shared" si="35"/>
        <v>0</v>
      </c>
      <c r="S98" s="617">
        <f t="shared" si="36"/>
        <v>0</v>
      </c>
      <c r="T98" s="617">
        <f t="shared" si="37"/>
        <v>0</v>
      </c>
      <c r="U98" s="617">
        <f t="shared" si="38"/>
        <v>0</v>
      </c>
    </row>
    <row r="99" spans="2:21" ht="14" customHeight="1" x14ac:dyDescent="0.2">
      <c r="B99" s="658" t="str">
        <f>B39</f>
        <v>Trasporto merci</v>
      </c>
      <c r="C99" s="640">
        <f>C39/1000</f>
        <v>0</v>
      </c>
      <c r="D99" s="641" t="str">
        <f>D39</f>
        <v/>
      </c>
      <c r="F99" s="640">
        <f>F39/1000</f>
        <v>0</v>
      </c>
      <c r="G99" s="641" t="str">
        <f>G39</f>
        <v/>
      </c>
      <c r="I99" s="640">
        <f>I39/1000</f>
        <v>0</v>
      </c>
      <c r="J99" s="641" t="str">
        <f t="shared" si="32"/>
        <v/>
      </c>
      <c r="L99" s="640">
        <f>L39/1000</f>
        <v>0</v>
      </c>
      <c r="M99" s="641" t="str">
        <f t="shared" si="39"/>
        <v/>
      </c>
      <c r="N99" s="640">
        <f t="shared" si="33"/>
        <v>0</v>
      </c>
      <c r="P99" s="615" t="str">
        <f t="shared" si="34"/>
        <v>Trasporto merci</v>
      </c>
      <c r="Q99" s="616"/>
      <c r="R99" s="617">
        <f t="shared" si="35"/>
        <v>0</v>
      </c>
      <c r="S99" s="617">
        <f t="shared" si="36"/>
        <v>0</v>
      </c>
      <c r="T99" s="617">
        <f t="shared" si="37"/>
        <v>0</v>
      </c>
      <c r="U99" s="617">
        <f t="shared" si="38"/>
        <v>0</v>
      </c>
    </row>
    <row r="100" spans="2:21" ht="14" customHeight="1" x14ac:dyDescent="0.2">
      <c r="B100" s="659" t="str">
        <f>B53</f>
        <v>Trasporto persone</v>
      </c>
      <c r="C100" s="626">
        <f>C53/1000</f>
        <v>1.4771836708156971</v>
      </c>
      <c r="D100" s="627">
        <f>D53</f>
        <v>5.3115408360500531E-6</v>
      </c>
      <c r="F100" s="626">
        <f>F53/1000</f>
        <v>0</v>
      </c>
      <c r="G100" s="627">
        <f>G53</f>
        <v>0</v>
      </c>
      <c r="I100" s="626">
        <f>I53/1000</f>
        <v>0</v>
      </c>
      <c r="J100" s="627">
        <f t="shared" si="32"/>
        <v>0</v>
      </c>
      <c r="L100" s="626">
        <f>L53/1000</f>
        <v>0</v>
      </c>
      <c r="M100" s="627">
        <f t="shared" si="39"/>
        <v>0</v>
      </c>
      <c r="N100" s="626">
        <f t="shared" si="33"/>
        <v>1.4771836708156971</v>
      </c>
      <c r="P100" s="615" t="str">
        <f t="shared" si="34"/>
        <v>Trasporto persone</v>
      </c>
      <c r="Q100" s="616"/>
      <c r="R100" s="617">
        <f t="shared" si="35"/>
        <v>1.4771836708156971</v>
      </c>
      <c r="S100" s="617">
        <f t="shared" si="36"/>
        <v>1.4771836708156971</v>
      </c>
      <c r="T100" s="617">
        <f t="shared" si="37"/>
        <v>1.4771836708156971</v>
      </c>
      <c r="U100" s="617">
        <f t="shared" si="38"/>
        <v>1.4771836708156971</v>
      </c>
    </row>
    <row r="101" spans="2:21" ht="14" customHeight="1" x14ac:dyDescent="0.2">
      <c r="B101" s="658" t="str">
        <f>B62</f>
        <v>Rifiuti di processo</v>
      </c>
      <c r="C101" s="640">
        <f>C62/1000</f>
        <v>0</v>
      </c>
      <c r="D101" s="641" t="str">
        <f>D62</f>
        <v/>
      </c>
      <c r="F101" s="640">
        <f>F62/1000</f>
        <v>0</v>
      </c>
      <c r="G101" s="641" t="str">
        <f>G62</f>
        <v/>
      </c>
      <c r="I101" s="640">
        <f>I62/1000</f>
        <v>0</v>
      </c>
      <c r="J101" s="641" t="str">
        <f t="shared" si="32"/>
        <v/>
      </c>
      <c r="L101" s="640">
        <f>L62/1000</f>
        <v>0</v>
      </c>
      <c r="M101" s="641" t="str">
        <f t="shared" si="39"/>
        <v/>
      </c>
      <c r="N101" s="640">
        <f t="shared" si="33"/>
        <v>0</v>
      </c>
      <c r="P101" s="615" t="str">
        <f>B101</f>
        <v>Rifiuti di processo</v>
      </c>
      <c r="Q101" s="616"/>
      <c r="R101" s="617">
        <f t="shared" si="35"/>
        <v>0</v>
      </c>
      <c r="S101" s="617">
        <f t="shared" si="36"/>
        <v>0</v>
      </c>
      <c r="T101" s="617">
        <f t="shared" si="37"/>
        <v>0</v>
      </c>
      <c r="U101" s="617">
        <f t="shared" si="38"/>
        <v>0</v>
      </c>
    </row>
    <row r="102" spans="2:21" ht="14" customHeight="1" x14ac:dyDescent="0.2">
      <c r="B102" s="659" t="str">
        <f>B70</f>
        <v>Beni di durevoli</v>
      </c>
      <c r="C102" s="626">
        <f>C70/1000</f>
        <v>9.6800000000000015</v>
      </c>
      <c r="D102" s="627">
        <f>D70</f>
        <v>3.4806582491243558E-5</v>
      </c>
      <c r="F102" s="626">
        <f>F70/1000</f>
        <v>1.9360000000000004</v>
      </c>
      <c r="G102" s="627">
        <f>G70</f>
        <v>0.2</v>
      </c>
      <c r="I102" s="626">
        <f>I70/1000</f>
        <v>0</v>
      </c>
      <c r="J102" s="627">
        <f t="shared" si="32"/>
        <v>0</v>
      </c>
      <c r="L102" s="626">
        <f>L70/1000</f>
        <v>0</v>
      </c>
      <c r="M102" s="627">
        <f t="shared" si="39"/>
        <v>0</v>
      </c>
      <c r="N102" s="626">
        <f t="shared" si="33"/>
        <v>9.6800000000000015</v>
      </c>
      <c r="P102" s="615" t="str">
        <f>B102</f>
        <v>Beni di durevoli</v>
      </c>
      <c r="Q102" s="616"/>
      <c r="R102" s="617">
        <f t="shared" si="35"/>
        <v>7.7440000000000015</v>
      </c>
      <c r="S102" s="617">
        <f t="shared" si="36"/>
        <v>9.6800000000000015</v>
      </c>
      <c r="T102" s="617">
        <f t="shared" si="37"/>
        <v>9.6800000000000015</v>
      </c>
      <c r="U102" s="617">
        <f t="shared" si="38"/>
        <v>11.616000000000001</v>
      </c>
    </row>
    <row r="103" spans="2:21" ht="14" customHeight="1" x14ac:dyDescent="0.2">
      <c r="B103" s="658" t="str">
        <f>B76</f>
        <v>Fase d'uso</v>
      </c>
      <c r="C103" s="640">
        <f>C76/1000</f>
        <v>0</v>
      </c>
      <c r="D103" s="641" t="str">
        <f>D76</f>
        <v/>
      </c>
      <c r="F103" s="640">
        <f>F76/1000</f>
        <v>0</v>
      </c>
      <c r="G103" s="641" t="str">
        <f>G76</f>
        <v/>
      </c>
      <c r="I103" s="640">
        <f>I76/1000</f>
        <v>0</v>
      </c>
      <c r="J103" s="641" t="str">
        <f t="shared" si="32"/>
        <v/>
      </c>
      <c r="L103" s="640">
        <f>L76/1000</f>
        <v>0</v>
      </c>
      <c r="M103" s="641" t="str">
        <f t="shared" si="39"/>
        <v/>
      </c>
      <c r="N103" s="640">
        <f t="shared" si="33"/>
        <v>0</v>
      </c>
      <c r="P103" s="615" t="str">
        <f>B103</f>
        <v>Fase d'uso</v>
      </c>
      <c r="Q103" s="616"/>
      <c r="R103" s="617">
        <f t="shared" si="35"/>
        <v>0</v>
      </c>
      <c r="S103" s="617">
        <f t="shared" si="36"/>
        <v>0</v>
      </c>
      <c r="T103" s="617">
        <f t="shared" si="37"/>
        <v>0</v>
      </c>
      <c r="U103" s="617">
        <f t="shared" si="38"/>
        <v>0</v>
      </c>
    </row>
    <row r="104" spans="2:21" ht="14" customHeight="1" x14ac:dyDescent="0.2">
      <c r="B104" s="659" t="str">
        <f>B82</f>
        <v>Fine vita</v>
      </c>
      <c r="C104" s="626">
        <f>C82/1000</f>
        <v>0.14299999999999999</v>
      </c>
      <c r="D104" s="627">
        <f>D82</f>
        <v>5.141881504388252E-7</v>
      </c>
      <c r="F104" s="626">
        <f>F82/1000</f>
        <v>7.1499999999999994E-2</v>
      </c>
      <c r="G104" s="627">
        <f>G82</f>
        <v>0.5</v>
      </c>
      <c r="I104" s="626">
        <f>I82/1000</f>
        <v>0</v>
      </c>
      <c r="J104" s="627">
        <f t="shared" si="32"/>
        <v>0</v>
      </c>
      <c r="L104" s="626">
        <f>L82/1000</f>
        <v>0</v>
      </c>
      <c r="M104" s="627">
        <f t="shared" si="39"/>
        <v>0</v>
      </c>
      <c r="N104" s="626">
        <f t="shared" si="33"/>
        <v>0.14299999999999999</v>
      </c>
      <c r="P104" s="618" t="str">
        <f>B104</f>
        <v>Fine vita</v>
      </c>
      <c r="Q104" s="619"/>
      <c r="R104" s="620">
        <f t="shared" si="35"/>
        <v>7.1499999999999994E-2</v>
      </c>
      <c r="S104" s="620">
        <f t="shared" si="36"/>
        <v>0.14299999999999999</v>
      </c>
      <c r="T104" s="620">
        <f t="shared" si="37"/>
        <v>0.14299999999999999</v>
      </c>
      <c r="U104" s="620">
        <f t="shared" si="38"/>
        <v>0.21449999999999997</v>
      </c>
    </row>
    <row r="105" spans="2:21" s="191" customFormat="1" ht="16" x14ac:dyDescent="0.2">
      <c r="B105" s="660" t="s">
        <v>44</v>
      </c>
      <c r="C105" s="1194">
        <f>SUM(C95:C104)</f>
        <v>278108.31478313741</v>
      </c>
      <c r="D105" s="634">
        <f>SUM(D95:D104)</f>
        <v>1.0000000000000002</v>
      </c>
      <c r="E105" s="121"/>
      <c r="F105" s="633">
        <f>SQRT(SUMSQ(F95:F104))</f>
        <v>79507.360530725768</v>
      </c>
      <c r="G105" s="634">
        <f>IF(C105&lt;&gt;0,F105/C105,"")</f>
        <v>0.28588631229067646</v>
      </c>
      <c r="H105" s="121"/>
      <c r="I105" s="633">
        <f>SUM(I95:I104)</f>
        <v>0</v>
      </c>
      <c r="J105" s="634">
        <f t="shared" si="32"/>
        <v>0</v>
      </c>
      <c r="K105" s="121"/>
      <c r="L105" s="633">
        <f>SUM(L95:L104)</f>
        <v>0</v>
      </c>
      <c r="M105" s="634">
        <f>IF(C105=0,"",L105/C105)</f>
        <v>0</v>
      </c>
      <c r="N105" s="633">
        <f t="shared" si="33"/>
        <v>278108.31478313741</v>
      </c>
      <c r="P105" s="632" t="s">
        <v>44</v>
      </c>
      <c r="Q105" s="621"/>
      <c r="R105" s="620">
        <f>C105-F105</f>
        <v>198600.95425241164</v>
      </c>
      <c r="S105" s="620">
        <f>C105</f>
        <v>278108.31478313741</v>
      </c>
      <c r="T105" s="620">
        <f>C105</f>
        <v>278108.31478313741</v>
      </c>
      <c r="U105" s="620">
        <f>C105+F105</f>
        <v>357615.6753138632</v>
      </c>
    </row>
    <row r="106" spans="2:21" x14ac:dyDescent="0.2">
      <c r="C106" s="314"/>
      <c r="D106" s="314"/>
      <c r="F106" s="314"/>
      <c r="G106" s="314"/>
      <c r="H106" s="314"/>
      <c r="I106" s="49"/>
      <c r="J106" s="314"/>
      <c r="K106" s="314"/>
      <c r="L106" s="314"/>
      <c r="M106" s="314"/>
    </row>
    <row r="107" spans="2:21" x14ac:dyDescent="0.2">
      <c r="C107" s="314"/>
      <c r="D107" s="314"/>
      <c r="F107" s="314"/>
      <c r="G107" s="314"/>
      <c r="H107" s="314"/>
      <c r="I107" s="314"/>
      <c r="J107" s="314"/>
      <c r="K107" s="314"/>
      <c r="L107" s="314"/>
      <c r="M107" s="314"/>
    </row>
    <row r="108" spans="2:21" s="191" customFormat="1" ht="16" x14ac:dyDescent="0.2">
      <c r="B108" s="642" t="s">
        <v>2737</v>
      </c>
      <c r="C108" s="631" t="s">
        <v>66</v>
      </c>
      <c r="D108" s="622"/>
      <c r="F108" s="314"/>
      <c r="G108" s="314"/>
      <c r="H108" s="622"/>
      <c r="I108" s="622"/>
      <c r="J108" s="314"/>
      <c r="K108" s="314"/>
      <c r="L108" s="314"/>
      <c r="M108" s="623"/>
    </row>
    <row r="109" spans="2:21" x14ac:dyDescent="0.2">
      <c r="B109" s="658" t="str">
        <f>Description!C18</f>
        <v>Input</v>
      </c>
      <c r="C109" s="640">
        <f>Input!E212</f>
        <v>0</v>
      </c>
      <c r="D109" s="624"/>
      <c r="E109" s="624"/>
      <c r="F109" s="1195"/>
      <c r="G109" s="1195"/>
      <c r="H109" s="1195"/>
      <c r="I109" s="1195"/>
      <c r="N109" s="314"/>
      <c r="O109" s="314"/>
    </row>
    <row r="110" spans="2:21" x14ac:dyDescent="0.2">
      <c r="B110" s="659" t="str">
        <f>Description!C23</f>
        <v>Beni di durevoli</v>
      </c>
      <c r="C110" s="626">
        <f>'Beni durevoli'!E267</f>
        <v>0</v>
      </c>
      <c r="D110" s="624"/>
      <c r="E110" s="624"/>
      <c r="F110" s="624"/>
      <c r="G110" s="624"/>
      <c r="H110" s="624"/>
      <c r="I110" s="624"/>
      <c r="N110" s="314"/>
      <c r="O110" s="314"/>
    </row>
    <row r="111" spans="2:21" ht="14" x14ac:dyDescent="0.2">
      <c r="B111" s="660" t="s">
        <v>44</v>
      </c>
      <c r="C111" s="633">
        <f>SUM(C109:C110)</f>
        <v>0</v>
      </c>
      <c r="D111" s="624"/>
      <c r="E111" s="624"/>
      <c r="F111" s="624"/>
      <c r="G111" s="624"/>
      <c r="H111" s="624"/>
      <c r="I111" s="624"/>
      <c r="N111" s="314"/>
      <c r="O111" s="314"/>
    </row>
    <row r="112" spans="2:21" x14ac:dyDescent="0.2">
      <c r="B112" s="624"/>
      <c r="C112" s="624"/>
      <c r="D112" s="624"/>
      <c r="E112" s="624"/>
      <c r="F112" s="624"/>
      <c r="G112" s="624"/>
      <c r="H112" s="624"/>
      <c r="I112" s="624"/>
      <c r="N112" s="314"/>
      <c r="O112" s="314"/>
    </row>
    <row r="113" spans="2:16" ht="16" x14ac:dyDescent="0.2">
      <c r="B113" s="642" t="s">
        <v>2621</v>
      </c>
      <c r="C113" s="631" t="s">
        <v>66</v>
      </c>
      <c r="D113" s="622"/>
      <c r="E113" s="622"/>
      <c r="F113" s="622"/>
      <c r="G113" s="622"/>
      <c r="H113" s="622"/>
      <c r="I113" s="622"/>
      <c r="J113" s="622"/>
      <c r="O113" s="314"/>
      <c r="P113" s="314"/>
    </row>
    <row r="114" spans="2:16" x14ac:dyDescent="0.2">
      <c r="B114" s="658" t="str">
        <f>Description!C19</f>
        <v xml:space="preserve">Imballaggi </v>
      </c>
      <c r="C114" s="640">
        <f>Imballaggi!E111</f>
        <v>0</v>
      </c>
      <c r="D114" s="624"/>
      <c r="E114" s="624"/>
      <c r="F114" s="624"/>
      <c r="G114" s="624"/>
      <c r="H114" s="624"/>
      <c r="I114" s="624"/>
      <c r="J114" s="624"/>
      <c r="O114" s="314"/>
      <c r="P114" s="314"/>
    </row>
    <row r="115" spans="2:16" x14ac:dyDescent="0.2">
      <c r="B115" s="659" t="str">
        <f>Description!C22</f>
        <v>Rifiuti di processo</v>
      </c>
      <c r="C115" s="626">
        <f>'Rifiuti di processo'!E182</f>
        <v>0</v>
      </c>
      <c r="D115" s="625"/>
      <c r="E115" s="625"/>
      <c r="F115" s="625"/>
      <c r="G115" s="625"/>
      <c r="H115" s="625"/>
      <c r="I115" s="625"/>
      <c r="J115" s="625"/>
      <c r="O115" s="314"/>
      <c r="P115" s="314"/>
    </row>
    <row r="116" spans="2:16" x14ac:dyDescent="0.2">
      <c r="B116" s="658" t="str">
        <f>Description!C25</f>
        <v>Fine vita</v>
      </c>
      <c r="C116" s="640">
        <f>'Fine vita'!E150</f>
        <v>-0.2651</v>
      </c>
      <c r="D116" s="625"/>
      <c r="E116" s="625"/>
      <c r="F116" s="625"/>
      <c r="G116" s="625"/>
      <c r="H116" s="625"/>
      <c r="I116" s="625"/>
      <c r="J116" s="625"/>
      <c r="O116" s="314"/>
      <c r="P116" s="314"/>
    </row>
    <row r="117" spans="2:16" ht="14" x14ac:dyDescent="0.2">
      <c r="B117" s="660" t="s">
        <v>44</v>
      </c>
      <c r="C117" s="633">
        <f>SUM(C114:C116)</f>
        <v>-0.2651</v>
      </c>
      <c r="D117" s="314"/>
      <c r="E117" s="314"/>
      <c r="F117" s="314"/>
      <c r="G117" s="314"/>
      <c r="H117" s="314"/>
      <c r="I117" s="314"/>
      <c r="J117" s="314"/>
      <c r="K117" s="314"/>
      <c r="L117" s="314"/>
      <c r="M117" s="314"/>
      <c r="N117" s="314"/>
      <c r="O117" s="314"/>
      <c r="P117" s="314"/>
    </row>
    <row r="118" spans="2:16" x14ac:dyDescent="0.2"/>
    <row r="119" spans="2:16" ht="17" x14ac:dyDescent="0.2">
      <c r="B119" s="1649" t="s">
        <v>2768</v>
      </c>
    </row>
    <row r="120" spans="2:16" ht="17" x14ac:dyDescent="0.2">
      <c r="B120" s="1649" t="s">
        <v>2769</v>
      </c>
    </row>
    <row r="121" spans="2:16" ht="17" x14ac:dyDescent="0.2">
      <c r="B121" s="1650" t="s">
        <v>2770</v>
      </c>
    </row>
    <row r="122" spans="2:16" ht="16" x14ac:dyDescent="0.2">
      <c r="B122" s="1651" t="s">
        <v>2771</v>
      </c>
    </row>
    <row r="123" spans="2:16" ht="17" x14ac:dyDescent="0.2">
      <c r="B123" s="1649" t="s">
        <v>2772</v>
      </c>
    </row>
    <row r="124" spans="2:16" x14ac:dyDescent="0.2"/>
    <row r="125" spans="2:16" x14ac:dyDescent="0.2"/>
    <row r="126" spans="2:16" x14ac:dyDescent="0.2"/>
    <row r="127" spans="2:16" x14ac:dyDescent="0.2"/>
    <row r="128" spans="2:16" x14ac:dyDescent="0.2"/>
    <row r="129" x14ac:dyDescent="0.2"/>
    <row r="130" x14ac:dyDescent="0.2"/>
    <row r="131" x14ac:dyDescent="0.2"/>
    <row r="132" x14ac:dyDescent="0.2"/>
    <row r="133" x14ac:dyDescent="0.2"/>
    <row r="134" x14ac:dyDescent="0.2"/>
    <row r="135" x14ac:dyDescent="0.2"/>
    <row r="136" x14ac:dyDescent="0.2"/>
  </sheetData>
  <mergeCells count="11">
    <mergeCell ref="I93:J93"/>
    <mergeCell ref="L93:N93"/>
    <mergeCell ref="B2:N2"/>
    <mergeCell ref="R93:U93"/>
    <mergeCell ref="B93:B94"/>
    <mergeCell ref="I4:J4"/>
    <mergeCell ref="F4:G4"/>
    <mergeCell ref="C4:D4"/>
    <mergeCell ref="L4:M4"/>
    <mergeCell ref="C93:D93"/>
    <mergeCell ref="F93:G93"/>
  </mergeCells>
  <phoneticPr fontId="9" type="noConversion"/>
  <hyperlinks>
    <hyperlink ref="B6" location="energie1_total" display="energie1_total" xr:uid="{00000000-0004-0000-0D00-000000000000}"/>
    <hyperlink ref="B13" location="procedes1_recap" display="procedes1_recap" xr:uid="{00000000-0004-0000-0D00-000001000000}"/>
    <hyperlink ref="B39" location="fret_recap" display="fret_recap" xr:uid="{00000000-0004-0000-0D00-000002000000}"/>
    <hyperlink ref="B53" location="deplacements_recap" display="deplacements_recap" xr:uid="{00000000-0004-0000-0D00-000003000000}"/>
    <hyperlink ref="B20" location="intrants_total" display="intrants_total" xr:uid="{00000000-0004-0000-0D00-000004000000}"/>
    <hyperlink ref="B31" location="emballages_recap" display="emballages_recap" xr:uid="{00000000-0004-0000-0D00-000005000000}"/>
    <hyperlink ref="B62" location="dechets_recap" display="dechets_recap" xr:uid="{00000000-0004-0000-0D00-000006000000}"/>
    <hyperlink ref="B70" location="immos_recap" display="immos_recap" xr:uid="{00000000-0004-0000-0D00-000007000000}"/>
    <hyperlink ref="B76" location="utilisation_recap" display="utilisation_recap" xr:uid="{00000000-0004-0000-0D00-000008000000}"/>
    <hyperlink ref="B82" location="fin_de_vie_recap" display="fin_de_vie_recap" xr:uid="{00000000-0004-0000-0D00-000009000000}"/>
    <hyperlink ref="B122" r:id="rId1" xr:uid="{00000000-0004-0000-0D00-00000A000000}"/>
    <hyperlink ref="B121" r:id="rId2" xr:uid="{00000000-0004-0000-0D00-00000B000000}"/>
  </hyperlinks>
  <pageMargins left="0.78740157480314965" right="0.78740157480314965" top="0.98425196850393704" bottom="0.98425196850393704" header="0.51181102362204722" footer="0.51181102362204722"/>
  <pageSetup paperSize="9" orientation="portrait" horizontalDpi="4294967292" verticalDpi="4294967292"/>
  <headerFooter alignWithMargins="0">
    <oddFooter>&amp;LCalcul des émissions de gaz à effet de serre&amp;Rrécapitulatifs, page &amp;P, édité le &amp;D</oddFooter>
  </headerFooter>
  <rowBreaks count="1" manualBreakCount="1">
    <brk id="150" min="1" max="4" man="1"/>
  </rowBreaks>
  <drawing r:id="rId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D833"/>
  </sheetPr>
  <dimension ref="A1:AK70"/>
  <sheetViews>
    <sheetView showGridLines="0" zoomScale="150" zoomScaleNormal="150" zoomScalePageLayoutView="150" workbookViewId="0">
      <pane ySplit="9" topLeftCell="A10" activePane="bottomLeft" state="frozen"/>
      <selection pane="bottomLeft" activeCell="E4" sqref="E4"/>
    </sheetView>
  </sheetViews>
  <sheetFormatPr baseColWidth="10" defaultColWidth="0" defaultRowHeight="13" x14ac:dyDescent="0.2"/>
  <cols>
    <col min="1" max="1" width="2.6640625" style="1253" customWidth="1"/>
    <col min="2" max="2" width="17" style="1253" customWidth="1"/>
    <col min="3" max="3" width="10.33203125" style="1253" customWidth="1"/>
    <col min="4" max="4" width="49.5" style="1253" customWidth="1"/>
    <col min="5" max="27" width="11.33203125" style="1253" customWidth="1"/>
    <col min="28" max="28" width="2.6640625" style="40" customWidth="1"/>
    <col min="29" max="37" width="0" style="1253" hidden="1" customWidth="1"/>
    <col min="38" max="16384" width="11.5" style="1253" hidden="1"/>
  </cols>
  <sheetData>
    <row r="1" spans="2:27" s="40" customFormat="1" x14ac:dyDescent="0.2">
      <c r="M1" s="602"/>
      <c r="N1" s="602"/>
      <c r="O1" s="602"/>
      <c r="P1" s="602"/>
    </row>
    <row r="2" spans="2:27" s="40" customFormat="1" ht="30" customHeight="1" x14ac:dyDescent="0.2">
      <c r="B2" s="1976" t="s">
        <v>121</v>
      </c>
      <c r="C2" s="1977"/>
      <c r="D2" s="1977"/>
      <c r="E2" s="1977"/>
      <c r="F2" s="1977"/>
      <c r="G2" s="1977"/>
      <c r="H2" s="1977"/>
      <c r="I2" s="1977"/>
      <c r="J2" s="1977"/>
      <c r="K2" s="1977"/>
      <c r="L2" s="1977"/>
      <c r="M2" s="1977"/>
      <c r="N2" s="1977"/>
      <c r="O2" s="1978"/>
      <c r="P2" s="602"/>
    </row>
    <row r="3" spans="2:27" s="40" customFormat="1" x14ac:dyDescent="0.2"/>
    <row r="4" spans="2:27" ht="14" x14ac:dyDescent="0.2">
      <c r="B4" s="1987" t="s">
        <v>2760</v>
      </c>
      <c r="C4" s="1987"/>
      <c r="D4" s="1987"/>
      <c r="E4" s="1641" t="s">
        <v>2438</v>
      </c>
    </row>
    <row r="5" spans="2:27" ht="14" x14ac:dyDescent="0.2">
      <c r="B5" s="1973" t="s">
        <v>2761</v>
      </c>
      <c r="C5" s="1975"/>
      <c r="D5" s="1974"/>
      <c r="E5" s="1641" t="s">
        <v>2438</v>
      </c>
    </row>
    <row r="6" spans="2:27" s="40" customFormat="1" x14ac:dyDescent="0.2"/>
    <row r="7" spans="2:27" ht="16" x14ac:dyDescent="0.2">
      <c r="E7" s="1984" t="s">
        <v>2755</v>
      </c>
      <c r="F7" s="1985"/>
      <c r="G7" s="1985"/>
      <c r="H7" s="1985"/>
      <c r="I7" s="1985"/>
      <c r="J7" s="1985"/>
      <c r="K7" s="1985"/>
      <c r="L7" s="1985"/>
      <c r="M7" s="1985"/>
      <c r="N7" s="1985"/>
      <c r="O7" s="1986"/>
      <c r="Q7" s="1984" t="s">
        <v>2756</v>
      </c>
      <c r="R7" s="1985"/>
      <c r="S7" s="1985"/>
      <c r="T7" s="1985"/>
      <c r="U7" s="1985"/>
      <c r="V7" s="1985"/>
      <c r="W7" s="1985"/>
      <c r="X7" s="1985"/>
      <c r="Y7" s="1985"/>
      <c r="Z7" s="1985"/>
      <c r="AA7" s="1986"/>
    </row>
    <row r="8" spans="2:27" ht="42" x14ac:dyDescent="0.2">
      <c r="D8" s="118"/>
      <c r="E8" s="1777" t="s">
        <v>2498</v>
      </c>
      <c r="F8" s="1779"/>
      <c r="G8" s="1779"/>
      <c r="H8" s="1779"/>
      <c r="I8" s="1779"/>
      <c r="J8" s="1779"/>
      <c r="K8" s="1779"/>
      <c r="L8" s="1779"/>
      <c r="M8" s="1779"/>
      <c r="N8" s="1778"/>
      <c r="O8" s="1249" t="s">
        <v>2517</v>
      </c>
      <c r="Q8" s="1777" t="s">
        <v>2498</v>
      </c>
      <c r="R8" s="1779"/>
      <c r="S8" s="1779"/>
      <c r="T8" s="1779"/>
      <c r="U8" s="1779"/>
      <c r="V8" s="1779"/>
      <c r="W8" s="1779"/>
      <c r="X8" s="1779"/>
      <c r="Y8" s="1779"/>
      <c r="Z8" s="1778"/>
      <c r="AA8" s="1249" t="s">
        <v>2517</v>
      </c>
    </row>
    <row r="9" spans="2:27" ht="28" x14ac:dyDescent="0.2">
      <c r="B9" s="1252" t="s">
        <v>2786</v>
      </c>
      <c r="C9" s="1251" t="s">
        <v>2500</v>
      </c>
      <c r="D9" s="1252" t="str">
        <f>+Energia!B153</f>
        <v>Sorgenti di emissione</v>
      </c>
      <c r="E9" s="1250" t="s">
        <v>676</v>
      </c>
      <c r="F9" s="1250" t="s">
        <v>674</v>
      </c>
      <c r="G9" s="1250" t="s">
        <v>675</v>
      </c>
      <c r="H9" s="1250" t="s">
        <v>677</v>
      </c>
      <c r="I9" s="1250" t="s">
        <v>678</v>
      </c>
      <c r="J9" s="1250" t="s">
        <v>679</v>
      </c>
      <c r="K9" s="1250" t="s">
        <v>2585</v>
      </c>
      <c r="L9" s="1251" t="s">
        <v>70</v>
      </c>
      <c r="M9" s="1250" t="s">
        <v>680</v>
      </c>
      <c r="N9" s="1250" t="s">
        <v>2587</v>
      </c>
      <c r="O9" s="1251" t="s">
        <v>70</v>
      </c>
      <c r="P9" s="178" t="s">
        <v>84</v>
      </c>
      <c r="Q9" s="1250" t="s">
        <v>676</v>
      </c>
      <c r="R9" s="1250" t="s">
        <v>674</v>
      </c>
      <c r="S9" s="1250" t="s">
        <v>675</v>
      </c>
      <c r="T9" s="1250" t="s">
        <v>677</v>
      </c>
      <c r="U9" s="1250" t="s">
        <v>678</v>
      </c>
      <c r="V9" s="1250" t="s">
        <v>679</v>
      </c>
      <c r="W9" s="1250" t="s">
        <v>2585</v>
      </c>
      <c r="X9" s="1251" t="s">
        <v>70</v>
      </c>
      <c r="Y9" s="1250" t="s">
        <v>680</v>
      </c>
      <c r="Z9" s="1250" t="s">
        <v>2587</v>
      </c>
      <c r="AA9" s="1251" t="s">
        <v>70</v>
      </c>
    </row>
    <row r="10" spans="2:27" ht="12.75" customHeight="1" x14ac:dyDescent="0.2">
      <c r="B10" s="1988" t="s">
        <v>30</v>
      </c>
      <c r="C10" s="1257" t="s">
        <v>99</v>
      </c>
      <c r="D10" s="1258" t="str">
        <f>+Energia!B154</f>
        <v xml:space="preserve">Emissioni dirette da sorgenti di combustione stazionarie </v>
      </c>
      <c r="E10" s="1259">
        <f>(Energia!E154+'Non-energetici'!E120+Input!E219+Imballaggi!E118+'Trasporti merci'!E647+'Trasporto persone'!E415+'Rifiuti di processo'!E189+'Beni durevoli'!E274+'Fase d''uso'!E124+'Fine vita'!E157)/1000</f>
        <v>0</v>
      </c>
      <c r="F10" s="1259">
        <f>(Energia!F154+'Non-energetici'!F120+Input!F219+Imballaggi!F118+'Trasporti merci'!F647+'Trasporto persone'!F415+'Rifiuti di processo'!F189+'Beni durevoli'!F274+'Fase d''uso'!F124+'Fine vita'!F157)/1000</f>
        <v>0</v>
      </c>
      <c r="G10" s="1259">
        <f>(Energia!G154+'Non-energetici'!G120+Input!G219+Imballaggi!G118+'Trasporti merci'!G647+'Trasporto persone'!G415+'Rifiuti di processo'!G189+'Beni durevoli'!G274+'Fase d''uso'!G124+'Fine vita'!G157)/1000</f>
        <v>0</v>
      </c>
      <c r="H10" s="1259">
        <f>(Energia!H154+'Non-energetici'!H120+Input!H219+Imballaggi!H118+'Trasporti merci'!H647+'Trasporto persone'!H415+'Rifiuti di processo'!H189+'Beni durevoli'!H274+'Fase d''uso'!H124+'Fine vita'!H157)/1000</f>
        <v>0</v>
      </c>
      <c r="I10" s="1259">
        <f>(Energia!I154+'Non-energetici'!I120+Input!I219+Imballaggi!I118+'Trasporti merci'!I647+'Trasporto persone'!I415+'Rifiuti di processo'!I189+'Beni durevoli'!I274+'Fase d''uso'!I124+'Fine vita'!I157)/1000</f>
        <v>0</v>
      </c>
      <c r="J10" s="1259">
        <f>(Energia!J154+'Non-energetici'!J120+Input!J219+Imballaggi!J118+'Trasporti merci'!J647+'Trasporto persone'!J415+'Rifiuti di processo'!J189+'Beni durevoli'!J274+'Fase d''uso'!J124+'Fine vita'!J157)/1000</f>
        <v>0</v>
      </c>
      <c r="K10" s="1259">
        <f>(Energia!K154+'Non-energetici'!K120+Input!K219+Imballaggi!K118+'Trasporti merci'!K647+'Trasporto persone'!K415+'Rifiuti di processo'!K189+'Beni durevoli'!K274+'Fase d''uso'!K124+'Fine vita'!K157)/1000</f>
        <v>0</v>
      </c>
      <c r="L10" s="1260">
        <f>(Energia!L154+'Non-energetici'!L120+Input!L219+Imballaggi!L118+'Trasporti merci'!L647+'Trasporto persone'!L415+'Rifiuti di processo'!L189+'Beni durevoli'!L274+'Fase d''uso'!L124+'Fine vita'!L157)/1000</f>
        <v>0</v>
      </c>
      <c r="M10" s="1261">
        <f>(Energia!M154+'Non-energetici'!M120+Input!M219+Imballaggi!M118+'Trasporti merci'!M647+'Trasporto persone'!M415+'Rifiuti di processo'!M189+'Beni durevoli'!M274+'Fase d''uso'!M124+'Fine vita'!M157)/1000</f>
        <v>0</v>
      </c>
      <c r="N10" s="1242">
        <f>SQRT(Energia!N154^2+'Non-energetici'!N120^2+Input!N219^2+Imballaggi!N118^2+'Trasporti merci'!N647^2+'Trasporto persone'!N415^2+'Rifiuti di processo'!N189^2+'Beni durevoli'!N274^2+'Fase d''uso'!N124^2+'Fine vita'!N157^2)/1000</f>
        <v>0</v>
      </c>
      <c r="O10" s="1262">
        <f>(Energia!O154+'Non-energetici'!O120+Input!O219+Imballaggi!O118+'Trasporti merci'!O647+'Trasporto persone'!O415+'Rifiuti di processo'!O189+'Beni durevoli'!O274+'Fase d''uso'!O124+'Fine vita'!O157)/1000</f>
        <v>0</v>
      </c>
      <c r="P10" s="177">
        <v>1</v>
      </c>
      <c r="Q10" s="1239">
        <f t="shared" ref="Q10:AA13" si="0">IF($E$4="Yes",0,IF($E$5="Yes",0,E10*$P10))</f>
        <v>0</v>
      </c>
      <c r="R10" s="1239">
        <f t="shared" si="0"/>
        <v>0</v>
      </c>
      <c r="S10" s="1239">
        <f t="shared" si="0"/>
        <v>0</v>
      </c>
      <c r="T10" s="1239">
        <f t="shared" si="0"/>
        <v>0</v>
      </c>
      <c r="U10" s="1239">
        <f t="shared" si="0"/>
        <v>0</v>
      </c>
      <c r="V10" s="1239">
        <f t="shared" si="0"/>
        <v>0</v>
      </c>
      <c r="W10" s="1239">
        <f t="shared" si="0"/>
        <v>0</v>
      </c>
      <c r="X10" s="1248">
        <f t="shared" si="0"/>
        <v>0</v>
      </c>
      <c r="Y10" s="1237">
        <f t="shared" si="0"/>
        <v>0</v>
      </c>
      <c r="Z10" s="1242">
        <f t="shared" si="0"/>
        <v>0</v>
      </c>
      <c r="AA10" s="1241">
        <f t="shared" si="0"/>
        <v>0</v>
      </c>
    </row>
    <row r="11" spans="2:27" ht="12.75" customHeight="1" x14ac:dyDescent="0.2">
      <c r="B11" s="1989"/>
      <c r="C11" s="1257" t="s">
        <v>100</v>
      </c>
      <c r="D11" s="1258" t="str">
        <f>+Energia!B155</f>
        <v>Emissioni dirette da sorgenti di combustione mobili</v>
      </c>
      <c r="E11" s="1259">
        <f>(Energia!E155+'Non-energetici'!E121+Input!E220+Imballaggi!E119+'Trasporti merci'!E648+'Trasporto persone'!E416+'Rifiuti di processo'!E190+'Beni durevoli'!E275+'Fase d''uso'!E125+'Fine vita'!E158)/1000</f>
        <v>0</v>
      </c>
      <c r="F11" s="1259">
        <f>(Energia!F155+'Non-energetici'!F121+Input!F220+Imballaggi!F119+'Trasporti merci'!F648+'Trasporto persone'!F416+'Rifiuti di processo'!F190+'Beni durevoli'!F275+'Fase d''uso'!F125+'Fine vita'!F158)/1000</f>
        <v>0</v>
      </c>
      <c r="G11" s="1259">
        <f>(Energia!G155+'Non-energetici'!G121+Input!G220+Imballaggi!G119+'Trasporti merci'!G648+'Trasporto persone'!G416+'Rifiuti di processo'!G190+'Beni durevoli'!G275+'Fase d''uso'!G125+'Fine vita'!G158)/1000</f>
        <v>0</v>
      </c>
      <c r="H11" s="1259">
        <f>(Energia!H155+'Non-energetici'!H121+Input!H220+Imballaggi!H119+'Trasporti merci'!H648+'Trasporto persone'!H416+'Rifiuti di processo'!H190+'Beni durevoli'!H275+'Fase d''uso'!H125+'Fine vita'!H158)/1000</f>
        <v>0</v>
      </c>
      <c r="I11" s="1259">
        <f>(Energia!I155+'Non-energetici'!I121+Input!I220+Imballaggi!I119+'Trasporti merci'!I648+'Trasporto persone'!I416+'Rifiuti di processo'!I190+'Beni durevoli'!I275+'Fase d''uso'!I125+'Fine vita'!I158)/1000</f>
        <v>0</v>
      </c>
      <c r="J11" s="1259">
        <f>(Energia!J155+'Non-energetici'!J121+Input!J220+Imballaggi!J119+'Trasporti merci'!J648+'Trasporto persone'!J416+'Rifiuti di processo'!J190+'Beni durevoli'!J275+'Fase d''uso'!J125+'Fine vita'!J158)/1000</f>
        <v>0</v>
      </c>
      <c r="K11" s="1259">
        <f>(Energia!K155+'Non-energetici'!K121+Input!K220+Imballaggi!K119+'Trasporti merci'!K648+'Trasporto persone'!K416+'Rifiuti di processo'!K190+'Beni durevoli'!K275+'Fase d''uso'!K125+'Fine vita'!K158)/1000</f>
        <v>0</v>
      </c>
      <c r="L11" s="1260">
        <f>(Energia!L155+'Non-energetici'!L121+Input!L220+Imballaggi!L119+'Trasporti merci'!L648+'Trasporto persone'!L416+'Rifiuti di processo'!L190+'Beni durevoli'!L275+'Fase d''uso'!L125+'Fine vita'!L158)/1000</f>
        <v>0.39700000000000002</v>
      </c>
      <c r="M11" s="1261">
        <f>(Energia!M155+'Non-energetici'!M121+Input!M220+Imballaggi!M119+'Trasporti merci'!M648+'Trasporto persone'!M416+'Rifiuti di processo'!M190+'Beni durevoli'!M275+'Fase d''uso'!M125+'Fine vita'!M158)/1000</f>
        <v>0</v>
      </c>
      <c r="N11" s="1242">
        <f>SQRT(Energia!N155^2+'Non-energetici'!N121^2+Input!N220^2+Imballaggi!N119^2+'Trasporti merci'!N648^2+'Trasporto persone'!N416^2+'Rifiuti di processo'!N190^2+'Beni durevoli'!N275^2+'Fase d''uso'!N125^2+'Fine vita'!N158^2)/1000</f>
        <v>0</v>
      </c>
      <c r="O11" s="1262">
        <f>(Energia!O155+'Non-energetici'!O121+Input!O220+Imballaggi!O119+'Trasporti merci'!O648+'Trasporto persone'!O416+'Rifiuti di processo'!O190+'Beni durevoli'!O275+'Fase d''uso'!O125+'Fine vita'!O158)/1000</f>
        <v>0</v>
      </c>
      <c r="P11" s="177">
        <v>1</v>
      </c>
      <c r="Q11" s="1239">
        <f t="shared" si="0"/>
        <v>0</v>
      </c>
      <c r="R11" s="1239">
        <f t="shared" si="0"/>
        <v>0</v>
      </c>
      <c r="S11" s="1239">
        <f t="shared" si="0"/>
        <v>0</v>
      </c>
      <c r="T11" s="1239">
        <f t="shared" si="0"/>
        <v>0</v>
      </c>
      <c r="U11" s="1239">
        <f t="shared" si="0"/>
        <v>0</v>
      </c>
      <c r="V11" s="1239">
        <f t="shared" si="0"/>
        <v>0</v>
      </c>
      <c r="W11" s="1239">
        <f t="shared" si="0"/>
        <v>0</v>
      </c>
      <c r="X11" s="1248">
        <f t="shared" si="0"/>
        <v>0.39700000000000002</v>
      </c>
      <c r="Y11" s="1237">
        <f t="shared" si="0"/>
        <v>0</v>
      </c>
      <c r="Z11" s="1242">
        <f t="shared" si="0"/>
        <v>0</v>
      </c>
      <c r="AA11" s="1241">
        <f t="shared" si="0"/>
        <v>0</v>
      </c>
    </row>
    <row r="12" spans="2:27" ht="12.75" customHeight="1" x14ac:dyDescent="0.2">
      <c r="B12" s="1989"/>
      <c r="C12" s="1257" t="s">
        <v>101</v>
      </c>
      <c r="D12" s="1258" t="str">
        <f>+Energia!B156</f>
        <v>Emissioni dirette da  processi</v>
      </c>
      <c r="E12" s="1259">
        <f>(Energia!E156+'Non-energetici'!E122+Input!E221+Imballaggi!E120+'Trasporti merci'!E649+'Trasporto persone'!E417+'Rifiuti di processo'!E191+'Beni durevoli'!E276+'Fase d''uso'!E126+'Fine vita'!E159)/1000</f>
        <v>10000</v>
      </c>
      <c r="F12" s="1259">
        <f>(Energia!F156+'Non-energetici'!F122+Input!F221+Imballaggi!F120+'Trasporti merci'!F649+'Trasporto persone'!F417+'Rifiuti di processo'!F191+'Beni durevoli'!F276+'Fase d''uso'!F126+'Fine vita'!F159)/1000</f>
        <v>3000</v>
      </c>
      <c r="G12" s="1259">
        <f>(Energia!G156+'Non-energetici'!G122+Input!G221+Imballaggi!G120+'Trasporti merci'!G649+'Trasporto persone'!G417+'Rifiuti di processo'!G191+'Beni durevoli'!G276+'Fase d''uso'!G126+'Fine vita'!G159)/1000</f>
        <v>265000</v>
      </c>
      <c r="H12" s="1259">
        <f>(Energia!H156+'Non-energetici'!H122+Input!H221+Imballaggi!H120+'Trasporti merci'!H649+'Trasporto persone'!H417+'Rifiuti di processo'!H191+'Beni durevoli'!H276+'Fase d''uso'!H126+'Fine vita'!H159)/1000</f>
        <v>0</v>
      </c>
      <c r="I12" s="1259">
        <f>(Energia!I156+'Non-energetici'!I122+Input!I221+Imballaggi!I120+'Trasporti merci'!I649+'Trasporto persone'!I417+'Rifiuti di processo'!I191+'Beni durevoli'!I276+'Fase d''uso'!I126+'Fine vita'!I159)/1000</f>
        <v>0</v>
      </c>
      <c r="J12" s="1259">
        <f>(Energia!J156+'Non-energetici'!J122+Input!J221+Imballaggi!J120+'Trasporti merci'!J649+'Trasporto persone'!J417+'Rifiuti di processo'!J191+'Beni durevoli'!J276+'Fase d''uso'!J126+'Fine vita'!J159)/1000</f>
        <v>0</v>
      </c>
      <c r="K12" s="1259">
        <f>(Energia!K156+'Non-energetici'!K122+Input!K221+Imballaggi!K120+'Trasporti merci'!K649+'Trasporto persone'!K417+'Rifiuti di processo'!K191+'Beni durevoli'!K276+'Fase d''uso'!K126+'Fine vita'!K159)/1000</f>
        <v>0</v>
      </c>
      <c r="L12" s="1260">
        <f>(Energia!L156+'Non-energetici'!L122+Input!L221+Imballaggi!L120+'Trasporti merci'!L649+'Trasporto persone'!L417+'Rifiuti di processo'!L191+'Beni durevoli'!L276+'Fase d''uso'!L126+'Fine vita'!L159)/1000</f>
        <v>278000</v>
      </c>
      <c r="M12" s="1261">
        <f>(Energia!M156+'Non-energetici'!M122+Input!M221+Imballaggi!M120+'Trasporti merci'!M649+'Trasporto persone'!M417+'Rifiuti di processo'!M191+'Beni durevoli'!M276+'Fase d''uso'!M126+'Fine vita'!M159)/1000</f>
        <v>0</v>
      </c>
      <c r="N12" s="1242">
        <f>SQRT(Energia!N156^2+'Non-energetici'!N122^2+Input!N221^2+Imballaggi!N120^2+'Trasporti merci'!N649^2+'Trasporto persone'!N417^2+'Rifiuti di processo'!N191^2+'Beni durevoli'!N276^2+'Fase d''uso'!N126^2+'Fine vita'!N159^2)/1000</f>
        <v>79507.358150047978</v>
      </c>
      <c r="O12" s="1262">
        <f>(Energia!O156+'Non-energetici'!O122+Input!O221+Imballaggi!O120+'Trasporti merci'!O649+'Trasporto persone'!O417+'Rifiuti di processo'!O191+'Beni durevoli'!O276+'Fase d''uso'!O126+'Fine vita'!O159)/1000</f>
        <v>0</v>
      </c>
      <c r="P12" s="177">
        <v>1</v>
      </c>
      <c r="Q12" s="1239">
        <f t="shared" si="0"/>
        <v>10000</v>
      </c>
      <c r="R12" s="1239">
        <f t="shared" si="0"/>
        <v>3000</v>
      </c>
      <c r="S12" s="1239">
        <f t="shared" si="0"/>
        <v>265000</v>
      </c>
      <c r="T12" s="1239">
        <f t="shared" si="0"/>
        <v>0</v>
      </c>
      <c r="U12" s="1239">
        <f t="shared" si="0"/>
        <v>0</v>
      </c>
      <c r="V12" s="1239">
        <f t="shared" si="0"/>
        <v>0</v>
      </c>
      <c r="W12" s="1239">
        <f t="shared" si="0"/>
        <v>0</v>
      </c>
      <c r="X12" s="1248">
        <f t="shared" si="0"/>
        <v>278000</v>
      </c>
      <c r="Y12" s="1237">
        <f t="shared" si="0"/>
        <v>0</v>
      </c>
      <c r="Z12" s="1242">
        <f t="shared" si="0"/>
        <v>79507.358150047978</v>
      </c>
      <c r="AA12" s="1241">
        <f t="shared" si="0"/>
        <v>0</v>
      </c>
    </row>
    <row r="13" spans="2:27" ht="12.75" customHeight="1" x14ac:dyDescent="0.2">
      <c r="B13" s="1989"/>
      <c r="C13" s="1257" t="s">
        <v>102</v>
      </c>
      <c r="D13" s="1258" t="str">
        <f>+Energia!B157</f>
        <v>Emissioni dirette da  fonti fugitive</v>
      </c>
      <c r="E13" s="1259">
        <f>(Energia!E157+'Non-energetici'!E123+Input!E222+Imballaggi!E121+'Trasporti merci'!E650+'Trasporto persone'!E418+'Rifiuti di processo'!E192+'Beni durevoli'!E277+'Fase d''uso'!E127+'Fine vita'!E160)/1000</f>
        <v>0</v>
      </c>
      <c r="F13" s="1259">
        <f>(Energia!F157+'Non-energetici'!F123+Input!F222+Imballaggi!F121+'Trasporti merci'!F650+'Trasporto persone'!F418+'Rifiuti di processo'!F192+'Beni durevoli'!F277+'Fase d''uso'!F127+'Fine vita'!F160)/1000</f>
        <v>0</v>
      </c>
      <c r="G13" s="1259">
        <f>(Energia!G157+'Non-energetici'!G123+Input!G222+Imballaggi!G121+'Trasporti merci'!G650+'Trasporto persone'!G418+'Rifiuti di processo'!G192+'Beni durevoli'!G277+'Fase d''uso'!G127+'Fine vita'!G160)/1000</f>
        <v>0</v>
      </c>
      <c r="H13" s="1259">
        <f>(Energia!H157+'Non-energetici'!H123+Input!H222+Imballaggi!H121+'Trasporti merci'!H650+'Trasporto persone'!H418+'Rifiuti di processo'!H192+'Beni durevoli'!H277+'Fase d''uso'!H127+'Fine vita'!H160)/1000</f>
        <v>0</v>
      </c>
      <c r="I13" s="1259">
        <f>(Energia!I157+'Non-energetici'!I123+Input!I222+Imballaggi!I121+'Trasporti merci'!I650+'Trasporto persone'!I418+'Rifiuti di processo'!I192+'Beni durevoli'!I277+'Fase d''uso'!I127+'Fine vita'!I160)/1000</f>
        <v>0</v>
      </c>
      <c r="J13" s="1259">
        <f>(Energia!J157+'Non-energetici'!J123+Input!J222+Imballaggi!J121+'Trasporti merci'!J650+'Trasporto persone'!J418+'Rifiuti di processo'!J192+'Beni durevoli'!J277+'Fase d''uso'!J127+'Fine vita'!J160)/1000</f>
        <v>0</v>
      </c>
      <c r="K13" s="1259">
        <f>(Energia!K157+'Non-energetici'!K123+Input!K222+Imballaggi!K121+'Trasporti merci'!K650+'Trasporto persone'!K418+'Rifiuti di processo'!K192+'Beni durevoli'!K277+'Fase d''uso'!K127+'Fine vita'!K160)/1000</f>
        <v>0</v>
      </c>
      <c r="L13" s="1260">
        <f>(Energia!L157+'Non-energetici'!L123+Input!L222+Imballaggi!L121+'Trasporti merci'!L650+'Trasporto persone'!L418+'Rifiuti di processo'!L192+'Beni durevoli'!L277+'Fase d''uso'!L127+'Fine vita'!L160)/1000</f>
        <v>0</v>
      </c>
      <c r="M13" s="1261">
        <f>(Energia!M157+'Non-energetici'!M123+Input!M222+Imballaggi!M121+'Trasporti merci'!M650+'Trasporto persone'!M418+'Rifiuti di processo'!M192+'Beni durevoli'!M277+'Fase d''uso'!M127+'Fine vita'!M160)/1000</f>
        <v>0</v>
      </c>
      <c r="N13" s="1242">
        <f>SQRT(Energia!N157^2+'Non-energetici'!N123^2+Input!N222^2+Imballaggi!N121^2+'Trasporti merci'!N650^2+'Trasporto persone'!N418^2+'Rifiuti di processo'!N192^2+'Beni durevoli'!N277^2+'Fase d''uso'!N127^2+'Fine vita'!N160^2)/1000</f>
        <v>0</v>
      </c>
      <c r="O13" s="1262">
        <f>(Energia!O157+'Non-energetici'!O123+Input!O222+Imballaggi!O121+'Trasporti merci'!O650+'Trasporto persone'!O418+'Rifiuti di processo'!O192+'Beni durevoli'!O277+'Fase d''uso'!O127+'Fine vita'!O160)/1000</f>
        <v>0</v>
      </c>
      <c r="P13" s="177">
        <v>1</v>
      </c>
      <c r="Q13" s="1239">
        <f t="shared" si="0"/>
        <v>0</v>
      </c>
      <c r="R13" s="1239">
        <f t="shared" si="0"/>
        <v>0</v>
      </c>
      <c r="S13" s="1239">
        <f t="shared" si="0"/>
        <v>0</v>
      </c>
      <c r="T13" s="1239">
        <f t="shared" si="0"/>
        <v>0</v>
      </c>
      <c r="U13" s="1239">
        <f t="shared" si="0"/>
        <v>0</v>
      </c>
      <c r="V13" s="1239">
        <f t="shared" si="0"/>
        <v>0</v>
      </c>
      <c r="W13" s="1239">
        <f t="shared" si="0"/>
        <v>0</v>
      </c>
      <c r="X13" s="1248">
        <f t="shared" si="0"/>
        <v>0</v>
      </c>
      <c r="Y13" s="1237">
        <f t="shared" si="0"/>
        <v>0</v>
      </c>
      <c r="Z13" s="1242">
        <f t="shared" si="0"/>
        <v>0</v>
      </c>
      <c r="AA13" s="1241">
        <f t="shared" si="0"/>
        <v>0</v>
      </c>
    </row>
    <row r="14" spans="2:27" x14ac:dyDescent="0.2">
      <c r="B14" s="1990"/>
      <c r="C14" s="1991" t="s">
        <v>98</v>
      </c>
      <c r="D14" s="1992"/>
      <c r="E14" s="1263">
        <f t="shared" ref="E14:O14" si="1">SUM(E10:E13)</f>
        <v>10000</v>
      </c>
      <c r="F14" s="1263">
        <f t="shared" si="1"/>
        <v>3000</v>
      </c>
      <c r="G14" s="1263">
        <f t="shared" si="1"/>
        <v>265000</v>
      </c>
      <c r="H14" s="1263">
        <f t="shared" si="1"/>
        <v>0</v>
      </c>
      <c r="I14" s="1263">
        <f t="shared" si="1"/>
        <v>0</v>
      </c>
      <c r="J14" s="1263">
        <f t="shared" si="1"/>
        <v>0</v>
      </c>
      <c r="K14" s="1263">
        <f t="shared" si="1"/>
        <v>0</v>
      </c>
      <c r="L14" s="1263">
        <f t="shared" si="1"/>
        <v>278000.397</v>
      </c>
      <c r="M14" s="1264">
        <f t="shared" si="1"/>
        <v>0</v>
      </c>
      <c r="N14" s="1243">
        <f>SQRT(SUMSQ(N10:N13))</f>
        <v>79507.358150047978</v>
      </c>
      <c r="O14" s="1266">
        <f t="shared" si="1"/>
        <v>0</v>
      </c>
      <c r="P14" s="177"/>
      <c r="Q14" s="1236">
        <f t="shared" ref="Q14:AA14" si="2">SUM(Q10:Q13)</f>
        <v>10000</v>
      </c>
      <c r="R14" s="1236">
        <f t="shared" si="2"/>
        <v>3000</v>
      </c>
      <c r="S14" s="1236">
        <f t="shared" si="2"/>
        <v>265000</v>
      </c>
      <c r="T14" s="1236">
        <f t="shared" si="2"/>
        <v>0</v>
      </c>
      <c r="U14" s="1236">
        <f t="shared" si="2"/>
        <v>0</v>
      </c>
      <c r="V14" s="1236">
        <f t="shared" si="2"/>
        <v>0</v>
      </c>
      <c r="W14" s="1236">
        <f t="shared" si="2"/>
        <v>0</v>
      </c>
      <c r="X14" s="1236">
        <f t="shared" si="2"/>
        <v>278000.397</v>
      </c>
      <c r="Y14" s="1247">
        <f t="shared" si="2"/>
        <v>0</v>
      </c>
      <c r="Z14" s="1243">
        <f>SQRT(SUMSQ(Z10:Z13))</f>
        <v>79507.358150047978</v>
      </c>
      <c r="AA14" s="1244">
        <f t="shared" si="2"/>
        <v>0</v>
      </c>
    </row>
    <row r="15" spans="2:27" ht="12.75" customHeight="1" x14ac:dyDescent="0.2">
      <c r="B15" s="1988" t="s">
        <v>122</v>
      </c>
      <c r="C15" s="1257" t="s">
        <v>103</v>
      </c>
      <c r="D15" s="1258" t="str">
        <f>+Energia!B159</f>
        <v xml:space="preserve">Emissioni indirette da consumo di elettricità </v>
      </c>
      <c r="E15" s="1350">
        <f>(Energia!E159+'Non-energetici'!E125+Input!E224+Imballaggi!E123+'Trasporti merci'!E652+'Trasporto persone'!E420+'Rifiuti di processo'!E194+'Beni durevoli'!E279+'Fase d''uso'!E129+'Fine vita'!E162)/1000</f>
        <v>0</v>
      </c>
      <c r="F15" s="1350">
        <f>(Energia!F159+'Non-energetici'!F125+Input!F224+Imballaggi!F123+'Trasporti merci'!F652+'Trasporto persone'!F420+'Rifiuti di processo'!F194+'Beni durevoli'!F279+'Fase d''uso'!F129+'Fine vita'!F162)/1000</f>
        <v>0</v>
      </c>
      <c r="G15" s="1350">
        <f>(Energia!G159+'Non-energetici'!G125+Input!G224+Imballaggi!G123+'Trasporti merci'!G652+'Trasporto persone'!G420+'Rifiuti di processo'!G194+'Beni durevoli'!G279+'Fase d''uso'!G129+'Fine vita'!G162)/1000</f>
        <v>0</v>
      </c>
      <c r="H15" s="1350">
        <f>(Energia!H159+'Non-energetici'!H125+Input!H224+Imballaggi!H123+'Trasporti merci'!H652+'Trasporto persone'!H420+'Rifiuti di processo'!H194+'Beni durevoli'!H279+'Fase d''uso'!H129+'Fine vita'!H162)/1000</f>
        <v>0</v>
      </c>
      <c r="I15" s="1350">
        <f>(Energia!I159+'Non-energetici'!I125+Input!I224+Imballaggi!I123+'Trasporti merci'!I652+'Trasporto persone'!I420+'Rifiuti di processo'!I194+'Beni durevoli'!I279+'Fase d''uso'!I129+'Fine vita'!I162)/1000</f>
        <v>0</v>
      </c>
      <c r="J15" s="1350">
        <f>(Energia!J159+'Non-energetici'!J125+Input!J224+Imballaggi!J123+'Trasporti merci'!J652+'Trasporto persone'!J420+'Rifiuti di processo'!J194+'Beni durevoli'!J279+'Fase d''uso'!J129+'Fine vita'!J162)/1000</f>
        <v>0</v>
      </c>
      <c r="K15" s="1350">
        <f>(Energia!K159+'Non-energetici'!K125+Input!K224+Imballaggi!K123+'Trasporti merci'!K652+'Trasporto persone'!K420+'Rifiuti di processo'!K194+'Beni durevoli'!K279+'Fase d''uso'!K129+'Fine vita'!K162)/1000</f>
        <v>0</v>
      </c>
      <c r="L15" s="1260">
        <f>(Energia!L159+'Non-energetici'!L125+Input!L224+Imballaggi!L123+'Trasporti merci'!L652+'Trasporto persone'!L420+'Rifiuti di processo'!L194+'Beni durevoli'!L279+'Fase d''uso'!L129+'Fine vita'!L162)/1000</f>
        <v>0.18240000000000001</v>
      </c>
      <c r="M15" s="1352">
        <f>(Energia!M159+'Non-energetici'!M125+Input!M224+Imballaggi!M123+'Trasporti merci'!M652+'Trasporto persone'!M420+'Rifiuti di processo'!M194+'Beni durevoli'!M279+'Fase d''uso'!M129+'Fine vita'!M162)/1000</f>
        <v>0</v>
      </c>
      <c r="N15" s="1242">
        <f>SQRT(Energia!N159^2+'Non-energetici'!N125^2+Input!N224^2+Imballaggi!N123^2+'Trasporti merci'!N652^2+'Trasporto persone'!N420^2+'Rifiuti di processo'!N194^2+'Beni durevoli'!N279^2+'Fase d''uso'!N129^2+'Fine vita'!N162^2)/1000</f>
        <v>0</v>
      </c>
      <c r="O15" s="1267">
        <f>(Energia!O159+'Non-energetici'!O125+Input!O224+Imballaggi!O123+'Trasporti merci'!O652+'Trasporto persone'!O420+'Rifiuti di processo'!O194+'Beni durevoli'!O279+'Fase d''uso'!O129+'Fine vita'!O162)/1000</f>
        <v>0</v>
      </c>
      <c r="P15" s="177">
        <v>1</v>
      </c>
      <c r="Q15" s="1354">
        <f t="shared" ref="Q15:AA16" si="3">IF($E$4="Yes",0,IF($E$5="Yes",0,E15*$P15))</f>
        <v>0</v>
      </c>
      <c r="R15" s="1354">
        <f t="shared" si="3"/>
        <v>0</v>
      </c>
      <c r="S15" s="1354">
        <f t="shared" si="3"/>
        <v>0</v>
      </c>
      <c r="T15" s="1354">
        <f t="shared" si="3"/>
        <v>0</v>
      </c>
      <c r="U15" s="1354">
        <f t="shared" si="3"/>
        <v>0</v>
      </c>
      <c r="V15" s="1354">
        <f t="shared" si="3"/>
        <v>0</v>
      </c>
      <c r="W15" s="1354">
        <f t="shared" si="3"/>
        <v>0</v>
      </c>
      <c r="X15" s="1248">
        <f t="shared" si="3"/>
        <v>0.18240000000000001</v>
      </c>
      <c r="Y15" s="1356">
        <f t="shared" si="3"/>
        <v>0</v>
      </c>
      <c r="Z15" s="1242">
        <f t="shared" si="3"/>
        <v>0</v>
      </c>
      <c r="AA15" s="1240">
        <f t="shared" si="3"/>
        <v>0</v>
      </c>
    </row>
    <row r="16" spans="2:27" ht="12.75" customHeight="1" x14ac:dyDescent="0.2">
      <c r="B16" s="1989"/>
      <c r="C16" s="1257" t="s">
        <v>104</v>
      </c>
      <c r="D16" s="1258" t="str">
        <f>+Energia!B160</f>
        <v xml:space="preserve">Emissioni indirette da consumo di vapore, calore o raffrescamento </v>
      </c>
      <c r="E16" s="1350">
        <f>(Energia!E160+'Non-energetici'!E126+Input!E225+Imballaggi!E124+'Trasporti merci'!E653+'Trasporto persone'!E421+'Rifiuti di processo'!E195+'Beni durevoli'!E280+'Fase d''uso'!E130+'Fine vita'!E163)/1000</f>
        <v>0</v>
      </c>
      <c r="F16" s="1350">
        <f>(Energia!F160+'Non-energetici'!F126+Input!F225+Imballaggi!F124+'Trasporti merci'!F653+'Trasporto persone'!F421+'Rifiuti di processo'!F195+'Beni durevoli'!F280+'Fase d''uso'!F130+'Fine vita'!F163)/1000</f>
        <v>0</v>
      </c>
      <c r="G16" s="1350">
        <f>(Energia!G160+'Non-energetici'!G126+Input!G225+Imballaggi!G124+'Trasporti merci'!G653+'Trasporto persone'!G421+'Rifiuti di processo'!G195+'Beni durevoli'!G280+'Fase d''uso'!G130+'Fine vita'!G163)/1000</f>
        <v>0</v>
      </c>
      <c r="H16" s="1350">
        <f>(Energia!H160+'Non-energetici'!H126+Input!H225+Imballaggi!H124+'Trasporti merci'!H653+'Trasporto persone'!H421+'Rifiuti di processo'!H195+'Beni durevoli'!H280+'Fase d''uso'!H130+'Fine vita'!H163)/1000</f>
        <v>0</v>
      </c>
      <c r="I16" s="1350">
        <f>(Energia!I160+'Non-energetici'!I126+Input!I225+Imballaggi!I124+'Trasporti merci'!I653+'Trasporto persone'!I421+'Rifiuti di processo'!I195+'Beni durevoli'!I280+'Fase d''uso'!I130+'Fine vita'!I163)/1000</f>
        <v>0</v>
      </c>
      <c r="J16" s="1350">
        <f>(Energia!J160+'Non-energetici'!J126+Input!J225+Imballaggi!J124+'Trasporti merci'!J653+'Trasporto persone'!J421+'Rifiuti di processo'!J195+'Beni durevoli'!J280+'Fase d''uso'!J130+'Fine vita'!J163)/1000</f>
        <v>0</v>
      </c>
      <c r="K16" s="1350">
        <f>(Energia!K160+'Non-energetici'!K126+Input!K225+Imballaggi!K124+'Trasporti merci'!K653+'Trasporto persone'!K421+'Rifiuti di processo'!K195+'Beni durevoli'!K280+'Fase d''uso'!K130+'Fine vita'!K163)/1000</f>
        <v>0</v>
      </c>
      <c r="L16" s="1260">
        <f>(Energia!L160+'Non-energetici'!L126+Input!L225+Imballaggi!L124+'Trasporti merci'!L653+'Trasporto persone'!L421+'Rifiuti di processo'!L195+'Beni durevoli'!L280+'Fase d''uso'!L130+'Fine vita'!L163)/1000</f>
        <v>0</v>
      </c>
      <c r="M16" s="1352">
        <f>(Energia!M160+'Non-energetici'!M126+Input!M225+Imballaggi!M124+'Trasporti merci'!M653+'Trasporto persone'!M421+'Rifiuti di processo'!M195+'Beni durevoli'!M280+'Fase d''uso'!M130+'Fine vita'!M163)/1000</f>
        <v>0</v>
      </c>
      <c r="N16" s="1242">
        <f>SQRT(Energia!N160^2+'Non-energetici'!N126^2+Input!N225^2+Imballaggi!N124^2+'Trasporti merci'!N653^2+'Trasporto persone'!N421^2+'Rifiuti di processo'!N195^2+'Beni durevoli'!N280^2+'Fase d''uso'!N130^2+'Fine vita'!N163^2)/1000</f>
        <v>0</v>
      </c>
      <c r="O16" s="1267">
        <f>(Energia!O160+'Non-energetici'!O126+Input!O225+Imballaggi!O124+'Trasporti merci'!O653+'Trasporto persone'!O421+'Rifiuti di processo'!O195+'Beni durevoli'!O280+'Fase d''uso'!O130+'Fine vita'!O163)/1000</f>
        <v>0</v>
      </c>
      <c r="P16" s="177">
        <v>1</v>
      </c>
      <c r="Q16" s="1354">
        <f t="shared" si="3"/>
        <v>0</v>
      </c>
      <c r="R16" s="1354">
        <f t="shared" si="3"/>
        <v>0</v>
      </c>
      <c r="S16" s="1354">
        <f t="shared" si="3"/>
        <v>0</v>
      </c>
      <c r="T16" s="1354">
        <f t="shared" si="3"/>
        <v>0</v>
      </c>
      <c r="U16" s="1354">
        <f t="shared" si="3"/>
        <v>0</v>
      </c>
      <c r="V16" s="1354">
        <f t="shared" si="3"/>
        <v>0</v>
      </c>
      <c r="W16" s="1354">
        <f t="shared" si="3"/>
        <v>0</v>
      </c>
      <c r="X16" s="1248">
        <f t="shared" si="3"/>
        <v>0</v>
      </c>
      <c r="Y16" s="1356">
        <f t="shared" si="3"/>
        <v>0</v>
      </c>
      <c r="Z16" s="1242">
        <f t="shared" si="3"/>
        <v>0</v>
      </c>
      <c r="AA16" s="1240">
        <f t="shared" si="3"/>
        <v>0</v>
      </c>
    </row>
    <row r="17" spans="2:27" x14ac:dyDescent="0.2">
      <c r="B17" s="1990"/>
      <c r="C17" s="1991" t="s">
        <v>97</v>
      </c>
      <c r="D17" s="1992"/>
      <c r="E17" s="1351">
        <f t="shared" ref="E17:L17" si="4">SUM(E15:E16)</f>
        <v>0</v>
      </c>
      <c r="F17" s="1351">
        <f t="shared" si="4"/>
        <v>0</v>
      </c>
      <c r="G17" s="1351">
        <f t="shared" si="4"/>
        <v>0</v>
      </c>
      <c r="H17" s="1351">
        <f t="shared" si="4"/>
        <v>0</v>
      </c>
      <c r="I17" s="1351">
        <f t="shared" si="4"/>
        <v>0</v>
      </c>
      <c r="J17" s="1351">
        <f t="shared" si="4"/>
        <v>0</v>
      </c>
      <c r="K17" s="1351">
        <f t="shared" si="4"/>
        <v>0</v>
      </c>
      <c r="L17" s="1263">
        <f t="shared" si="4"/>
        <v>0.18240000000000001</v>
      </c>
      <c r="M17" s="1353">
        <f>SUM(M15:M16)</f>
        <v>0</v>
      </c>
      <c r="N17" s="1243">
        <f>SQRT(SUMSQ(N15:N16))</f>
        <v>0</v>
      </c>
      <c r="O17" s="1266">
        <f>SUM(O15:O16)</f>
        <v>0</v>
      </c>
      <c r="P17" s="1254"/>
      <c r="Q17" s="1355">
        <f t="shared" ref="Q17:X17" si="5">SUM(Q15:Q16)</f>
        <v>0</v>
      </c>
      <c r="R17" s="1355">
        <f t="shared" si="5"/>
        <v>0</v>
      </c>
      <c r="S17" s="1355">
        <f t="shared" si="5"/>
        <v>0</v>
      </c>
      <c r="T17" s="1355">
        <f t="shared" si="5"/>
        <v>0</v>
      </c>
      <c r="U17" s="1355">
        <f t="shared" si="5"/>
        <v>0</v>
      </c>
      <c r="V17" s="1355">
        <f t="shared" si="5"/>
        <v>0</v>
      </c>
      <c r="W17" s="1355">
        <f t="shared" si="5"/>
        <v>0</v>
      </c>
      <c r="X17" s="1236">
        <f t="shared" si="5"/>
        <v>0.18240000000000001</v>
      </c>
      <c r="Y17" s="1357">
        <f>SUM(Y15:Y16)</f>
        <v>0</v>
      </c>
      <c r="Z17" s="1243">
        <f>SQRT(SUMSQ(Z15:Z16))</f>
        <v>0</v>
      </c>
      <c r="AA17" s="1244">
        <f>SUM(AA15:AA16)</f>
        <v>0</v>
      </c>
    </row>
    <row r="18" spans="2:27" ht="12.75" customHeight="1" x14ac:dyDescent="0.2">
      <c r="B18" s="1988" t="s">
        <v>123</v>
      </c>
      <c r="C18" s="1993" t="s">
        <v>2527</v>
      </c>
      <c r="D18" s="1994"/>
      <c r="E18" s="1994"/>
      <c r="F18" s="1994"/>
      <c r="G18" s="1994"/>
      <c r="H18" s="1994"/>
      <c r="I18" s="1994"/>
      <c r="J18" s="1994"/>
      <c r="K18" s="1994"/>
      <c r="L18" s="1994"/>
      <c r="M18" s="1994"/>
      <c r="N18" s="1994"/>
      <c r="O18" s="1995"/>
      <c r="P18" s="1255"/>
      <c r="Q18" s="1771"/>
      <c r="R18" s="1772"/>
      <c r="S18" s="1772"/>
      <c r="T18" s="1772"/>
      <c r="U18" s="1772"/>
      <c r="V18" s="1772"/>
      <c r="W18" s="1772"/>
      <c r="X18" s="1772"/>
      <c r="Y18" s="1772"/>
      <c r="Z18" s="1772"/>
      <c r="AA18" s="1773"/>
    </row>
    <row r="19" spans="2:27" ht="12.75" customHeight="1" x14ac:dyDescent="0.2">
      <c r="B19" s="1989"/>
      <c r="C19" s="1257" t="s">
        <v>106</v>
      </c>
      <c r="D19" s="1258" t="str">
        <f>+Energia!B163</f>
        <v xml:space="preserve">Beni o servizi acquistati </v>
      </c>
      <c r="E19" s="1350">
        <f>(Energia!E163+'Non-energetici'!E129+Input!E228+Imballaggi!E127+'Trasporti merci'!E656+'Trasporto persone'!E424+'Rifiuti di processo'!E198+'Beni durevoli'!E283+'Fase d''uso'!E133+'Fine vita'!E166)/1000</f>
        <v>0</v>
      </c>
      <c r="F19" s="1350">
        <f>(Energia!F163+'Non-energetici'!F129+Input!F228+Imballaggi!F127+'Trasporti merci'!F656+'Trasporto persone'!F424+'Rifiuti di processo'!F198+'Beni durevoli'!F283+'Fase d''uso'!F133+'Fine vita'!F166)/1000</f>
        <v>0</v>
      </c>
      <c r="G19" s="1350">
        <f>(Energia!G163+'Non-energetici'!G129+Input!G228+Imballaggi!G127+'Trasporti merci'!G656+'Trasporto persone'!G424+'Rifiuti di processo'!G198+'Beni durevoli'!G283+'Fase d''uso'!G133+'Fine vita'!G166)/1000</f>
        <v>0</v>
      </c>
      <c r="H19" s="1350">
        <f>(Energia!H163+'Non-energetici'!H129+Input!H228+Imballaggi!H127+'Trasporti merci'!H656+'Trasporto persone'!H424+'Rifiuti di processo'!H198+'Beni durevoli'!H283+'Fase d''uso'!H133+'Fine vita'!H166)/1000</f>
        <v>0</v>
      </c>
      <c r="I19" s="1350">
        <f>(Energia!I163+'Non-energetici'!I129+Input!I228+Imballaggi!I127+'Trasporti merci'!I656+'Trasporto persone'!I424+'Rifiuti di processo'!I198+'Beni durevoli'!I283+'Fase d''uso'!I133+'Fine vita'!I166)/1000</f>
        <v>0</v>
      </c>
      <c r="J19" s="1350">
        <f>(Energia!J163+'Non-energetici'!J129+Input!J228+Imballaggi!J127+'Trasporti merci'!J656+'Trasporto persone'!J424+'Rifiuti di processo'!J198+'Beni durevoli'!J283+'Fase d''uso'!J133+'Fine vita'!J166)/1000</f>
        <v>0</v>
      </c>
      <c r="K19" s="1350">
        <f>(Energia!K163+'Non-energetici'!K129+Input!K228+Imballaggi!K127+'Trasporti merci'!K656+'Trasporto persone'!K424+'Rifiuti di processo'!K198+'Beni durevoli'!K283+'Fase d''uso'!K133+'Fine vita'!K166)/1000</f>
        <v>0</v>
      </c>
      <c r="L19" s="1260">
        <f>(Energia!L163+'Non-energetici'!L129+Input!L228+Imballaggi!L127+'Trasporti merci'!L656+'Trasporto persone'!L424+'Rifiuti di processo'!L198+'Beni durevoli'!L283+'Fase d''uso'!L133+'Fine vita'!L166)/1000</f>
        <v>96.800000000000011</v>
      </c>
      <c r="M19" s="1352">
        <f>(Energia!M163+'Non-energetici'!M129+Input!M228+Imballaggi!M127+'Trasporti merci'!M656+'Trasporto persone'!M424+'Rifiuti di processo'!M198+'Beni durevoli'!M283+'Fase d''uso'!M133+'Fine vita'!M166)/1000</f>
        <v>0</v>
      </c>
      <c r="N19" s="1242">
        <f>SQRT(Energia!N163^2+'Non-energetici'!N129^2+Input!N228^2+Imballaggi!N127^2+'Trasporti merci'!N656^2+'Trasporto persone'!N424^2+'Rifiuti di processo'!N198^2+'Beni durevoli'!N283^2+'Fase d''uso'!N133^2+'Fine vita'!N166^2)/1000</f>
        <v>19.360000000000003</v>
      </c>
      <c r="O19" s="1267">
        <f>(Energia!O163+'Non-energetici'!O129+Input!O228+Imballaggi!O127+'Trasporti merci'!O656+'Trasporto persone'!O424+'Rifiuti di processo'!O198+'Beni durevoli'!O283+'Fase d''uso'!O133+'Fine vita'!O166)/1000</f>
        <v>0</v>
      </c>
      <c r="P19" s="177">
        <v>1</v>
      </c>
      <c r="Q19" s="1354">
        <f t="shared" ref="Q19:AA19" si="6">IF($E$4="Yes",0,IF($E$5="Yes",SUMPRODUCT(E10:E13,$P10:$P13)+SUMPRODUCT(E15:E16,$P15:$P16),E19*$P19))</f>
        <v>0</v>
      </c>
      <c r="R19" s="1354">
        <f t="shared" si="6"/>
        <v>0</v>
      </c>
      <c r="S19" s="1354">
        <f t="shared" si="6"/>
        <v>0</v>
      </c>
      <c r="T19" s="1354">
        <f t="shared" si="6"/>
        <v>0</v>
      </c>
      <c r="U19" s="1354">
        <f t="shared" si="6"/>
        <v>0</v>
      </c>
      <c r="V19" s="1354">
        <f t="shared" si="6"/>
        <v>0</v>
      </c>
      <c r="W19" s="1354">
        <f t="shared" si="6"/>
        <v>0</v>
      </c>
      <c r="X19" s="1248">
        <f t="shared" si="6"/>
        <v>96.800000000000011</v>
      </c>
      <c r="Y19" s="1356">
        <f t="shared" si="6"/>
        <v>0</v>
      </c>
      <c r="Z19" s="1242">
        <f t="shared" si="6"/>
        <v>19.360000000000003</v>
      </c>
      <c r="AA19" s="1240">
        <f t="shared" si="6"/>
        <v>0</v>
      </c>
    </row>
    <row r="20" spans="2:27" ht="12.75" customHeight="1" x14ac:dyDescent="0.2">
      <c r="B20" s="1989"/>
      <c r="C20" s="1257" t="s">
        <v>107</v>
      </c>
      <c r="D20" s="1258" t="str">
        <f>+Energia!B164</f>
        <v xml:space="preserve">Beni di consumo </v>
      </c>
      <c r="E20" s="1350">
        <f>(Energia!E164+'Non-energetici'!E130+Input!E229+Imballaggi!E128+'Trasporti merci'!E657+'Trasporto persone'!E425+'Rifiuti di processo'!E199+'Beni durevoli'!E284+'Fase d''uso'!E134+'Fine vita'!E167)/1000</f>
        <v>0</v>
      </c>
      <c r="F20" s="1350">
        <f>(Energia!F164+'Non-energetici'!F130+Input!F229+Imballaggi!F128+'Trasporti merci'!F657+'Trasporto persone'!F425+'Rifiuti di processo'!F199+'Beni durevoli'!F284+'Fase d''uso'!F134+'Fine vita'!F167)/1000</f>
        <v>0</v>
      </c>
      <c r="G20" s="1350">
        <f>(Energia!G164+'Non-energetici'!G130+Input!G229+Imballaggi!G128+'Trasporti merci'!G657+'Trasporto persone'!G425+'Rifiuti di processo'!G199+'Beni durevoli'!G284+'Fase d''uso'!G134+'Fine vita'!G167)/1000</f>
        <v>0</v>
      </c>
      <c r="H20" s="1350">
        <f>(Energia!H164+'Non-energetici'!H130+Input!H229+Imballaggi!H128+'Trasporti merci'!H657+'Trasporto persone'!H425+'Rifiuti di processo'!H199+'Beni durevoli'!H284+'Fase d''uso'!H134+'Fine vita'!H167)/1000</f>
        <v>0</v>
      </c>
      <c r="I20" s="1350">
        <f>(Energia!I164+'Non-energetici'!I130+Input!I229+Imballaggi!I128+'Trasporti merci'!I657+'Trasporto persone'!I425+'Rifiuti di processo'!I199+'Beni durevoli'!I284+'Fase d''uso'!I134+'Fine vita'!I167)/1000</f>
        <v>0</v>
      </c>
      <c r="J20" s="1350">
        <f>(Energia!J164+'Non-energetici'!J130+Input!J229+Imballaggi!J128+'Trasporti merci'!J657+'Trasporto persone'!J425+'Rifiuti di processo'!J199+'Beni durevoli'!J284+'Fase d''uso'!J134+'Fine vita'!J167)/1000</f>
        <v>0</v>
      </c>
      <c r="K20" s="1350">
        <f>(Energia!K164+'Non-energetici'!K130+Input!K229+Imballaggi!K128+'Trasporti merci'!K657+'Trasporto persone'!K425+'Rifiuti di processo'!K199+'Beni durevoli'!K284+'Fase d''uso'!K134+'Fine vita'!K167)/1000</f>
        <v>0</v>
      </c>
      <c r="L20" s="1260">
        <f>(Energia!L164+'Non-energetici'!L130+Input!L229+Imballaggi!L128+'Trasporti merci'!L657+'Trasporto persone'!L425+'Rifiuti di processo'!L199+'Beni durevoli'!L284+'Fase d''uso'!L134+'Fine vita'!L167)/1000</f>
        <v>96.800000000000011</v>
      </c>
      <c r="M20" s="1352">
        <f>(Energia!M164+'Non-energetici'!M130+Input!M229+Imballaggi!M128+'Trasporti merci'!M657+'Trasporto persone'!M425+'Rifiuti di processo'!M199+'Beni durevoli'!M284+'Fase d''uso'!M134+'Fine vita'!M167)/1000</f>
        <v>0</v>
      </c>
      <c r="N20" s="1242">
        <f>SQRT(Energia!N164^2+'Non-energetici'!N130^2+Input!N229^2+Imballaggi!N128^2+'Trasporti merci'!N657^2+'Trasporto persone'!N425^2+'Rifiuti di processo'!N199^2+'Beni durevoli'!N284^2+'Fase d''uso'!N134^2+'Fine vita'!N167^2)/1000</f>
        <v>19.360000000000003</v>
      </c>
      <c r="O20" s="1267">
        <f>(Energia!O164+'Non-energetici'!O130+Input!O229+Imballaggi!O128+'Trasporti merci'!O657+'Trasporto persone'!O425+'Rifiuti di processo'!O199+'Beni durevoli'!O284+'Fase d''uso'!O134+'Fine vita'!O167)/1000</f>
        <v>0</v>
      </c>
      <c r="P20" s="177">
        <v>1</v>
      </c>
      <c r="Q20" s="1354">
        <f t="shared" ref="Q20:AA27" si="7">IF($E$4="Yes",0,IF($E$5="Yes",0,E20*$P20))</f>
        <v>0</v>
      </c>
      <c r="R20" s="1354">
        <f t="shared" si="7"/>
        <v>0</v>
      </c>
      <c r="S20" s="1354">
        <f t="shared" si="7"/>
        <v>0</v>
      </c>
      <c r="T20" s="1354">
        <f t="shared" si="7"/>
        <v>0</v>
      </c>
      <c r="U20" s="1354">
        <f t="shared" si="7"/>
        <v>0</v>
      </c>
      <c r="V20" s="1354">
        <f t="shared" si="7"/>
        <v>0</v>
      </c>
      <c r="W20" s="1354">
        <f t="shared" si="7"/>
        <v>0</v>
      </c>
      <c r="X20" s="1248">
        <f t="shared" si="7"/>
        <v>96.800000000000011</v>
      </c>
      <c r="Y20" s="1356">
        <f t="shared" si="7"/>
        <v>0</v>
      </c>
      <c r="Z20" s="1242">
        <f t="shared" si="7"/>
        <v>19.360000000000003</v>
      </c>
      <c r="AA20" s="1240">
        <f t="shared" si="7"/>
        <v>0</v>
      </c>
    </row>
    <row r="21" spans="2:27" ht="28" x14ac:dyDescent="0.2">
      <c r="B21" s="1989"/>
      <c r="C21" s="1257" t="s">
        <v>108</v>
      </c>
      <c r="D21" s="1258" t="str">
        <f>+Energia!B165</f>
        <v xml:space="preserve">Emissioni dovute a combustibili e energia (non incluse nello scope 1 e 2) </v>
      </c>
      <c r="E21" s="1350">
        <f>(Energia!E165+'Non-energetici'!E131+Input!E230+Imballaggi!E129+'Trasporti merci'!E658+'Trasporto persone'!E426+'Rifiuti di processo'!E200+'Beni durevoli'!E285+'Fase d''uso'!E135+'Fine vita'!E168)/1000</f>
        <v>0</v>
      </c>
      <c r="F21" s="1350">
        <f>(Energia!F165+'Non-energetici'!F131+Input!F230+Imballaggi!F129+'Trasporti merci'!F658+'Trasporto persone'!F426+'Rifiuti di processo'!F200+'Beni durevoli'!F285+'Fase d''uso'!F135+'Fine vita'!F168)/1000</f>
        <v>0</v>
      </c>
      <c r="G21" s="1350">
        <f>(Energia!G165+'Non-energetici'!G131+Input!G230+Imballaggi!G129+'Trasporti merci'!G658+'Trasporto persone'!G426+'Rifiuti di processo'!G200+'Beni durevoli'!G285+'Fase d''uso'!G135+'Fine vita'!G168)/1000</f>
        <v>0</v>
      </c>
      <c r="H21" s="1350">
        <f>(Energia!H165+'Non-energetici'!H131+Input!H230+Imballaggi!H129+'Trasporti merci'!H658+'Trasporto persone'!H426+'Rifiuti di processo'!H200+'Beni durevoli'!H285+'Fase d''uso'!H135+'Fine vita'!H168)/1000</f>
        <v>0</v>
      </c>
      <c r="I21" s="1350">
        <f>(Energia!I165+'Non-energetici'!I131+Input!I230+Imballaggi!I129+'Trasporti merci'!I658+'Trasporto persone'!I426+'Rifiuti di processo'!I200+'Beni durevoli'!I285+'Fase d''uso'!I135+'Fine vita'!I168)/1000</f>
        <v>0</v>
      </c>
      <c r="J21" s="1350">
        <f>(Energia!J165+'Non-energetici'!J131+Input!J230+Imballaggi!J129+'Trasporti merci'!J658+'Trasporto persone'!J426+'Rifiuti di processo'!J200+'Beni durevoli'!J285+'Fase d''uso'!J135+'Fine vita'!J168)/1000</f>
        <v>0</v>
      </c>
      <c r="K21" s="1350">
        <f>(Energia!K165+'Non-energetici'!K131+Input!K230+Imballaggi!K129+'Trasporti merci'!K658+'Trasporto persone'!K426+'Rifiuti di processo'!K200+'Beni durevoli'!K285+'Fase d''uso'!K135+'Fine vita'!K168)/1000</f>
        <v>0</v>
      </c>
      <c r="L21" s="1260">
        <f>(Energia!L165+'Non-energetici'!L131+Input!L230+Imballaggi!L129+'Trasporti merci'!L658+'Trasporto persone'!L426+'Rifiuti di processo'!L200+'Beni durevoli'!L285+'Fase d''uso'!L135+'Fine vita'!L168)/1000</f>
        <v>0.11451624760240926</v>
      </c>
      <c r="M21" s="1352">
        <f>(Energia!M165+'Non-energetici'!M131+Input!M230+Imballaggi!M129+'Trasporti merci'!M658+'Trasporto persone'!M426+'Rifiuti di processo'!M200+'Beni durevoli'!M285+'Fase d''uso'!M135+'Fine vita'!M168)/1000</f>
        <v>0</v>
      </c>
      <c r="N21" s="1242">
        <f>SQRT(Energia!N165^2+'Non-energetici'!N131^2+Input!N230^2+Imballaggi!N129^2+'Trasporti merci'!N658^2+'Trasporto persone'!N426^2+'Rifiuti di processo'!N200^2+'Beni durevoli'!N285^2+'Fase d''uso'!N135^2+'Fine vita'!N168^2)/1000</f>
        <v>0</v>
      </c>
      <c r="O21" s="1267">
        <f>(Energia!O165+'Non-energetici'!O131+Input!O230+Imballaggi!O129+'Trasporti merci'!O658+'Trasporto persone'!O426+'Rifiuti di processo'!O200+'Beni durevoli'!O285+'Fase d''uso'!O135+'Fine vita'!O168)/1000</f>
        <v>0</v>
      </c>
      <c r="P21" s="177">
        <v>1</v>
      </c>
      <c r="Q21" s="1354">
        <f t="shared" si="7"/>
        <v>0</v>
      </c>
      <c r="R21" s="1354">
        <f t="shared" si="7"/>
        <v>0</v>
      </c>
      <c r="S21" s="1354">
        <f t="shared" si="7"/>
        <v>0</v>
      </c>
      <c r="T21" s="1354">
        <f t="shared" si="7"/>
        <v>0</v>
      </c>
      <c r="U21" s="1354">
        <f t="shared" si="7"/>
        <v>0</v>
      </c>
      <c r="V21" s="1354">
        <f t="shared" si="7"/>
        <v>0</v>
      </c>
      <c r="W21" s="1354">
        <f t="shared" si="7"/>
        <v>0</v>
      </c>
      <c r="X21" s="1248">
        <f t="shared" si="7"/>
        <v>0.11451624760240926</v>
      </c>
      <c r="Y21" s="1356">
        <f t="shared" si="7"/>
        <v>0</v>
      </c>
      <c r="Z21" s="1242">
        <f t="shared" si="7"/>
        <v>0</v>
      </c>
      <c r="AA21" s="1240">
        <f t="shared" si="7"/>
        <v>0</v>
      </c>
    </row>
    <row r="22" spans="2:27" ht="12.75" customHeight="1" x14ac:dyDescent="0.2">
      <c r="B22" s="1989"/>
      <c r="C22" s="1257" t="s">
        <v>109</v>
      </c>
      <c r="D22" s="1258" t="str">
        <f>+Energia!B166</f>
        <v>Trasporto e distribuzione premanifattura</v>
      </c>
      <c r="E22" s="1350">
        <f>(Energia!E166+'Non-energetici'!E132+Input!E231+Imballaggi!E130+'Trasporti merci'!E659+'Trasporto persone'!E427+'Rifiuti di processo'!E201+'Beni durevoli'!E286+'Fase d''uso'!E136+'Fine vita'!E169)/1000</f>
        <v>0</v>
      </c>
      <c r="F22" s="1350">
        <f>(Energia!F166+'Non-energetici'!F132+Input!F231+Imballaggi!F130+'Trasporti merci'!F659+'Trasporto persone'!F427+'Rifiuti di processo'!F201+'Beni durevoli'!F286+'Fase d''uso'!F136+'Fine vita'!F169)/1000</f>
        <v>0</v>
      </c>
      <c r="G22" s="1350">
        <f>(Energia!G166+'Non-energetici'!G132+Input!G231+Imballaggi!G130+'Trasporti merci'!G659+'Trasporto persone'!G427+'Rifiuti di processo'!G201+'Beni durevoli'!G286+'Fase d''uso'!G136+'Fine vita'!G169)/1000</f>
        <v>0</v>
      </c>
      <c r="H22" s="1350">
        <f>(Energia!H166+'Non-energetici'!H132+Input!H231+Imballaggi!H130+'Trasporti merci'!H659+'Trasporto persone'!H427+'Rifiuti di processo'!H201+'Beni durevoli'!H286+'Fase d''uso'!H136+'Fine vita'!H169)/1000</f>
        <v>0</v>
      </c>
      <c r="I22" s="1350">
        <f>(Energia!I166+'Non-energetici'!I132+Input!I231+Imballaggi!I130+'Trasporti merci'!I659+'Trasporto persone'!I427+'Rifiuti di processo'!I201+'Beni durevoli'!I286+'Fase d''uso'!I136+'Fine vita'!I169)/1000</f>
        <v>0</v>
      </c>
      <c r="J22" s="1350">
        <f>(Energia!J166+'Non-energetici'!J132+Input!J231+Imballaggi!J130+'Trasporti merci'!J659+'Trasporto persone'!J427+'Rifiuti di processo'!J201+'Beni durevoli'!J286+'Fase d''uso'!J136+'Fine vita'!J169)/1000</f>
        <v>0</v>
      </c>
      <c r="K22" s="1350">
        <f>(Energia!K166+'Non-energetici'!K132+Input!K231+Imballaggi!K130+'Trasporti merci'!K659+'Trasporto persone'!K427+'Rifiuti di processo'!K201+'Beni durevoli'!K286+'Fase d''uso'!K136+'Fine vita'!K169)/1000</f>
        <v>0</v>
      </c>
      <c r="L22" s="1260">
        <f>(Energia!L166+'Non-energetici'!L132+Input!L231+Imballaggi!L130+'Trasporti merci'!L659+'Trasporto persone'!L427+'Rifiuti di processo'!L201+'Beni durevoli'!L286+'Fase d''uso'!L136+'Fine vita'!L169)/1000</f>
        <v>0</v>
      </c>
      <c r="M22" s="1352">
        <f>(Energia!M166+'Non-energetici'!M132+Input!M231+Imballaggi!M130+'Trasporti merci'!M659+'Trasporto persone'!M427+'Rifiuti di processo'!M201+'Beni durevoli'!M286+'Fase d''uso'!M136+'Fine vita'!M169)/1000</f>
        <v>0</v>
      </c>
      <c r="N22" s="1242">
        <f>SQRT(Energia!N166^2+'Non-energetici'!N132^2+Input!N231^2+Imballaggi!N130^2+'Trasporti merci'!N659^2+'Trasporto persone'!N427^2+'Rifiuti di processo'!N201^2+'Beni durevoli'!N286^2+'Fase d''uso'!N136^2+'Fine vita'!N169^2)/1000</f>
        <v>0</v>
      </c>
      <c r="O22" s="1267">
        <f>(Energia!O166+'Non-energetici'!O132+Input!O231+Imballaggi!O130+'Trasporti merci'!O659+'Trasporto persone'!O427+'Rifiuti di processo'!O201+'Beni durevoli'!O286+'Fase d''uso'!O136+'Fine vita'!O169)/1000</f>
        <v>0</v>
      </c>
      <c r="P22" s="177">
        <v>1</v>
      </c>
      <c r="Q22" s="1354">
        <f t="shared" si="7"/>
        <v>0</v>
      </c>
      <c r="R22" s="1354">
        <f t="shared" si="7"/>
        <v>0</v>
      </c>
      <c r="S22" s="1354">
        <f t="shared" si="7"/>
        <v>0</v>
      </c>
      <c r="T22" s="1354">
        <f t="shared" si="7"/>
        <v>0</v>
      </c>
      <c r="U22" s="1354">
        <f t="shared" si="7"/>
        <v>0</v>
      </c>
      <c r="V22" s="1354">
        <f t="shared" si="7"/>
        <v>0</v>
      </c>
      <c r="W22" s="1354">
        <f t="shared" si="7"/>
        <v>0</v>
      </c>
      <c r="X22" s="1248">
        <f t="shared" si="7"/>
        <v>0</v>
      </c>
      <c r="Y22" s="1356">
        <f t="shared" si="7"/>
        <v>0</v>
      </c>
      <c r="Z22" s="1242">
        <f t="shared" si="7"/>
        <v>0</v>
      </c>
      <c r="AA22" s="1240">
        <f t="shared" si="7"/>
        <v>0</v>
      </c>
    </row>
    <row r="23" spans="2:27" ht="12.75" customHeight="1" x14ac:dyDescent="0.2">
      <c r="B23" s="1989"/>
      <c r="C23" s="1257" t="s">
        <v>110</v>
      </c>
      <c r="D23" s="1258" t="str">
        <f>+Energia!B167</f>
        <v>Rifiuti prodotti</v>
      </c>
      <c r="E23" s="1350">
        <f>(Energia!E167+'Non-energetici'!E133+Input!E232+Imballaggi!E131+'Trasporti merci'!E660+'Trasporto persone'!E428+'Rifiuti di processo'!E202+'Beni durevoli'!E287+'Fase d''uso'!E137+'Fine vita'!E170)/1000</f>
        <v>0</v>
      </c>
      <c r="F23" s="1350">
        <f>(Energia!F167+'Non-energetici'!F133+Input!F232+Imballaggi!F131+'Trasporti merci'!F660+'Trasporto persone'!F428+'Rifiuti di processo'!F202+'Beni durevoli'!F287+'Fase d''uso'!F137+'Fine vita'!F170)/1000</f>
        <v>0</v>
      </c>
      <c r="G23" s="1350">
        <f>(Energia!G167+'Non-energetici'!G133+Input!G232+Imballaggi!G131+'Trasporti merci'!G660+'Trasporto persone'!G428+'Rifiuti di processo'!G202+'Beni durevoli'!G287+'Fase d''uso'!G137+'Fine vita'!G170)/1000</f>
        <v>0</v>
      </c>
      <c r="H23" s="1350">
        <f>(Energia!H167+'Non-energetici'!H133+Input!H232+Imballaggi!H131+'Trasporti merci'!H660+'Trasporto persone'!H428+'Rifiuti di processo'!H202+'Beni durevoli'!H287+'Fase d''uso'!H137+'Fine vita'!H170)/1000</f>
        <v>0</v>
      </c>
      <c r="I23" s="1350">
        <f>(Energia!I167+'Non-energetici'!I133+Input!I232+Imballaggi!I131+'Trasporti merci'!I660+'Trasporto persone'!I428+'Rifiuti di processo'!I202+'Beni durevoli'!I287+'Fase d''uso'!I137+'Fine vita'!I170)/1000</f>
        <v>0</v>
      </c>
      <c r="J23" s="1350">
        <f>(Energia!J167+'Non-energetici'!J133+Input!J232+Imballaggi!J131+'Trasporti merci'!J660+'Trasporto persone'!J428+'Rifiuti di processo'!J202+'Beni durevoli'!J287+'Fase d''uso'!J137+'Fine vita'!J170)/1000</f>
        <v>0</v>
      </c>
      <c r="K23" s="1350">
        <f>(Energia!K167+'Non-energetici'!K133+Input!K232+Imballaggi!K131+'Trasporti merci'!K660+'Trasporto persone'!K428+'Rifiuti di processo'!K202+'Beni durevoli'!K287+'Fase d''uso'!K137+'Fine vita'!K170)/1000</f>
        <v>0</v>
      </c>
      <c r="L23" s="1260">
        <f>(Energia!L167+'Non-energetici'!L133+Input!L232+Imballaggi!L131+'Trasporti merci'!L660+'Trasporto persone'!L428+'Rifiuti di processo'!L202+'Beni durevoli'!L287+'Fase d''uso'!L137+'Fine vita'!L170)/1000</f>
        <v>0</v>
      </c>
      <c r="M23" s="1352">
        <f>(Energia!M167+'Non-energetici'!M133+Input!M232+Imballaggi!M131+'Trasporti merci'!M660+'Trasporto persone'!M428+'Rifiuti di processo'!M202+'Beni durevoli'!M287+'Fase d''uso'!M137+'Fine vita'!M170)/1000</f>
        <v>0</v>
      </c>
      <c r="N23" s="1242">
        <f>SQRT(Energia!N167^2+'Non-energetici'!N133^2+Input!N232^2+Imballaggi!N131^2+'Trasporti merci'!N660^2+'Trasporto persone'!N428^2+'Rifiuti di processo'!N202^2+'Beni durevoli'!N287^2+'Fase d''uso'!N137^2+'Fine vita'!N170^2)/1000</f>
        <v>0</v>
      </c>
      <c r="O23" s="1267">
        <f>(Energia!O167+'Non-energetici'!O133+Input!O232+Imballaggi!O131+'Trasporti merci'!O660+'Trasporto persone'!O428+'Rifiuti di processo'!O202+'Beni durevoli'!O287+'Fase d''uso'!O137+'Fine vita'!O170)/1000</f>
        <v>0</v>
      </c>
      <c r="P23" s="177">
        <v>1</v>
      </c>
      <c r="Q23" s="1354">
        <f t="shared" si="7"/>
        <v>0</v>
      </c>
      <c r="R23" s="1354">
        <f t="shared" si="7"/>
        <v>0</v>
      </c>
      <c r="S23" s="1354">
        <f t="shared" si="7"/>
        <v>0</v>
      </c>
      <c r="T23" s="1354">
        <f t="shared" si="7"/>
        <v>0</v>
      </c>
      <c r="U23" s="1354">
        <f t="shared" si="7"/>
        <v>0</v>
      </c>
      <c r="V23" s="1354">
        <f t="shared" si="7"/>
        <v>0</v>
      </c>
      <c r="W23" s="1354">
        <f t="shared" si="7"/>
        <v>0</v>
      </c>
      <c r="X23" s="1248">
        <f t="shared" si="7"/>
        <v>0</v>
      </c>
      <c r="Y23" s="1356">
        <f t="shared" si="7"/>
        <v>0</v>
      </c>
      <c r="Z23" s="1242">
        <f t="shared" si="7"/>
        <v>0</v>
      </c>
      <c r="AA23" s="1240">
        <f t="shared" si="7"/>
        <v>0</v>
      </c>
    </row>
    <row r="24" spans="2:27" ht="12.75" customHeight="1" x14ac:dyDescent="0.2">
      <c r="B24" s="1989"/>
      <c r="C24" s="1257" t="s">
        <v>111</v>
      </c>
      <c r="D24" s="1258" t="str">
        <f>+Energia!B168</f>
        <v>Viaggi di lavoro</v>
      </c>
      <c r="E24" s="1350">
        <f>(Energia!E168+'Non-energetici'!E134+Input!E233+Imballaggi!E132+'Trasporti merci'!E661+'Trasporto persone'!E429+'Rifiuti di processo'!E203+'Beni durevoli'!E288+'Fase d''uso'!E138+'Fine vita'!E171)/1000</f>
        <v>0</v>
      </c>
      <c r="F24" s="1350">
        <f>(Energia!F168+'Non-energetici'!F134+Input!F233+Imballaggi!F132+'Trasporti merci'!F661+'Trasporto persone'!F429+'Rifiuti di processo'!F203+'Beni durevoli'!F288+'Fase d''uso'!F138+'Fine vita'!F171)/1000</f>
        <v>0</v>
      </c>
      <c r="G24" s="1350">
        <f>(Energia!G168+'Non-energetici'!G134+Input!G233+Imballaggi!G132+'Trasporti merci'!G661+'Trasporto persone'!G429+'Rifiuti di processo'!G203+'Beni durevoli'!G288+'Fase d''uso'!G138+'Fine vita'!G171)/1000</f>
        <v>0</v>
      </c>
      <c r="H24" s="1350">
        <f>(Energia!H168+'Non-energetici'!H134+Input!H233+Imballaggi!H132+'Trasporti merci'!H661+'Trasporto persone'!H429+'Rifiuti di processo'!H203+'Beni durevoli'!H288+'Fase d''uso'!H138+'Fine vita'!H171)/1000</f>
        <v>0</v>
      </c>
      <c r="I24" s="1350">
        <f>(Energia!I168+'Non-energetici'!I134+Input!I233+Imballaggi!I132+'Trasporti merci'!I661+'Trasporto persone'!I429+'Rifiuti di processo'!I203+'Beni durevoli'!I288+'Fase d''uso'!I138+'Fine vita'!I171)/1000</f>
        <v>0</v>
      </c>
      <c r="J24" s="1350">
        <f>(Energia!J168+'Non-energetici'!J134+Input!J233+Imballaggi!J132+'Trasporti merci'!J661+'Trasporto persone'!J429+'Rifiuti di processo'!J203+'Beni durevoli'!J288+'Fase d''uso'!J138+'Fine vita'!J171)/1000</f>
        <v>0</v>
      </c>
      <c r="K24" s="1350">
        <f>(Energia!K168+'Non-energetici'!K134+Input!K233+Imballaggi!K132+'Trasporti merci'!K661+'Trasporto persone'!K429+'Rifiuti di processo'!K203+'Beni durevoli'!K288+'Fase d''uso'!K138+'Fine vita'!K171)/1000</f>
        <v>0</v>
      </c>
      <c r="L24" s="1260">
        <f>(Energia!L168+'Non-energetici'!L134+Input!L233+Imballaggi!L132+'Trasporti merci'!L661+'Trasporto persone'!L429+'Rifiuti di processo'!L203+'Beni durevoli'!L288+'Fase d''uso'!L138+'Fine vita'!L171)/1000</f>
        <v>0</v>
      </c>
      <c r="M24" s="1352">
        <f>(Energia!M168+'Non-energetici'!M134+Input!M233+Imballaggi!M132+'Trasporti merci'!M661+'Trasporto persone'!M429+'Rifiuti di processo'!M203+'Beni durevoli'!M288+'Fase d''uso'!M138+'Fine vita'!M171)/1000</f>
        <v>0</v>
      </c>
      <c r="N24" s="1242">
        <f>SQRT(Energia!N168^2+'Non-energetici'!N134^2+Input!N233^2+Imballaggi!N132^2+'Trasporti merci'!N661^2+'Trasporto persone'!N429^2+'Rifiuti di processo'!N203^2+'Beni durevoli'!N288^2+'Fase d''uso'!N138^2+'Fine vita'!N171^2)/1000</f>
        <v>0</v>
      </c>
      <c r="O24" s="1267">
        <f>(Energia!O168+'Non-energetici'!O134+Input!O233+Imballaggi!O132+'Trasporti merci'!O661+'Trasporto persone'!O429+'Rifiuti di processo'!O203+'Beni durevoli'!O288+'Fase d''uso'!O138+'Fine vita'!O171)/1000</f>
        <v>0</v>
      </c>
      <c r="P24" s="177">
        <v>1</v>
      </c>
      <c r="Q24" s="1354">
        <f t="shared" si="7"/>
        <v>0</v>
      </c>
      <c r="R24" s="1354">
        <f t="shared" si="7"/>
        <v>0</v>
      </c>
      <c r="S24" s="1354">
        <f t="shared" si="7"/>
        <v>0</v>
      </c>
      <c r="T24" s="1354">
        <f t="shared" si="7"/>
        <v>0</v>
      </c>
      <c r="U24" s="1354">
        <f t="shared" si="7"/>
        <v>0</v>
      </c>
      <c r="V24" s="1354">
        <f t="shared" si="7"/>
        <v>0</v>
      </c>
      <c r="W24" s="1354">
        <f t="shared" si="7"/>
        <v>0</v>
      </c>
      <c r="X24" s="1248">
        <f t="shared" si="7"/>
        <v>0</v>
      </c>
      <c r="Y24" s="1356">
        <f t="shared" si="7"/>
        <v>0</v>
      </c>
      <c r="Z24" s="1242">
        <f t="shared" si="7"/>
        <v>0</v>
      </c>
      <c r="AA24" s="1240">
        <f t="shared" si="7"/>
        <v>0</v>
      </c>
    </row>
    <row r="25" spans="2:27" ht="12.75" customHeight="1" x14ac:dyDescent="0.2">
      <c r="B25" s="1989"/>
      <c r="C25" s="1257" t="s">
        <v>112</v>
      </c>
      <c r="D25" s="1258" t="str">
        <f>+Energia!B169</f>
        <v>Impiegati pendolari</v>
      </c>
      <c r="E25" s="1350">
        <f>(Energia!E169+'Non-energetici'!E135+Input!E234+Imballaggi!E133+'Trasporti merci'!E662+'Trasporto persone'!E430+'Rifiuti di processo'!E204+'Beni durevoli'!E289+'Fase d''uso'!E139+'Fine vita'!E172)/1000</f>
        <v>0</v>
      </c>
      <c r="F25" s="1350">
        <f>(Energia!F169+'Non-energetici'!F135+Input!F234+Imballaggi!F133+'Trasporti merci'!F662+'Trasporto persone'!F430+'Rifiuti di processo'!F204+'Beni durevoli'!F289+'Fase d''uso'!F139+'Fine vita'!F172)/1000</f>
        <v>0</v>
      </c>
      <c r="G25" s="1350">
        <f>(Energia!G169+'Non-energetici'!G135+Input!G234+Imballaggi!G133+'Trasporti merci'!G662+'Trasporto persone'!G430+'Rifiuti di processo'!G204+'Beni durevoli'!G289+'Fase d''uso'!G139+'Fine vita'!G172)/1000</f>
        <v>0</v>
      </c>
      <c r="H25" s="1350">
        <f>(Energia!H169+'Non-energetici'!H135+Input!H234+Imballaggi!H133+'Trasporti merci'!H662+'Trasporto persone'!H430+'Rifiuti di processo'!H204+'Beni durevoli'!H289+'Fase d''uso'!H139+'Fine vita'!H172)/1000</f>
        <v>0</v>
      </c>
      <c r="I25" s="1350">
        <f>(Energia!I169+'Non-energetici'!I135+Input!I234+Imballaggi!I133+'Trasporti merci'!I662+'Trasporto persone'!I430+'Rifiuti di processo'!I204+'Beni durevoli'!I289+'Fase d''uso'!I139+'Fine vita'!I172)/1000</f>
        <v>0</v>
      </c>
      <c r="J25" s="1350">
        <f>(Energia!J169+'Non-energetici'!J135+Input!J234+Imballaggi!J133+'Trasporti merci'!J662+'Trasporto persone'!J430+'Rifiuti di processo'!J204+'Beni durevoli'!J289+'Fase d''uso'!J139+'Fine vita'!J172)/1000</f>
        <v>0</v>
      </c>
      <c r="K25" s="1350">
        <f>(Energia!K169+'Non-energetici'!K135+Input!K234+Imballaggi!K133+'Trasporti merci'!K662+'Trasporto persone'!K430+'Rifiuti di processo'!K204+'Beni durevoli'!K289+'Fase d''uso'!K139+'Fine vita'!K172)/1000</f>
        <v>0</v>
      </c>
      <c r="L25" s="1260">
        <f>(Energia!L169+'Non-energetici'!L135+Input!L234+Imballaggi!L133+'Trasporti merci'!L662+'Trasporto persone'!L430+'Rifiuti di processo'!L204+'Beni durevoli'!L289+'Fase d''uso'!L139+'Fine vita'!L172)/1000</f>
        <v>0.22002000000000002</v>
      </c>
      <c r="M25" s="1352">
        <f>(Energia!M169+'Non-energetici'!M135+Input!M234+Imballaggi!M133+'Trasporti merci'!M662+'Trasporto persone'!M430+'Rifiuti di processo'!M204+'Beni durevoli'!M289+'Fase d''uso'!M139+'Fine vita'!M172)/1000</f>
        <v>0</v>
      </c>
      <c r="N25" s="1242">
        <f>SQRT(Energia!N169^2+'Non-energetici'!N135^2+Input!N234^2+Imballaggi!N133^2+'Trasporti merci'!N662^2+'Trasporto persone'!N430^2+'Rifiuti di processo'!N204^2+'Beni durevoli'!N289^2+'Fase d''uso'!N139^2+'Fine vita'!N172^2)/1000</f>
        <v>0</v>
      </c>
      <c r="O25" s="1267">
        <f>(Energia!O169+'Non-energetici'!O135+Input!O234+Imballaggi!O133+'Trasporti merci'!O662+'Trasporto persone'!O430+'Rifiuti di processo'!O204+'Beni durevoli'!O289+'Fase d''uso'!O139+'Fine vita'!O172)/1000</f>
        <v>0</v>
      </c>
      <c r="P25" s="177">
        <v>1</v>
      </c>
      <c r="Q25" s="1354">
        <f t="shared" si="7"/>
        <v>0</v>
      </c>
      <c r="R25" s="1354">
        <f t="shared" si="7"/>
        <v>0</v>
      </c>
      <c r="S25" s="1354">
        <f t="shared" si="7"/>
        <v>0</v>
      </c>
      <c r="T25" s="1354">
        <f t="shared" si="7"/>
        <v>0</v>
      </c>
      <c r="U25" s="1354">
        <f t="shared" si="7"/>
        <v>0</v>
      </c>
      <c r="V25" s="1354">
        <f t="shared" si="7"/>
        <v>0</v>
      </c>
      <c r="W25" s="1354">
        <f t="shared" si="7"/>
        <v>0</v>
      </c>
      <c r="X25" s="1248">
        <f t="shared" si="7"/>
        <v>0.22002000000000002</v>
      </c>
      <c r="Y25" s="1356">
        <f t="shared" si="7"/>
        <v>0</v>
      </c>
      <c r="Z25" s="1242">
        <f t="shared" si="7"/>
        <v>0</v>
      </c>
      <c r="AA25" s="1240">
        <f t="shared" si="7"/>
        <v>0</v>
      </c>
    </row>
    <row r="26" spans="2:27" ht="12.75" customHeight="1" x14ac:dyDescent="0.2">
      <c r="B26" s="1989"/>
      <c r="C26" s="1257" t="s">
        <v>113</v>
      </c>
      <c r="D26" s="1258" t="str">
        <f>+Energia!B170</f>
        <v>Upstream leased assets</v>
      </c>
      <c r="E26" s="1350">
        <f>(Energia!E170+'Non-energetici'!E136+Input!E235+Imballaggi!E134+'Trasporti merci'!E663+'Trasporto persone'!E431+'Rifiuti di processo'!E205+'Beni durevoli'!E290+'Fase d''uso'!E140+'Fine vita'!E173)/1000</f>
        <v>0</v>
      </c>
      <c r="F26" s="1350">
        <f>(Energia!F170+'Non-energetici'!F136+Input!F235+Imballaggi!F134+'Trasporti merci'!F663+'Trasporto persone'!F431+'Rifiuti di processo'!F205+'Beni durevoli'!F290+'Fase d''uso'!F140+'Fine vita'!F173)/1000</f>
        <v>0</v>
      </c>
      <c r="G26" s="1350">
        <f>(Energia!G170+'Non-energetici'!G136+Input!G235+Imballaggi!G134+'Trasporti merci'!G663+'Trasporto persone'!G431+'Rifiuti di processo'!G205+'Beni durevoli'!G290+'Fase d''uso'!G140+'Fine vita'!G173)/1000</f>
        <v>0</v>
      </c>
      <c r="H26" s="1350">
        <f>(Energia!H170+'Non-energetici'!H136+Input!H235+Imballaggi!H134+'Trasporti merci'!H663+'Trasporto persone'!H431+'Rifiuti di processo'!H205+'Beni durevoli'!H290+'Fase d''uso'!H140+'Fine vita'!H173)/1000</f>
        <v>0</v>
      </c>
      <c r="I26" s="1350">
        <f>(Energia!I170+'Non-energetici'!I136+Input!I235+Imballaggi!I134+'Trasporti merci'!I663+'Trasporto persone'!I431+'Rifiuti di processo'!I205+'Beni durevoli'!I290+'Fase d''uso'!I140+'Fine vita'!I173)/1000</f>
        <v>0</v>
      </c>
      <c r="J26" s="1350">
        <f>(Energia!J170+'Non-energetici'!J136+Input!J235+Imballaggi!J134+'Trasporti merci'!J663+'Trasporto persone'!J431+'Rifiuti di processo'!J205+'Beni durevoli'!J290+'Fase d''uso'!J140+'Fine vita'!J173)/1000</f>
        <v>0</v>
      </c>
      <c r="K26" s="1350">
        <f>(Energia!K170+'Non-energetici'!K136+Input!K235+Imballaggi!K134+'Trasporti merci'!K663+'Trasporto persone'!K431+'Rifiuti di processo'!K205+'Beni durevoli'!K290+'Fase d''uso'!K140+'Fine vita'!K173)/1000</f>
        <v>0</v>
      </c>
      <c r="L26" s="1260">
        <f>(Energia!L170+'Non-energetici'!L136+Input!L235+Imballaggi!L134+'Trasporti merci'!L663+'Trasporto persone'!L431+'Rifiuti di processo'!L205+'Beni durevoli'!L290+'Fase d''uso'!L140+'Fine vita'!L173)/1000</f>
        <v>0.31555459790784857</v>
      </c>
      <c r="M26" s="1352">
        <f>(Energia!M170+'Non-energetici'!M136+Input!M235+Imballaggi!M134+'Trasporti merci'!M663+'Trasporto persone'!M431+'Rifiuti di processo'!M205+'Beni durevoli'!M290+'Fase d''uso'!M140+'Fine vita'!M173)/1000</f>
        <v>0</v>
      </c>
      <c r="N26" s="1242">
        <f>SQRT(Energia!N170^2+'Non-energetici'!N136^2+Input!N235^2+Imballaggi!N134^2+'Trasporti merci'!N663^2+'Trasporto persone'!N431^2+'Rifiuti di processo'!N205^2+'Beni durevoli'!N290^2+'Fase d''uso'!N140^2+'Fine vita'!N173^2)/1000</f>
        <v>0</v>
      </c>
      <c r="O26" s="1267">
        <f>(Energia!O170+'Non-energetici'!O136+Input!O235+Imballaggi!O134+'Trasporti merci'!O663+'Trasporto persone'!O431+'Rifiuti di processo'!O205+'Beni durevoli'!O290+'Fase d''uso'!O140+'Fine vita'!O173)/1000</f>
        <v>0</v>
      </c>
      <c r="P26" s="177">
        <v>1</v>
      </c>
      <c r="Q26" s="1354">
        <f t="shared" si="7"/>
        <v>0</v>
      </c>
      <c r="R26" s="1354">
        <f t="shared" si="7"/>
        <v>0</v>
      </c>
      <c r="S26" s="1354">
        <f t="shared" si="7"/>
        <v>0</v>
      </c>
      <c r="T26" s="1354">
        <f t="shared" si="7"/>
        <v>0</v>
      </c>
      <c r="U26" s="1354">
        <f t="shared" si="7"/>
        <v>0</v>
      </c>
      <c r="V26" s="1354">
        <f t="shared" si="7"/>
        <v>0</v>
      </c>
      <c r="W26" s="1354">
        <f t="shared" si="7"/>
        <v>0</v>
      </c>
      <c r="X26" s="1248">
        <f t="shared" si="7"/>
        <v>0.31555459790784857</v>
      </c>
      <c r="Y26" s="1356">
        <f t="shared" si="7"/>
        <v>0</v>
      </c>
      <c r="Z26" s="1242">
        <f t="shared" si="7"/>
        <v>0</v>
      </c>
      <c r="AA26" s="1240">
        <f t="shared" si="7"/>
        <v>0</v>
      </c>
    </row>
    <row r="27" spans="2:27" ht="12.75" customHeight="1" x14ac:dyDescent="0.2">
      <c r="B27" s="1989"/>
      <c r="C27" s="1268"/>
      <c r="D27" s="1258" t="str">
        <f>+Energia!B171</f>
        <v>Altre emissioni indirette premanifattura</v>
      </c>
      <c r="E27" s="1350">
        <f>(Energia!E171+'Non-energetici'!E137+Input!E236+Imballaggi!E135+'Trasporti merci'!E664+'Trasporto persone'!E432+'Rifiuti di processo'!E206+'Beni durevoli'!E291+'Fase d''uso'!E141+'Fine vita'!E174)/1000</f>
        <v>0</v>
      </c>
      <c r="F27" s="1350">
        <f>(Energia!F171+'Non-energetici'!F137+Input!F236+Imballaggi!F135+'Trasporti merci'!F664+'Trasporto persone'!F432+'Rifiuti di processo'!F206+'Beni durevoli'!F291+'Fase d''uso'!F141+'Fine vita'!F174)/1000</f>
        <v>0</v>
      </c>
      <c r="G27" s="1350">
        <f>(Energia!G171+'Non-energetici'!G137+Input!G236+Imballaggi!G135+'Trasporti merci'!G664+'Trasporto persone'!G432+'Rifiuti di processo'!G206+'Beni durevoli'!G291+'Fase d''uso'!G141+'Fine vita'!G174)/1000</f>
        <v>0</v>
      </c>
      <c r="H27" s="1350">
        <f>(Energia!H171+'Non-energetici'!H137+Input!H236+Imballaggi!H135+'Trasporti merci'!H664+'Trasporto persone'!H432+'Rifiuti di processo'!H206+'Beni durevoli'!H291+'Fase d''uso'!H141+'Fine vita'!H174)/1000</f>
        <v>0</v>
      </c>
      <c r="I27" s="1350">
        <f>(Energia!I171+'Non-energetici'!I137+Input!I236+Imballaggi!I135+'Trasporti merci'!I664+'Trasporto persone'!I432+'Rifiuti di processo'!I206+'Beni durevoli'!I291+'Fase d''uso'!I141+'Fine vita'!I174)/1000</f>
        <v>0</v>
      </c>
      <c r="J27" s="1350">
        <f>(Energia!J171+'Non-energetici'!J137+Input!J236+Imballaggi!J135+'Trasporti merci'!J664+'Trasporto persone'!J432+'Rifiuti di processo'!J206+'Beni durevoli'!J291+'Fase d''uso'!J141+'Fine vita'!J174)/1000</f>
        <v>0</v>
      </c>
      <c r="K27" s="1350">
        <f>(Energia!K171+'Non-energetici'!K137+Input!K236+Imballaggi!K135+'Trasporti merci'!K664+'Trasporto persone'!K432+'Rifiuti di processo'!K206+'Beni durevoli'!K291+'Fase d''uso'!K141+'Fine vita'!K174)/1000</f>
        <v>0</v>
      </c>
      <c r="L27" s="1260">
        <f>(Energia!L171+'Non-energetici'!L137+Input!L236+Imballaggi!L135+'Trasporti merci'!L664+'Trasporto persone'!L432+'Rifiuti di processo'!L206+'Beni durevoli'!L291+'Fase d''uso'!L141+'Fine vita'!L174)/1000</f>
        <v>0</v>
      </c>
      <c r="M27" s="1352">
        <f>(Energia!M171+'Non-energetici'!M137+Input!M236+Imballaggi!M135+'Trasporti merci'!M664+'Trasporto persone'!M432+'Rifiuti di processo'!M206+'Beni durevoli'!M291+'Fase d''uso'!M141+'Fine vita'!M174)/1000</f>
        <v>0</v>
      </c>
      <c r="N27" s="1242">
        <f>SQRT(Energia!N171^2+'Non-energetici'!N137^2+Input!N236^2+Imballaggi!N135^2+'Trasporti merci'!N664^2+'Trasporto persone'!N432^2+'Rifiuti di processo'!N206^2+'Beni durevoli'!N291^2+'Fase d''uso'!N141^2+'Fine vita'!N174^2)/1000</f>
        <v>0</v>
      </c>
      <c r="O27" s="1267">
        <f>(Energia!O171+'Non-energetici'!O137+Input!O236+Imballaggi!O135+'Trasporti merci'!O664+'Trasporto persone'!O432+'Rifiuti di processo'!O206+'Beni durevoli'!O291+'Fase d''uso'!O141+'Fine vita'!O174)/1000</f>
        <v>0</v>
      </c>
      <c r="P27" s="177">
        <v>1</v>
      </c>
      <c r="Q27" s="1354">
        <f t="shared" si="7"/>
        <v>0</v>
      </c>
      <c r="R27" s="1354">
        <f t="shared" si="7"/>
        <v>0</v>
      </c>
      <c r="S27" s="1354">
        <f t="shared" si="7"/>
        <v>0</v>
      </c>
      <c r="T27" s="1354">
        <f t="shared" si="7"/>
        <v>0</v>
      </c>
      <c r="U27" s="1354">
        <f t="shared" si="7"/>
        <v>0</v>
      </c>
      <c r="V27" s="1354">
        <f t="shared" si="7"/>
        <v>0</v>
      </c>
      <c r="W27" s="1354">
        <f t="shared" si="7"/>
        <v>0</v>
      </c>
      <c r="X27" s="1248">
        <f t="shared" si="7"/>
        <v>0</v>
      </c>
      <c r="Y27" s="1356">
        <f t="shared" si="7"/>
        <v>0</v>
      </c>
      <c r="Z27" s="1242">
        <f t="shared" si="7"/>
        <v>0</v>
      </c>
      <c r="AA27" s="1240">
        <f t="shared" si="7"/>
        <v>0</v>
      </c>
    </row>
    <row r="28" spans="2:27" ht="12.75" customHeight="1" x14ac:dyDescent="0.2">
      <c r="B28" s="1989"/>
      <c r="C28" s="1993" t="s">
        <v>2744</v>
      </c>
      <c r="D28" s="1994"/>
      <c r="E28" s="1994"/>
      <c r="F28" s="1994"/>
      <c r="G28" s="1994"/>
      <c r="H28" s="1994"/>
      <c r="I28" s="1994"/>
      <c r="J28" s="1994"/>
      <c r="K28" s="1994"/>
      <c r="L28" s="1994"/>
      <c r="M28" s="1994"/>
      <c r="N28" s="1994"/>
      <c r="O28" s="1995"/>
      <c r="P28" s="177"/>
      <c r="Q28" s="1771"/>
      <c r="R28" s="1772"/>
      <c r="S28" s="1772"/>
      <c r="T28" s="1772"/>
      <c r="U28" s="1772"/>
      <c r="V28" s="1772"/>
      <c r="W28" s="1772"/>
      <c r="X28" s="1772"/>
      <c r="Y28" s="1772"/>
      <c r="Z28" s="1772"/>
      <c r="AA28" s="1773"/>
    </row>
    <row r="29" spans="2:27" ht="12.75" customHeight="1" x14ac:dyDescent="0.2">
      <c r="B29" s="1989"/>
      <c r="C29" s="1257" t="s">
        <v>114</v>
      </c>
      <c r="D29" s="1258" t="str">
        <f>+Energia!B173</f>
        <v>Trasporto di merci e distribuzione in fase d’uso e fine vita</v>
      </c>
      <c r="E29" s="1350">
        <f>(Energia!E173+'Non-energetici'!E139+Input!E238+Imballaggi!E137+'Trasporti merci'!E666+'Trasporto persone'!E434+'Rifiuti di processo'!E208+'Beni durevoli'!E293+'Fase d''uso'!E143+'Fine vita'!E176)/1000</f>
        <v>0</v>
      </c>
      <c r="F29" s="1350">
        <f>(Energia!F173+'Non-energetici'!F139+Input!F238+Imballaggi!F137+'Trasporti merci'!F666+'Trasporto persone'!F434+'Rifiuti di processo'!F208+'Beni durevoli'!F293+'Fase d''uso'!F143+'Fine vita'!F176)/1000</f>
        <v>0</v>
      </c>
      <c r="G29" s="1350">
        <f>(Energia!G173+'Non-energetici'!G139+Input!G238+Imballaggi!G137+'Trasporti merci'!G666+'Trasporto persone'!G434+'Rifiuti di processo'!G208+'Beni durevoli'!G293+'Fase d''uso'!G143+'Fine vita'!G176)/1000</f>
        <v>0</v>
      </c>
      <c r="H29" s="1350">
        <f>(Energia!H173+'Non-energetici'!H139+Input!H238+Imballaggi!H137+'Trasporti merci'!H666+'Trasporto persone'!H434+'Rifiuti di processo'!H208+'Beni durevoli'!H293+'Fase d''uso'!H143+'Fine vita'!H176)/1000</f>
        <v>0</v>
      </c>
      <c r="I29" s="1350">
        <f>(Energia!I173+'Non-energetici'!I139+Input!I238+Imballaggi!I137+'Trasporti merci'!I666+'Trasporto persone'!I434+'Rifiuti di processo'!I208+'Beni durevoli'!I293+'Fase d''uso'!I143+'Fine vita'!I176)/1000</f>
        <v>0</v>
      </c>
      <c r="J29" s="1350">
        <f>(Energia!J173+'Non-energetici'!J139+Input!J238+Imballaggi!J137+'Trasporti merci'!J666+'Trasporto persone'!J434+'Rifiuti di processo'!J208+'Beni durevoli'!J293+'Fase d''uso'!J143+'Fine vita'!J176)/1000</f>
        <v>0</v>
      </c>
      <c r="K29" s="1350">
        <f>(Energia!K173+'Non-energetici'!K139+Input!K238+Imballaggi!K137+'Trasporti merci'!K666+'Trasporto persone'!K434+'Rifiuti di processo'!K208+'Beni durevoli'!K293+'Fase d''uso'!K143+'Fine vita'!K176)/1000</f>
        <v>0</v>
      </c>
      <c r="L29" s="1260">
        <f>(Energia!L173+'Non-energetici'!L139+Input!L238+Imballaggi!L137+'Trasporti merci'!L668+'Trasporto persone'!L434+'Rifiuti di processo'!L208+'Beni durevoli'!L293+'Fase d''uso'!L143+'Fine vita'!L176)/1000</f>
        <v>0</v>
      </c>
      <c r="M29" s="1352">
        <f>(Energia!M173+'Non-energetici'!M139+Input!M238+Imballaggi!M137+'Trasporti merci'!M668+'Trasporto persone'!M434+'Rifiuti di processo'!M208+'Beni durevoli'!M293+'Fase d''uso'!M143+'Fine vita'!M176)/1000</f>
        <v>0</v>
      </c>
      <c r="N29" s="1242">
        <f>SQRT(Energia!N173^2+'Non-energetici'!N139^2+Input!N238^2+Imballaggi!N137^2+'Trasporti merci'!N668^2+'Trasporto persone'!N434^2+'Rifiuti di processo'!N208^2+'Beni durevoli'!N293^2+'Fase d''uso'!N143^2+'Fine vita'!N176^2)/1000</f>
        <v>0</v>
      </c>
      <c r="O29" s="1267">
        <f>(Energia!O173+'Non-energetici'!O139+Input!O238+Imballaggi!O137+'Trasporti merci'!O668+'Trasporto persone'!O434+'Rifiuti di processo'!O208+'Beni durevoli'!O293+'Fase d''uso'!O143+'Fine vita'!O176)/1000</f>
        <v>0</v>
      </c>
      <c r="P29" s="177">
        <v>1</v>
      </c>
      <c r="Q29" s="1354">
        <f t="shared" ref="Q29:AA33" si="8">IF($E$4="Yes",0,IF($E$5="Yes",0,E29*$P29))</f>
        <v>0</v>
      </c>
      <c r="R29" s="1354">
        <f t="shared" si="8"/>
        <v>0</v>
      </c>
      <c r="S29" s="1354">
        <f t="shared" si="8"/>
        <v>0</v>
      </c>
      <c r="T29" s="1354">
        <f t="shared" si="8"/>
        <v>0</v>
      </c>
      <c r="U29" s="1354">
        <f t="shared" si="8"/>
        <v>0</v>
      </c>
      <c r="V29" s="1354">
        <f t="shared" si="8"/>
        <v>0</v>
      </c>
      <c r="W29" s="1354">
        <f t="shared" si="8"/>
        <v>0</v>
      </c>
      <c r="X29" s="1248">
        <f t="shared" si="8"/>
        <v>0</v>
      </c>
      <c r="Y29" s="1356">
        <f t="shared" si="8"/>
        <v>0</v>
      </c>
      <c r="Z29" s="1242">
        <f t="shared" si="8"/>
        <v>0</v>
      </c>
      <c r="AA29" s="1240">
        <f t="shared" si="8"/>
        <v>0</v>
      </c>
    </row>
    <row r="30" spans="2:27" ht="12.75" customHeight="1" x14ac:dyDescent="0.2">
      <c r="B30" s="1989"/>
      <c r="C30" s="1257" t="s">
        <v>115</v>
      </c>
      <c r="D30" s="1258" t="str">
        <f>+Energia!B174</f>
        <v>Lavorazioni dei prodotti venduti</v>
      </c>
      <c r="E30" s="1350">
        <f>(Energia!E174+'Non-energetici'!E140+Input!E239+Imballaggi!E138+'Trasporti merci'!E667+'Trasporto persone'!E435+'Rifiuti di processo'!E209+'Beni durevoli'!E294+'Fase d''uso'!E144+'Fine vita'!E177)/1000</f>
        <v>0</v>
      </c>
      <c r="F30" s="1350">
        <f>(Energia!F174+'Non-energetici'!F140+Input!F239+Imballaggi!F138+'Trasporti merci'!F667+'Trasporto persone'!F435+'Rifiuti di processo'!F209+'Beni durevoli'!F294+'Fase d''uso'!F144+'Fine vita'!F177)/1000</f>
        <v>0</v>
      </c>
      <c r="G30" s="1350">
        <f>(Energia!G174+'Non-energetici'!G140+Input!G239+Imballaggi!G138+'Trasporti merci'!G667+'Trasporto persone'!G435+'Rifiuti di processo'!G209+'Beni durevoli'!G294+'Fase d''uso'!G144+'Fine vita'!G177)/1000</f>
        <v>0</v>
      </c>
      <c r="H30" s="1350">
        <f>(Energia!H174+'Non-energetici'!H140+Input!H239+Imballaggi!H138+'Trasporti merci'!H667+'Trasporto persone'!H435+'Rifiuti di processo'!H209+'Beni durevoli'!H294+'Fase d''uso'!H144+'Fine vita'!H177)/1000</f>
        <v>0</v>
      </c>
      <c r="I30" s="1350">
        <f>(Energia!I174+'Non-energetici'!I140+Input!I239+Imballaggi!I138+'Trasporti merci'!I667+'Trasporto persone'!I435+'Rifiuti di processo'!I209+'Beni durevoli'!I294+'Fase d''uso'!I144+'Fine vita'!I177)/1000</f>
        <v>0</v>
      </c>
      <c r="J30" s="1350">
        <f>(Energia!J174+'Non-energetici'!J140+Input!J239+Imballaggi!J138+'Trasporti merci'!J667+'Trasporto persone'!J435+'Rifiuti di processo'!J209+'Beni durevoli'!J294+'Fase d''uso'!J144+'Fine vita'!J177)/1000</f>
        <v>0</v>
      </c>
      <c r="K30" s="1350">
        <f>(Energia!K174+'Non-energetici'!K140+Input!K239+Imballaggi!K138+'Trasporti merci'!K667+'Trasporto persone'!K435+'Rifiuti di processo'!K209+'Beni durevoli'!K294+'Fase d''uso'!K144+'Fine vita'!K177)/1000</f>
        <v>0</v>
      </c>
      <c r="L30" s="1260">
        <f>(Energia!L174+'Non-energetici'!L140+Input!L239+Imballaggi!L138+'Trasporti merci'!L669+'Trasporto persone'!L435+'Rifiuti di processo'!L209+'Beni durevoli'!L294+'Fase d''uso'!L144+'Fine vita'!L177)/1000</f>
        <v>0</v>
      </c>
      <c r="M30" s="1352">
        <f>(Energia!M174+'Non-energetici'!M140+Input!M239+Imballaggi!M138+'Trasporti merci'!M669+'Trasporto persone'!M435+'Rifiuti di processo'!M209+'Beni durevoli'!M294+'Fase d''uso'!M144+'Fine vita'!M177)/1000</f>
        <v>0</v>
      </c>
      <c r="N30" s="1242">
        <f>SQRT(Energia!N174^2+'Non-energetici'!N140^2+Input!N239^2+Imballaggi!N138^2+'Trasporti merci'!N669^2+'Trasporto persone'!N435^2+'Rifiuti di processo'!N209^2+'Beni durevoli'!N294^2+'Fase d''uso'!N144^2+'Fine vita'!N177^2)/1000</f>
        <v>0</v>
      </c>
      <c r="O30" s="1267">
        <f>(Energia!O174+'Non-energetici'!O140+Input!O239+Imballaggi!O138+'Trasporti merci'!O669+'Trasporto persone'!O435+'Rifiuti di processo'!O209+'Beni durevoli'!O294+'Fase d''uso'!O144+'Fine vita'!O177)/1000</f>
        <v>0</v>
      </c>
      <c r="P30" s="177">
        <v>1</v>
      </c>
      <c r="Q30" s="1354">
        <f t="shared" si="8"/>
        <v>0</v>
      </c>
      <c r="R30" s="1354">
        <f t="shared" si="8"/>
        <v>0</v>
      </c>
      <c r="S30" s="1354">
        <f t="shared" si="8"/>
        <v>0</v>
      </c>
      <c r="T30" s="1354">
        <f t="shared" si="8"/>
        <v>0</v>
      </c>
      <c r="U30" s="1354">
        <f t="shared" si="8"/>
        <v>0</v>
      </c>
      <c r="V30" s="1354">
        <f t="shared" si="8"/>
        <v>0</v>
      </c>
      <c r="W30" s="1354">
        <f t="shared" si="8"/>
        <v>0</v>
      </c>
      <c r="X30" s="1248">
        <f t="shared" si="8"/>
        <v>0</v>
      </c>
      <c r="Y30" s="1356">
        <f t="shared" si="8"/>
        <v>0</v>
      </c>
      <c r="Z30" s="1242">
        <f t="shared" si="8"/>
        <v>0</v>
      </c>
      <c r="AA30" s="1240">
        <f t="shared" si="8"/>
        <v>0</v>
      </c>
    </row>
    <row r="31" spans="2:27" ht="12.75" customHeight="1" x14ac:dyDescent="0.2">
      <c r="B31" s="1989"/>
      <c r="C31" s="1257" t="s">
        <v>116</v>
      </c>
      <c r="D31" s="1258" t="str">
        <f>+Energia!B175</f>
        <v xml:space="preserve">Uso dei prodotto venduti  </v>
      </c>
      <c r="E31" s="1350">
        <f>(Energia!E175+'Non-energetici'!E141+Input!E240+Imballaggi!E139+'Trasporti merci'!E668+'Trasporto persone'!E436+'Rifiuti di processo'!E210+'Beni durevoli'!E295+'Fase d''uso'!E145+'Fine vita'!E178)/1000</f>
        <v>0</v>
      </c>
      <c r="F31" s="1350">
        <f>(Energia!F175+'Non-energetici'!F141+Input!F240+Imballaggi!F139+'Trasporti merci'!F668+'Trasporto persone'!F436+'Rifiuti di processo'!F210+'Beni durevoli'!F295+'Fase d''uso'!F145+'Fine vita'!F178)/1000</f>
        <v>0</v>
      </c>
      <c r="G31" s="1350">
        <f>(Energia!G175+'Non-energetici'!G141+Input!G240+Imballaggi!G139+'Trasporti merci'!G668+'Trasporto persone'!G436+'Rifiuti di processo'!G210+'Beni durevoli'!G295+'Fase d''uso'!G145+'Fine vita'!G178)/1000</f>
        <v>0</v>
      </c>
      <c r="H31" s="1350">
        <f>(Energia!H175+'Non-energetici'!H141+Input!H240+Imballaggi!H139+'Trasporti merci'!H668+'Trasporto persone'!H436+'Rifiuti di processo'!H210+'Beni durevoli'!H295+'Fase d''uso'!H145+'Fine vita'!H178)/1000</f>
        <v>0</v>
      </c>
      <c r="I31" s="1350">
        <f>(Energia!I175+'Non-energetici'!I141+Input!I240+Imballaggi!I139+'Trasporti merci'!I668+'Trasporto persone'!I436+'Rifiuti di processo'!I210+'Beni durevoli'!I295+'Fase d''uso'!I145+'Fine vita'!I178)/1000</f>
        <v>0</v>
      </c>
      <c r="J31" s="1350">
        <f>(Energia!J175+'Non-energetici'!J141+Input!J240+Imballaggi!J139+'Trasporti merci'!J668+'Trasporto persone'!J436+'Rifiuti di processo'!J210+'Beni durevoli'!J295+'Fase d''uso'!J145+'Fine vita'!J178)/1000</f>
        <v>0</v>
      </c>
      <c r="K31" s="1350">
        <f>(Energia!K175+'Non-energetici'!K141+Input!K240+Imballaggi!K139+'Trasporti merci'!K668+'Trasporto persone'!K436+'Rifiuti di processo'!K210+'Beni durevoli'!K295+'Fase d''uso'!K145+'Fine vita'!K178)/1000</f>
        <v>0</v>
      </c>
      <c r="L31" s="1260">
        <f>(Energia!L175+'Non-energetici'!L141+Input!L240+Imballaggi!L139+'Trasporti merci'!L670+'Trasporto persone'!L436+'Rifiuti di processo'!L210+'Beni durevoli'!L295+'Fase d''uso'!L145+'Fine vita'!L178)/1000</f>
        <v>0</v>
      </c>
      <c r="M31" s="1352">
        <f>(Energia!M175+'Non-energetici'!M141+Input!M240+Imballaggi!M139+'Trasporti merci'!M670+'Trasporto persone'!M436+'Rifiuti di processo'!M210+'Beni durevoli'!M295+'Fase d''uso'!M145+'Fine vita'!M178)/1000</f>
        <v>0</v>
      </c>
      <c r="N31" s="1242">
        <f>SQRT(Energia!N175^2+'Non-energetici'!N141^2+Input!N240^2+Imballaggi!N139^2+'Trasporti merci'!N670^2+'Trasporto persone'!N436^2+'Rifiuti di processo'!N210^2+'Beni durevoli'!N295^2+'Fase d''uso'!N145^2+'Fine vita'!N178^2)/1000</f>
        <v>0</v>
      </c>
      <c r="O31" s="1267">
        <f>(Energia!O175+'Non-energetici'!O141+Input!O240+Imballaggi!O139+'Trasporti merci'!O670+'Trasporto persone'!O436+'Rifiuti di processo'!O210+'Beni durevoli'!O295+'Fase d''uso'!O145+'Fine vita'!O178)/1000</f>
        <v>0</v>
      </c>
      <c r="P31" s="177">
        <v>1</v>
      </c>
      <c r="Q31" s="1354">
        <f t="shared" si="8"/>
        <v>0</v>
      </c>
      <c r="R31" s="1354">
        <f t="shared" si="8"/>
        <v>0</v>
      </c>
      <c r="S31" s="1354">
        <f t="shared" si="8"/>
        <v>0</v>
      </c>
      <c r="T31" s="1354">
        <f t="shared" si="8"/>
        <v>0</v>
      </c>
      <c r="U31" s="1354">
        <f t="shared" si="8"/>
        <v>0</v>
      </c>
      <c r="V31" s="1354">
        <f t="shared" si="8"/>
        <v>0</v>
      </c>
      <c r="W31" s="1354">
        <f t="shared" si="8"/>
        <v>0</v>
      </c>
      <c r="X31" s="1248">
        <f t="shared" si="8"/>
        <v>0</v>
      </c>
      <c r="Y31" s="1356">
        <f t="shared" si="8"/>
        <v>0</v>
      </c>
      <c r="Z31" s="1242">
        <f t="shared" si="8"/>
        <v>0</v>
      </c>
      <c r="AA31" s="1240">
        <f t="shared" si="8"/>
        <v>0</v>
      </c>
    </row>
    <row r="32" spans="2:27" ht="12.75" customHeight="1" x14ac:dyDescent="0.2">
      <c r="B32" s="1989"/>
      <c r="C32" s="1257" t="s">
        <v>117</v>
      </c>
      <c r="D32" s="1258" t="str">
        <f>+Energia!B176</f>
        <v>Fine vita dei prodotti venduti</v>
      </c>
      <c r="E32" s="1350">
        <f>(Energia!E176+'Non-energetici'!E142+Input!E241+Imballaggi!E140+'Trasporti merci'!E669+'Trasporto persone'!E437+'Rifiuti di processo'!E211+'Beni durevoli'!E296+'Fase d''uso'!E146+'Fine vita'!E179)/1000</f>
        <v>0</v>
      </c>
      <c r="F32" s="1350">
        <f>(Energia!F176+'Non-energetici'!F142+Input!F241+Imballaggi!F140+'Trasporti merci'!F669+'Trasporto persone'!F437+'Rifiuti di processo'!F211+'Beni durevoli'!F296+'Fase d''uso'!F146+'Fine vita'!F179)/1000</f>
        <v>8.199999999999999E-3</v>
      </c>
      <c r="G32" s="1350">
        <f>(Energia!G176+'Non-energetici'!G142+Input!G241+Imballaggi!G140+'Trasporti merci'!G669+'Trasporto persone'!G437+'Rifiuti di processo'!G211+'Beni durevoli'!G296+'Fase d''uso'!G146+'Fine vita'!G179)/1000</f>
        <v>0.13500000000000001</v>
      </c>
      <c r="H32" s="1350">
        <f>(Energia!H176+'Non-energetici'!H142+Input!H241+Imballaggi!H140+'Trasporti merci'!H669+'Trasporto persone'!H437+'Rifiuti di processo'!H211+'Beni durevoli'!H296+'Fase d''uso'!H146+'Fine vita'!H179)/1000</f>
        <v>0</v>
      </c>
      <c r="I32" s="1350">
        <f>(Energia!I176+'Non-energetici'!I142+Input!I241+Imballaggi!I140+'Trasporti merci'!I669+'Trasporto persone'!I437+'Rifiuti di processo'!I211+'Beni durevoli'!I296+'Fase d''uso'!I146+'Fine vita'!I179)/1000</f>
        <v>0</v>
      </c>
      <c r="J32" s="1350">
        <f>(Energia!J176+'Non-energetici'!J142+Input!J241+Imballaggi!J140+'Trasporti merci'!J669+'Trasporto persone'!J437+'Rifiuti di processo'!J211+'Beni durevoli'!J296+'Fase d''uso'!J146+'Fine vita'!J179)/1000</f>
        <v>0</v>
      </c>
      <c r="K32" s="1350">
        <f>(Energia!K176+'Non-energetici'!K142+Input!K241+Imballaggi!K140+'Trasporti merci'!K669+'Trasporto persone'!K437+'Rifiuti di processo'!K211+'Beni durevoli'!K296+'Fase d''uso'!K146+'Fine vita'!K179)/1000</f>
        <v>0</v>
      </c>
      <c r="L32" s="1260">
        <f>(Energia!L176+'Non-energetici'!L142+Input!L241+Imballaggi!L140+'Trasporti merci'!L671+'Trasporto persone'!L437+'Rifiuti di processo'!L211+'Beni durevoli'!L296+'Fase d''uso'!L146+'Fine vita'!L179)/1000</f>
        <v>0.14299999999999999</v>
      </c>
      <c r="M32" s="1352">
        <f>(Energia!M176+'Non-energetici'!M142+Input!M241+Imballaggi!M140+'Trasporti merci'!M671+'Trasporto persone'!M437+'Rifiuti di processo'!M211+'Beni durevoli'!M296+'Fase d''uso'!M146+'Fine vita'!M179)/1000</f>
        <v>5.3203899999999997</v>
      </c>
      <c r="N32" s="1242">
        <f>SQRT(Energia!N176^2+'Non-energetici'!N142^2+Input!N241^2+Imballaggi!N140^2+'Trasporti merci'!N671^2+'Trasporto persone'!N437^2+'Rifiuti di processo'!N211^2+'Beni durevoli'!N296^2+'Fase d''uso'!N146^2+'Fine vita'!N179^2)/1000</f>
        <v>7.1499999999999994E-2</v>
      </c>
      <c r="O32" s="1267">
        <f>(Energia!O176+'Non-energetici'!O142+Input!O241+Imballaggi!O140+'Trasporti merci'!O671+'Trasporto persone'!O437+'Rifiuti di processo'!O211+'Beni durevoli'!O296+'Fase d''uso'!O146+'Fine vita'!O179)/1000</f>
        <v>0</v>
      </c>
      <c r="P32" s="177">
        <v>1</v>
      </c>
      <c r="Q32" s="1354">
        <f t="shared" si="8"/>
        <v>0</v>
      </c>
      <c r="R32" s="1354">
        <f t="shared" si="8"/>
        <v>8.199999999999999E-3</v>
      </c>
      <c r="S32" s="1354">
        <f t="shared" si="8"/>
        <v>0.13500000000000001</v>
      </c>
      <c r="T32" s="1354">
        <f t="shared" si="8"/>
        <v>0</v>
      </c>
      <c r="U32" s="1354">
        <f t="shared" si="8"/>
        <v>0</v>
      </c>
      <c r="V32" s="1354">
        <f t="shared" si="8"/>
        <v>0</v>
      </c>
      <c r="W32" s="1354">
        <f t="shared" si="8"/>
        <v>0</v>
      </c>
      <c r="X32" s="1248">
        <f t="shared" si="8"/>
        <v>0.14299999999999999</v>
      </c>
      <c r="Y32" s="1356">
        <f t="shared" si="8"/>
        <v>5.3203899999999997</v>
      </c>
      <c r="Z32" s="1242">
        <f t="shared" si="8"/>
        <v>7.1499999999999994E-2</v>
      </c>
      <c r="AA32" s="1240">
        <f t="shared" si="8"/>
        <v>0</v>
      </c>
    </row>
    <row r="33" spans="2:27" ht="12.75" customHeight="1" x14ac:dyDescent="0.2">
      <c r="B33" s="1989"/>
      <c r="C33" s="1257" t="s">
        <v>118</v>
      </c>
      <c r="D33" s="1258" t="str">
        <f>+Energia!B177</f>
        <v>Downstream leased assets</v>
      </c>
      <c r="E33" s="1350">
        <f>(Energia!E177+'Non-energetici'!E143+Input!E242+Imballaggi!E141+'Trasporti merci'!E670+'Trasporto persone'!E438+'Rifiuti di processo'!E212+'Beni durevoli'!E297+'Fase d''uso'!E147+'Fine vita'!E180)/1000</f>
        <v>0</v>
      </c>
      <c r="F33" s="1350">
        <f>(Energia!F177+'Non-energetici'!F143+Input!F242+Imballaggi!F141+'Trasporti merci'!F670+'Trasporto persone'!F438+'Rifiuti di processo'!F212+'Beni durevoli'!F297+'Fase d''uso'!F147+'Fine vita'!F180)/1000</f>
        <v>0</v>
      </c>
      <c r="G33" s="1350">
        <f>(Energia!G177+'Non-energetici'!G143+Input!G242+Imballaggi!G141+'Trasporti merci'!G670+'Trasporto persone'!G438+'Rifiuti di processo'!G212+'Beni durevoli'!G297+'Fase d''uso'!G147+'Fine vita'!G180)/1000</f>
        <v>0</v>
      </c>
      <c r="H33" s="1350">
        <f>(Energia!H177+'Non-energetici'!H143+Input!H242+Imballaggi!H141+'Trasporti merci'!H670+'Trasporto persone'!H438+'Rifiuti di processo'!H212+'Beni durevoli'!H297+'Fase d''uso'!H147+'Fine vita'!H180)/1000</f>
        <v>0</v>
      </c>
      <c r="I33" s="1350">
        <f>(Energia!I177+'Non-energetici'!I143+Input!I242+Imballaggi!I141+'Trasporti merci'!I670+'Trasporto persone'!I438+'Rifiuti di processo'!I212+'Beni durevoli'!I297+'Fase d''uso'!I147+'Fine vita'!I180)/1000</f>
        <v>0</v>
      </c>
      <c r="J33" s="1350">
        <f>(Energia!J177+'Non-energetici'!J143+Input!J242+Imballaggi!J141+'Trasporti merci'!J670+'Trasporto persone'!J438+'Rifiuti di processo'!J212+'Beni durevoli'!J297+'Fase d''uso'!J147+'Fine vita'!J180)/1000</f>
        <v>0</v>
      </c>
      <c r="K33" s="1350">
        <f>(Energia!K177+'Non-energetici'!K143+Input!K242+Imballaggi!K141+'Trasporti merci'!K670+'Trasporto persone'!K438+'Rifiuti di processo'!K212+'Beni durevoli'!K297+'Fase d''uso'!K147+'Fine vita'!K180)/1000</f>
        <v>0</v>
      </c>
      <c r="L33" s="1260">
        <f>(Energia!L177+'Non-energetici'!L143+Input!L242+Imballaggi!L141+'Trasporti merci'!L672+'Trasporto persone'!L438+'Rifiuti di processo'!L212+'Beni durevoli'!L297+'Fase d''uso'!L147+'Fine vita'!L180)/1000</f>
        <v>0</v>
      </c>
      <c r="M33" s="1352">
        <f>(Energia!M177+'Non-energetici'!M143+Input!M242+Imballaggi!M141+'Trasporti merci'!M672+'Trasporto persone'!M438+'Rifiuti di processo'!M212+'Beni durevoli'!M297+'Fase d''uso'!M147+'Fine vita'!M180)/1000</f>
        <v>0</v>
      </c>
      <c r="N33" s="1242">
        <f>SQRT(Energia!N177^2+'Non-energetici'!N143^2+Input!N242^2+Imballaggi!N141^2+'Trasporti merci'!N672^2+'Trasporto persone'!N438^2+'Rifiuti di processo'!N212^2+'Beni durevoli'!N297^2+'Fase d''uso'!N147^2+'Fine vita'!N180^2)/1000</f>
        <v>0</v>
      </c>
      <c r="O33" s="1267">
        <f>(Energia!O177+'Non-energetici'!O143+Input!O242+Imballaggi!O141+'Trasporti merci'!O672+'Trasporto persone'!O438+'Rifiuti di processo'!O212+'Beni durevoli'!O297+'Fase d''uso'!O147+'Fine vita'!O180)/1000</f>
        <v>0</v>
      </c>
      <c r="P33" s="177">
        <v>1</v>
      </c>
      <c r="Q33" s="1354">
        <f t="shared" si="8"/>
        <v>0</v>
      </c>
      <c r="R33" s="1354">
        <f t="shared" si="8"/>
        <v>0</v>
      </c>
      <c r="S33" s="1354">
        <f t="shared" si="8"/>
        <v>0</v>
      </c>
      <c r="T33" s="1354">
        <f t="shared" si="8"/>
        <v>0</v>
      </c>
      <c r="U33" s="1354">
        <f t="shared" si="8"/>
        <v>0</v>
      </c>
      <c r="V33" s="1354">
        <f t="shared" si="8"/>
        <v>0</v>
      </c>
      <c r="W33" s="1354">
        <f t="shared" si="8"/>
        <v>0</v>
      </c>
      <c r="X33" s="1248">
        <f t="shared" si="8"/>
        <v>0</v>
      </c>
      <c r="Y33" s="1356">
        <f t="shared" si="8"/>
        <v>0</v>
      </c>
      <c r="Z33" s="1242">
        <f t="shared" si="8"/>
        <v>0</v>
      </c>
      <c r="AA33" s="1240">
        <f t="shared" si="8"/>
        <v>0</v>
      </c>
    </row>
    <row r="34" spans="2:27" ht="14" x14ac:dyDescent="0.2">
      <c r="B34" s="1989"/>
      <c r="C34" s="1257" t="s">
        <v>119</v>
      </c>
      <c r="D34" s="1258" t="str">
        <f>+Energia!B178</f>
        <v>Franchises</v>
      </c>
      <c r="E34" s="1350">
        <f>(Energia!E178+'Non-energetici'!E144+Input!E243+Imballaggi!E142+'Trasporti merci'!E671+'Trasporto persone'!E439+'Rifiuti di processo'!E213+'Beni durevoli'!E298+'Fase d''uso'!E148+'Fine vita'!E181)/1000</f>
        <v>0</v>
      </c>
      <c r="F34" s="1350">
        <f>(Energia!F178+'Non-energetici'!F144+Input!F243+Imballaggi!F142+'Trasporti merci'!F671+'Trasporto persone'!F439+'Rifiuti di processo'!F213+'Beni durevoli'!F298+'Fase d''uso'!F148+'Fine vita'!F181)/1000</f>
        <v>0</v>
      </c>
      <c r="G34" s="1350">
        <f>(Energia!G178+'Non-energetici'!G144+Input!G243+Imballaggi!G142+'Trasporti merci'!G671+'Trasporto persone'!G439+'Rifiuti di processo'!G213+'Beni durevoli'!G298+'Fase d''uso'!G148+'Fine vita'!G181)/1000</f>
        <v>0</v>
      </c>
      <c r="H34" s="1350">
        <f>(Energia!H178+'Non-energetici'!H144+Input!H243+Imballaggi!H142+'Trasporti merci'!H671+'Trasporto persone'!H439+'Rifiuti di processo'!H213+'Beni durevoli'!H298+'Fase d''uso'!H148+'Fine vita'!H181)/1000</f>
        <v>0</v>
      </c>
      <c r="I34" s="1350">
        <f>(Energia!I178+'Non-energetici'!I144+Input!I243+Imballaggi!I142+'Trasporti merci'!I671+'Trasporto persone'!I439+'Rifiuti di processo'!I213+'Beni durevoli'!I298+'Fase d''uso'!I148+'Fine vita'!I181)/1000</f>
        <v>0</v>
      </c>
      <c r="J34" s="1350">
        <f>(Energia!J178+'Non-energetici'!J144+Input!J243+Imballaggi!J142+'Trasporti merci'!J671+'Trasporto persone'!J439+'Rifiuti di processo'!J213+'Beni durevoli'!J298+'Fase d''uso'!J148+'Fine vita'!J181)/1000</f>
        <v>0</v>
      </c>
      <c r="K34" s="1350">
        <f>(Energia!K178+'Non-energetici'!K144+Input!K243+Imballaggi!K142+'Trasporti merci'!K671+'Trasporto persone'!K439+'Rifiuti di processo'!K213+'Beni durevoli'!K298+'Fase d''uso'!K148+'Fine vita'!K181)/1000</f>
        <v>0</v>
      </c>
      <c r="L34" s="1260">
        <f>(Energia!L178+'Non-energetici'!L144+Input!L243+Imballaggi!L142+'Trasporti merci'!L673+'Trasporto persone'!L439+'Rifiuti di processo'!L213+'Beni durevoli'!L298+'Fase d''uso'!L148+'Fine vita'!L181)/1000</f>
        <v>0</v>
      </c>
      <c r="M34" s="1352">
        <f>(Energia!M178+'Non-energetici'!M144+Input!M243+Imballaggi!M142+'Trasporti merci'!M673+'Trasporto persone'!M439+'Rifiuti di processo'!M213+'Beni durevoli'!M298+'Fase d''uso'!M148+'Fine vita'!M181)/1000</f>
        <v>0</v>
      </c>
      <c r="N34" s="1242">
        <f>SQRT(Energia!N178^2+'Non-energetici'!N144^2+Input!N243^2+Imballaggi!N142^2+'Trasporti merci'!N673^2+'Trasporto persone'!N439^2+'Rifiuti di processo'!N213^2+'Beni durevoli'!N298^2+'Fase d''uso'!N148^2+'Fine vita'!N181^2)/1000</f>
        <v>0</v>
      </c>
      <c r="O34" s="1267">
        <f>(Energia!O178+'Non-energetici'!O144+Input!O243+Imballaggi!O142+'Trasporti merci'!O673+'Trasporto persone'!O439+'Rifiuti di processo'!O213+'Beni durevoli'!O298+'Fase d''uso'!O148+'Fine vita'!O181)/1000</f>
        <v>0</v>
      </c>
      <c r="P34" s="177">
        <v>1</v>
      </c>
      <c r="Q34" s="1354">
        <f t="shared" ref="Q34:AA34" si="9">IF($E$4="Yes",SUMPRODUCT(E10:E13,$P10:$P13)+SUMPRODUCT(E15:E16,$P15:$P16)+SUMPRODUCT(E19:E27,$P19:$P27)+SUMPRODUCT(E29:E36,$P29:$P36),IF($E$5="Yes",0,E34*$P34))</f>
        <v>0</v>
      </c>
      <c r="R34" s="1354">
        <f t="shared" si="9"/>
        <v>0</v>
      </c>
      <c r="S34" s="1354">
        <f t="shared" si="9"/>
        <v>0</v>
      </c>
      <c r="T34" s="1354">
        <f t="shared" si="9"/>
        <v>0</v>
      </c>
      <c r="U34" s="1354">
        <f t="shared" si="9"/>
        <v>0</v>
      </c>
      <c r="V34" s="1354">
        <f t="shared" si="9"/>
        <v>0</v>
      </c>
      <c r="W34" s="1354">
        <f t="shared" si="9"/>
        <v>0</v>
      </c>
      <c r="X34" s="1248">
        <f t="shared" si="9"/>
        <v>0</v>
      </c>
      <c r="Y34" s="1356">
        <f t="shared" si="9"/>
        <v>0</v>
      </c>
      <c r="Z34" s="1242">
        <f t="shared" si="9"/>
        <v>0</v>
      </c>
      <c r="AA34" s="1240">
        <f t="shared" si="9"/>
        <v>0</v>
      </c>
    </row>
    <row r="35" spans="2:27" ht="12.75" customHeight="1" x14ac:dyDescent="0.2">
      <c r="B35" s="1989"/>
      <c r="C35" s="1257" t="s">
        <v>120</v>
      </c>
      <c r="D35" s="1258" t="str">
        <f>+Energia!B179</f>
        <v>Investimenti</v>
      </c>
      <c r="E35" s="1301"/>
      <c r="F35" s="1301"/>
      <c r="G35" s="1301"/>
      <c r="H35" s="1301"/>
      <c r="I35" s="1301"/>
      <c r="J35" s="1301"/>
      <c r="K35" s="1301"/>
      <c r="L35" s="1301"/>
      <c r="M35" s="1301"/>
      <c r="N35" s="1301"/>
      <c r="O35" s="1301"/>
      <c r="P35" s="177">
        <v>1</v>
      </c>
      <c r="Q35" s="1354">
        <f t="shared" ref="Q35:AA36" si="10">IF($E$4="Yes",0,IF($E$5="Yes",0,E35*$P35))</f>
        <v>0</v>
      </c>
      <c r="R35" s="1354">
        <f t="shared" si="10"/>
        <v>0</v>
      </c>
      <c r="S35" s="1354">
        <f t="shared" si="10"/>
        <v>0</v>
      </c>
      <c r="T35" s="1354">
        <f t="shared" si="10"/>
        <v>0</v>
      </c>
      <c r="U35" s="1354">
        <f t="shared" si="10"/>
        <v>0</v>
      </c>
      <c r="V35" s="1354">
        <f t="shared" si="10"/>
        <v>0</v>
      </c>
      <c r="W35" s="1354">
        <f t="shared" si="10"/>
        <v>0</v>
      </c>
      <c r="X35" s="1248">
        <f t="shared" si="10"/>
        <v>0</v>
      </c>
      <c r="Y35" s="1356">
        <f t="shared" si="10"/>
        <v>0</v>
      </c>
      <c r="Z35" s="1242">
        <f t="shared" si="10"/>
        <v>0</v>
      </c>
      <c r="AA35" s="1240">
        <f t="shared" si="10"/>
        <v>0</v>
      </c>
    </row>
    <row r="36" spans="2:27" ht="12.75" customHeight="1" x14ac:dyDescent="0.2">
      <c r="B36" s="1989"/>
      <c r="C36" s="1268"/>
      <c r="D36" s="1258" t="str">
        <f>+Energia!B180</f>
        <v xml:space="preserve">Altre emissioni indirette in fase d'uso e fine vita </v>
      </c>
      <c r="E36" s="1350">
        <f>(Energia!E180+'Non-energetici'!E146+Input!E245+Imballaggi!E144+'Trasporti merci'!E673+'Trasporto persone'!E441+'Rifiuti di processo'!E215+'Beni durevoli'!E300+'Fase d''uso'!E150+'Fine vita'!E183)/1000</f>
        <v>0</v>
      </c>
      <c r="F36" s="1350">
        <f>(Energia!F180+'Non-energetici'!F146+Input!F245+Imballaggi!F144+'Trasporti merci'!F673+'Trasporto persone'!F441+'Rifiuti di processo'!F215+'Beni durevoli'!F300+'Fase d''uso'!F150+'Fine vita'!F183)/1000</f>
        <v>0</v>
      </c>
      <c r="G36" s="1350">
        <f>(Energia!G180+'Non-energetici'!G146+Input!G245+Imballaggi!G144+'Trasporti merci'!G673+'Trasporto persone'!G441+'Rifiuti di processo'!G215+'Beni durevoli'!G300+'Fase d''uso'!G150+'Fine vita'!G183)/1000</f>
        <v>0</v>
      </c>
      <c r="H36" s="1350">
        <f>(Energia!H180+'Non-energetici'!H146+Input!H245+Imballaggi!H144+'Trasporti merci'!H673+'Trasporto persone'!H441+'Rifiuti di processo'!H215+'Beni durevoli'!H300+'Fase d''uso'!H150+'Fine vita'!H183)/1000</f>
        <v>0</v>
      </c>
      <c r="I36" s="1350">
        <f>(Energia!I180+'Non-energetici'!I146+Input!I245+Imballaggi!I144+'Trasporti merci'!I673+'Trasporto persone'!I441+'Rifiuti di processo'!I215+'Beni durevoli'!I300+'Fase d''uso'!I150+'Fine vita'!I183)/1000</f>
        <v>0</v>
      </c>
      <c r="J36" s="1350">
        <f>(Energia!J180+'Non-energetici'!J146+Input!J245+Imballaggi!J144+'Trasporti merci'!J673+'Trasporto persone'!J441+'Rifiuti di processo'!J215+'Beni durevoli'!J300+'Fase d''uso'!J150+'Fine vita'!J183)/1000</f>
        <v>0</v>
      </c>
      <c r="K36" s="1350">
        <f>(Energia!K180+'Non-energetici'!K146+Input!K245+Imballaggi!K144+'Trasporti merci'!K673+'Trasporto persone'!K441+'Rifiuti di processo'!K215+'Beni durevoli'!K300+'Fase d''uso'!K150+'Fine vita'!K183)/1000</f>
        <v>0</v>
      </c>
      <c r="L36" s="1260">
        <f>(Energia!L180+'Non-energetici'!L146+Input!L245+Imballaggi!L144+'Trasporti merci'!L675+'Trasporto persone'!L441+'Rifiuti di processo'!L215+'Beni durevoli'!L300+'Fase d''uso'!L150+'Fine vita'!L183)/1000</f>
        <v>0</v>
      </c>
      <c r="M36" s="1352">
        <f>(Energia!M180+'Non-energetici'!M146+Input!M245+Imballaggi!M144+'Trasporti merci'!M675+'Trasporto persone'!M441+'Rifiuti di processo'!M215+'Beni durevoli'!M300+'Fase d''uso'!M150+'Fine vita'!M183)/1000</f>
        <v>0</v>
      </c>
      <c r="N36" s="1242">
        <f>SQRT(Energia!N180^2+'Non-energetici'!N146^2+Input!N245^2+Imballaggi!N144^2+'Trasporti merci'!N675^2+'Trasporto persone'!N441^2+'Rifiuti di processo'!N215^2+'Beni durevoli'!N300^2+'Fase d''uso'!N150^2+'Fine vita'!N183^2)/1000</f>
        <v>0</v>
      </c>
      <c r="O36" s="1267">
        <f>(Energia!O180+'Non-energetici'!O146+Input!O245+Imballaggi!O144+'Trasporti merci'!O675+'Trasporto persone'!O441+'Rifiuti di processo'!O215+'Beni durevoli'!O300+'Fase d''uso'!O150+'Fine vita'!O183)/1000</f>
        <v>0</v>
      </c>
      <c r="P36" s="177">
        <v>1</v>
      </c>
      <c r="Q36" s="1354">
        <f t="shared" si="10"/>
        <v>0</v>
      </c>
      <c r="R36" s="1354">
        <f t="shared" si="10"/>
        <v>0</v>
      </c>
      <c r="S36" s="1354">
        <f t="shared" si="10"/>
        <v>0</v>
      </c>
      <c r="T36" s="1354">
        <f t="shared" si="10"/>
        <v>0</v>
      </c>
      <c r="U36" s="1354">
        <f t="shared" si="10"/>
        <v>0</v>
      </c>
      <c r="V36" s="1354">
        <f t="shared" si="10"/>
        <v>0</v>
      </c>
      <c r="W36" s="1354">
        <f t="shared" si="10"/>
        <v>0</v>
      </c>
      <c r="X36" s="1248">
        <f t="shared" si="10"/>
        <v>0</v>
      </c>
      <c r="Y36" s="1356">
        <f t="shared" si="10"/>
        <v>0</v>
      </c>
      <c r="Z36" s="1242">
        <f t="shared" si="10"/>
        <v>0</v>
      </c>
      <c r="AA36" s="1240">
        <f t="shared" si="10"/>
        <v>0</v>
      </c>
    </row>
    <row r="37" spans="2:27" x14ac:dyDescent="0.2">
      <c r="B37" s="1990"/>
      <c r="C37" s="1991" t="s">
        <v>96</v>
      </c>
      <c r="D37" s="1992"/>
      <c r="E37" s="1351">
        <f t="shared" ref="E37:O37" si="11">SUM(E19:E36)</f>
        <v>0</v>
      </c>
      <c r="F37" s="1351">
        <f t="shared" si="11"/>
        <v>8.199999999999999E-3</v>
      </c>
      <c r="G37" s="1351">
        <f t="shared" si="11"/>
        <v>0.13500000000000001</v>
      </c>
      <c r="H37" s="1351">
        <f t="shared" si="11"/>
        <v>0</v>
      </c>
      <c r="I37" s="1351">
        <f t="shared" si="11"/>
        <v>0</v>
      </c>
      <c r="J37" s="1351">
        <f t="shared" si="11"/>
        <v>0</v>
      </c>
      <c r="K37" s="1351">
        <f t="shared" si="11"/>
        <v>0</v>
      </c>
      <c r="L37" s="1263">
        <f t="shared" si="11"/>
        <v>194.3930908455103</v>
      </c>
      <c r="M37" s="1353">
        <f t="shared" si="11"/>
        <v>5.3203899999999997</v>
      </c>
      <c r="N37" s="1265">
        <f>SQRT(SUMSQ(N19:N36))</f>
        <v>27.379267927576155</v>
      </c>
      <c r="O37" s="1266">
        <f t="shared" si="11"/>
        <v>0</v>
      </c>
      <c r="Q37" s="1355">
        <f t="shared" ref="Q37:AA37" si="12">SUM(Q19:Q36)</f>
        <v>0</v>
      </c>
      <c r="R37" s="1355">
        <f t="shared" si="12"/>
        <v>8.199999999999999E-3</v>
      </c>
      <c r="S37" s="1355">
        <f t="shared" si="12"/>
        <v>0.13500000000000001</v>
      </c>
      <c r="T37" s="1355">
        <f t="shared" si="12"/>
        <v>0</v>
      </c>
      <c r="U37" s="1355">
        <f t="shared" si="12"/>
        <v>0</v>
      </c>
      <c r="V37" s="1355">
        <f t="shared" si="12"/>
        <v>0</v>
      </c>
      <c r="W37" s="1355">
        <f t="shared" si="12"/>
        <v>0</v>
      </c>
      <c r="X37" s="1236">
        <f t="shared" si="12"/>
        <v>194.3930908455103</v>
      </c>
      <c r="Y37" s="1357">
        <f t="shared" si="12"/>
        <v>5.3203899999999997</v>
      </c>
      <c r="Z37" s="1243">
        <f>SQRT(SUMSQ(Z19:Z36))</f>
        <v>27.379267927576155</v>
      </c>
      <c r="AA37" s="1244">
        <f t="shared" si="12"/>
        <v>0</v>
      </c>
    </row>
    <row r="38" spans="2:27" s="40" customFormat="1" x14ac:dyDescent="0.2"/>
    <row r="39" spans="2:27" s="40" customFormat="1" x14ac:dyDescent="0.2"/>
    <row r="40" spans="2:27" x14ac:dyDescent="0.2">
      <c r="D40" s="40"/>
      <c r="E40" s="1812" t="s">
        <v>2493</v>
      </c>
      <c r="F40" s="1812"/>
      <c r="G40" s="1812"/>
      <c r="H40" s="1812"/>
    </row>
    <row r="41" spans="2:27" x14ac:dyDescent="0.2">
      <c r="D41" s="40"/>
      <c r="E41" s="1235" t="s">
        <v>2494</v>
      </c>
      <c r="F41" s="1235" t="s">
        <v>72</v>
      </c>
      <c r="G41" s="1235" t="s">
        <v>72</v>
      </c>
      <c r="H41" s="1235" t="s">
        <v>2495</v>
      </c>
    </row>
    <row r="42" spans="2:27" x14ac:dyDescent="0.2">
      <c r="D42" s="176" t="s">
        <v>2757</v>
      </c>
      <c r="E42" s="1160">
        <f>L10-N10</f>
        <v>0</v>
      </c>
      <c r="F42" s="1160">
        <f>L10</f>
        <v>0</v>
      </c>
      <c r="G42" s="1160">
        <f>L10</f>
        <v>0</v>
      </c>
      <c r="H42" s="1160">
        <f>L10+N10</f>
        <v>0</v>
      </c>
    </row>
    <row r="43" spans="2:27" x14ac:dyDescent="0.2">
      <c r="D43" s="176" t="s">
        <v>2762</v>
      </c>
      <c r="E43" s="1160">
        <f>L11-N11</f>
        <v>0.39700000000000002</v>
      </c>
      <c r="F43" s="1160">
        <f>L11</f>
        <v>0.39700000000000002</v>
      </c>
      <c r="G43" s="1160">
        <f>L11</f>
        <v>0.39700000000000002</v>
      </c>
      <c r="H43" s="1160">
        <f>L11+N11</f>
        <v>0.39700000000000002</v>
      </c>
    </row>
    <row r="44" spans="2:27" x14ac:dyDescent="0.2">
      <c r="D44" s="176" t="s">
        <v>2523</v>
      </c>
      <c r="E44" s="1160">
        <f>L12-N12</f>
        <v>198492.64184995202</v>
      </c>
      <c r="F44" s="1160">
        <f>L12</f>
        <v>278000</v>
      </c>
      <c r="G44" s="1160">
        <f>L12</f>
        <v>278000</v>
      </c>
      <c r="H44" s="1160">
        <f>L12+N12</f>
        <v>357507.35815004795</v>
      </c>
    </row>
    <row r="45" spans="2:27" x14ac:dyDescent="0.2">
      <c r="D45" s="176" t="s">
        <v>2502</v>
      </c>
      <c r="E45" s="1160">
        <f>L13-N13</f>
        <v>0</v>
      </c>
      <c r="F45" s="1160">
        <f>L13</f>
        <v>0</v>
      </c>
      <c r="G45" s="1160">
        <f>L13</f>
        <v>0</v>
      </c>
      <c r="H45" s="1160">
        <f>L13+N13</f>
        <v>0</v>
      </c>
    </row>
    <row r="46" spans="2:27" x14ac:dyDescent="0.2">
      <c r="D46" s="176" t="s">
        <v>2758</v>
      </c>
      <c r="E46" s="1160">
        <f>L15-N15</f>
        <v>0.18240000000000001</v>
      </c>
      <c r="F46" s="1160">
        <f>L15</f>
        <v>0.18240000000000001</v>
      </c>
      <c r="G46" s="1160">
        <f>L15</f>
        <v>0.18240000000000001</v>
      </c>
      <c r="H46" s="1160">
        <f>L15+N15</f>
        <v>0.18240000000000001</v>
      </c>
    </row>
    <row r="47" spans="2:27" x14ac:dyDescent="0.2">
      <c r="D47" s="176" t="s">
        <v>2759</v>
      </c>
      <c r="E47" s="1160">
        <f>L16-N16</f>
        <v>0</v>
      </c>
      <c r="F47" s="1160">
        <f>L16</f>
        <v>0</v>
      </c>
      <c r="G47" s="1160">
        <f>L16</f>
        <v>0</v>
      </c>
      <c r="H47" s="1160">
        <f>L16+N16</f>
        <v>0</v>
      </c>
    </row>
    <row r="48" spans="2:27" x14ac:dyDescent="0.2">
      <c r="D48" s="176" t="s">
        <v>2505</v>
      </c>
      <c r="E48" s="1160">
        <f t="shared" ref="E48:E56" si="13">L19-N19</f>
        <v>77.440000000000012</v>
      </c>
      <c r="F48" s="1160">
        <f t="shared" ref="F48:F56" si="14">L19</f>
        <v>96.800000000000011</v>
      </c>
      <c r="G48" s="1160">
        <f t="shared" ref="G48:G56" si="15">L19</f>
        <v>96.800000000000011</v>
      </c>
      <c r="H48" s="1160">
        <f t="shared" ref="H48:H56" si="16">L19+N19</f>
        <v>116.16000000000001</v>
      </c>
    </row>
    <row r="49" spans="4:8" x14ac:dyDescent="0.2">
      <c r="D49" s="176" t="s">
        <v>720</v>
      </c>
      <c r="E49" s="1160">
        <f t="shared" si="13"/>
        <v>77.440000000000012</v>
      </c>
      <c r="F49" s="1160">
        <f t="shared" si="14"/>
        <v>96.800000000000011</v>
      </c>
      <c r="G49" s="1160">
        <f t="shared" si="15"/>
        <v>96.800000000000011</v>
      </c>
      <c r="H49" s="1160">
        <f t="shared" si="16"/>
        <v>116.16000000000001</v>
      </c>
    </row>
    <row r="50" spans="4:8" x14ac:dyDescent="0.2">
      <c r="D50" s="176" t="s">
        <v>2763</v>
      </c>
      <c r="E50" s="1160">
        <f t="shared" si="13"/>
        <v>0.11451624760240926</v>
      </c>
      <c r="F50" s="1160">
        <f t="shared" si="14"/>
        <v>0.11451624760240926</v>
      </c>
      <c r="G50" s="1160">
        <f t="shared" si="15"/>
        <v>0.11451624760240926</v>
      </c>
      <c r="H50" s="1160">
        <f t="shared" si="16"/>
        <v>0.11451624760240926</v>
      </c>
    </row>
    <row r="51" spans="4:8" x14ac:dyDescent="0.2">
      <c r="D51" s="176" t="s">
        <v>2525</v>
      </c>
      <c r="E51" s="1160">
        <f t="shared" si="13"/>
        <v>0</v>
      </c>
      <c r="F51" s="1160">
        <f t="shared" si="14"/>
        <v>0</v>
      </c>
      <c r="G51" s="1160">
        <f t="shared" si="15"/>
        <v>0</v>
      </c>
      <c r="H51" s="1160">
        <f t="shared" si="16"/>
        <v>0</v>
      </c>
    </row>
    <row r="52" spans="4:8" x14ac:dyDescent="0.2">
      <c r="D52" s="176" t="s">
        <v>2506</v>
      </c>
      <c r="E52" s="1160">
        <f t="shared" si="13"/>
        <v>0</v>
      </c>
      <c r="F52" s="1160">
        <f t="shared" si="14"/>
        <v>0</v>
      </c>
      <c r="G52" s="1160">
        <f t="shared" si="15"/>
        <v>0</v>
      </c>
      <c r="H52" s="1160">
        <f t="shared" si="16"/>
        <v>0</v>
      </c>
    </row>
    <row r="53" spans="4:8" x14ac:dyDescent="0.2">
      <c r="D53" s="176" t="s">
        <v>2507</v>
      </c>
      <c r="E53" s="1160">
        <f t="shared" si="13"/>
        <v>0</v>
      </c>
      <c r="F53" s="1160">
        <f t="shared" si="14"/>
        <v>0</v>
      </c>
      <c r="G53" s="1160">
        <f t="shared" si="15"/>
        <v>0</v>
      </c>
      <c r="H53" s="1160">
        <f t="shared" si="16"/>
        <v>0</v>
      </c>
    </row>
    <row r="54" spans="4:8" x14ac:dyDescent="0.2">
      <c r="D54" s="176" t="s">
        <v>2515</v>
      </c>
      <c r="E54" s="1160">
        <f t="shared" si="13"/>
        <v>0.22002000000000002</v>
      </c>
      <c r="F54" s="1160">
        <f t="shared" si="14"/>
        <v>0.22002000000000002</v>
      </c>
      <c r="G54" s="1160">
        <f t="shared" si="15"/>
        <v>0.22002000000000002</v>
      </c>
      <c r="H54" s="1160">
        <f t="shared" si="16"/>
        <v>0.22002000000000002</v>
      </c>
    </row>
    <row r="55" spans="4:8" x14ac:dyDescent="0.2">
      <c r="D55" s="176" t="s">
        <v>2508</v>
      </c>
      <c r="E55" s="1160">
        <f t="shared" si="13"/>
        <v>0.31555459790784857</v>
      </c>
      <c r="F55" s="1160">
        <f t="shared" si="14"/>
        <v>0.31555459790784857</v>
      </c>
      <c r="G55" s="1160">
        <f t="shared" si="15"/>
        <v>0.31555459790784857</v>
      </c>
      <c r="H55" s="1160">
        <f t="shared" si="16"/>
        <v>0.31555459790784857</v>
      </c>
    </row>
    <row r="56" spans="4:8" x14ac:dyDescent="0.2">
      <c r="D56" s="176" t="s">
        <v>2526</v>
      </c>
      <c r="E56" s="1160">
        <f t="shared" si="13"/>
        <v>0</v>
      </c>
      <c r="F56" s="1160">
        <f t="shared" si="14"/>
        <v>0</v>
      </c>
      <c r="G56" s="1160">
        <f t="shared" si="15"/>
        <v>0</v>
      </c>
      <c r="H56" s="1160">
        <f t="shared" si="16"/>
        <v>0</v>
      </c>
    </row>
    <row r="57" spans="4:8" x14ac:dyDescent="0.2">
      <c r="D57" s="176" t="s">
        <v>2528</v>
      </c>
      <c r="E57" s="1160">
        <f>L29-N29</f>
        <v>0</v>
      </c>
      <c r="F57" s="1160">
        <f t="shared" ref="F57:F64" si="17">L29</f>
        <v>0</v>
      </c>
      <c r="G57" s="1160">
        <f t="shared" ref="G57:G64" si="18">L29</f>
        <v>0</v>
      </c>
      <c r="H57" s="1160">
        <f t="shared" ref="H57:H64" si="19">L29+N29</f>
        <v>0</v>
      </c>
    </row>
    <row r="58" spans="4:8" x14ac:dyDescent="0.2">
      <c r="D58" s="176" t="s">
        <v>2529</v>
      </c>
      <c r="E58" s="1160">
        <f t="shared" ref="E58:E64" si="20">L30-N30</f>
        <v>0</v>
      </c>
      <c r="F58" s="1160">
        <f t="shared" si="17"/>
        <v>0</v>
      </c>
      <c r="G58" s="1160">
        <f t="shared" si="18"/>
        <v>0</v>
      </c>
      <c r="H58" s="1160">
        <f t="shared" si="19"/>
        <v>0</v>
      </c>
    </row>
    <row r="59" spans="4:8" x14ac:dyDescent="0.2">
      <c r="D59" s="176" t="s">
        <v>2511</v>
      </c>
      <c r="E59" s="1160">
        <f t="shared" si="20"/>
        <v>0</v>
      </c>
      <c r="F59" s="1160">
        <f t="shared" si="17"/>
        <v>0</v>
      </c>
      <c r="G59" s="1160">
        <f t="shared" si="18"/>
        <v>0</v>
      </c>
      <c r="H59" s="1160">
        <f t="shared" si="19"/>
        <v>0</v>
      </c>
    </row>
    <row r="60" spans="4:8" x14ac:dyDescent="0.2">
      <c r="D60" s="176" t="s">
        <v>2512</v>
      </c>
      <c r="E60" s="1160">
        <f t="shared" si="20"/>
        <v>7.1499999999999994E-2</v>
      </c>
      <c r="F60" s="1160">
        <f t="shared" si="17"/>
        <v>0.14299999999999999</v>
      </c>
      <c r="G60" s="1160">
        <f t="shared" si="18"/>
        <v>0.14299999999999999</v>
      </c>
      <c r="H60" s="1160">
        <f t="shared" si="19"/>
        <v>0.21449999999999997</v>
      </c>
    </row>
    <row r="61" spans="4:8" x14ac:dyDescent="0.2">
      <c r="D61" s="176" t="s">
        <v>2514</v>
      </c>
      <c r="E61" s="1160">
        <f t="shared" si="20"/>
        <v>0</v>
      </c>
      <c r="F61" s="1160">
        <f t="shared" si="17"/>
        <v>0</v>
      </c>
      <c r="G61" s="1160">
        <f t="shared" si="18"/>
        <v>0</v>
      </c>
      <c r="H61" s="1160">
        <f t="shared" si="19"/>
        <v>0</v>
      </c>
    </row>
    <row r="62" spans="4:8" x14ac:dyDescent="0.2">
      <c r="D62" s="176" t="s">
        <v>105</v>
      </c>
      <c r="E62" s="1160">
        <f t="shared" si="20"/>
        <v>0</v>
      </c>
      <c r="F62" s="1160">
        <f t="shared" si="17"/>
        <v>0</v>
      </c>
      <c r="G62" s="1160">
        <f t="shared" si="18"/>
        <v>0</v>
      </c>
      <c r="H62" s="1160">
        <f t="shared" si="19"/>
        <v>0</v>
      </c>
    </row>
    <row r="63" spans="4:8" x14ac:dyDescent="0.2">
      <c r="D63" s="176" t="s">
        <v>2509</v>
      </c>
      <c r="E63" s="1160">
        <f t="shared" si="20"/>
        <v>0</v>
      </c>
      <c r="F63" s="1160">
        <f t="shared" si="17"/>
        <v>0</v>
      </c>
      <c r="G63" s="1160">
        <f t="shared" si="18"/>
        <v>0</v>
      </c>
      <c r="H63" s="1160">
        <f t="shared" si="19"/>
        <v>0</v>
      </c>
    </row>
    <row r="64" spans="4:8" x14ac:dyDescent="0.2">
      <c r="D64" s="176" t="s">
        <v>2766</v>
      </c>
      <c r="E64" s="1160">
        <f t="shared" si="20"/>
        <v>0</v>
      </c>
      <c r="F64" s="1160">
        <f t="shared" si="17"/>
        <v>0</v>
      </c>
      <c r="G64" s="1160">
        <f t="shared" si="18"/>
        <v>0</v>
      </c>
      <c r="H64" s="1160">
        <f t="shared" si="19"/>
        <v>0</v>
      </c>
    </row>
    <row r="65" spans="4:4" s="40" customFormat="1" x14ac:dyDescent="0.2"/>
    <row r="66" spans="4:4" ht="17" x14ac:dyDescent="0.2">
      <c r="D66" s="1649" t="s">
        <v>2768</v>
      </c>
    </row>
    <row r="67" spans="4:4" ht="17" x14ac:dyDescent="0.2">
      <c r="D67" s="1649" t="s">
        <v>2769</v>
      </c>
    </row>
    <row r="68" spans="4:4" ht="17" x14ac:dyDescent="0.2">
      <c r="D68" s="1650" t="s">
        <v>2770</v>
      </c>
    </row>
    <row r="69" spans="4:4" ht="16" x14ac:dyDescent="0.2">
      <c r="D69" s="1651" t="s">
        <v>2771</v>
      </c>
    </row>
    <row r="70" spans="4:4" ht="17" x14ac:dyDescent="0.2">
      <c r="D70" s="1649" t="s">
        <v>2772</v>
      </c>
    </row>
  </sheetData>
  <mergeCells count="18">
    <mergeCell ref="B18:B37"/>
    <mergeCell ref="C14:D14"/>
    <mergeCell ref="C17:D17"/>
    <mergeCell ref="C37:D37"/>
    <mergeCell ref="C28:O28"/>
    <mergeCell ref="C18:O18"/>
    <mergeCell ref="B2:O2"/>
    <mergeCell ref="B4:D4"/>
    <mergeCell ref="B5:D5"/>
    <mergeCell ref="B10:B14"/>
    <mergeCell ref="B15:B17"/>
    <mergeCell ref="E40:H40"/>
    <mergeCell ref="E7:O7"/>
    <mergeCell ref="Q7:AA7"/>
    <mergeCell ref="Q8:Z8"/>
    <mergeCell ref="Q18:AA18"/>
    <mergeCell ref="Q28:AA28"/>
    <mergeCell ref="E8:N8"/>
  </mergeCells>
  <dataValidations count="1">
    <dataValidation type="list" allowBlank="1" showInputMessage="1" showErrorMessage="1" sqref="E4:E5" xr:uid="{00000000-0002-0000-0E00-000000000000}">
      <formula1>Liste_Franchises</formula1>
    </dataValidation>
  </dataValidations>
  <hyperlinks>
    <hyperlink ref="D69" r:id="rId1" xr:uid="{00000000-0004-0000-0E00-000000000000}"/>
    <hyperlink ref="D68" r:id="rId2" xr:uid="{00000000-0004-0000-0E00-000001000000}"/>
  </hyperlinks>
  <pageMargins left="0.7" right="0.7" top="0.75" bottom="0.75" header="0.3" footer="0.3"/>
  <pageSetup paperSize="9" orientation="portrait"/>
  <ignoredErrors>
    <ignoredError sqref="C33:C35" twoDigitTextYear="1"/>
    <ignoredError sqref="Q14:Y14 AA14" formula="1"/>
  </ignoredErrors>
  <drawing r:id="rId3"/>
  <legacyDrawing r:id="rId4"/>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D833"/>
  </sheetPr>
  <dimension ref="A1:AA68"/>
  <sheetViews>
    <sheetView showGridLines="0" topLeftCell="L1" zoomScale="150" zoomScaleNormal="150" zoomScalePageLayoutView="150" workbookViewId="0">
      <pane ySplit="9" topLeftCell="A10" activePane="bottomLeft" state="frozen"/>
      <selection pane="bottomLeft" activeCell="M55" sqref="M55"/>
    </sheetView>
  </sheetViews>
  <sheetFormatPr baseColWidth="10" defaultColWidth="11.5" defaultRowHeight="13" x14ac:dyDescent="0.15"/>
  <cols>
    <col min="1" max="1" width="2.6640625" style="4" customWidth="1"/>
    <col min="2" max="2" width="17" style="4" customWidth="1"/>
    <col min="3" max="3" width="10.33203125" style="4" customWidth="1"/>
    <col min="4" max="4" width="49.5" style="4" customWidth="1"/>
    <col min="5" max="15" width="11.33203125" style="4" customWidth="1"/>
    <col min="16" max="16384" width="11.5" style="4"/>
  </cols>
  <sheetData>
    <row r="1" spans="1:27" s="40" customFormat="1" x14ac:dyDescent="0.2">
      <c r="N1" s="602"/>
      <c r="O1" s="602"/>
      <c r="P1" s="602"/>
      <c r="Q1" s="602"/>
      <c r="R1" s="602"/>
      <c r="S1" s="602"/>
      <c r="T1" s="602"/>
      <c r="U1" s="602"/>
    </row>
    <row r="2" spans="1:27" s="40" customFormat="1" ht="30" customHeight="1" x14ac:dyDescent="0.2">
      <c r="B2" s="2000" t="s">
        <v>131</v>
      </c>
      <c r="C2" s="2000"/>
      <c r="D2" s="2000"/>
      <c r="E2" s="2000"/>
      <c r="F2" s="2000"/>
      <c r="G2" s="2000"/>
      <c r="H2" s="2000"/>
      <c r="I2" s="2000"/>
      <c r="J2" s="2000"/>
      <c r="K2" s="2000"/>
      <c r="L2" s="2000"/>
      <c r="M2" s="2000"/>
      <c r="N2" s="2000"/>
      <c r="O2" s="2000"/>
      <c r="P2" s="1439"/>
      <c r="Q2" s="1437"/>
      <c r="R2" s="1437"/>
      <c r="S2" s="1437"/>
      <c r="T2" s="1437"/>
      <c r="U2" s="1437"/>
      <c r="V2" s="328"/>
      <c r="W2" s="328"/>
    </row>
    <row r="3" spans="1:27" s="1253" customFormat="1" x14ac:dyDescent="0.2">
      <c r="A3" s="40"/>
    </row>
    <row r="4" spans="1:27" s="1253" customFormat="1" ht="14" x14ac:dyDescent="0.2">
      <c r="A4" s="40"/>
      <c r="B4" s="1987" t="s">
        <v>2760</v>
      </c>
      <c r="C4" s="1987"/>
      <c r="D4" s="1987"/>
      <c r="E4" s="1641" t="s">
        <v>2438</v>
      </c>
    </row>
    <row r="5" spans="1:27" s="1253" customFormat="1" ht="14" x14ac:dyDescent="0.2">
      <c r="A5" s="40"/>
      <c r="B5" s="1973" t="s">
        <v>2761</v>
      </c>
      <c r="C5" s="1975"/>
      <c r="D5" s="1974"/>
      <c r="E5" s="1641" t="s">
        <v>2438</v>
      </c>
    </row>
    <row r="6" spans="1:27" s="40" customFormat="1" x14ac:dyDescent="0.2"/>
    <row r="7" spans="1:27" s="40" customFormat="1" ht="16" x14ac:dyDescent="0.2">
      <c r="E7" s="1996" t="s">
        <v>2755</v>
      </c>
      <c r="F7" s="1996"/>
      <c r="G7" s="1996"/>
      <c r="H7" s="1996"/>
      <c r="I7" s="1996"/>
      <c r="J7" s="1996"/>
      <c r="K7" s="1996"/>
      <c r="L7" s="1996"/>
      <c r="M7" s="1996"/>
      <c r="N7" s="1996"/>
      <c r="O7" s="1996"/>
      <c r="Q7" s="1996" t="s">
        <v>2756</v>
      </c>
      <c r="R7" s="1996"/>
      <c r="S7" s="1996"/>
      <c r="T7" s="1996"/>
      <c r="U7" s="1996"/>
      <c r="V7" s="1996"/>
      <c r="W7" s="1996"/>
      <c r="X7" s="1996"/>
      <c r="Y7" s="1996"/>
      <c r="Z7" s="1996"/>
      <c r="AA7" s="1996"/>
    </row>
    <row r="8" spans="1:27" ht="42" x14ac:dyDescent="0.15">
      <c r="C8" s="118"/>
      <c r="D8" s="118"/>
      <c r="E8" s="1735" t="s">
        <v>2498</v>
      </c>
      <c r="F8" s="1737"/>
      <c r="G8" s="1737"/>
      <c r="H8" s="1737"/>
      <c r="I8" s="1737"/>
      <c r="J8" s="1737"/>
      <c r="K8" s="1737"/>
      <c r="L8" s="1737"/>
      <c r="M8" s="1736"/>
      <c r="N8" s="1433" t="s">
        <v>2743</v>
      </c>
      <c r="O8" s="1430" t="s">
        <v>2517</v>
      </c>
      <c r="P8" s="12"/>
      <c r="Q8" s="1735" t="s">
        <v>2498</v>
      </c>
      <c r="R8" s="1737"/>
      <c r="S8" s="1737"/>
      <c r="T8" s="1737"/>
      <c r="U8" s="1737"/>
      <c r="V8" s="1737"/>
      <c r="W8" s="1737"/>
      <c r="X8" s="1737"/>
      <c r="Y8" s="1736"/>
      <c r="Z8" s="1433" t="s">
        <v>2743</v>
      </c>
      <c r="AA8" s="1430" t="s">
        <v>2517</v>
      </c>
    </row>
    <row r="9" spans="1:27" ht="42" x14ac:dyDescent="0.15">
      <c r="B9" s="1429" t="s">
        <v>2786</v>
      </c>
      <c r="C9" s="1432" t="s">
        <v>2500</v>
      </c>
      <c r="D9" s="1429" t="str">
        <f>+Energia!B187</f>
        <v>Sorgenti di emissione</v>
      </c>
      <c r="E9" s="1431" t="s">
        <v>676</v>
      </c>
      <c r="F9" s="1431" t="s">
        <v>674</v>
      </c>
      <c r="G9" s="1431" t="s">
        <v>675</v>
      </c>
      <c r="H9" s="1431" t="s">
        <v>2583</v>
      </c>
      <c r="I9" s="1431" t="s">
        <v>2585</v>
      </c>
      <c r="J9" s="1432" t="s">
        <v>70</v>
      </c>
      <c r="K9" s="1431" t="s">
        <v>681</v>
      </c>
      <c r="L9" s="1431" t="s">
        <v>2591</v>
      </c>
      <c r="M9" s="1431" t="s">
        <v>2587</v>
      </c>
      <c r="N9" s="1434" t="s">
        <v>680</v>
      </c>
      <c r="O9" s="1436" t="s">
        <v>70</v>
      </c>
      <c r="P9" s="178" t="s">
        <v>84</v>
      </c>
      <c r="Q9" s="1431" t="s">
        <v>676</v>
      </c>
      <c r="R9" s="1431" t="s">
        <v>674</v>
      </c>
      <c r="S9" s="1431" t="s">
        <v>675</v>
      </c>
      <c r="T9" s="1431" t="s">
        <v>2583</v>
      </c>
      <c r="U9" s="1431" t="s">
        <v>2585</v>
      </c>
      <c r="V9" s="1432" t="s">
        <v>70</v>
      </c>
      <c r="W9" s="1431" t="s">
        <v>681</v>
      </c>
      <c r="X9" s="1431" t="s">
        <v>2591</v>
      </c>
      <c r="Y9" s="1431" t="s">
        <v>2587</v>
      </c>
      <c r="Z9" s="1434" t="s">
        <v>680</v>
      </c>
      <c r="AA9" s="1436" t="s">
        <v>70</v>
      </c>
    </row>
    <row r="10" spans="1:27" ht="12.75" customHeight="1" x14ac:dyDescent="0.15">
      <c r="B10" s="1997" t="s">
        <v>30</v>
      </c>
      <c r="C10" s="1435">
        <v>1</v>
      </c>
      <c r="D10" s="1438" t="str">
        <f>+Energia!B188</f>
        <v xml:space="preserve">Emissioni dirette da sorgenti di combustione stazionarie </v>
      </c>
      <c r="E10" s="1441">
        <f>(Energia!E188++'Non-energetici'!E154+Input!E253+Imballaggi!E152+'Trasporti merci'!E685+'Trasporto persone'!E449+'Rifiuti di processo'!E223+'Beni durevoli'!E308+'Fase d''uso'!E158+'Fine vita'!E191)/1000</f>
        <v>0</v>
      </c>
      <c r="F10" s="1441">
        <f>(Energia!F188++'Non-energetici'!F154+Input!F253+Imballaggi!F152+'Trasporti merci'!F685+'Trasporto persone'!F449+'Rifiuti di processo'!F223+'Beni durevoli'!F308+'Fase d''uso'!F158+'Fine vita'!F191)/1000</f>
        <v>0</v>
      </c>
      <c r="G10" s="1441">
        <f>(Energia!G188++'Non-energetici'!G154+Input!G253+Imballaggi!G152+'Trasporti merci'!G685+'Trasporto persone'!G449+'Rifiuti di processo'!G223+'Beni durevoli'!G308+'Fase d''uso'!G158+'Fine vita'!G191)/1000</f>
        <v>0</v>
      </c>
      <c r="H10" s="1441">
        <f>(Energia!H188++'Non-energetici'!H154+Input!H253+Imballaggi!H152+'Trasporti merci'!H685+'Trasporto persone'!H449+'Rifiuti di processo'!H223+'Beni durevoli'!H308+'Fase d''uso'!H158+'Fine vita'!H191)/1000</f>
        <v>0</v>
      </c>
      <c r="I10" s="1441">
        <f>(Energia!I188++'Non-energetici'!I154+Input!I253+Imballaggi!I152+'Trasporti merci'!I685+'Trasporto persone'!I449+'Rifiuti di processo'!I223+'Beni durevoli'!I308+'Fase d''uso'!I158+'Fine vita'!I191)/1000</f>
        <v>0</v>
      </c>
      <c r="J10" s="1442">
        <f>(Energia!J188+'Non-energetici'!J154+Input!J253+Imballaggi!J152+'Trasporti merci'!J685+'Trasporto persone'!J449+'Rifiuti di processo'!J223+'Beni durevoli'!J308+'Fase d''uso'!J158+'Fine vita'!J191)/1000</f>
        <v>0</v>
      </c>
      <c r="K10" s="1443">
        <f>(Energia!K188+'Non-energetici'!K154+Input!K253+Imballaggi!K152+'Trasporti merci'!K685+'Trasporto persone'!K449+'Rifiuti di processo'!K223+'Beni durevoli'!K308+'Fase d''uso'!K158+'Fine vita'!K191)/1000</f>
        <v>0</v>
      </c>
      <c r="L10" s="1443">
        <f>(Energia!L188+'Non-energetici'!L154+Input!L253+Imballaggi!L152+'Trasporti merci'!L685+'Trasporto persone'!L449+'Rifiuti di processo'!L223+'Beni durevoli'!L308+'Fase d''uso'!L158+'Fine vita'!L191)/1000</f>
        <v>0</v>
      </c>
      <c r="M10" s="1444">
        <f>SQRT(Energia!M188^2+'Non-energetici'!M154^2+Input!M253^2+Imballaggi!M152^2+'Trasporti merci'!M685^2+'Trasporto persone'!M449^2+'Rifiuti di processo'!M223^2+'Beni durevoli'!M308^2+'Fase d''uso'!M158^2+'Fine vita'!M191^2)/1000</f>
        <v>0</v>
      </c>
      <c r="N10" s="1445">
        <f>(Energia!N188+'Non-energetici'!N154+Input!N253+Imballaggi!N152+'Trasporti merci'!N685+'Trasporto persone'!N449+'Rifiuti di processo'!N223+'Beni durevoli'!N308+'Fase d''uso'!N158+'Fine vita'!N191)/1000</f>
        <v>0</v>
      </c>
      <c r="O10" s="1730" t="s">
        <v>2773</v>
      </c>
      <c r="P10" s="177">
        <v>1</v>
      </c>
      <c r="Q10" s="1441">
        <f t="shared" ref="Q10:Z13" si="0">IF($E$4="Yes",0,IF($E$5="Yes",0,E10*$P10))</f>
        <v>0</v>
      </c>
      <c r="R10" s="1441">
        <f t="shared" si="0"/>
        <v>0</v>
      </c>
      <c r="S10" s="1441">
        <f t="shared" si="0"/>
        <v>0</v>
      </c>
      <c r="T10" s="1441">
        <f t="shared" si="0"/>
        <v>0</v>
      </c>
      <c r="U10" s="1441">
        <f t="shared" si="0"/>
        <v>0</v>
      </c>
      <c r="V10" s="1442">
        <f t="shared" si="0"/>
        <v>0</v>
      </c>
      <c r="W10" s="1443">
        <f t="shared" si="0"/>
        <v>0</v>
      </c>
      <c r="X10" s="1443">
        <f t="shared" si="0"/>
        <v>0</v>
      </c>
      <c r="Y10" s="1444">
        <f t="shared" si="0"/>
        <v>0</v>
      </c>
      <c r="Z10" s="1445">
        <f t="shared" si="0"/>
        <v>0</v>
      </c>
      <c r="AA10" s="1730" t="s">
        <v>2518</v>
      </c>
    </row>
    <row r="11" spans="1:27" x14ac:dyDescent="0.15">
      <c r="B11" s="1997"/>
      <c r="C11" s="1435">
        <v>2</v>
      </c>
      <c r="D11" s="1438" t="str">
        <f>+Energia!B189</f>
        <v>Emissioni dirette da sorgenti di combustione mobili</v>
      </c>
      <c r="E11" s="1441">
        <f>(Energia!E189++'Non-energetici'!E155+Input!E254+Imballaggi!E153+'Trasporti merci'!E686+'Trasporto persone'!E450+'Rifiuti di processo'!E224+'Beni durevoli'!E309+'Fase d''uso'!E159+'Fine vita'!E192)/1000</f>
        <v>0</v>
      </c>
      <c r="F11" s="1441">
        <f>(Energia!F189++'Non-energetici'!F155+Input!F254+Imballaggi!F153+'Trasporti merci'!F686+'Trasporto persone'!F450+'Rifiuti di processo'!F224+'Beni durevoli'!F309+'Fase d''uso'!F159+'Fine vita'!F192)/1000</f>
        <v>0</v>
      </c>
      <c r="G11" s="1441">
        <f>(Energia!G189++'Non-energetici'!G155+Input!G254+Imballaggi!G153+'Trasporti merci'!G686+'Trasporto persone'!G450+'Rifiuti di processo'!G224+'Beni durevoli'!G309+'Fase d''uso'!G159+'Fine vita'!G192)/1000</f>
        <v>0</v>
      </c>
      <c r="H11" s="1441">
        <f>(Energia!H189++'Non-energetici'!H155+Input!H254+Imballaggi!H153+'Trasporti merci'!H686+'Trasporto persone'!H450+'Rifiuti di processo'!H224+'Beni durevoli'!H309+'Fase d''uso'!H159+'Fine vita'!H192)/1000</f>
        <v>0</v>
      </c>
      <c r="I11" s="1441">
        <f>(Energia!I189++'Non-energetici'!I155+Input!I254+Imballaggi!I153+'Trasporti merci'!I686+'Trasporto persone'!I450+'Rifiuti di processo'!I224+'Beni durevoli'!I309+'Fase d''uso'!I159+'Fine vita'!I192)/1000</f>
        <v>0</v>
      </c>
      <c r="J11" s="1442">
        <f>(Energia!J189+'Non-energetici'!J155+Input!J254+Imballaggi!J153+'Trasporti merci'!J686+'Trasporto persone'!J450+'Rifiuti di processo'!J224+'Beni durevoli'!J309+'Fase d''uso'!J159+'Fine vita'!J192)/1000</f>
        <v>0.39700000000000002</v>
      </c>
      <c r="K11" s="1443">
        <f>(Energia!K189+'Non-energetici'!K155+Input!K254+Imballaggi!K153+'Trasporti merci'!K686+'Trasporto persone'!K450+'Rifiuti di processo'!K224+'Beni durevoli'!K309+'Fase d''uso'!K159+'Fine vita'!K192)/1000</f>
        <v>0</v>
      </c>
      <c r="L11" s="1443">
        <f>(Energia!L189+'Non-energetici'!L155+Input!L254+Imballaggi!L153+'Trasporti merci'!L686+'Trasporto persone'!L450+'Rifiuti di processo'!L224+'Beni durevoli'!L309+'Fase d''uso'!L159+'Fine vita'!L192)/1000</f>
        <v>0</v>
      </c>
      <c r="M11" s="1444">
        <f>SQRT(Energia!M189^2+'Non-energetici'!M155^2+Input!M254^2+Imballaggi!M153^2+'Trasporti merci'!M686^2+'Trasporto persone'!M450^2+'Rifiuti di processo'!M224^2+'Beni durevoli'!M309^2+'Fase d''uso'!M159^2+'Fine vita'!M192^2)/1000</f>
        <v>0</v>
      </c>
      <c r="N11" s="1445">
        <f>(Energia!N189+'Non-energetici'!N155+Input!N254+Imballaggi!N153+'Trasporti merci'!N686+'Trasporto persone'!N450+'Rifiuti di processo'!N224+'Beni durevoli'!N309+'Fase d''uso'!N159+'Fine vita'!N192)/1000</f>
        <v>0</v>
      </c>
      <c r="O11" s="1731"/>
      <c r="P11" s="177">
        <v>1</v>
      </c>
      <c r="Q11" s="1441">
        <f t="shared" si="0"/>
        <v>0</v>
      </c>
      <c r="R11" s="1441">
        <f t="shared" si="0"/>
        <v>0</v>
      </c>
      <c r="S11" s="1441">
        <f t="shared" si="0"/>
        <v>0</v>
      </c>
      <c r="T11" s="1441">
        <f t="shared" si="0"/>
        <v>0</v>
      </c>
      <c r="U11" s="1441">
        <f t="shared" si="0"/>
        <v>0</v>
      </c>
      <c r="V11" s="1442">
        <f t="shared" si="0"/>
        <v>0.39700000000000002</v>
      </c>
      <c r="W11" s="1443">
        <f t="shared" si="0"/>
        <v>0</v>
      </c>
      <c r="X11" s="1443">
        <f t="shared" si="0"/>
        <v>0</v>
      </c>
      <c r="Y11" s="1444">
        <f t="shared" si="0"/>
        <v>0</v>
      </c>
      <c r="Z11" s="1445">
        <f t="shared" si="0"/>
        <v>0</v>
      </c>
      <c r="AA11" s="1731"/>
    </row>
    <row r="12" spans="1:27" x14ac:dyDescent="0.15">
      <c r="B12" s="1997"/>
      <c r="C12" s="1435">
        <v>3</v>
      </c>
      <c r="D12" s="1438" t="str">
        <f>+Energia!B190</f>
        <v>Emissioni dirette da  processi</v>
      </c>
      <c r="E12" s="1441">
        <f>(Energia!E190++'Non-energetici'!E156+Input!E255+Imballaggi!E154+'Trasporti merci'!E687+'Trasporto persone'!E451+'Rifiuti di processo'!E225+'Beni durevoli'!E310+'Fase d''uso'!E160+'Fine vita'!E193)/1000</f>
        <v>10000</v>
      </c>
      <c r="F12" s="1441">
        <f>(Energia!F190++'Non-energetici'!F156+Input!F255+Imballaggi!F154+'Trasporti merci'!F687+'Trasporto persone'!F451+'Rifiuti di processo'!F225+'Beni durevoli'!F310+'Fase d''uso'!F160+'Fine vita'!F193)/1000</f>
        <v>3000</v>
      </c>
      <c r="G12" s="1441">
        <f>(Energia!G190++'Non-energetici'!G156+Input!G255+Imballaggi!G154+'Trasporti merci'!G687+'Trasporto persone'!G451+'Rifiuti di processo'!G225+'Beni durevoli'!G310+'Fase d''uso'!G160+'Fine vita'!G193)/1000</f>
        <v>265000</v>
      </c>
      <c r="H12" s="1441">
        <f>(Energia!H190++'Non-energetici'!H156+Input!H255+Imballaggi!H154+'Trasporti merci'!H687+'Trasporto persone'!H451+'Rifiuti di processo'!H225+'Beni durevoli'!H310+'Fase d''uso'!H160+'Fine vita'!H193)/1000</f>
        <v>0</v>
      </c>
      <c r="I12" s="1441">
        <f>(Energia!I190++'Non-energetici'!I156+Input!I255+Imballaggi!I154+'Trasporti merci'!I687+'Trasporto persone'!I451+'Rifiuti di processo'!I225+'Beni durevoli'!I310+'Fase d''uso'!I160+'Fine vita'!I193)/1000</f>
        <v>0</v>
      </c>
      <c r="J12" s="1442">
        <f>(Energia!J190+'Non-energetici'!J156+Input!J255+Imballaggi!J154+'Trasporti merci'!J687+'Trasporto persone'!J451+'Rifiuti di processo'!J225+'Beni durevoli'!J310+'Fase d''uso'!J160+'Fine vita'!J193)/1000</f>
        <v>278000</v>
      </c>
      <c r="K12" s="1443">
        <f>(Energia!K190+'Non-energetici'!K156+Input!K255+Imballaggi!K154+'Trasporti merci'!K687+'Trasporto persone'!K451+'Rifiuti di processo'!K225+'Beni durevoli'!K310+'Fase d''uso'!K160+'Fine vita'!K193)/1000</f>
        <v>0</v>
      </c>
      <c r="L12" s="1443">
        <f>(Energia!L190+'Non-energetici'!L156+Input!L255+Imballaggi!L154+'Trasporti merci'!L687+'Trasporto persone'!L451+'Rifiuti di processo'!L225+'Beni durevoli'!L310+'Fase d''uso'!L160+'Fine vita'!L193)/1000</f>
        <v>0</v>
      </c>
      <c r="M12" s="1444">
        <f>SQRT(Energia!M190^2+'Non-energetici'!M156^2+Input!M255^2+Imballaggi!M154^2+'Trasporti merci'!M687^2+'Trasporto persone'!M451^2+'Rifiuti di processo'!M225^2+'Beni durevoli'!M310^2+'Fase d''uso'!M160^2+'Fine vita'!M193^2)/1000</f>
        <v>79507.358150047978</v>
      </c>
      <c r="N12" s="1445">
        <f>(Energia!N190+'Non-energetici'!N156+Input!N255+Imballaggi!N154+'Trasporti merci'!N687+'Trasporto persone'!N451+'Rifiuti di processo'!N225+'Beni durevoli'!N310+'Fase d''uso'!N160+'Fine vita'!N193)/1000</f>
        <v>0</v>
      </c>
      <c r="O12" s="1731"/>
      <c r="P12" s="177">
        <v>1</v>
      </c>
      <c r="Q12" s="1441">
        <f t="shared" si="0"/>
        <v>10000</v>
      </c>
      <c r="R12" s="1441">
        <f t="shared" si="0"/>
        <v>3000</v>
      </c>
      <c r="S12" s="1441">
        <f t="shared" si="0"/>
        <v>265000</v>
      </c>
      <c r="T12" s="1441">
        <f t="shared" si="0"/>
        <v>0</v>
      </c>
      <c r="U12" s="1441">
        <f t="shared" si="0"/>
        <v>0</v>
      </c>
      <c r="V12" s="1442">
        <f t="shared" si="0"/>
        <v>278000</v>
      </c>
      <c r="W12" s="1443">
        <f t="shared" si="0"/>
        <v>0</v>
      </c>
      <c r="X12" s="1443">
        <f t="shared" si="0"/>
        <v>0</v>
      </c>
      <c r="Y12" s="1444">
        <f t="shared" si="0"/>
        <v>79507.358150047978</v>
      </c>
      <c r="Z12" s="1445">
        <f t="shared" si="0"/>
        <v>0</v>
      </c>
      <c r="AA12" s="1731"/>
    </row>
    <row r="13" spans="1:27" x14ac:dyDescent="0.15">
      <c r="B13" s="1997"/>
      <c r="C13" s="1435">
        <v>4</v>
      </c>
      <c r="D13" s="1438" t="str">
        <f>+Energia!B191</f>
        <v>Emissioni dirette da  fonti fugitive</v>
      </c>
      <c r="E13" s="1441">
        <f>(Energia!E191++'Non-energetici'!E157+Input!E256+Imballaggi!E155+'Trasporti merci'!E688+'Trasporto persone'!E452+'Rifiuti di processo'!E226+'Beni durevoli'!E311+'Fase d''uso'!E161+'Fine vita'!E194)/1000</f>
        <v>0</v>
      </c>
      <c r="F13" s="1441">
        <f>(Energia!F191++'Non-energetici'!F157+Input!F256+Imballaggi!F155+'Trasporti merci'!F688+'Trasporto persone'!F452+'Rifiuti di processo'!F226+'Beni durevoli'!F311+'Fase d''uso'!F161+'Fine vita'!F194)/1000</f>
        <v>0</v>
      </c>
      <c r="G13" s="1441">
        <f>(Energia!G191++'Non-energetici'!G157+Input!G256+Imballaggi!G155+'Trasporti merci'!G688+'Trasporto persone'!G452+'Rifiuti di processo'!G226+'Beni durevoli'!G311+'Fase d''uso'!G161+'Fine vita'!G194)/1000</f>
        <v>0</v>
      </c>
      <c r="H13" s="1441">
        <f>(Energia!H191++'Non-energetici'!H157+Input!H256+Imballaggi!H155+'Trasporti merci'!H688+'Trasporto persone'!H452+'Rifiuti di processo'!H226+'Beni durevoli'!H311+'Fase d''uso'!H161+'Fine vita'!H194)/1000</f>
        <v>0</v>
      </c>
      <c r="I13" s="1441">
        <f>(Energia!I191++'Non-energetici'!I157+Input!I256+Imballaggi!I155+'Trasporti merci'!I688+'Trasporto persone'!I452+'Rifiuti di processo'!I226+'Beni durevoli'!I311+'Fase d''uso'!I161+'Fine vita'!I194)/1000</f>
        <v>0</v>
      </c>
      <c r="J13" s="1442">
        <f>(Energia!J191+'Non-energetici'!J157+Input!J256+Imballaggi!J155+'Trasporti merci'!J688+'Trasporto persone'!J452+'Rifiuti di processo'!J226+'Beni durevoli'!J311+'Fase d''uso'!J161+'Fine vita'!J194)/1000</f>
        <v>0</v>
      </c>
      <c r="K13" s="1443">
        <f>(Energia!K191+'Non-energetici'!K157+Input!K256+Imballaggi!K155+'Trasporti merci'!K688+'Trasporto persone'!K452+'Rifiuti di processo'!K226+'Beni durevoli'!K311+'Fase d''uso'!K161+'Fine vita'!K194)/1000</f>
        <v>0</v>
      </c>
      <c r="L13" s="1443">
        <f>(Energia!L191+'Non-energetici'!L157+Input!L256+Imballaggi!L155+'Trasporti merci'!L688+'Trasporto persone'!L452+'Rifiuti di processo'!L226+'Beni durevoli'!L311+'Fase d''uso'!L161+'Fine vita'!L194)/1000</f>
        <v>0</v>
      </c>
      <c r="M13" s="1444">
        <f>SQRT(Energia!M191^2+'Non-energetici'!M157^2+Input!M256^2+Imballaggi!M155^2+'Trasporti merci'!M688^2+'Trasporto persone'!M452^2+'Rifiuti di processo'!M226^2+'Beni durevoli'!M311^2+'Fase d''uso'!M161^2+'Fine vita'!M194^2)/1000</f>
        <v>0</v>
      </c>
      <c r="N13" s="1445">
        <f>(Energia!N191+'Non-energetici'!N157+Input!N256+Imballaggi!N155+'Trasporti merci'!N688+'Trasporto persone'!N452+'Rifiuti di processo'!N226+'Beni durevoli'!N311+'Fase d''uso'!N161+'Fine vita'!N194)/1000</f>
        <v>0</v>
      </c>
      <c r="O13" s="1731"/>
      <c r="P13" s="177">
        <v>1</v>
      </c>
      <c r="Q13" s="1441">
        <f t="shared" si="0"/>
        <v>0</v>
      </c>
      <c r="R13" s="1441">
        <f t="shared" si="0"/>
        <v>0</v>
      </c>
      <c r="S13" s="1441">
        <f t="shared" si="0"/>
        <v>0</v>
      </c>
      <c r="T13" s="1441">
        <f t="shared" si="0"/>
        <v>0</v>
      </c>
      <c r="U13" s="1441">
        <f t="shared" si="0"/>
        <v>0</v>
      </c>
      <c r="V13" s="1442">
        <f t="shared" si="0"/>
        <v>0</v>
      </c>
      <c r="W13" s="1443">
        <f t="shared" si="0"/>
        <v>0</v>
      </c>
      <c r="X13" s="1443">
        <f t="shared" si="0"/>
        <v>0</v>
      </c>
      <c r="Y13" s="1444">
        <f t="shared" si="0"/>
        <v>0</v>
      </c>
      <c r="Z13" s="1445">
        <f t="shared" si="0"/>
        <v>0</v>
      </c>
      <c r="AA13" s="1731"/>
    </row>
    <row r="14" spans="1:27" x14ac:dyDescent="0.15">
      <c r="B14" s="1997"/>
      <c r="C14" s="1435">
        <v>5</v>
      </c>
      <c r="D14" s="1438" t="str">
        <f>+Energia!B192</f>
        <v>Emissioni dirette da LULUCF</v>
      </c>
      <c r="E14" s="1452"/>
      <c r="F14" s="1452"/>
      <c r="G14" s="1452"/>
      <c r="H14" s="1452"/>
      <c r="I14" s="1452"/>
      <c r="J14" s="1453"/>
      <c r="K14" s="1452"/>
      <c r="L14" s="1452"/>
      <c r="M14" s="1452"/>
      <c r="N14" s="1446"/>
      <c r="O14" s="1731"/>
      <c r="P14" s="177">
        <v>1</v>
      </c>
      <c r="Q14" s="1441">
        <f t="shared" ref="Q14:Y14" si="1">IF($E$4="Yes",0,IF($E$5="Yes",0,E14*$P14))</f>
        <v>0</v>
      </c>
      <c r="R14" s="1441">
        <f t="shared" si="1"/>
        <v>0</v>
      </c>
      <c r="S14" s="1441">
        <f t="shared" si="1"/>
        <v>0</v>
      </c>
      <c r="T14" s="1441">
        <f t="shared" si="1"/>
        <v>0</v>
      </c>
      <c r="U14" s="1441">
        <f t="shared" si="1"/>
        <v>0</v>
      </c>
      <c r="V14" s="1442">
        <f t="shared" si="1"/>
        <v>0</v>
      </c>
      <c r="W14" s="1443">
        <f t="shared" si="1"/>
        <v>0</v>
      </c>
      <c r="X14" s="1443">
        <f t="shared" si="1"/>
        <v>0</v>
      </c>
      <c r="Y14" s="1444">
        <f t="shared" si="1"/>
        <v>0</v>
      </c>
      <c r="Z14" s="1446"/>
      <c r="AA14" s="1731"/>
    </row>
    <row r="15" spans="1:27" x14ac:dyDescent="0.15">
      <c r="B15" s="1997"/>
      <c r="C15" s="1998" t="s">
        <v>98</v>
      </c>
      <c r="D15" s="1999"/>
      <c r="E15" s="1447">
        <f>SUM(E10:E14)</f>
        <v>10000</v>
      </c>
      <c r="F15" s="1447">
        <f t="shared" ref="F15:N15" si="2">SUM(F10:F14)</f>
        <v>3000</v>
      </c>
      <c r="G15" s="1447">
        <f t="shared" si="2"/>
        <v>265000</v>
      </c>
      <c r="H15" s="1447">
        <f t="shared" si="2"/>
        <v>0</v>
      </c>
      <c r="I15" s="1447">
        <f t="shared" si="2"/>
        <v>0</v>
      </c>
      <c r="J15" s="1447">
        <f t="shared" si="2"/>
        <v>278000.397</v>
      </c>
      <c r="K15" s="1448">
        <f t="shared" si="2"/>
        <v>0</v>
      </c>
      <c r="L15" s="1448">
        <f t="shared" si="2"/>
        <v>0</v>
      </c>
      <c r="M15" s="1449">
        <f>SQRT(SUMSQ(M10:M14))</f>
        <v>79507.358150047978</v>
      </c>
      <c r="N15" s="1450">
        <f t="shared" si="2"/>
        <v>0</v>
      </c>
      <c r="O15" s="1732"/>
      <c r="P15" s="1254"/>
      <c r="Q15" s="1447">
        <f>SUM(Q10:Q14)</f>
        <v>10000</v>
      </c>
      <c r="R15" s="1447">
        <f t="shared" ref="R15:X15" si="3">SUM(R10:R14)</f>
        <v>3000</v>
      </c>
      <c r="S15" s="1447">
        <f t="shared" si="3"/>
        <v>265000</v>
      </c>
      <c r="T15" s="1447">
        <f t="shared" si="3"/>
        <v>0</v>
      </c>
      <c r="U15" s="1447">
        <f t="shared" si="3"/>
        <v>0</v>
      </c>
      <c r="V15" s="1447">
        <f t="shared" si="3"/>
        <v>278000.397</v>
      </c>
      <c r="W15" s="1448">
        <f t="shared" si="3"/>
        <v>0</v>
      </c>
      <c r="X15" s="1448">
        <f t="shared" si="3"/>
        <v>0</v>
      </c>
      <c r="Y15" s="1449">
        <f>SQRT(SUMSQ(Y10:Y14))</f>
        <v>79507.358150047978</v>
      </c>
      <c r="Z15" s="1450">
        <f>SUM(Z10:Z14)</f>
        <v>0</v>
      </c>
      <c r="AA15" s="1732"/>
    </row>
    <row r="16" spans="1:27" x14ac:dyDescent="0.15">
      <c r="B16" s="1997" t="s">
        <v>122</v>
      </c>
      <c r="C16" s="1435">
        <v>6</v>
      </c>
      <c r="D16" s="1438" t="str">
        <f>+Energia!B194</f>
        <v xml:space="preserve">Emissioni indirette da consumo di elettricità </v>
      </c>
      <c r="E16" s="1454">
        <f>(Energia!E194+'Non-energetici'!E160+Input!E259+Imballaggi!E158+'Trasporti merci'!E691+'Trasporto persone'!E455+'Rifiuti di processo'!E229+'Beni durevoli'!E314+'Fase d''uso'!E164+'Fine vita'!E197)/1000</f>
        <v>0</v>
      </c>
      <c r="F16" s="1454">
        <f>(Energia!F194+'Non-energetici'!F160+Input!F259+Imballaggi!F158+'Trasporti merci'!F691+'Trasporto persone'!F455+'Rifiuti di processo'!F229+'Beni durevoli'!F314+'Fase d''uso'!F164+'Fine vita'!F197)/1000</f>
        <v>0</v>
      </c>
      <c r="G16" s="1454">
        <f>(Energia!G194+'Non-energetici'!G160+Input!G259+Imballaggi!G158+'Trasporti merci'!G691+'Trasporto persone'!G455+'Rifiuti di processo'!G229+'Beni durevoli'!G314+'Fase d''uso'!G164+'Fine vita'!G197)/1000</f>
        <v>0</v>
      </c>
      <c r="H16" s="1454">
        <f>(Energia!H194+'Non-energetici'!H160+Input!H259+Imballaggi!H158+'Trasporti merci'!H691+'Trasporto persone'!H455+'Rifiuti di processo'!H229+'Beni durevoli'!H314+'Fase d''uso'!H164+'Fine vita'!H197)/1000</f>
        <v>0</v>
      </c>
      <c r="I16" s="1454">
        <f>(Energia!I194+'Non-energetici'!I160+Input!I259+Imballaggi!I158+'Trasporti merci'!I691+'Trasporto persone'!I455+'Rifiuti di processo'!I229+'Beni durevoli'!I314+'Fase d''uso'!I164+'Fine vita'!I197)/1000</f>
        <v>0</v>
      </c>
      <c r="J16" s="1442">
        <f>(Energia!J194+'Non-energetici'!J160+Input!J259+Imballaggi!J158+'Trasporti merci'!J691+'Trasporto persone'!J455+'Rifiuti di processo'!J229+'Beni durevoli'!J314+'Fase d''uso'!J164+'Fine vita'!J197)/1000</f>
        <v>0.18240000000000001</v>
      </c>
      <c r="K16" s="1455">
        <f>(Energia!K194+'Non-energetici'!K160+Input!K259+Imballaggi!K158+'Trasporti merci'!K691+'Trasporto persone'!K455+'Rifiuti di processo'!K229+'Beni durevoli'!K314+'Fase d''uso'!K164+'Fine vita'!K197)/1000</f>
        <v>0</v>
      </c>
      <c r="L16" s="1455">
        <f>(Energia!L194+'Non-energetici'!L160+Input!L259+Imballaggi!L158+'Trasporti merci'!L691+'Trasporto persone'!L455+'Rifiuti di processo'!L229+'Beni durevoli'!L314+'Fase d''uso'!L164+'Fine vita'!L197)/1000</f>
        <v>0</v>
      </c>
      <c r="M16" s="1444">
        <f>SQRT(Energia!M194^2+'Non-energetici'!M160^2+Input!M259^2+Imballaggi!M158^2+'Trasporti merci'!M691^2+'Trasporto persone'!M455^2+'Rifiuti di processo'!M229^2+'Beni durevoli'!M314^2+'Fase d''uso'!M164^2+'Fine vita'!M197^2)/1000</f>
        <v>0</v>
      </c>
      <c r="N16" s="1445">
        <f>(Energia!N194+'Non-energetici'!N160+Input!N259+Imballaggi!N158+'Trasporti merci'!N691+'Trasporto persone'!N455+'Rifiuti di processo'!N229+'Beni durevoli'!N314+'Fase d''uso'!N164+'Fine vita'!N197)/1000</f>
        <v>0</v>
      </c>
      <c r="O16" s="1445">
        <f>(Energia!O194+'Non-energetici'!O160+Input!O259+Imballaggi!O158+'Trasporti merci'!O691+'Trasporto persone'!O455+'Rifiuti di processo'!O229+'Beni durevoli'!O314+'Fase d''uso'!O164+'Fine vita'!O197)/1000</f>
        <v>0</v>
      </c>
      <c r="P16" s="177">
        <v>1</v>
      </c>
      <c r="Q16" s="1454">
        <f t="shared" ref="Q16:AA17" si="4">IF($E$4="Yes",0,IF($E$5="Yes",0,E16*$P16))</f>
        <v>0</v>
      </c>
      <c r="R16" s="1454">
        <f t="shared" si="4"/>
        <v>0</v>
      </c>
      <c r="S16" s="1454">
        <f t="shared" si="4"/>
        <v>0</v>
      </c>
      <c r="T16" s="1454">
        <f t="shared" si="4"/>
        <v>0</v>
      </c>
      <c r="U16" s="1454">
        <f t="shared" si="4"/>
        <v>0</v>
      </c>
      <c r="V16" s="1442">
        <f t="shared" si="4"/>
        <v>0.18240000000000001</v>
      </c>
      <c r="W16" s="1455">
        <f t="shared" si="4"/>
        <v>0</v>
      </c>
      <c r="X16" s="1455">
        <f t="shared" si="4"/>
        <v>0</v>
      </c>
      <c r="Y16" s="1444">
        <f t="shared" si="4"/>
        <v>0</v>
      </c>
      <c r="Z16" s="1445">
        <f t="shared" si="4"/>
        <v>0</v>
      </c>
      <c r="AA16" s="1445">
        <f t="shared" si="4"/>
        <v>0</v>
      </c>
    </row>
    <row r="17" spans="2:27" x14ac:dyDescent="0.15">
      <c r="B17" s="1997"/>
      <c r="C17" s="1435">
        <v>7</v>
      </c>
      <c r="D17" s="1438" t="str">
        <f>+Energia!B195</f>
        <v xml:space="preserve">Emissioni indirette da consumi di energia di rete (senza l'eletricita) </v>
      </c>
      <c r="E17" s="1454">
        <f>(Energia!E195+'Non-energetici'!E161+Input!E260+Imballaggi!E159+'Trasporti merci'!E692+'Trasporto persone'!E456+'Rifiuti di processo'!E230+'Beni durevoli'!E315+'Fase d''uso'!E165+'Fine vita'!E198)/1000</f>
        <v>0</v>
      </c>
      <c r="F17" s="1454">
        <f>(Energia!F195+'Non-energetici'!F161+Input!F260+Imballaggi!F159+'Trasporti merci'!F692+'Trasporto persone'!F456+'Rifiuti di processo'!F230+'Beni durevoli'!F315+'Fase d''uso'!F165+'Fine vita'!F198)/1000</f>
        <v>0</v>
      </c>
      <c r="G17" s="1454">
        <f>(Energia!G195+'Non-energetici'!G161+Input!G260+Imballaggi!G159+'Trasporti merci'!G692+'Trasporto persone'!G456+'Rifiuti di processo'!G230+'Beni durevoli'!G315+'Fase d''uso'!G165+'Fine vita'!G198)/1000</f>
        <v>0</v>
      </c>
      <c r="H17" s="1454">
        <f>(Energia!H195+'Non-energetici'!H161+Input!H260+Imballaggi!H159+'Trasporti merci'!H692+'Trasporto persone'!H456+'Rifiuti di processo'!H230+'Beni durevoli'!H315+'Fase d''uso'!H165+'Fine vita'!H198)/1000</f>
        <v>0</v>
      </c>
      <c r="I17" s="1454">
        <f>(Energia!I195+'Non-energetici'!I161+Input!I260+Imballaggi!I159+'Trasporti merci'!I692+'Trasporto persone'!I456+'Rifiuti di processo'!I230+'Beni durevoli'!I315+'Fase d''uso'!I165+'Fine vita'!I198)/1000</f>
        <v>0</v>
      </c>
      <c r="J17" s="1442">
        <f>(Energia!J195+'Non-energetici'!J161+Input!J260+Imballaggi!J159+'Trasporti merci'!J692+'Trasporto persone'!J456+'Rifiuti di processo'!J230+'Beni durevoli'!J315+'Fase d''uso'!J165+'Fine vita'!J198)/1000</f>
        <v>0</v>
      </c>
      <c r="K17" s="1455">
        <f>(Energia!K195+'Non-energetici'!K161+Input!K260+Imballaggi!K159+'Trasporti merci'!K692+'Trasporto persone'!K456+'Rifiuti di processo'!K230+'Beni durevoli'!K315+'Fase d''uso'!K165+'Fine vita'!K198)/1000</f>
        <v>0</v>
      </c>
      <c r="L17" s="1455">
        <f>(Energia!L195+'Non-energetici'!L161+Input!L260+Imballaggi!L159+'Trasporti merci'!L692+'Trasporto persone'!L456+'Rifiuti di processo'!L230+'Beni durevoli'!L315+'Fase d''uso'!L165+'Fine vita'!L198)/1000</f>
        <v>0</v>
      </c>
      <c r="M17" s="1444">
        <f>SQRT(Energia!M195^2+'Non-energetici'!M161^2+Input!M260^2+Imballaggi!M159^2+'Trasporti merci'!M692^2+'Trasporto persone'!M456^2+'Rifiuti di processo'!M230^2+'Beni durevoli'!M315^2+'Fase d''uso'!M165^2+'Fine vita'!M198^2)/1000</f>
        <v>0</v>
      </c>
      <c r="N17" s="1445">
        <f>(Energia!N195+'Non-energetici'!N161+Input!N260+Imballaggi!N159+'Trasporti merci'!N692+'Trasporto persone'!N456+'Rifiuti di processo'!N230+'Beni durevoli'!N315+'Fase d''uso'!N165+'Fine vita'!N198)/1000</f>
        <v>0</v>
      </c>
      <c r="O17" s="1445">
        <f>(Energia!O195+'Non-energetici'!O161+Input!O260+Imballaggi!O159+'Trasporti merci'!O692+'Trasporto persone'!O456+'Rifiuti di processo'!O230+'Beni durevoli'!O315+'Fase d''uso'!O165+'Fine vita'!O198)/1000</f>
        <v>0</v>
      </c>
      <c r="P17" s="177">
        <v>1</v>
      </c>
      <c r="Q17" s="1454">
        <f t="shared" si="4"/>
        <v>0</v>
      </c>
      <c r="R17" s="1454">
        <f t="shared" si="4"/>
        <v>0</v>
      </c>
      <c r="S17" s="1454">
        <f t="shared" si="4"/>
        <v>0</v>
      </c>
      <c r="T17" s="1454">
        <f t="shared" si="4"/>
        <v>0</v>
      </c>
      <c r="U17" s="1454">
        <f t="shared" si="4"/>
        <v>0</v>
      </c>
      <c r="V17" s="1442">
        <f t="shared" si="4"/>
        <v>0</v>
      </c>
      <c r="W17" s="1455">
        <f t="shared" si="4"/>
        <v>0</v>
      </c>
      <c r="X17" s="1455">
        <f t="shared" si="4"/>
        <v>0</v>
      </c>
      <c r="Y17" s="1444">
        <f t="shared" si="4"/>
        <v>0</v>
      </c>
      <c r="Z17" s="1445">
        <f t="shared" si="4"/>
        <v>0</v>
      </c>
      <c r="AA17" s="1445">
        <f t="shared" si="4"/>
        <v>0</v>
      </c>
    </row>
    <row r="18" spans="2:27" x14ac:dyDescent="0.15">
      <c r="B18" s="1997"/>
      <c r="C18" s="1998" t="s">
        <v>97</v>
      </c>
      <c r="D18" s="1999"/>
      <c r="E18" s="1456">
        <f>SUM(E16:E17)</f>
        <v>0</v>
      </c>
      <c r="F18" s="1456">
        <f t="shared" ref="F18:O18" si="5">SUM(F16:F17)</f>
        <v>0</v>
      </c>
      <c r="G18" s="1456">
        <f t="shared" si="5"/>
        <v>0</v>
      </c>
      <c r="H18" s="1456">
        <f t="shared" si="5"/>
        <v>0</v>
      </c>
      <c r="I18" s="1456">
        <f t="shared" si="5"/>
        <v>0</v>
      </c>
      <c r="J18" s="1447">
        <f t="shared" si="5"/>
        <v>0.18240000000000001</v>
      </c>
      <c r="K18" s="1457">
        <f t="shared" si="5"/>
        <v>0</v>
      </c>
      <c r="L18" s="1457">
        <f t="shared" si="5"/>
        <v>0</v>
      </c>
      <c r="M18" s="1449">
        <f>SQRT(SUMSQ(M16:M17))</f>
        <v>0</v>
      </c>
      <c r="N18" s="1450">
        <f t="shared" si="5"/>
        <v>0</v>
      </c>
      <c r="O18" s="1450">
        <f t="shared" si="5"/>
        <v>0</v>
      </c>
      <c r="P18" s="1254"/>
      <c r="Q18" s="1456">
        <f>SUM(Q16:Q17)</f>
        <v>0</v>
      </c>
      <c r="R18" s="1456">
        <f t="shared" ref="R18:X18" si="6">SUM(R16:R17)</f>
        <v>0</v>
      </c>
      <c r="S18" s="1456">
        <f t="shared" si="6"/>
        <v>0</v>
      </c>
      <c r="T18" s="1456">
        <f t="shared" si="6"/>
        <v>0</v>
      </c>
      <c r="U18" s="1456">
        <f t="shared" si="6"/>
        <v>0</v>
      </c>
      <c r="V18" s="1447">
        <f t="shared" si="6"/>
        <v>0.18240000000000001</v>
      </c>
      <c r="W18" s="1457">
        <f t="shared" si="6"/>
        <v>0</v>
      </c>
      <c r="X18" s="1457">
        <f t="shared" si="6"/>
        <v>0</v>
      </c>
      <c r="Y18" s="1449">
        <f>SQRT(SUMSQ(Y16:Y17))</f>
        <v>0</v>
      </c>
      <c r="Z18" s="1450">
        <f>SUM(Z16:Z17)</f>
        <v>0</v>
      </c>
      <c r="AA18" s="1450">
        <f>SUM(AA16:AA17)</f>
        <v>0</v>
      </c>
    </row>
    <row r="19" spans="2:27" x14ac:dyDescent="0.15">
      <c r="B19" s="1997" t="s">
        <v>123</v>
      </c>
      <c r="C19" s="1435">
        <v>8</v>
      </c>
      <c r="D19" s="1438" t="str">
        <f>+Energia!B197</f>
        <v>Emissioni dovute all'energia non coperte dalle sorgenti da 1 a 7</v>
      </c>
      <c r="E19" s="1454">
        <f>(Energia!E197+'Non-energetici'!E163+Input!E262+Imballaggi!E161+'Trasporti merci'!E694+'Trasporto persone'!E458+'Rifiuti di processo'!E232+'Beni durevoli'!E317+'Fase d''uso'!E167+'Fine vita'!E200)/1000</f>
        <v>0</v>
      </c>
      <c r="F19" s="1454">
        <f>(Energia!F197+'Non-energetici'!F163+Input!F262+Imballaggi!F161+'Trasporti merci'!F694+'Trasporto persone'!F458+'Rifiuti di processo'!F232+'Beni durevoli'!F317+'Fase d''uso'!F167+'Fine vita'!F200)/1000</f>
        <v>0</v>
      </c>
      <c r="G19" s="1454">
        <f>(Energia!G197+'Non-energetici'!G163+Input!G262+Imballaggi!G161+'Trasporti merci'!G694+'Trasporto persone'!G458+'Rifiuti di processo'!G232+'Beni durevoli'!G317+'Fase d''uso'!G167+'Fine vita'!G200)/1000</f>
        <v>0</v>
      </c>
      <c r="H19" s="1454">
        <f>(Energia!H197+'Non-energetici'!H163+Input!H262+Imballaggi!H161+'Trasporti merci'!H694+'Trasporto persone'!H458+'Rifiuti di processo'!H232+'Beni durevoli'!H317+'Fase d''uso'!H167+'Fine vita'!H200)/1000</f>
        <v>0</v>
      </c>
      <c r="I19" s="1454">
        <f>(Energia!I197+'Non-energetici'!I163+Input!I262+Imballaggi!I161+'Trasporti merci'!I694+'Trasporto persone'!I458+'Rifiuti di processo'!I232+'Beni durevoli'!I317+'Fase d''uso'!I167+'Fine vita'!I200)/1000</f>
        <v>0</v>
      </c>
      <c r="J19" s="1442">
        <f>(Energia!J197+'Non-energetici'!J163+Input!J262+Imballaggi!J161+'Trasporti merci'!J694+'Trasporto persone'!J458+'Rifiuti di processo'!J232+'Beni durevoli'!J317+'Fase d''uso'!J167+'Fine vita'!J200)/1000</f>
        <v>0.11451624760240926</v>
      </c>
      <c r="K19" s="1455">
        <f>(Energia!K197+'Non-energetici'!K163+Input!K262+Imballaggi!K161+'Trasporti merci'!K694+'Trasporto persone'!K458+'Rifiuti di processo'!K232+'Beni durevoli'!K317+'Fase d''uso'!K167+'Fine vita'!K200)/1000</f>
        <v>0</v>
      </c>
      <c r="L19" s="1455">
        <f>(Energia!L197+'Non-energetici'!L163+Input!L262+Imballaggi!L161+'Trasporti merci'!L694+'Trasporto persone'!L458+'Rifiuti di processo'!L232+'Beni durevoli'!L317+'Fase d''uso'!L167+'Fine vita'!L200)/1000</f>
        <v>0</v>
      </c>
      <c r="M19" s="1444">
        <f>SQRT(Energia!M197^2+'Non-energetici'!M163^2+Input!M262^2+Imballaggi!M161^2+'Trasporti merci'!M694^2+'Trasporto persone'!M458^2+'Rifiuti di processo'!M232^2+'Beni durevoli'!M317^2+'Fase d''uso'!M167^2+'Fine vita'!M200^2)/1000</f>
        <v>0</v>
      </c>
      <c r="N19" s="1445">
        <f>(Energia!N197+'Non-energetici'!N163+Input!N262+Imballaggi!N161+'Trasporti merci'!N694+'Trasporto persone'!N458+'Rifiuti di processo'!N232+'Beni durevoli'!N317+'Fase d''uso'!N167+'Fine vita'!N200)/1000</f>
        <v>0</v>
      </c>
      <c r="O19" s="1445">
        <f>(Energia!O197+'Non-energetici'!O163+Input!O262+Imballaggi!O161+'Trasporti merci'!O694+'Trasporto persone'!O458+'Rifiuti di processo'!O232+'Beni durevoli'!O317+'Fase d''uso'!O167+'Fine vita'!O200)/1000</f>
        <v>0</v>
      </c>
      <c r="P19" s="177">
        <v>1</v>
      </c>
      <c r="Q19" s="1454">
        <f t="shared" ref="Q19:AA19" si="7">IF($E$4="Yes",0,IF($E$5="Yes",0,E19*$P19))</f>
        <v>0</v>
      </c>
      <c r="R19" s="1454">
        <f t="shared" si="7"/>
        <v>0</v>
      </c>
      <c r="S19" s="1454">
        <f t="shared" si="7"/>
        <v>0</v>
      </c>
      <c r="T19" s="1454">
        <f t="shared" si="7"/>
        <v>0</v>
      </c>
      <c r="U19" s="1454">
        <f t="shared" si="7"/>
        <v>0</v>
      </c>
      <c r="V19" s="1442">
        <f t="shared" si="7"/>
        <v>0.11451624760240926</v>
      </c>
      <c r="W19" s="1455">
        <f t="shared" si="7"/>
        <v>0</v>
      </c>
      <c r="X19" s="1455">
        <f t="shared" si="7"/>
        <v>0</v>
      </c>
      <c r="Y19" s="1444">
        <f t="shared" si="7"/>
        <v>0</v>
      </c>
      <c r="Z19" s="1445">
        <f t="shared" si="7"/>
        <v>0</v>
      </c>
      <c r="AA19" s="1445">
        <f t="shared" si="7"/>
        <v>0</v>
      </c>
    </row>
    <row r="20" spans="2:27" x14ac:dyDescent="0.15">
      <c r="B20" s="1997"/>
      <c r="C20" s="1435">
        <v>9</v>
      </c>
      <c r="D20" s="1438" t="str">
        <f>+Energia!B198</f>
        <v>Beni acquistati</v>
      </c>
      <c r="E20" s="1454">
        <f>(Energia!E198+'Non-energetici'!E164+Input!E263+Imballaggi!E162+'Trasporti merci'!E695+'Trasporto persone'!E459+'Rifiuti di processo'!E233+'Beni durevoli'!E318+'Fase d''uso'!E168+'Fine vita'!E201)/1000</f>
        <v>0</v>
      </c>
      <c r="F20" s="1454">
        <f>(Energia!F198+'Non-energetici'!F164+Input!F263+Imballaggi!F162+'Trasporti merci'!F695+'Trasporto persone'!F459+'Rifiuti di processo'!F233+'Beni durevoli'!F318+'Fase d''uso'!F168+'Fine vita'!F201)/1000</f>
        <v>0</v>
      </c>
      <c r="G20" s="1454">
        <f>(Energia!G198+'Non-energetici'!G164+Input!G263+Imballaggi!G162+'Trasporti merci'!G695+'Trasporto persone'!G459+'Rifiuti di processo'!G233+'Beni durevoli'!G318+'Fase d''uso'!G168+'Fine vita'!G201)/1000</f>
        <v>0</v>
      </c>
      <c r="H20" s="1454">
        <f>(Energia!H198+'Non-energetici'!H164+Input!H263+Imballaggi!H162+'Trasporti merci'!H695+'Trasporto persone'!H459+'Rifiuti di processo'!H233+'Beni durevoli'!H318+'Fase d''uso'!H168+'Fine vita'!H201)/1000</f>
        <v>0</v>
      </c>
      <c r="I20" s="1454">
        <f>(Energia!I198+'Non-energetici'!I164+Input!I263+Imballaggi!I162+'Trasporti merci'!I695+'Trasporto persone'!I459+'Rifiuti di processo'!I233+'Beni durevoli'!I318+'Fase d''uso'!I168+'Fine vita'!I201)/1000</f>
        <v>0</v>
      </c>
      <c r="J20" s="1442">
        <f>(Energia!J198+'Non-energetici'!J164+Input!J263+Imballaggi!J162+'Trasporti merci'!J695+'Trasporto persone'!J459+'Rifiuti di processo'!J233+'Beni durevoli'!J318+'Fase d''uso'!J168+'Fine vita'!J201)/1000</f>
        <v>96.800000000000011</v>
      </c>
      <c r="K20" s="1455">
        <f>(Energia!K198+'Non-energetici'!K164+Input!K263+Imballaggi!K162+'Trasporti merci'!K695+'Trasporto persone'!K459+'Rifiuti di processo'!K233+'Beni durevoli'!K318+'Fase d''uso'!K168+'Fine vita'!K201)/1000</f>
        <v>0</v>
      </c>
      <c r="L20" s="1455">
        <f>(Energia!L198+'Non-energetici'!L164+Input!L263+Imballaggi!L162+'Trasporti merci'!L695+'Trasporto persone'!L459+'Rifiuti di processo'!L233+'Beni durevoli'!L318+'Fase d''uso'!L168+'Fine vita'!L201)/1000</f>
        <v>0</v>
      </c>
      <c r="M20" s="1444">
        <f>SQRT(Energia!M198^2+'Non-energetici'!M164^2+Input!M263^2+Imballaggi!M162^2+'Trasporti merci'!M695^2+'Trasporto persone'!M459^2+'Rifiuti di processo'!M233^2+'Beni durevoli'!M318^2+'Fase d''uso'!M168^2+'Fine vita'!M201^2)/1000</f>
        <v>19.360000000000003</v>
      </c>
      <c r="N20" s="1445">
        <f>(Energia!N198+'Non-energetici'!N164+Input!N263+Imballaggi!N162+'Trasporti merci'!N695+'Trasporto persone'!N459+'Rifiuti di processo'!N233+'Beni durevoli'!N318+'Fase d''uso'!N168+'Fine vita'!N201)/1000</f>
        <v>0</v>
      </c>
      <c r="O20" s="1445">
        <f>(Energia!O198+'Non-energetici'!O164+Input!O263+Imballaggi!O162+'Trasporti merci'!O695+'Trasporto persone'!O459+'Rifiuti di processo'!O233+'Beni durevoli'!O318+'Fase d''uso'!O168+'Fine vita'!O201)/1000</f>
        <v>0</v>
      </c>
      <c r="P20" s="177">
        <v>1</v>
      </c>
      <c r="Q20" s="1454">
        <f t="shared" ref="Q20:AA20" si="8">IF($E$4="Yes",0,IF($E$5="Yes",SUMPRODUCT(E10:E14,$P10:$P14)+SUMPRODUCT(E16:E17,$P16:$P17),E20*$P20))</f>
        <v>0</v>
      </c>
      <c r="R20" s="1454">
        <f t="shared" si="8"/>
        <v>0</v>
      </c>
      <c r="S20" s="1454">
        <f t="shared" si="8"/>
        <v>0</v>
      </c>
      <c r="T20" s="1454">
        <f t="shared" si="8"/>
        <v>0</v>
      </c>
      <c r="U20" s="1454">
        <f t="shared" si="8"/>
        <v>0</v>
      </c>
      <c r="V20" s="1442">
        <f t="shared" si="8"/>
        <v>96.800000000000011</v>
      </c>
      <c r="W20" s="1455">
        <f t="shared" si="8"/>
        <v>0</v>
      </c>
      <c r="X20" s="1455">
        <f t="shared" si="8"/>
        <v>0</v>
      </c>
      <c r="Y20" s="1444">
        <f t="shared" si="8"/>
        <v>19.360000000000003</v>
      </c>
      <c r="Z20" s="1445">
        <f t="shared" si="8"/>
        <v>0</v>
      </c>
      <c r="AA20" s="1445">
        <f t="shared" si="8"/>
        <v>0</v>
      </c>
    </row>
    <row r="21" spans="2:27" x14ac:dyDescent="0.15">
      <c r="B21" s="1997"/>
      <c r="C21" s="1435">
        <v>10</v>
      </c>
      <c r="D21" s="1438" t="str">
        <f>+Energia!B199</f>
        <v>Beni di consumo</v>
      </c>
      <c r="E21" s="1454">
        <f>(Energia!E199+'Non-energetici'!E165+Input!E264+Imballaggi!E163+'Trasporti merci'!E696+'Trasporto persone'!E460+'Rifiuti di processo'!E234+'Beni durevoli'!E319+'Fase d''uso'!E169+'Fine vita'!E202)/1000</f>
        <v>0</v>
      </c>
      <c r="F21" s="1454">
        <f>(Energia!F199+'Non-energetici'!F165+Input!F264+Imballaggi!F163+'Trasporti merci'!F696+'Trasporto persone'!F460+'Rifiuti di processo'!F234+'Beni durevoli'!F319+'Fase d''uso'!F169+'Fine vita'!F202)/1000</f>
        <v>0</v>
      </c>
      <c r="G21" s="1454">
        <f>(Energia!G199+'Non-energetici'!G165+Input!G264+Imballaggi!G163+'Trasporti merci'!G696+'Trasporto persone'!G460+'Rifiuti di processo'!G234+'Beni durevoli'!G319+'Fase d''uso'!G169+'Fine vita'!G202)/1000</f>
        <v>0</v>
      </c>
      <c r="H21" s="1454">
        <f>(Energia!H199+'Non-energetici'!H165+Input!H264+Imballaggi!H163+'Trasporti merci'!H696+'Trasporto persone'!H460+'Rifiuti di processo'!H234+'Beni durevoli'!H319+'Fase d''uso'!H169+'Fine vita'!H202)/1000</f>
        <v>0</v>
      </c>
      <c r="I21" s="1454">
        <f>(Energia!I199+'Non-energetici'!I165+Input!I264+Imballaggi!I163+'Trasporti merci'!I696+'Trasporto persone'!I460+'Rifiuti di processo'!I234+'Beni durevoli'!I319+'Fase d''uso'!I169+'Fine vita'!I202)/1000</f>
        <v>0</v>
      </c>
      <c r="J21" s="1442">
        <f>(Energia!J199+'Non-energetici'!J165+Input!J264+Imballaggi!J163+'Trasporti merci'!J696+'Trasporto persone'!J460+'Rifiuti di processo'!J234+'Beni durevoli'!J319+'Fase d''uso'!J169+'Fine vita'!J202)/1000</f>
        <v>9.760257816972107</v>
      </c>
      <c r="K21" s="1455">
        <f>(Energia!K199+'Non-energetici'!K165+Input!K264+Imballaggi!K163+'Trasporti merci'!K696+'Trasporto persone'!K460+'Rifiuti di processo'!K234+'Beni durevoli'!K319+'Fase d''uso'!K169+'Fine vita'!K202)/1000</f>
        <v>0</v>
      </c>
      <c r="L21" s="1455">
        <f>(Energia!L199+'Non-energetici'!L165+Input!L264+Imballaggi!L163+'Trasporti merci'!L696+'Trasporto persone'!L460+'Rifiuti di processo'!L234+'Beni durevoli'!L319+'Fase d''uso'!L169+'Fine vita'!L202)/1000</f>
        <v>0</v>
      </c>
      <c r="M21" s="1444">
        <f>SQRT(Energia!M199^2+'Non-energetici'!M165^2+Input!M264^2+Imballaggi!M163^2+'Trasporti merci'!M696^2+'Trasporto persone'!M460^2+'Rifiuti di processo'!M234^2+'Beni durevoli'!M319^2+'Fase d''uso'!M169^2+'Fine vita'!M202^2)/1000</f>
        <v>1.9360000000000004</v>
      </c>
      <c r="N21" s="1445">
        <f>(Energia!N199+'Non-energetici'!N165+Input!N264+Imballaggi!N163+'Trasporti merci'!N696+'Trasporto persone'!N460+'Rifiuti di processo'!N234+'Beni durevoli'!N319+'Fase d''uso'!N169+'Fine vita'!N202)/1000</f>
        <v>0</v>
      </c>
      <c r="O21" s="1445">
        <f>(Energia!O199+'Non-energetici'!O165+Input!O264+Imballaggi!O163+'Trasporti merci'!O696+'Trasporto persone'!O460+'Rifiuti di processo'!O234+'Beni durevoli'!O319+'Fase d''uso'!O169+'Fine vita'!O202)/1000</f>
        <v>0</v>
      </c>
      <c r="P21" s="177">
        <v>1</v>
      </c>
      <c r="Q21" s="1454">
        <f t="shared" ref="Q21:Q30" si="9">IF($E$4="Yes",0,IF($E$5="Yes",0,E21*$P21))</f>
        <v>0</v>
      </c>
      <c r="R21" s="1454">
        <f t="shared" ref="R21:R30" si="10">IF($E$4="Yes",0,IF($E$5="Yes",0,F21*$P21))</f>
        <v>0</v>
      </c>
      <c r="S21" s="1454">
        <f t="shared" ref="S21:S30" si="11">IF($E$4="Yes",0,IF($E$5="Yes",0,G21*$P21))</f>
        <v>0</v>
      </c>
      <c r="T21" s="1454">
        <f t="shared" ref="T21:T30" si="12">IF($E$4="Yes",0,IF($E$5="Yes",0,H21*$P21))</f>
        <v>0</v>
      </c>
      <c r="U21" s="1454">
        <f t="shared" ref="U21:U30" si="13">IF($E$4="Yes",0,IF($E$5="Yes",0,I21*$P21))</f>
        <v>0</v>
      </c>
      <c r="V21" s="1442">
        <f t="shared" ref="V21:V30" si="14">IF($E$4="Yes",0,IF($E$5="Yes",0,J21*$P21))</f>
        <v>9.760257816972107</v>
      </c>
      <c r="W21" s="1455">
        <f t="shared" ref="W21:W30" si="15">IF($E$4="Yes",0,IF($E$5="Yes",0,K21*$P21))</f>
        <v>0</v>
      </c>
      <c r="X21" s="1455">
        <f t="shared" ref="X21:X30" si="16">IF($E$4="Yes",0,IF($E$5="Yes",0,L21*$P21))</f>
        <v>0</v>
      </c>
      <c r="Y21" s="1444">
        <f t="shared" ref="Y21:Y30" si="17">IF($E$4="Yes",0,IF($E$5="Yes",0,M21*$P21))</f>
        <v>1.9360000000000004</v>
      </c>
      <c r="Z21" s="1445">
        <f t="shared" ref="Z21:Z30" si="18">IF($E$4="Yes",0,IF($E$5="Yes",0,N21*$P21))</f>
        <v>0</v>
      </c>
      <c r="AA21" s="1445">
        <f t="shared" ref="AA21:AA30" si="19">IF($E$4="Yes",0,IF($E$5="Yes",0,O21*$P21))</f>
        <v>0</v>
      </c>
    </row>
    <row r="22" spans="2:27" x14ac:dyDescent="0.15">
      <c r="B22" s="1997"/>
      <c r="C22" s="1435">
        <v>11</v>
      </c>
      <c r="D22" s="1438" t="str">
        <f>+Energia!B200</f>
        <v xml:space="preserve">Rifiuti prodotti </v>
      </c>
      <c r="E22" s="1454">
        <f>(Energia!E200+'Non-energetici'!E166+Input!E265+Imballaggi!E164+'Trasporti merci'!E697+'Trasporto persone'!E461+'Rifiuti di processo'!E235+'Beni durevoli'!E320+'Fase d''uso'!E170+'Fine vita'!E203)/1000</f>
        <v>0</v>
      </c>
      <c r="F22" s="1454">
        <f>(Energia!F200+'Non-energetici'!F166+Input!F265+Imballaggi!F164+'Trasporti merci'!F697+'Trasporto persone'!F461+'Rifiuti di processo'!F235+'Beni durevoli'!F320+'Fase d''uso'!F170+'Fine vita'!F203)/1000</f>
        <v>0</v>
      </c>
      <c r="G22" s="1454">
        <f>(Energia!G200+'Non-energetici'!G166+Input!G265+Imballaggi!G164+'Trasporti merci'!G697+'Trasporto persone'!G461+'Rifiuti di processo'!G235+'Beni durevoli'!G320+'Fase d''uso'!G170+'Fine vita'!G203)/1000</f>
        <v>0</v>
      </c>
      <c r="H22" s="1454">
        <f>(Energia!H200+'Non-energetici'!H166+Input!H265+Imballaggi!H164+'Trasporti merci'!H697+'Trasporto persone'!H461+'Rifiuti di processo'!H235+'Beni durevoli'!H320+'Fase d''uso'!H170+'Fine vita'!H203)/1000</f>
        <v>0</v>
      </c>
      <c r="I22" s="1454">
        <f>(Energia!I200+'Non-energetici'!I166+Input!I265+Imballaggi!I164+'Trasporti merci'!I697+'Trasporto persone'!I461+'Rifiuti di processo'!I235+'Beni durevoli'!I320+'Fase d''uso'!I170+'Fine vita'!I203)/1000</f>
        <v>0</v>
      </c>
      <c r="J22" s="1442">
        <f>(Energia!J200+'Non-energetici'!J166+Input!J265+Imballaggi!J164+'Trasporti merci'!J697+'Trasporto persone'!J461+'Rifiuti di processo'!J235+'Beni durevoli'!J320+'Fase d''uso'!J170+'Fine vita'!J203)/1000</f>
        <v>0</v>
      </c>
      <c r="K22" s="1455">
        <f>(Energia!K200+'Non-energetici'!K166+Input!K265+Imballaggi!K164+'Trasporti merci'!K697+'Trasporto persone'!K461+'Rifiuti di processo'!K235+'Beni durevoli'!K320+'Fase d''uso'!K170+'Fine vita'!K203)/1000</f>
        <v>0</v>
      </c>
      <c r="L22" s="1455">
        <f>(Energia!L200+'Non-energetici'!L166+Input!L265+Imballaggi!L164+'Trasporti merci'!L697+'Trasporto persone'!L461+'Rifiuti di processo'!L235+'Beni durevoli'!L320+'Fase d''uso'!L170+'Fine vita'!L203)/1000</f>
        <v>0</v>
      </c>
      <c r="M22" s="1444">
        <f>SQRT(Energia!M200^2+'Non-energetici'!M166^2+Input!M265^2+Imballaggi!M164^2+'Trasporti merci'!M697^2+'Trasporto persone'!M461^2+'Rifiuti di processo'!M235^2+'Beni durevoli'!M320^2+'Fase d''uso'!M170^2+'Fine vita'!M203^2)/1000</f>
        <v>0</v>
      </c>
      <c r="N22" s="1445">
        <f>(Energia!N200+'Non-energetici'!N166+Input!N265+Imballaggi!N164+'Trasporti merci'!N697+'Trasporto persone'!N461+'Rifiuti di processo'!N235+'Beni durevoli'!N320+'Fase d''uso'!N170+'Fine vita'!N203)/1000</f>
        <v>0</v>
      </c>
      <c r="O22" s="1445">
        <f>(Energia!O200+'Non-energetici'!O166+Input!O265+Imballaggi!O164+'Trasporti merci'!O697+'Trasporto persone'!O461+'Rifiuti di processo'!O235+'Beni durevoli'!O320+'Fase d''uso'!O170+'Fine vita'!O203)/1000</f>
        <v>0</v>
      </c>
      <c r="P22" s="177">
        <v>1</v>
      </c>
      <c r="Q22" s="1454">
        <f t="shared" si="9"/>
        <v>0</v>
      </c>
      <c r="R22" s="1454">
        <f t="shared" si="10"/>
        <v>0</v>
      </c>
      <c r="S22" s="1454">
        <f t="shared" si="11"/>
        <v>0</v>
      </c>
      <c r="T22" s="1454">
        <f t="shared" si="12"/>
        <v>0</v>
      </c>
      <c r="U22" s="1454">
        <f t="shared" si="13"/>
        <v>0</v>
      </c>
      <c r="V22" s="1442">
        <f t="shared" si="14"/>
        <v>0</v>
      </c>
      <c r="W22" s="1455">
        <f t="shared" si="15"/>
        <v>0</v>
      </c>
      <c r="X22" s="1455">
        <f t="shared" si="16"/>
        <v>0</v>
      </c>
      <c r="Y22" s="1444">
        <f t="shared" si="17"/>
        <v>0</v>
      </c>
      <c r="Z22" s="1445">
        <f t="shared" si="18"/>
        <v>0</v>
      </c>
      <c r="AA22" s="1445">
        <f t="shared" si="19"/>
        <v>0</v>
      </c>
    </row>
    <row r="23" spans="2:27" x14ac:dyDescent="0.15">
      <c r="B23" s="1997"/>
      <c r="C23" s="1435">
        <v>12</v>
      </c>
      <c r="D23" s="1438" t="str">
        <f>+Energia!B201</f>
        <v>Trasporto e distribuzione premanifattura</v>
      </c>
      <c r="E23" s="1454">
        <f>(Energia!E201+'Non-energetici'!E167+Input!E266+Imballaggi!E165+'Trasporti merci'!E698+'Trasporto persone'!E462+'Rifiuti di processo'!E236+'Beni durevoli'!E321+'Fase d''uso'!E171+'Fine vita'!E204)/1000</f>
        <v>0</v>
      </c>
      <c r="F23" s="1454">
        <f>(Energia!F201+'Non-energetici'!F167+Input!F266+Imballaggi!F165+'Trasporti merci'!F698+'Trasporto persone'!F462+'Rifiuti di processo'!F236+'Beni durevoli'!F321+'Fase d''uso'!F171+'Fine vita'!F204)/1000</f>
        <v>0</v>
      </c>
      <c r="G23" s="1454">
        <f>(Energia!G201+'Non-energetici'!G167+Input!G266+Imballaggi!G165+'Trasporti merci'!G698+'Trasporto persone'!G462+'Rifiuti di processo'!G236+'Beni durevoli'!G321+'Fase d''uso'!G171+'Fine vita'!G204)/1000</f>
        <v>0</v>
      </c>
      <c r="H23" s="1454">
        <f>(Energia!H201+'Non-energetici'!H167+Input!H266+Imballaggi!H165+'Trasporti merci'!H698+'Trasporto persone'!H462+'Rifiuti di processo'!H236+'Beni durevoli'!H321+'Fase d''uso'!H171+'Fine vita'!H204)/1000</f>
        <v>0</v>
      </c>
      <c r="I23" s="1454">
        <f>(Energia!I201+'Non-energetici'!I167+Input!I266+Imballaggi!I165+'Trasporti merci'!I698+'Trasporto persone'!I462+'Rifiuti di processo'!I236+'Beni durevoli'!I321+'Fase d''uso'!I171+'Fine vita'!I204)/1000</f>
        <v>0</v>
      </c>
      <c r="J23" s="1442">
        <f>(Energia!J201+'Non-energetici'!J167+Input!J266+Imballaggi!J165+'Trasporti merci'!J698+'Trasporto persone'!J462+'Rifiuti di processo'!J236+'Beni durevoli'!J321+'Fase d''uso'!J171+'Fine vita'!J204)/1000</f>
        <v>0</v>
      </c>
      <c r="K23" s="1455">
        <f>(Energia!K201+'Non-energetici'!K167+Input!K266+Imballaggi!K165+'Trasporti merci'!K698+'Trasporto persone'!K462+'Rifiuti di processo'!K236+'Beni durevoli'!K321+'Fase d''uso'!K171+'Fine vita'!K204)/1000</f>
        <v>0</v>
      </c>
      <c r="L23" s="1455">
        <f>(Energia!L201+'Non-energetici'!L167+Input!L266+Imballaggi!L165+'Trasporti merci'!L698+'Trasporto persone'!L462+'Rifiuti di processo'!L236+'Beni durevoli'!L321+'Fase d''uso'!L171+'Fine vita'!L204)/1000</f>
        <v>0</v>
      </c>
      <c r="M23" s="1444">
        <f>SQRT(Energia!M201^2+'Non-energetici'!M167^2+Input!M266^2+Imballaggi!M165^2+'Trasporti merci'!M698^2+'Trasporto persone'!M462^2+'Rifiuti di processo'!M236^2+'Beni durevoli'!M321^2+'Fase d''uso'!M171^2+'Fine vita'!M204^2)/1000</f>
        <v>0</v>
      </c>
      <c r="N23" s="1445">
        <f>(Energia!N201+'Non-energetici'!N167+Input!N266+Imballaggi!N165+'Trasporti merci'!N698+'Trasporto persone'!N462+'Rifiuti di processo'!N236+'Beni durevoli'!N321+'Fase d''uso'!N171+'Fine vita'!N204)/1000</f>
        <v>0</v>
      </c>
      <c r="O23" s="1445">
        <f>(Energia!O201+'Non-energetici'!O167+Input!O266+Imballaggi!O165+'Trasporti merci'!O698+'Trasporto persone'!O462+'Rifiuti di processo'!O236+'Beni durevoli'!O321+'Fase d''uso'!O171+'Fine vita'!O204)/1000</f>
        <v>0</v>
      </c>
      <c r="P23" s="177">
        <v>1</v>
      </c>
      <c r="Q23" s="1454">
        <f t="shared" si="9"/>
        <v>0</v>
      </c>
      <c r="R23" s="1454">
        <f t="shared" si="10"/>
        <v>0</v>
      </c>
      <c r="S23" s="1454">
        <f t="shared" si="11"/>
        <v>0</v>
      </c>
      <c r="T23" s="1454">
        <f t="shared" si="12"/>
        <v>0</v>
      </c>
      <c r="U23" s="1454">
        <f t="shared" si="13"/>
        <v>0</v>
      </c>
      <c r="V23" s="1442">
        <f t="shared" si="14"/>
        <v>0</v>
      </c>
      <c r="W23" s="1455">
        <f t="shared" si="15"/>
        <v>0</v>
      </c>
      <c r="X23" s="1455">
        <f t="shared" si="16"/>
        <v>0</v>
      </c>
      <c r="Y23" s="1444">
        <f t="shared" si="17"/>
        <v>0</v>
      </c>
      <c r="Z23" s="1445">
        <f t="shared" si="18"/>
        <v>0</v>
      </c>
      <c r="AA23" s="1445">
        <f t="shared" si="19"/>
        <v>0</v>
      </c>
    </row>
    <row r="24" spans="2:27" x14ac:dyDescent="0.15">
      <c r="B24" s="1997"/>
      <c r="C24" s="1435">
        <v>13</v>
      </c>
      <c r="D24" s="1438" t="str">
        <f>+Energia!B202</f>
        <v>Viaggi di lavoro</v>
      </c>
      <c r="E24" s="1454">
        <f>(Energia!E202+'Non-energetici'!E168+Input!E267+Imballaggi!E166+'Trasporti merci'!E699+'Trasporto persone'!E463+'Rifiuti di processo'!E237+'Beni durevoli'!E322+'Fase d''uso'!E172+'Fine vita'!E205)/1000</f>
        <v>0</v>
      </c>
      <c r="F24" s="1454">
        <f>(Energia!F202+'Non-energetici'!F168+Input!F267+Imballaggi!F166+'Trasporti merci'!F699+'Trasporto persone'!F463+'Rifiuti di processo'!F237+'Beni durevoli'!F322+'Fase d''uso'!F172+'Fine vita'!F205)/1000</f>
        <v>0</v>
      </c>
      <c r="G24" s="1454">
        <f>(Energia!G202+'Non-energetici'!G168+Input!G267+Imballaggi!G166+'Trasporti merci'!G699+'Trasporto persone'!G463+'Rifiuti di processo'!G237+'Beni durevoli'!G322+'Fase d''uso'!G172+'Fine vita'!G205)/1000</f>
        <v>0</v>
      </c>
      <c r="H24" s="1454">
        <f>(Energia!H202+'Non-energetici'!H168+Input!H267+Imballaggi!H166+'Trasporti merci'!H699+'Trasporto persone'!H463+'Rifiuti di processo'!H237+'Beni durevoli'!H322+'Fase d''uso'!H172+'Fine vita'!H205)/1000</f>
        <v>0</v>
      </c>
      <c r="I24" s="1454">
        <f>(Energia!I202+'Non-energetici'!I168+Input!I267+Imballaggi!I166+'Trasporti merci'!I699+'Trasporto persone'!I463+'Rifiuti di processo'!I237+'Beni durevoli'!I322+'Fase d''uso'!I172+'Fine vita'!I205)/1000</f>
        <v>0</v>
      </c>
      <c r="J24" s="1442">
        <f>(Energia!J202+'Non-energetici'!J168+Input!J267+Imballaggi!J166+'Trasporti merci'!J699+'Trasporto persone'!J463+'Rifiuti di processo'!J237+'Beni durevoli'!J322+'Fase d''uso'!J172+'Fine vita'!J205)/1000</f>
        <v>0</v>
      </c>
      <c r="K24" s="1455">
        <f>(Energia!K202+'Non-energetici'!K168+Input!K267+Imballaggi!K166+'Trasporti merci'!K699+'Trasporto persone'!K463+'Rifiuti di processo'!K237+'Beni durevoli'!K322+'Fase d''uso'!K172+'Fine vita'!K205)/1000</f>
        <v>0</v>
      </c>
      <c r="L24" s="1455">
        <f>(Energia!L202+'Non-energetici'!L168+Input!L267+Imballaggi!L166+'Trasporti merci'!L699+'Trasporto persone'!L463+'Rifiuti di processo'!L237+'Beni durevoli'!L322+'Fase d''uso'!L172+'Fine vita'!L205)/1000</f>
        <v>0</v>
      </c>
      <c r="M24" s="1444">
        <f>SQRT(Energia!M202^2+'Non-energetici'!M168^2+Input!M267^2+Imballaggi!M166^2+'Trasporti merci'!M699^2+'Trasporto persone'!M463^2+'Rifiuti di processo'!M237^2+'Beni durevoli'!M322^2+'Fase d''uso'!M172^2+'Fine vita'!M205^2)/1000</f>
        <v>0</v>
      </c>
      <c r="N24" s="1445">
        <f>(Energia!N202+'Non-energetici'!N168+Input!N267+Imballaggi!N166+'Trasporti merci'!N699+'Trasporto persone'!N463+'Rifiuti di processo'!N237+'Beni durevoli'!N322+'Fase d''uso'!N172+'Fine vita'!N205)/1000</f>
        <v>0</v>
      </c>
      <c r="O24" s="1445">
        <f>(Energia!O202+'Non-energetici'!O168+Input!O267+Imballaggi!O166+'Trasporti merci'!O699+'Trasporto persone'!O463+'Rifiuti di processo'!O237+'Beni durevoli'!O322+'Fase d''uso'!O172+'Fine vita'!O205)/1000</f>
        <v>0</v>
      </c>
      <c r="P24" s="177">
        <v>1</v>
      </c>
      <c r="Q24" s="1454">
        <f t="shared" si="9"/>
        <v>0</v>
      </c>
      <c r="R24" s="1454">
        <f t="shared" si="10"/>
        <v>0</v>
      </c>
      <c r="S24" s="1454">
        <f t="shared" si="11"/>
        <v>0</v>
      </c>
      <c r="T24" s="1454">
        <f t="shared" si="12"/>
        <v>0</v>
      </c>
      <c r="U24" s="1454">
        <f t="shared" si="13"/>
        <v>0</v>
      </c>
      <c r="V24" s="1442">
        <f t="shared" si="14"/>
        <v>0</v>
      </c>
      <c r="W24" s="1455">
        <f t="shared" si="15"/>
        <v>0</v>
      </c>
      <c r="X24" s="1455">
        <f t="shared" si="16"/>
        <v>0</v>
      </c>
      <c r="Y24" s="1444">
        <f t="shared" si="17"/>
        <v>0</v>
      </c>
      <c r="Z24" s="1445">
        <f t="shared" si="18"/>
        <v>0</v>
      </c>
      <c r="AA24" s="1445">
        <f t="shared" si="19"/>
        <v>0</v>
      </c>
    </row>
    <row r="25" spans="2:27" x14ac:dyDescent="0.15">
      <c r="B25" s="1997"/>
      <c r="C25" s="1435">
        <v>14</v>
      </c>
      <c r="D25" s="1438" t="str">
        <f>+Energia!B203</f>
        <v>Upstream leased assets</v>
      </c>
      <c r="E25" s="1454">
        <f>(Energia!E203+'Non-energetici'!E169+Input!E268+Imballaggi!E167+'Trasporti merci'!E700+'Trasporto persone'!E464+'Rifiuti di processo'!E238+'Beni durevoli'!E323+'Fase d''uso'!E173+'Fine vita'!E206)/1000</f>
        <v>0</v>
      </c>
      <c r="F25" s="1454">
        <f>(Energia!F203+'Non-energetici'!F169+Input!F268+Imballaggi!F167+'Trasporti merci'!F700+'Trasporto persone'!F464+'Rifiuti di processo'!F238+'Beni durevoli'!F323+'Fase d''uso'!F173+'Fine vita'!F206)/1000</f>
        <v>0</v>
      </c>
      <c r="G25" s="1454">
        <f>(Energia!G203+'Non-energetici'!G169+Input!G268+Imballaggi!G167+'Trasporti merci'!G700+'Trasporto persone'!G464+'Rifiuti di processo'!G238+'Beni durevoli'!G323+'Fase d''uso'!G173+'Fine vita'!G206)/1000</f>
        <v>0</v>
      </c>
      <c r="H25" s="1454">
        <f>(Energia!H203+'Non-energetici'!H169+Input!H268+Imballaggi!H167+'Trasporti merci'!H700+'Trasporto persone'!H464+'Rifiuti di processo'!H238+'Beni durevoli'!H323+'Fase d''uso'!H173+'Fine vita'!H206)/1000</f>
        <v>0</v>
      </c>
      <c r="I25" s="1454">
        <f>(Energia!I203+'Non-energetici'!I169+Input!I268+Imballaggi!I167+'Trasporti merci'!I700+'Trasporto persone'!I464+'Rifiuti di processo'!I238+'Beni durevoli'!I323+'Fase d''uso'!I173+'Fine vita'!I206)/1000</f>
        <v>0</v>
      </c>
      <c r="J25" s="1442">
        <f>(Energia!J203+'Non-energetici'!J169+Input!J268+Imballaggi!J167+'Trasporti merci'!J700+'Trasporto persone'!J464+'Rifiuti di processo'!J238+'Beni durevoli'!J323+'Fase d''uso'!J173+'Fine vita'!J206)/1000</f>
        <v>0.31555459790784857</v>
      </c>
      <c r="K25" s="1455">
        <f>(Energia!K203+'Non-energetici'!K169+Input!K268+Imballaggi!K167+'Trasporti merci'!K700+'Trasporto persone'!K464+'Rifiuti di processo'!K238+'Beni durevoli'!K323+'Fase d''uso'!K173+'Fine vita'!K206)/1000</f>
        <v>0</v>
      </c>
      <c r="L25" s="1455">
        <f>(Energia!L203+'Non-energetici'!L169+Input!L268+Imballaggi!L167+'Trasporti merci'!L700+'Trasporto persone'!L464+'Rifiuti di processo'!L238+'Beni durevoli'!L323+'Fase d''uso'!L173+'Fine vita'!L206)/1000</f>
        <v>0</v>
      </c>
      <c r="M25" s="1444">
        <f>SQRT(Energia!M203^2+'Non-energetici'!M169^2+Input!M268^2+Imballaggi!M167^2+'Trasporti merci'!M700^2+'Trasporto persone'!M464^2+'Rifiuti di processo'!M238^2+'Beni durevoli'!M323^2+'Fase d''uso'!M173^2+'Fine vita'!M206^2)/1000</f>
        <v>0</v>
      </c>
      <c r="N25" s="1445">
        <f>(Energia!N203+'Non-energetici'!N169+Input!N268+Imballaggi!N167+'Trasporti merci'!N700+'Trasporto persone'!N464+'Rifiuti di processo'!N238+'Beni durevoli'!N323+'Fase d''uso'!N173+'Fine vita'!N206)/1000</f>
        <v>0</v>
      </c>
      <c r="O25" s="1445">
        <f>(Energia!O203+'Non-energetici'!O169+Input!O268+Imballaggi!O167+'Trasporti merci'!O700+'Trasporto persone'!O464+'Rifiuti di processo'!O238+'Beni durevoli'!O323+'Fase d''uso'!O173+'Fine vita'!O206)/1000</f>
        <v>0</v>
      </c>
      <c r="P25" s="177">
        <v>1</v>
      </c>
      <c r="Q25" s="1454">
        <f t="shared" si="9"/>
        <v>0</v>
      </c>
      <c r="R25" s="1454">
        <f t="shared" si="10"/>
        <v>0</v>
      </c>
      <c r="S25" s="1454">
        <f t="shared" si="11"/>
        <v>0</v>
      </c>
      <c r="T25" s="1454">
        <f t="shared" si="12"/>
        <v>0</v>
      </c>
      <c r="U25" s="1454">
        <f t="shared" si="13"/>
        <v>0</v>
      </c>
      <c r="V25" s="1442">
        <f t="shared" si="14"/>
        <v>0.31555459790784857</v>
      </c>
      <c r="W25" s="1455">
        <f t="shared" si="15"/>
        <v>0</v>
      </c>
      <c r="X25" s="1455">
        <f t="shared" si="16"/>
        <v>0</v>
      </c>
      <c r="Y25" s="1444">
        <f t="shared" si="17"/>
        <v>0</v>
      </c>
      <c r="Z25" s="1445">
        <f t="shared" si="18"/>
        <v>0</v>
      </c>
      <c r="AA25" s="1445">
        <f t="shared" si="19"/>
        <v>0</v>
      </c>
    </row>
    <row r="26" spans="2:27" x14ac:dyDescent="0.15">
      <c r="B26" s="1997"/>
      <c r="C26" s="1435">
        <v>15</v>
      </c>
      <c r="D26" s="1438" t="str">
        <f>+Energia!B204</f>
        <v>Investimenti</v>
      </c>
      <c r="E26" s="1452"/>
      <c r="F26" s="1452"/>
      <c r="G26" s="1452"/>
      <c r="H26" s="1452"/>
      <c r="I26" s="1452"/>
      <c r="J26" s="1452"/>
      <c r="K26" s="1452"/>
      <c r="L26" s="1452"/>
      <c r="M26" s="1452"/>
      <c r="N26" s="1452"/>
      <c r="O26" s="1452"/>
      <c r="P26" s="177">
        <v>1</v>
      </c>
      <c r="Q26" s="1454">
        <f t="shared" si="9"/>
        <v>0</v>
      </c>
      <c r="R26" s="1454">
        <f t="shared" si="10"/>
        <v>0</v>
      </c>
      <c r="S26" s="1454">
        <f t="shared" si="11"/>
        <v>0</v>
      </c>
      <c r="T26" s="1454">
        <f t="shared" si="12"/>
        <v>0</v>
      </c>
      <c r="U26" s="1454">
        <f t="shared" si="13"/>
        <v>0</v>
      </c>
      <c r="V26" s="1442">
        <f t="shared" si="14"/>
        <v>0</v>
      </c>
      <c r="W26" s="1455">
        <f t="shared" si="15"/>
        <v>0</v>
      </c>
      <c r="X26" s="1455">
        <f t="shared" si="16"/>
        <v>0</v>
      </c>
      <c r="Y26" s="1444">
        <f t="shared" si="17"/>
        <v>0</v>
      </c>
      <c r="Z26" s="1445">
        <f t="shared" si="18"/>
        <v>0</v>
      </c>
      <c r="AA26" s="1445">
        <f t="shared" si="19"/>
        <v>0</v>
      </c>
    </row>
    <row r="27" spans="2:27" x14ac:dyDescent="0.15">
      <c r="B27" s="1997"/>
      <c r="C27" s="1435">
        <v>16</v>
      </c>
      <c r="D27" s="1438" t="str">
        <f>+Energia!B205</f>
        <v xml:space="preserve">Trasporto di clienti e visitatori </v>
      </c>
      <c r="E27" s="1454">
        <f>(Energia!E205+'Non-energetici'!E171+Input!E270+Imballaggi!E169+'Trasporti merci'!E702+'Trasporto persone'!E466+'Rifiuti di processo'!E240+'Beni durevoli'!E325+'Fase d''uso'!E175+'Fine vita'!E208)/1000</f>
        <v>0</v>
      </c>
      <c r="F27" s="1454">
        <f>(Energia!F205+'Non-energetici'!F171+Input!F270+Imballaggi!F169+'Trasporti merci'!F702+'Trasporto persone'!F466+'Rifiuti di processo'!F240+'Beni durevoli'!F325+'Fase d''uso'!F175+'Fine vita'!F208)/1000</f>
        <v>0</v>
      </c>
      <c r="G27" s="1454">
        <f>(Energia!G205+'Non-energetici'!G171+Input!G270+Imballaggi!G169+'Trasporti merci'!G702+'Trasporto persone'!G466+'Rifiuti di processo'!G240+'Beni durevoli'!G325+'Fase d''uso'!G175+'Fine vita'!G208)/1000</f>
        <v>0</v>
      </c>
      <c r="H27" s="1454">
        <f>(Energia!H205+'Non-energetici'!H171+Input!H270+Imballaggi!H169+'Trasporti merci'!H702+'Trasporto persone'!H466+'Rifiuti di processo'!H240+'Beni durevoli'!H325+'Fase d''uso'!H175+'Fine vita'!H208)/1000</f>
        <v>0</v>
      </c>
      <c r="I27" s="1454">
        <f>(Energia!I205+'Non-energetici'!I171+Input!I270+Imballaggi!I169+'Trasporti merci'!I702+'Trasporto persone'!I466+'Rifiuti di processo'!I240+'Beni durevoli'!I325+'Fase d''uso'!I175+'Fine vita'!I208)/1000</f>
        <v>0</v>
      </c>
      <c r="J27" s="1442">
        <f>(Energia!J205+'Non-energetici'!J171+Input!J270+Imballaggi!J169+'Trasporti merci'!J702+'Trasporto persone'!J466+'Rifiuti di processo'!J240+'Beni durevoli'!J325+'Fase d''uso'!J175+'Fine vita'!J208)/1000</f>
        <v>0</v>
      </c>
      <c r="K27" s="1455">
        <f>(Energia!K205+'Non-energetici'!K171+Input!K270+Imballaggi!K169+'Trasporti merci'!K702+'Trasporto persone'!K466+'Rifiuti di processo'!K240+'Beni durevoli'!K325+'Fase d''uso'!K175+'Fine vita'!K208)/1000</f>
        <v>0</v>
      </c>
      <c r="L27" s="1455">
        <f>(Energia!L205+'Non-energetici'!L171+Input!L270+Imballaggi!L169+'Trasporti merci'!L702+'Trasporto persone'!L466+'Rifiuti di processo'!L240+'Beni durevoli'!L325+'Fase d''uso'!L175+'Fine vita'!L208)/1000</f>
        <v>0</v>
      </c>
      <c r="M27" s="1444">
        <f>SQRT(Energia!M205^2+'Non-energetici'!M171^2+Input!M270^2+Imballaggi!M169^2+'Trasporti merci'!M702^2+'Trasporto persone'!M466^2+'Rifiuti di processo'!M240^2+'Beni durevoli'!M325^2+'Fase d''uso'!M175^2+'Fine vita'!M208^2)/1000</f>
        <v>0</v>
      </c>
      <c r="N27" s="1445">
        <f>(Energia!N205+'Non-energetici'!N171+Input!N270+Imballaggi!N169+'Trasporti merci'!N702+'Trasporto persone'!N466+'Rifiuti di processo'!N240+'Beni durevoli'!N325+'Fase d''uso'!N175+'Fine vita'!N208)/1000</f>
        <v>0</v>
      </c>
      <c r="O27" s="1445">
        <f>(Energia!O205+'Non-energetici'!O171+Input!O270+Imballaggi!O169+'Trasporti merci'!O702+'Trasporto persone'!O466+'Rifiuti di processo'!O240+'Beni durevoli'!O325+'Fase d''uso'!O175+'Fine vita'!O208)/1000</f>
        <v>0</v>
      </c>
      <c r="P27" s="177">
        <v>1</v>
      </c>
      <c r="Q27" s="1454">
        <f t="shared" si="9"/>
        <v>0</v>
      </c>
      <c r="R27" s="1454">
        <f t="shared" si="10"/>
        <v>0</v>
      </c>
      <c r="S27" s="1454">
        <f t="shared" si="11"/>
        <v>0</v>
      </c>
      <c r="T27" s="1454">
        <f t="shared" si="12"/>
        <v>0</v>
      </c>
      <c r="U27" s="1454">
        <f t="shared" si="13"/>
        <v>0</v>
      </c>
      <c r="V27" s="1442">
        <f t="shared" si="14"/>
        <v>0</v>
      </c>
      <c r="W27" s="1455">
        <f t="shared" si="15"/>
        <v>0</v>
      </c>
      <c r="X27" s="1455">
        <f t="shared" si="16"/>
        <v>0</v>
      </c>
      <c r="Y27" s="1444">
        <f t="shared" si="17"/>
        <v>0</v>
      </c>
      <c r="Z27" s="1445">
        <f t="shared" si="18"/>
        <v>0</v>
      </c>
      <c r="AA27" s="1445">
        <f t="shared" si="19"/>
        <v>0</v>
      </c>
    </row>
    <row r="28" spans="2:27" x14ac:dyDescent="0.15">
      <c r="B28" s="1997"/>
      <c r="C28" s="1435">
        <v>17</v>
      </c>
      <c r="D28" s="1438" t="str">
        <f>+Energia!B206</f>
        <v>Trasporto di merci e distribuzione in fase d’uso e fine vita</v>
      </c>
      <c r="E28" s="1454">
        <f>(Energia!E206+'Non-energetici'!E172+Input!E271+Imballaggi!E170+'Trasporti merci'!E703+'Trasporto persone'!E467+'Rifiuti di processo'!E241+'Beni durevoli'!E326+'Fase d''uso'!E176+'Fine vita'!E209)/1000</f>
        <v>0</v>
      </c>
      <c r="F28" s="1454">
        <f>(Energia!F206+'Non-energetici'!F172+Input!F271+Imballaggi!F170+'Trasporti merci'!F703+'Trasporto persone'!F467+'Rifiuti di processo'!F241+'Beni durevoli'!F326+'Fase d''uso'!F176+'Fine vita'!F209)/1000</f>
        <v>0</v>
      </c>
      <c r="G28" s="1454">
        <f>(Energia!G206+'Non-energetici'!G172+Input!G271+Imballaggi!G170+'Trasporti merci'!G703+'Trasporto persone'!G467+'Rifiuti di processo'!G241+'Beni durevoli'!G326+'Fase d''uso'!G176+'Fine vita'!G209)/1000</f>
        <v>0</v>
      </c>
      <c r="H28" s="1454">
        <f>(Energia!H206+'Non-energetici'!H172+Input!H271+Imballaggi!H170+'Trasporti merci'!H703+'Trasporto persone'!H467+'Rifiuti di processo'!H241+'Beni durevoli'!H326+'Fase d''uso'!H176+'Fine vita'!H209)/1000</f>
        <v>0</v>
      </c>
      <c r="I28" s="1454">
        <f>(Energia!I206+'Non-energetici'!I172+Input!I271+Imballaggi!I170+'Trasporti merci'!I703+'Trasporto persone'!I467+'Rifiuti di processo'!I241+'Beni durevoli'!I326+'Fase d''uso'!I176+'Fine vita'!I209)/1000</f>
        <v>0</v>
      </c>
      <c r="J28" s="1442">
        <f>(Energia!J206+'Non-energetici'!J172+Input!J271+Imballaggi!J170+'Trasporti merci'!J703+'Trasporto persone'!J467+'Rifiuti di processo'!J241+'Beni durevoli'!J326+'Fase d''uso'!J176+'Fine vita'!J209)/1000</f>
        <v>0</v>
      </c>
      <c r="K28" s="1455">
        <f>(Energia!K206+'Non-energetici'!K172+Input!K271+Imballaggi!K170+'Trasporti merci'!K703+'Trasporto persone'!K467+'Rifiuti di processo'!K241+'Beni durevoli'!K326+'Fase d''uso'!K176+'Fine vita'!K209)/1000</f>
        <v>0</v>
      </c>
      <c r="L28" s="1455">
        <f>(Energia!L206+'Non-energetici'!L172+Input!L271+Imballaggi!L170+'Trasporti merci'!L703+'Trasporto persone'!L467+'Rifiuti di processo'!L241+'Beni durevoli'!L326+'Fase d''uso'!L176+'Fine vita'!L209)/1000</f>
        <v>0</v>
      </c>
      <c r="M28" s="1444">
        <f>SQRT(Energia!M206^2+'Non-energetici'!M172^2+Input!M271^2+Imballaggi!M170^2+'Trasporti merci'!M703^2+'Trasporto persone'!M467^2+'Rifiuti di processo'!M241^2+'Beni durevoli'!M326^2+'Fase d''uso'!M176^2+'Fine vita'!M209^2)/1000</f>
        <v>0</v>
      </c>
      <c r="N28" s="1445">
        <f>(Energia!N206+'Non-energetici'!N172+Input!N271+Imballaggi!N170+'Trasporti merci'!N703+'Trasporto persone'!N467+'Rifiuti di processo'!N241+'Beni durevoli'!N326+'Fase d''uso'!N176+'Fine vita'!N209)/1000</f>
        <v>0</v>
      </c>
      <c r="O28" s="1445">
        <f>(Energia!O206+'Non-energetici'!O172+Input!O271+Imballaggi!O170+'Trasporti merci'!O703+'Trasporto persone'!O467+'Rifiuti di processo'!O241+'Beni durevoli'!O326+'Fase d''uso'!O176+'Fine vita'!O209)/1000</f>
        <v>0</v>
      </c>
      <c r="P28" s="177">
        <v>1</v>
      </c>
      <c r="Q28" s="1454">
        <f t="shared" si="9"/>
        <v>0</v>
      </c>
      <c r="R28" s="1454">
        <f t="shared" si="10"/>
        <v>0</v>
      </c>
      <c r="S28" s="1454">
        <f t="shared" si="11"/>
        <v>0</v>
      </c>
      <c r="T28" s="1454">
        <f t="shared" si="12"/>
        <v>0</v>
      </c>
      <c r="U28" s="1454">
        <f t="shared" si="13"/>
        <v>0</v>
      </c>
      <c r="V28" s="1442">
        <f t="shared" si="14"/>
        <v>0</v>
      </c>
      <c r="W28" s="1455">
        <f t="shared" si="15"/>
        <v>0</v>
      </c>
      <c r="X28" s="1455">
        <f t="shared" si="16"/>
        <v>0</v>
      </c>
      <c r="Y28" s="1444">
        <f t="shared" si="17"/>
        <v>0</v>
      </c>
      <c r="Z28" s="1445">
        <f t="shared" si="18"/>
        <v>0</v>
      </c>
      <c r="AA28" s="1445">
        <f t="shared" si="19"/>
        <v>0</v>
      </c>
    </row>
    <row r="29" spans="2:27" x14ac:dyDescent="0.15">
      <c r="B29" s="1997"/>
      <c r="C29" s="1435">
        <v>18</v>
      </c>
      <c r="D29" s="1438" t="str">
        <f>+Energia!B207</f>
        <v xml:space="preserve">Uso dei prodotto venduti  </v>
      </c>
      <c r="E29" s="1454">
        <f>(Energia!E207+'Non-energetici'!E173+Input!E272+Imballaggi!E171+'Trasporti merci'!E704+'Trasporto persone'!E468+'Rifiuti di processo'!E242+'Beni durevoli'!E327+'Fase d''uso'!E177+'Fine vita'!E210)/1000</f>
        <v>0</v>
      </c>
      <c r="F29" s="1454">
        <f>(Energia!F207+'Non-energetici'!F173+Input!F272+Imballaggi!F171+'Trasporti merci'!F704+'Trasporto persone'!F468+'Rifiuti di processo'!F242+'Beni durevoli'!F327+'Fase d''uso'!F177+'Fine vita'!F210)/1000</f>
        <v>0</v>
      </c>
      <c r="G29" s="1454">
        <f>(Energia!G207+'Non-energetici'!G173+Input!G272+Imballaggi!G171+'Trasporti merci'!G704+'Trasporto persone'!G468+'Rifiuti di processo'!G242+'Beni durevoli'!G327+'Fase d''uso'!G177+'Fine vita'!G210)/1000</f>
        <v>0</v>
      </c>
      <c r="H29" s="1454">
        <f>(Energia!H207+'Non-energetici'!H173+Input!H272+Imballaggi!H171+'Trasporti merci'!H704+'Trasporto persone'!H468+'Rifiuti di processo'!H242+'Beni durevoli'!H327+'Fase d''uso'!H177+'Fine vita'!H210)/1000</f>
        <v>0</v>
      </c>
      <c r="I29" s="1454">
        <f>(Energia!I207+'Non-energetici'!I173+Input!I272+Imballaggi!I171+'Trasporti merci'!I704+'Trasporto persone'!I468+'Rifiuti di processo'!I242+'Beni durevoli'!I327+'Fase d''uso'!I177+'Fine vita'!I210)/1000</f>
        <v>0</v>
      </c>
      <c r="J29" s="1442">
        <f>(Energia!J207+'Non-energetici'!J173+Input!J272+Imballaggi!J171+'Trasporti merci'!J704+'Trasporto persone'!J468+'Rifiuti di processo'!J242+'Beni durevoli'!J327+'Fase d''uso'!J177+'Fine vita'!J210)/1000</f>
        <v>0</v>
      </c>
      <c r="K29" s="1455">
        <f>(Energia!K207+'Non-energetici'!K173+Input!K272+Imballaggi!K171+'Trasporti merci'!K704+'Trasporto persone'!K468+'Rifiuti di processo'!K242+'Beni durevoli'!K327+'Fase d''uso'!K177+'Fine vita'!K210)/1000</f>
        <v>0</v>
      </c>
      <c r="L29" s="1455">
        <f>(Energia!L207+'Non-energetici'!L173+Input!L272+Imballaggi!L171+'Trasporti merci'!L704+'Trasporto persone'!L468+'Rifiuti di processo'!L242+'Beni durevoli'!L327+'Fase d''uso'!L177+'Fine vita'!L210)/1000</f>
        <v>0</v>
      </c>
      <c r="M29" s="1444">
        <f>SQRT(Energia!M207^2+'Non-energetici'!M173^2+Input!M272^2+Imballaggi!M171^2+'Trasporti merci'!M704^2+'Trasporto persone'!M468^2+'Rifiuti di processo'!M242^2+'Beni durevoli'!M327^2+'Fase d''uso'!M177^2+'Fine vita'!M210^2)/1000</f>
        <v>0</v>
      </c>
      <c r="N29" s="1445">
        <f>(Energia!N207+'Non-energetici'!N173+Input!N272+Imballaggi!N171+'Trasporti merci'!N704+'Trasporto persone'!N468+'Rifiuti di processo'!N242+'Beni durevoli'!N327+'Fase d''uso'!N177+'Fine vita'!N210)/1000</f>
        <v>0</v>
      </c>
      <c r="O29" s="1445">
        <f>(Energia!O207+'Non-energetici'!O173+Input!O272+Imballaggi!O171+'Trasporti merci'!O704+'Trasporto persone'!O468+'Rifiuti di processo'!O242+'Beni durevoli'!O327+'Fase d''uso'!O177+'Fine vita'!O210)/1000</f>
        <v>0</v>
      </c>
      <c r="P29" s="177">
        <v>1</v>
      </c>
      <c r="Q29" s="1454">
        <f t="shared" si="9"/>
        <v>0</v>
      </c>
      <c r="R29" s="1454">
        <f t="shared" si="10"/>
        <v>0</v>
      </c>
      <c r="S29" s="1454">
        <f t="shared" si="11"/>
        <v>0</v>
      </c>
      <c r="T29" s="1454">
        <f t="shared" si="12"/>
        <v>0</v>
      </c>
      <c r="U29" s="1454">
        <f t="shared" si="13"/>
        <v>0</v>
      </c>
      <c r="V29" s="1442">
        <f t="shared" si="14"/>
        <v>0</v>
      </c>
      <c r="W29" s="1455">
        <f t="shared" si="15"/>
        <v>0</v>
      </c>
      <c r="X29" s="1455">
        <f t="shared" si="16"/>
        <v>0</v>
      </c>
      <c r="Y29" s="1444">
        <f t="shared" si="17"/>
        <v>0</v>
      </c>
      <c r="Z29" s="1445">
        <f t="shared" si="18"/>
        <v>0</v>
      </c>
      <c r="AA29" s="1445">
        <f t="shared" si="19"/>
        <v>0</v>
      </c>
    </row>
    <row r="30" spans="2:27" x14ac:dyDescent="0.15">
      <c r="B30" s="1997"/>
      <c r="C30" s="1435">
        <v>19</v>
      </c>
      <c r="D30" s="1438" t="str">
        <f>+Energia!B208</f>
        <v>Fine vita dei prodotti venduti</v>
      </c>
      <c r="E30" s="1454">
        <f>(Energia!E208+'Non-energetici'!E174+Input!E273+Imballaggi!E172+'Trasporti merci'!E705+'Trasporto persone'!E469+'Rifiuti di processo'!E243+'Beni durevoli'!E328+'Fase d''uso'!E178+'Fine vita'!E211)/1000</f>
        <v>0</v>
      </c>
      <c r="F30" s="1454">
        <f>(Energia!F208+'Non-energetici'!F174+Input!F273+Imballaggi!F172+'Trasporti merci'!F705+'Trasporto persone'!F469+'Rifiuti di processo'!F243+'Beni durevoli'!F328+'Fase d''uso'!F178+'Fine vita'!F211)/1000</f>
        <v>8.199999999999999E-3</v>
      </c>
      <c r="G30" s="1454">
        <f>(Energia!G208+'Non-energetici'!G174+Input!G273+Imballaggi!G172+'Trasporti merci'!G705+'Trasporto persone'!G469+'Rifiuti di processo'!G243+'Beni durevoli'!G328+'Fase d''uso'!G178+'Fine vita'!G211)/1000</f>
        <v>0.13500000000000001</v>
      </c>
      <c r="H30" s="1454">
        <f>(Energia!H208+'Non-energetici'!H174+Input!H273+Imballaggi!H172+'Trasporti merci'!H705+'Trasporto persone'!H469+'Rifiuti di processo'!H243+'Beni durevoli'!H328+'Fase d''uso'!H178+'Fine vita'!H211)/1000</f>
        <v>0</v>
      </c>
      <c r="I30" s="1454">
        <f>(Energia!I208+'Non-energetici'!I174+Input!I273+Imballaggi!I172+'Trasporti merci'!I705+'Trasporto persone'!I469+'Rifiuti di processo'!I243+'Beni durevoli'!I328+'Fase d''uso'!I178+'Fine vita'!I211)/1000</f>
        <v>0</v>
      </c>
      <c r="J30" s="1442">
        <f>(Energia!J208+'Non-energetici'!J174+Input!J273+Imballaggi!J172+'Trasporti merci'!J705+'Trasporto persone'!J469+'Rifiuti di processo'!J243+'Beni durevoli'!J328+'Fase d''uso'!J178+'Fine vita'!J211)/1000</f>
        <v>0.14299999999999999</v>
      </c>
      <c r="K30" s="1455">
        <f>(Energia!K208+'Non-energetici'!K174+Input!K273+Imballaggi!K172+'Trasporti merci'!K705+'Trasporto persone'!K469+'Rifiuti di processo'!K243+'Beni durevoli'!K328+'Fase d''uso'!K178+'Fine vita'!K211)/1000</f>
        <v>5.3203899999999997</v>
      </c>
      <c r="L30" s="1455">
        <f>(Energia!L208+'Non-energetici'!L174+Input!L273+Imballaggi!L172+'Trasporti merci'!L705+'Trasporto persone'!L469+'Rifiuti di processo'!L243+'Beni durevoli'!L328+'Fase d''uso'!L178+'Fine vita'!L211)/1000</f>
        <v>0</v>
      </c>
      <c r="M30" s="1444">
        <f>SQRT(Energia!M208^2+'Non-energetici'!M174^2+Input!M273^2+Imballaggi!M172^2+'Trasporti merci'!M705^2+'Trasporto persone'!M469^2+'Rifiuti di processo'!M243^2+'Beni durevoli'!M328^2+'Fase d''uso'!M178^2+'Fine vita'!M211^2)/1000</f>
        <v>7.1499999999999994E-2</v>
      </c>
      <c r="N30" s="1445">
        <f>(Energia!N208+'Non-energetici'!N174+Input!N273+Imballaggi!N172+'Trasporti merci'!N705+'Trasporto persone'!N469+'Rifiuti di processo'!N243+'Beni durevoli'!N328+'Fase d''uso'!N178+'Fine vita'!N211)/1000</f>
        <v>0</v>
      </c>
      <c r="O30" s="1445">
        <f>(Energia!O208+'Non-energetici'!O174+Input!O273+Imballaggi!O172+'Trasporti merci'!O705+'Trasporto persone'!O469+'Rifiuti di processo'!O243+'Beni durevoli'!O328+'Fase d''uso'!O178+'Fine vita'!O211)/1000</f>
        <v>0</v>
      </c>
      <c r="P30" s="177">
        <v>1</v>
      </c>
      <c r="Q30" s="1454">
        <f t="shared" si="9"/>
        <v>0</v>
      </c>
      <c r="R30" s="1454">
        <f t="shared" si="10"/>
        <v>8.199999999999999E-3</v>
      </c>
      <c r="S30" s="1454">
        <f t="shared" si="11"/>
        <v>0.13500000000000001</v>
      </c>
      <c r="T30" s="1454">
        <f t="shared" si="12"/>
        <v>0</v>
      </c>
      <c r="U30" s="1454">
        <f t="shared" si="13"/>
        <v>0</v>
      </c>
      <c r="V30" s="1442">
        <f t="shared" si="14"/>
        <v>0.14299999999999999</v>
      </c>
      <c r="W30" s="1455">
        <f t="shared" si="15"/>
        <v>5.3203899999999997</v>
      </c>
      <c r="X30" s="1455">
        <f t="shared" si="16"/>
        <v>0</v>
      </c>
      <c r="Y30" s="1444">
        <f t="shared" si="17"/>
        <v>7.1499999999999994E-2</v>
      </c>
      <c r="Z30" s="1445">
        <f t="shared" si="18"/>
        <v>0</v>
      </c>
      <c r="AA30" s="1445">
        <f t="shared" si="19"/>
        <v>0</v>
      </c>
    </row>
    <row r="31" spans="2:27" x14ac:dyDescent="0.15">
      <c r="B31" s="1997"/>
      <c r="C31" s="1435">
        <v>20</v>
      </c>
      <c r="D31" s="1438" t="str">
        <f>+Energia!B209</f>
        <v xml:space="preserve">Downstream franchises </v>
      </c>
      <c r="E31" s="1454">
        <f>(Energia!E209+'Non-energetici'!E175+Input!E274+Imballaggi!E173+'Trasporti merci'!E706+'Trasporto persone'!E470+'Rifiuti di processo'!E244+'Beni durevoli'!E329+'Fase d''uso'!E179+'Fine vita'!E212)/1000</f>
        <v>0</v>
      </c>
      <c r="F31" s="1454">
        <f>(Energia!F209+'Non-energetici'!F175+Input!F274+Imballaggi!F173+'Trasporti merci'!F706+'Trasporto persone'!F470+'Rifiuti di processo'!F244+'Beni durevoli'!F329+'Fase d''uso'!F179+'Fine vita'!F212)/1000</f>
        <v>0</v>
      </c>
      <c r="G31" s="1454">
        <f>(Energia!G209+'Non-energetici'!G175+Input!G274+Imballaggi!G173+'Trasporti merci'!G706+'Trasporto persone'!G470+'Rifiuti di processo'!G244+'Beni durevoli'!G329+'Fase d''uso'!G179+'Fine vita'!G212)/1000</f>
        <v>0</v>
      </c>
      <c r="H31" s="1454">
        <f>(Energia!H209+'Non-energetici'!H175+Input!H274+Imballaggi!H173+'Trasporti merci'!H706+'Trasporto persone'!H470+'Rifiuti di processo'!H244+'Beni durevoli'!H329+'Fase d''uso'!H179+'Fine vita'!H212)/1000</f>
        <v>0</v>
      </c>
      <c r="I31" s="1454">
        <f>(Energia!I209+'Non-energetici'!I175+Input!I274+Imballaggi!I173+'Trasporti merci'!I706+'Trasporto persone'!I470+'Rifiuti di processo'!I244+'Beni durevoli'!I329+'Fase d''uso'!I179+'Fine vita'!I212)/1000</f>
        <v>0</v>
      </c>
      <c r="J31" s="1442">
        <f>(Energia!J209+'Non-energetici'!J175+Input!J274+Imballaggi!J173+'Trasporti merci'!J706+'Trasporto persone'!J470+'Rifiuti di processo'!J244+'Beni durevoli'!J329+'Fase d''uso'!J179+'Fine vita'!J212)/1000</f>
        <v>0</v>
      </c>
      <c r="K31" s="1455">
        <f>(Energia!K209+'Non-energetici'!K175+Input!K274+Imballaggi!K173+'Trasporti merci'!K706+'Trasporto persone'!K470+'Rifiuti di processo'!K244+'Beni durevoli'!K329+'Fase d''uso'!K179+'Fine vita'!K212)/1000</f>
        <v>0</v>
      </c>
      <c r="L31" s="1455">
        <f>(Energia!L209+'Non-energetici'!L175+Input!L274+Imballaggi!L173+'Trasporti merci'!L706+'Trasporto persone'!L470+'Rifiuti di processo'!L244+'Beni durevoli'!L329+'Fase d''uso'!L179+'Fine vita'!L212)/1000</f>
        <v>0</v>
      </c>
      <c r="M31" s="1444">
        <f>SQRT(Energia!M209^2+'Non-energetici'!M175^2+Input!M274^2+Imballaggi!M173^2+'Trasporti merci'!M706^2+'Trasporto persone'!M470^2+'Rifiuti di processo'!M244^2+'Beni durevoli'!M329^2+'Fase d''uso'!M179^2+'Fine vita'!M212^2)/1000</f>
        <v>0</v>
      </c>
      <c r="N31" s="1445">
        <f>(Energia!N209+'Non-energetici'!N175+Input!N274+Imballaggi!N173+'Trasporti merci'!N706+'Trasporto persone'!N470+'Rifiuti di processo'!N244+'Beni durevoli'!N329+'Fase d''uso'!N179+'Fine vita'!N212)/1000</f>
        <v>0</v>
      </c>
      <c r="O31" s="1445">
        <f>(Energia!O209+'Non-energetici'!O175+Input!O274+Imballaggi!O173+'Trasporti merci'!O706+'Trasporto persone'!O470+'Rifiuti di processo'!O244+'Beni durevoli'!O329+'Fase d''uso'!O179+'Fine vita'!O212)/1000</f>
        <v>0</v>
      </c>
      <c r="P31" s="177">
        <v>1</v>
      </c>
      <c r="Q31" s="1454">
        <f t="shared" ref="Q31:AA31" si="20">IF($E$4="Yes",SUMPRODUCT(E10:E14,$P10:$P14)+SUMPRODUCT(E16:E17,$P16:$P17)+SUMPRODUCT(E19:E34,$P19:$P34),IF($E$5="Yes",0,E31*$P31))</f>
        <v>0</v>
      </c>
      <c r="R31" s="1454">
        <f t="shared" si="20"/>
        <v>0</v>
      </c>
      <c r="S31" s="1454">
        <f t="shared" si="20"/>
        <v>0</v>
      </c>
      <c r="T31" s="1454">
        <f t="shared" si="20"/>
        <v>0</v>
      </c>
      <c r="U31" s="1454">
        <f t="shared" si="20"/>
        <v>0</v>
      </c>
      <c r="V31" s="1442">
        <f t="shared" si="20"/>
        <v>0</v>
      </c>
      <c r="W31" s="1455">
        <f t="shared" si="20"/>
        <v>0</v>
      </c>
      <c r="X31" s="1455">
        <f t="shared" si="20"/>
        <v>0</v>
      </c>
      <c r="Y31" s="1444">
        <f t="shared" si="20"/>
        <v>0</v>
      </c>
      <c r="Z31" s="1445">
        <f t="shared" si="20"/>
        <v>0</v>
      </c>
      <c r="AA31" s="1445">
        <f t="shared" si="20"/>
        <v>0</v>
      </c>
    </row>
    <row r="32" spans="2:27" x14ac:dyDescent="0.15">
      <c r="B32" s="1997"/>
      <c r="C32" s="1435">
        <v>21</v>
      </c>
      <c r="D32" s="1438" t="str">
        <f>+Energia!B210</f>
        <v>Downstream leased assets</v>
      </c>
      <c r="E32" s="1454">
        <f>(Energia!E210+'Non-energetici'!E176+Input!E275+Imballaggi!E174+'Trasporti merci'!E707+'Trasporto persone'!E471+'Rifiuti di processo'!E245+'Beni durevoli'!E330+'Fase d''uso'!E180+'Fine vita'!E213)/1000</f>
        <v>0</v>
      </c>
      <c r="F32" s="1454">
        <f>(Energia!F210+'Non-energetici'!F176+Input!F275+Imballaggi!F174+'Trasporti merci'!F707+'Trasporto persone'!F471+'Rifiuti di processo'!F245+'Beni durevoli'!F330+'Fase d''uso'!F180+'Fine vita'!F213)/1000</f>
        <v>0</v>
      </c>
      <c r="G32" s="1454">
        <f>(Energia!G210+'Non-energetici'!G176+Input!G275+Imballaggi!G174+'Trasporti merci'!G707+'Trasporto persone'!G471+'Rifiuti di processo'!G245+'Beni durevoli'!G330+'Fase d''uso'!G180+'Fine vita'!G213)/1000</f>
        <v>0</v>
      </c>
      <c r="H32" s="1454">
        <f>(Energia!H210+'Non-energetici'!H176+Input!H275+Imballaggi!H174+'Trasporti merci'!H707+'Trasporto persone'!H471+'Rifiuti di processo'!H245+'Beni durevoli'!H330+'Fase d''uso'!H180+'Fine vita'!H213)/1000</f>
        <v>0</v>
      </c>
      <c r="I32" s="1454">
        <f>(Energia!I210+'Non-energetici'!I176+Input!I275+Imballaggi!I174+'Trasporti merci'!I707+'Trasporto persone'!I471+'Rifiuti di processo'!I245+'Beni durevoli'!I330+'Fase d''uso'!I180+'Fine vita'!I213)/1000</f>
        <v>0</v>
      </c>
      <c r="J32" s="1442">
        <f>(Energia!J210+'Non-energetici'!J176+Input!J275+Imballaggi!J174+'Trasporti merci'!J707+'Trasporto persone'!J471+'Rifiuti di processo'!J245+'Beni durevoli'!J330+'Fase d''uso'!J180+'Fine vita'!J213)/1000</f>
        <v>0</v>
      </c>
      <c r="K32" s="1455">
        <f>(Energia!K210+'Non-energetici'!K176+Input!K275+Imballaggi!K174+'Trasporti merci'!K707+'Trasporto persone'!K471+'Rifiuti di processo'!K245+'Beni durevoli'!K330+'Fase d''uso'!K180+'Fine vita'!K213)/1000</f>
        <v>0</v>
      </c>
      <c r="L32" s="1455">
        <f>(Energia!L210+'Non-energetici'!L176+Input!L275+Imballaggi!L174+'Trasporti merci'!L707+'Trasporto persone'!L471+'Rifiuti di processo'!L245+'Beni durevoli'!L330+'Fase d''uso'!L180+'Fine vita'!L213)/1000</f>
        <v>0</v>
      </c>
      <c r="M32" s="1444">
        <f>SQRT(Energia!M210^2+'Non-energetici'!M176^2+Input!M275^2+Imballaggi!M174^2+'Trasporti merci'!M707^2+'Trasporto persone'!M471^2+'Rifiuti di processo'!M245^2+'Beni durevoli'!M330^2+'Fase d''uso'!M180^2+'Fine vita'!M213^2)/1000</f>
        <v>0</v>
      </c>
      <c r="N32" s="1445">
        <f>(Energia!N210+'Non-energetici'!N176+Input!N275+Imballaggi!N174+'Trasporti merci'!N707+'Trasporto persone'!N471+'Rifiuti di processo'!N245+'Beni durevoli'!N330+'Fase d''uso'!N180+'Fine vita'!N213)/1000</f>
        <v>0</v>
      </c>
      <c r="O32" s="1445">
        <f>(Energia!O210+'Non-energetici'!O176+Input!O275+Imballaggi!O174+'Trasporti merci'!O707+'Trasporto persone'!O471+'Rifiuti di processo'!O245+'Beni durevoli'!O330+'Fase d''uso'!O180+'Fine vita'!O213)/1000</f>
        <v>0</v>
      </c>
      <c r="P32" s="177">
        <v>1</v>
      </c>
      <c r="Q32" s="1454">
        <f t="shared" ref="Q32:AA34" si="21">IF($E$4="Yes",0,IF($E$5="Yes",0,E32*$P32))</f>
        <v>0</v>
      </c>
      <c r="R32" s="1454">
        <f t="shared" si="21"/>
        <v>0</v>
      </c>
      <c r="S32" s="1454">
        <f t="shared" si="21"/>
        <v>0</v>
      </c>
      <c r="T32" s="1454">
        <f t="shared" si="21"/>
        <v>0</v>
      </c>
      <c r="U32" s="1454">
        <f t="shared" si="21"/>
        <v>0</v>
      </c>
      <c r="V32" s="1442">
        <f t="shared" si="21"/>
        <v>0</v>
      </c>
      <c r="W32" s="1455">
        <f t="shared" si="21"/>
        <v>0</v>
      </c>
      <c r="X32" s="1455">
        <f t="shared" si="21"/>
        <v>0</v>
      </c>
      <c r="Y32" s="1444">
        <f t="shared" si="21"/>
        <v>0</v>
      </c>
      <c r="Z32" s="1445">
        <f t="shared" si="21"/>
        <v>0</v>
      </c>
      <c r="AA32" s="1445">
        <f t="shared" si="21"/>
        <v>0</v>
      </c>
    </row>
    <row r="33" spans="2:27" x14ac:dyDescent="0.15">
      <c r="B33" s="1997"/>
      <c r="C33" s="1435">
        <v>22</v>
      </c>
      <c r="D33" s="1438" t="str">
        <f>+Energia!B211</f>
        <v>Impiegati pendolari</v>
      </c>
      <c r="E33" s="1454">
        <f>(Energia!E211+'Non-energetici'!E177+Input!E276+Imballaggi!E175+'Trasporti merci'!E708+'Trasporto persone'!E472+'Rifiuti di processo'!E246+'Beni durevoli'!E331+'Fase d''uso'!E181+'Fine vita'!E214)/1000</f>
        <v>0</v>
      </c>
      <c r="F33" s="1454">
        <f>(Energia!F211+'Non-energetici'!F177+Input!F276+Imballaggi!F175+'Trasporti merci'!F708+'Trasporto persone'!F472+'Rifiuti di processo'!F246+'Beni durevoli'!F331+'Fase d''uso'!F181+'Fine vita'!F214)/1000</f>
        <v>0</v>
      </c>
      <c r="G33" s="1454">
        <f>(Energia!G211+'Non-energetici'!G177+Input!G276+Imballaggi!G175+'Trasporti merci'!G708+'Trasporto persone'!G472+'Rifiuti di processo'!G246+'Beni durevoli'!G331+'Fase d''uso'!G181+'Fine vita'!G214)/1000</f>
        <v>0</v>
      </c>
      <c r="H33" s="1454">
        <f>(Energia!H211+'Non-energetici'!H177+Input!H276+Imballaggi!H175+'Trasporti merci'!H708+'Trasporto persone'!H472+'Rifiuti di processo'!H246+'Beni durevoli'!H331+'Fase d''uso'!H181+'Fine vita'!H214)/1000</f>
        <v>0</v>
      </c>
      <c r="I33" s="1454">
        <f>(Energia!I211+'Non-energetici'!I177+Input!I276+Imballaggi!I175+'Trasporti merci'!I708+'Trasporto persone'!I472+'Rifiuti di processo'!I246+'Beni durevoli'!I331+'Fase d''uso'!I181+'Fine vita'!I214)/1000</f>
        <v>0</v>
      </c>
      <c r="J33" s="1442">
        <f>(Energia!J211+'Non-energetici'!J177+Input!J276+Imballaggi!J175+'Trasporti merci'!J708+'Trasporto persone'!J472+'Rifiuti di processo'!J246+'Beni durevoli'!J331+'Fase d''uso'!J181+'Fine vita'!J214)/1000</f>
        <v>0.22002000000000002</v>
      </c>
      <c r="K33" s="1455">
        <f>(Energia!K211+'Non-energetici'!K177+Input!K276+Imballaggi!K175+'Trasporti merci'!K708+'Trasporto persone'!K472+'Rifiuti di processo'!K246+'Beni durevoli'!K331+'Fase d''uso'!K181+'Fine vita'!K214)/1000</f>
        <v>0</v>
      </c>
      <c r="L33" s="1455">
        <f>(Energia!L211+'Non-energetici'!L177+Input!L276+Imballaggi!L175+'Trasporti merci'!L708+'Trasporto persone'!L472+'Rifiuti di processo'!L246+'Beni durevoli'!L331+'Fase d''uso'!L181+'Fine vita'!L214)/1000</f>
        <v>0</v>
      </c>
      <c r="M33" s="1444">
        <f>SQRT(Energia!M211^2+'Non-energetici'!M177^2+Input!M276^2+Imballaggi!M175^2+'Trasporti merci'!M708^2+'Trasporto persone'!M472^2+'Rifiuti di processo'!M246^2+'Beni durevoli'!M331^2+'Fase d''uso'!M181^2+'Fine vita'!M214^2)/1000</f>
        <v>0</v>
      </c>
      <c r="N33" s="1445">
        <f>(Energia!N211+'Non-energetici'!N177+Input!N276+Imballaggi!N175+'Trasporti merci'!N708+'Trasporto persone'!N472+'Rifiuti di processo'!N246+'Beni durevoli'!N331+'Fase d''uso'!N181+'Fine vita'!N214)/1000</f>
        <v>0</v>
      </c>
      <c r="O33" s="1445">
        <f>(Energia!O211+'Non-energetici'!O177+Input!O276+Imballaggi!O175+'Trasporti merci'!O708+'Trasporto persone'!O472+'Rifiuti di processo'!O246+'Beni durevoli'!O331+'Fase d''uso'!O181+'Fine vita'!O214)/1000</f>
        <v>0</v>
      </c>
      <c r="P33" s="177">
        <v>1</v>
      </c>
      <c r="Q33" s="1454">
        <f t="shared" si="21"/>
        <v>0</v>
      </c>
      <c r="R33" s="1454">
        <f t="shared" si="21"/>
        <v>0</v>
      </c>
      <c r="S33" s="1454">
        <f t="shared" si="21"/>
        <v>0</v>
      </c>
      <c r="T33" s="1454">
        <f t="shared" si="21"/>
        <v>0</v>
      </c>
      <c r="U33" s="1454">
        <f t="shared" si="21"/>
        <v>0</v>
      </c>
      <c r="V33" s="1442">
        <f t="shared" si="21"/>
        <v>0.22002000000000002</v>
      </c>
      <c r="W33" s="1455">
        <f t="shared" si="21"/>
        <v>0</v>
      </c>
      <c r="X33" s="1455">
        <f t="shared" si="21"/>
        <v>0</v>
      </c>
      <c r="Y33" s="1444">
        <f t="shared" si="21"/>
        <v>0</v>
      </c>
      <c r="Z33" s="1445">
        <f t="shared" si="21"/>
        <v>0</v>
      </c>
      <c r="AA33" s="1445">
        <f t="shared" si="21"/>
        <v>0</v>
      </c>
    </row>
    <row r="34" spans="2:27" x14ac:dyDescent="0.15">
      <c r="B34" s="1997"/>
      <c r="C34" s="1435">
        <v>23</v>
      </c>
      <c r="D34" s="1438" t="str">
        <f>+Energia!B212</f>
        <v xml:space="preserve">Altre emissioni indirette </v>
      </c>
      <c r="E34" s="1454">
        <f>(Energia!E212+'Non-energetici'!E178+Input!E277+Imballaggi!E176+'Trasporti merci'!E709+'Trasporto persone'!E473+'Rifiuti di processo'!E247+'Beni durevoli'!E332+'Fase d''uso'!E182+'Fine vita'!E215)/1000</f>
        <v>0</v>
      </c>
      <c r="F34" s="1454">
        <f>(Energia!F212+'Non-energetici'!F178+Input!F277+Imballaggi!F176+'Trasporti merci'!F709+'Trasporto persone'!F473+'Rifiuti di processo'!F247+'Beni durevoli'!F332+'Fase d''uso'!F182+'Fine vita'!F215)/1000</f>
        <v>0</v>
      </c>
      <c r="G34" s="1454">
        <f>(Energia!G212+'Non-energetici'!G178+Input!G277+Imballaggi!G176+'Trasporti merci'!G709+'Trasporto persone'!G473+'Rifiuti di processo'!G247+'Beni durevoli'!G332+'Fase d''uso'!G182+'Fine vita'!G215)/1000</f>
        <v>0</v>
      </c>
      <c r="H34" s="1454">
        <f>(Energia!H212+'Non-energetici'!H178+Input!H277+Imballaggi!H176+'Trasporti merci'!H709+'Trasporto persone'!H473+'Rifiuti di processo'!H247+'Beni durevoli'!H332+'Fase d''uso'!H182+'Fine vita'!H215)/1000</f>
        <v>0</v>
      </c>
      <c r="I34" s="1454">
        <f>(Energia!I212+'Non-energetici'!I178+Input!I277+Imballaggi!I176+'Trasporti merci'!I709+'Trasporto persone'!I473+'Rifiuti di processo'!I247+'Beni durevoli'!I332+'Fase d''uso'!I182+'Fine vita'!I215)/1000</f>
        <v>0</v>
      </c>
      <c r="J34" s="1442">
        <f>(Energia!J212+'Non-energetici'!J178+Input!J277+Imballaggi!J176+'Trasporti merci'!J709+'Trasporto persone'!J473+'Rifiuti di processo'!J247+'Beni durevoli'!J332+'Fase d''uso'!J182+'Fine vita'!J215)/1000</f>
        <v>0</v>
      </c>
      <c r="K34" s="1455">
        <f>(Energia!K212+'Non-energetici'!K178+Input!K277+Imballaggi!K176+'Trasporti merci'!K709+'Trasporto persone'!K473+'Rifiuti di processo'!K247+'Beni durevoli'!K332+'Fase d''uso'!K182+'Fine vita'!K215)/1000</f>
        <v>0</v>
      </c>
      <c r="L34" s="1455">
        <f>(Energia!L212+'Non-energetici'!L178+Input!L277+Imballaggi!L176+'Trasporti merci'!L709+'Trasporto persone'!L473+'Rifiuti di processo'!L247+'Beni durevoli'!L332+'Fase d''uso'!L182+'Fine vita'!L215)/1000</f>
        <v>0</v>
      </c>
      <c r="M34" s="1444">
        <f>SQRT(Energia!M212^2+'Non-energetici'!M178^2+Input!M277^2+Imballaggi!M176^2+'Trasporti merci'!M709^2+'Trasporto persone'!M473^2+'Rifiuti di processo'!M247^2+'Beni durevoli'!M332^2+'Fase d''uso'!M182^2+'Fine vita'!M215^2)/1000</f>
        <v>0</v>
      </c>
      <c r="N34" s="1445">
        <f>(Energia!N212+'Non-energetici'!N178+Input!N277+Imballaggi!N176+'Trasporti merci'!N709+'Trasporto persone'!N473+'Rifiuti di processo'!N247+'Beni durevoli'!N332+'Fase d''uso'!N182+'Fine vita'!N215)/1000</f>
        <v>0</v>
      </c>
      <c r="O34" s="1445">
        <f>(Energia!O212+'Non-energetici'!O178+Input!O277+Imballaggi!O176+'Trasporti merci'!O709+'Trasporto persone'!O473+'Rifiuti di processo'!O247+'Beni durevoli'!O332+'Fase d''uso'!O182+'Fine vita'!O215)/1000</f>
        <v>0</v>
      </c>
      <c r="P34" s="177">
        <v>1</v>
      </c>
      <c r="Q34" s="1454">
        <f t="shared" si="21"/>
        <v>0</v>
      </c>
      <c r="R34" s="1454">
        <f t="shared" si="21"/>
        <v>0</v>
      </c>
      <c r="S34" s="1454">
        <f t="shared" si="21"/>
        <v>0</v>
      </c>
      <c r="T34" s="1454">
        <f t="shared" si="21"/>
        <v>0</v>
      </c>
      <c r="U34" s="1454">
        <f t="shared" si="21"/>
        <v>0</v>
      </c>
      <c r="V34" s="1442">
        <f t="shared" si="21"/>
        <v>0</v>
      </c>
      <c r="W34" s="1455">
        <f t="shared" si="21"/>
        <v>0</v>
      </c>
      <c r="X34" s="1455">
        <f t="shared" si="21"/>
        <v>0</v>
      </c>
      <c r="Y34" s="1444">
        <f t="shared" si="21"/>
        <v>0</v>
      </c>
      <c r="Z34" s="1445">
        <f t="shared" si="21"/>
        <v>0</v>
      </c>
      <c r="AA34" s="1445">
        <f t="shared" si="21"/>
        <v>0</v>
      </c>
    </row>
    <row r="35" spans="2:27" x14ac:dyDescent="0.15">
      <c r="B35" s="1997"/>
      <c r="C35" s="1998" t="s">
        <v>96</v>
      </c>
      <c r="D35" s="1999"/>
      <c r="E35" s="1456">
        <f>SUM(E19:E34)</f>
        <v>0</v>
      </c>
      <c r="F35" s="1456">
        <f t="shared" ref="F35:O35" si="22">SUM(F19:F34)</f>
        <v>8.199999999999999E-3</v>
      </c>
      <c r="G35" s="1456">
        <f t="shared" si="22"/>
        <v>0.13500000000000001</v>
      </c>
      <c r="H35" s="1456">
        <f t="shared" si="22"/>
        <v>0</v>
      </c>
      <c r="I35" s="1456">
        <f t="shared" si="22"/>
        <v>0</v>
      </c>
      <c r="J35" s="1447">
        <f t="shared" si="22"/>
        <v>107.35334866248239</v>
      </c>
      <c r="K35" s="1457">
        <f t="shared" si="22"/>
        <v>5.3203899999999997</v>
      </c>
      <c r="L35" s="1457">
        <f t="shared" si="22"/>
        <v>0</v>
      </c>
      <c r="M35" s="1449">
        <f>SQRT(SUMSQ(M19:M34))</f>
        <v>19.456690578050527</v>
      </c>
      <c r="N35" s="1450">
        <f t="shared" si="22"/>
        <v>0</v>
      </c>
      <c r="O35" s="1458">
        <f t="shared" si="22"/>
        <v>0</v>
      </c>
      <c r="P35" s="1440"/>
      <c r="Q35" s="1456">
        <f>SUM(Q19:Q34)</f>
        <v>0</v>
      </c>
      <c r="R35" s="1456">
        <f t="shared" ref="R35:X35" si="23">SUM(R19:R34)</f>
        <v>8.199999999999999E-3</v>
      </c>
      <c r="S35" s="1456">
        <f t="shared" si="23"/>
        <v>0.13500000000000001</v>
      </c>
      <c r="T35" s="1456">
        <f t="shared" si="23"/>
        <v>0</v>
      </c>
      <c r="U35" s="1456">
        <f t="shared" si="23"/>
        <v>0</v>
      </c>
      <c r="V35" s="1447">
        <f t="shared" si="23"/>
        <v>107.35334866248239</v>
      </c>
      <c r="W35" s="1457">
        <f t="shared" si="23"/>
        <v>5.3203899999999997</v>
      </c>
      <c r="X35" s="1457">
        <f t="shared" si="23"/>
        <v>0</v>
      </c>
      <c r="Y35" s="1449">
        <f>SQRT(SUMSQ(Y19:Y34))</f>
        <v>19.456690578050527</v>
      </c>
      <c r="Z35" s="1450">
        <f>SUM(Z19:Z34)</f>
        <v>0</v>
      </c>
      <c r="AA35" s="1458">
        <f>SUM(AA19:AA34)</f>
        <v>0</v>
      </c>
    </row>
    <row r="36" spans="2:27" x14ac:dyDescent="0.15">
      <c r="P36" s="1253"/>
    </row>
    <row r="38" spans="2:27" x14ac:dyDescent="0.15">
      <c r="E38" s="1812" t="s">
        <v>2493</v>
      </c>
      <c r="F38" s="1812"/>
      <c r="G38" s="1812"/>
      <c r="H38" s="1812"/>
    </row>
    <row r="39" spans="2:27" x14ac:dyDescent="0.15">
      <c r="E39" s="1428" t="s">
        <v>2494</v>
      </c>
      <c r="F39" s="1428" t="s">
        <v>72</v>
      </c>
      <c r="G39" s="1428" t="s">
        <v>72</v>
      </c>
      <c r="H39" s="1428" t="s">
        <v>2495</v>
      </c>
    </row>
    <row r="40" spans="2:27" x14ac:dyDescent="0.15">
      <c r="D40" s="176" t="s">
        <v>2501</v>
      </c>
      <c r="E40" s="1160">
        <f>J10-M10</f>
        <v>0</v>
      </c>
      <c r="F40" s="1160">
        <f>J10</f>
        <v>0</v>
      </c>
      <c r="G40" s="1160">
        <f>J10</f>
        <v>0</v>
      </c>
      <c r="H40" s="1160">
        <f>J10+M10</f>
        <v>0</v>
      </c>
    </row>
    <row r="41" spans="2:27" x14ac:dyDescent="0.15">
      <c r="D41" s="176" t="s">
        <v>2522</v>
      </c>
      <c r="E41" s="1160">
        <f>J11-M11</f>
        <v>0.39700000000000002</v>
      </c>
      <c r="F41" s="1160">
        <f>J11</f>
        <v>0.39700000000000002</v>
      </c>
      <c r="G41" s="1160">
        <f>J11</f>
        <v>0.39700000000000002</v>
      </c>
      <c r="H41" s="1160">
        <f>J11+M11</f>
        <v>0.39700000000000002</v>
      </c>
    </row>
    <row r="42" spans="2:27" x14ac:dyDescent="0.15">
      <c r="D42" s="176" t="s">
        <v>2523</v>
      </c>
      <c r="E42" s="1160">
        <f>J12-M12</f>
        <v>198492.64184995202</v>
      </c>
      <c r="F42" s="1160">
        <f>J12</f>
        <v>278000</v>
      </c>
      <c r="G42" s="1160">
        <f>J12</f>
        <v>278000</v>
      </c>
      <c r="H42" s="1160">
        <f>J12+M12</f>
        <v>357507.35815004795</v>
      </c>
    </row>
    <row r="43" spans="2:27" x14ac:dyDescent="0.15">
      <c r="D43" s="176" t="s">
        <v>2502</v>
      </c>
      <c r="E43" s="1160">
        <f>J13-M13</f>
        <v>0</v>
      </c>
      <c r="F43" s="1160">
        <f>J13</f>
        <v>0</v>
      </c>
      <c r="G43" s="1160">
        <f>J13</f>
        <v>0</v>
      </c>
      <c r="H43" s="1160">
        <f>J13+M13</f>
        <v>0</v>
      </c>
    </row>
    <row r="44" spans="2:27" x14ac:dyDescent="0.15">
      <c r="D44" s="176" t="s">
        <v>2524</v>
      </c>
      <c r="E44" s="1160">
        <f>J14-M14</f>
        <v>0</v>
      </c>
      <c r="F44" s="1160">
        <f>J14</f>
        <v>0</v>
      </c>
      <c r="G44" s="1160">
        <f>J14</f>
        <v>0</v>
      </c>
      <c r="H44" s="1160">
        <f>J14+M14</f>
        <v>0</v>
      </c>
    </row>
    <row r="45" spans="2:27" x14ac:dyDescent="0.15">
      <c r="D45" s="176" t="s">
        <v>2503</v>
      </c>
      <c r="E45" s="1160">
        <f>J16-M16</f>
        <v>0.18240000000000001</v>
      </c>
      <c r="F45" s="1160">
        <f>J16</f>
        <v>0.18240000000000001</v>
      </c>
      <c r="G45" s="1160">
        <f>J16</f>
        <v>0.18240000000000001</v>
      </c>
      <c r="H45" s="1160">
        <f>J16+M16</f>
        <v>0.18240000000000001</v>
      </c>
    </row>
    <row r="46" spans="2:27" x14ac:dyDescent="0.15">
      <c r="D46" s="176" t="s">
        <v>2581</v>
      </c>
      <c r="E46" s="1160">
        <f>J17-M17</f>
        <v>0</v>
      </c>
      <c r="F46" s="1160">
        <f>J17</f>
        <v>0</v>
      </c>
      <c r="G46" s="1160">
        <f>J17</f>
        <v>0</v>
      </c>
      <c r="H46" s="1160">
        <f>J17+M17</f>
        <v>0</v>
      </c>
    </row>
    <row r="47" spans="2:27" x14ac:dyDescent="0.15">
      <c r="D47" s="176" t="s">
        <v>2504</v>
      </c>
      <c r="E47" s="1160">
        <f t="shared" ref="E47:E59" si="24">J19-M19</f>
        <v>0.11451624760240926</v>
      </c>
      <c r="F47" s="1160">
        <f t="shared" ref="F47:F59" si="25">J19</f>
        <v>0.11451624760240926</v>
      </c>
      <c r="G47" s="1160">
        <f t="shared" ref="G47:G59" si="26">J19</f>
        <v>0.11451624760240926</v>
      </c>
      <c r="H47" s="1160">
        <f t="shared" ref="H47:H59" si="27">J19+M19</f>
        <v>0.11451624760240926</v>
      </c>
    </row>
    <row r="48" spans="2:27" x14ac:dyDescent="0.15">
      <c r="D48" s="176" t="s">
        <v>2530</v>
      </c>
      <c r="E48" s="1160">
        <f t="shared" si="24"/>
        <v>77.440000000000012</v>
      </c>
      <c r="F48" s="1160">
        <f t="shared" si="25"/>
        <v>96.800000000000011</v>
      </c>
      <c r="G48" s="1160">
        <f t="shared" si="26"/>
        <v>96.800000000000011</v>
      </c>
      <c r="H48" s="1160">
        <f t="shared" si="27"/>
        <v>116.16000000000001</v>
      </c>
    </row>
    <row r="49" spans="4:8" x14ac:dyDescent="0.15">
      <c r="D49" s="176" t="s">
        <v>720</v>
      </c>
      <c r="E49" s="1160">
        <f t="shared" si="24"/>
        <v>7.8242578169721071</v>
      </c>
      <c r="F49" s="1160">
        <f t="shared" si="25"/>
        <v>9.760257816972107</v>
      </c>
      <c r="G49" s="1160">
        <f t="shared" si="26"/>
        <v>9.760257816972107</v>
      </c>
      <c r="H49" s="1160">
        <f t="shared" si="27"/>
        <v>11.696257816972107</v>
      </c>
    </row>
    <row r="50" spans="4:8" x14ac:dyDescent="0.15">
      <c r="D50" s="176" t="s">
        <v>2506</v>
      </c>
      <c r="E50" s="1160">
        <f t="shared" si="24"/>
        <v>0</v>
      </c>
      <c r="F50" s="1160">
        <f t="shared" si="25"/>
        <v>0</v>
      </c>
      <c r="G50" s="1160">
        <f t="shared" si="26"/>
        <v>0</v>
      </c>
      <c r="H50" s="1160">
        <f t="shared" si="27"/>
        <v>0</v>
      </c>
    </row>
    <row r="51" spans="4:8" x14ac:dyDescent="0.15">
      <c r="D51" s="176" t="s">
        <v>2525</v>
      </c>
      <c r="E51" s="1160">
        <f t="shared" si="24"/>
        <v>0</v>
      </c>
      <c r="F51" s="1160">
        <f t="shared" si="25"/>
        <v>0</v>
      </c>
      <c r="G51" s="1160">
        <f t="shared" si="26"/>
        <v>0</v>
      </c>
      <c r="H51" s="1160">
        <f t="shared" si="27"/>
        <v>0</v>
      </c>
    </row>
    <row r="52" spans="4:8" x14ac:dyDescent="0.15">
      <c r="D52" s="176" t="s">
        <v>2507</v>
      </c>
      <c r="E52" s="1160">
        <f t="shared" si="24"/>
        <v>0</v>
      </c>
      <c r="F52" s="1160">
        <f t="shared" si="25"/>
        <v>0</v>
      </c>
      <c r="G52" s="1160">
        <f t="shared" si="26"/>
        <v>0</v>
      </c>
      <c r="H52" s="1160">
        <f t="shared" si="27"/>
        <v>0</v>
      </c>
    </row>
    <row r="53" spans="4:8" x14ac:dyDescent="0.15">
      <c r="D53" s="176" t="s">
        <v>2508</v>
      </c>
      <c r="E53" s="1160">
        <f t="shared" si="24"/>
        <v>0.31555459790784857</v>
      </c>
      <c r="F53" s="1160">
        <f t="shared" si="25"/>
        <v>0.31555459790784857</v>
      </c>
      <c r="G53" s="1160">
        <f t="shared" si="26"/>
        <v>0.31555459790784857</v>
      </c>
      <c r="H53" s="1160">
        <f t="shared" si="27"/>
        <v>0.31555459790784857</v>
      </c>
    </row>
    <row r="54" spans="4:8" x14ac:dyDescent="0.15">
      <c r="D54" s="176" t="s">
        <v>2509</v>
      </c>
      <c r="E54" s="1160">
        <f t="shared" si="24"/>
        <v>0</v>
      </c>
      <c r="F54" s="1160">
        <f t="shared" si="25"/>
        <v>0</v>
      </c>
      <c r="G54" s="1160">
        <f t="shared" si="26"/>
        <v>0</v>
      </c>
      <c r="H54" s="1160">
        <f t="shared" si="27"/>
        <v>0</v>
      </c>
    </row>
    <row r="55" spans="4:8" x14ac:dyDescent="0.15">
      <c r="D55" s="176" t="s">
        <v>2510</v>
      </c>
      <c r="E55" s="1160">
        <f t="shared" si="24"/>
        <v>0</v>
      </c>
      <c r="F55" s="1160">
        <f t="shared" si="25"/>
        <v>0</v>
      </c>
      <c r="G55" s="1160">
        <f t="shared" si="26"/>
        <v>0</v>
      </c>
      <c r="H55" s="1160">
        <f t="shared" si="27"/>
        <v>0</v>
      </c>
    </row>
    <row r="56" spans="4:8" x14ac:dyDescent="0.15">
      <c r="D56" s="176" t="s">
        <v>2528</v>
      </c>
      <c r="E56" s="1160">
        <f t="shared" si="24"/>
        <v>0</v>
      </c>
      <c r="F56" s="1160">
        <f t="shared" si="25"/>
        <v>0</v>
      </c>
      <c r="G56" s="1160">
        <f t="shared" si="26"/>
        <v>0</v>
      </c>
      <c r="H56" s="1160">
        <f t="shared" si="27"/>
        <v>0</v>
      </c>
    </row>
    <row r="57" spans="4:8" x14ac:dyDescent="0.15">
      <c r="D57" s="176" t="s">
        <v>2511</v>
      </c>
      <c r="E57" s="1160">
        <f t="shared" si="24"/>
        <v>0</v>
      </c>
      <c r="F57" s="1160">
        <f t="shared" si="25"/>
        <v>0</v>
      </c>
      <c r="G57" s="1160">
        <f t="shared" si="26"/>
        <v>0</v>
      </c>
      <c r="H57" s="1160">
        <f t="shared" si="27"/>
        <v>0</v>
      </c>
    </row>
    <row r="58" spans="4:8" x14ac:dyDescent="0.15">
      <c r="D58" s="176" t="s">
        <v>2512</v>
      </c>
      <c r="E58" s="1160">
        <f t="shared" si="24"/>
        <v>7.1499999999999994E-2</v>
      </c>
      <c r="F58" s="1160">
        <f t="shared" si="25"/>
        <v>0.14299999999999999</v>
      </c>
      <c r="G58" s="1160">
        <f t="shared" si="26"/>
        <v>0.14299999999999999</v>
      </c>
      <c r="H58" s="1160">
        <f t="shared" si="27"/>
        <v>0.21449999999999997</v>
      </c>
    </row>
    <row r="59" spans="4:8" x14ac:dyDescent="0.15">
      <c r="D59" s="176" t="s">
        <v>2513</v>
      </c>
      <c r="E59" s="1160">
        <f t="shared" si="24"/>
        <v>0</v>
      </c>
      <c r="F59" s="1160">
        <f t="shared" si="25"/>
        <v>0</v>
      </c>
      <c r="G59" s="1160">
        <f t="shared" si="26"/>
        <v>0</v>
      </c>
      <c r="H59" s="1160">
        <f t="shared" si="27"/>
        <v>0</v>
      </c>
    </row>
    <row r="60" spans="4:8" x14ac:dyDescent="0.15">
      <c r="D60" s="176" t="s">
        <v>2514</v>
      </c>
      <c r="E60" s="1160">
        <f>J32-M32</f>
        <v>0</v>
      </c>
      <c r="F60" s="1160">
        <f>J32</f>
        <v>0</v>
      </c>
      <c r="G60" s="1160">
        <f>J32</f>
        <v>0</v>
      </c>
      <c r="H60" s="1160">
        <f>J32+M32</f>
        <v>0</v>
      </c>
    </row>
    <row r="61" spans="4:8" x14ac:dyDescent="0.15">
      <c r="D61" s="176" t="s">
        <v>2515</v>
      </c>
      <c r="E61" s="1160">
        <f>J33-M33</f>
        <v>0.22002000000000002</v>
      </c>
      <c r="F61" s="1160">
        <f>J33</f>
        <v>0.22002000000000002</v>
      </c>
      <c r="G61" s="1160">
        <f>J33</f>
        <v>0.22002000000000002</v>
      </c>
      <c r="H61" s="1160">
        <f>J33+M33</f>
        <v>0.22002000000000002</v>
      </c>
    </row>
    <row r="62" spans="4:8" x14ac:dyDescent="0.15">
      <c r="D62" s="176" t="s">
        <v>2516</v>
      </c>
      <c r="E62" s="1160">
        <f>J34-M34</f>
        <v>0</v>
      </c>
      <c r="F62" s="1160">
        <f>J34</f>
        <v>0</v>
      </c>
      <c r="G62" s="1160">
        <f>J34</f>
        <v>0</v>
      </c>
      <c r="H62" s="1160">
        <f>J34+M34</f>
        <v>0</v>
      </c>
    </row>
    <row r="64" spans="4:8" ht="17" x14ac:dyDescent="0.15">
      <c r="D64" s="1649" t="s">
        <v>2768</v>
      </c>
    </row>
    <row r="65" spans="4:4" ht="17" x14ac:dyDescent="0.15">
      <c r="D65" s="1649" t="s">
        <v>2769</v>
      </c>
    </row>
    <row r="66" spans="4:4" ht="17" x14ac:dyDescent="0.15">
      <c r="D66" s="1650" t="s">
        <v>2770</v>
      </c>
    </row>
    <row r="67" spans="4:4" ht="16" x14ac:dyDescent="0.15">
      <c r="D67" s="1651" t="s">
        <v>2771</v>
      </c>
    </row>
    <row r="68" spans="4:4" ht="17" x14ac:dyDescent="0.15">
      <c r="D68" s="1649" t="s">
        <v>2772</v>
      </c>
    </row>
  </sheetData>
  <mergeCells count="16">
    <mergeCell ref="B2:O2"/>
    <mergeCell ref="B10:B15"/>
    <mergeCell ref="B16:B18"/>
    <mergeCell ref="Q7:AA7"/>
    <mergeCell ref="Q8:Y8"/>
    <mergeCell ref="AA10:AA15"/>
    <mergeCell ref="O10:O15"/>
    <mergeCell ref="C15:D15"/>
    <mergeCell ref="C18:D18"/>
    <mergeCell ref="E38:H38"/>
    <mergeCell ref="E7:O7"/>
    <mergeCell ref="B4:D4"/>
    <mergeCell ref="B5:D5"/>
    <mergeCell ref="E8:M8"/>
    <mergeCell ref="B19:B35"/>
    <mergeCell ref="C35:D35"/>
  </mergeCells>
  <dataValidations count="1">
    <dataValidation type="list" allowBlank="1" showInputMessage="1" showErrorMessage="1" sqref="E4:E5" xr:uid="{00000000-0002-0000-0F00-000000000000}">
      <formula1>Liste_Franchises</formula1>
    </dataValidation>
  </dataValidations>
  <hyperlinks>
    <hyperlink ref="D67" r:id="rId1" xr:uid="{00000000-0004-0000-0F00-000000000000}"/>
    <hyperlink ref="D66" r:id="rId2" xr:uid="{00000000-0004-0000-0F00-000001000000}"/>
  </hyperlinks>
  <pageMargins left="0.7" right="0.7" top="0.75" bottom="0.75" header="0.3" footer="0.3"/>
  <pageSetup paperSize="9" orientation="portrait" horizontalDpi="4294967292" verticalDpi="4294967292"/>
  <drawing r:id="rId3"/>
  <legacyDrawing r:id="rId4"/>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2">
    <tabColor theme="6"/>
    <outlinePr summaryBelow="0"/>
  </sheetPr>
  <dimension ref="A1:AA467"/>
  <sheetViews>
    <sheetView showGridLines="0" zoomScale="80" zoomScaleNormal="80" zoomScalePageLayoutView="80" workbookViewId="0">
      <pane ySplit="7" topLeftCell="A385" activePane="bottomLeft" state="frozenSplit"/>
      <selection activeCell="K48" sqref="K48"/>
      <selection pane="bottomLeft" activeCell="B383" sqref="B383:Q383"/>
    </sheetView>
  </sheetViews>
  <sheetFormatPr baseColWidth="10" defaultColWidth="0" defaultRowHeight="12" outlineLevelRow="1" x14ac:dyDescent="0.2"/>
  <cols>
    <col min="1" max="2" width="2.6640625" style="39" customWidth="1"/>
    <col min="3" max="23" width="12.6640625" style="39" customWidth="1"/>
    <col min="24" max="25" width="2.6640625" style="39" customWidth="1"/>
    <col min="26" max="27" width="12.6640625" style="39" hidden="1" customWidth="1"/>
    <col min="28" max="16384" width="11.5" style="39" hidden="1"/>
  </cols>
  <sheetData>
    <row r="1" spans="2:20" ht="12" customHeight="1" x14ac:dyDescent="0.2"/>
    <row r="2" spans="2:20" ht="30" customHeight="1" x14ac:dyDescent="0.2">
      <c r="B2" s="1726" t="s">
        <v>2765</v>
      </c>
      <c r="C2" s="1726"/>
      <c r="D2" s="1726"/>
      <c r="E2" s="1726"/>
      <c r="F2" s="1726"/>
      <c r="G2" s="1726"/>
      <c r="H2" s="1726"/>
      <c r="I2" s="1726"/>
      <c r="J2" s="1726"/>
      <c r="K2" s="1726"/>
      <c r="L2" s="1726"/>
      <c r="M2" s="1726"/>
      <c r="N2" s="1726"/>
      <c r="O2" s="1726"/>
      <c r="P2" s="1726"/>
      <c r="Q2" s="1726"/>
    </row>
    <row r="4" spans="2:20" ht="14" x14ac:dyDescent="0.2">
      <c r="B4" s="167"/>
      <c r="C4" s="168"/>
      <c r="D4" s="168"/>
      <c r="E4" s="173" t="s">
        <v>2764</v>
      </c>
      <c r="F4" s="1797" t="str">
        <f>Description!C16</f>
        <v>Energia</v>
      </c>
      <c r="G4" s="1797"/>
      <c r="H4" s="1797"/>
      <c r="I4" s="1797"/>
      <c r="J4" s="1797" t="str">
        <f>Description!C17</f>
        <v>Non-energetici</v>
      </c>
      <c r="K4" s="1797"/>
      <c r="L4" s="1797"/>
      <c r="M4" s="1797"/>
      <c r="N4" s="1797" t="str">
        <f>Description!C18</f>
        <v>Input</v>
      </c>
      <c r="O4" s="1797"/>
      <c r="P4" s="1797" t="str">
        <f>Description!C19</f>
        <v xml:space="preserve">Imballaggi </v>
      </c>
      <c r="Q4" s="1823"/>
    </row>
    <row r="5" spans="2:20" ht="14" x14ac:dyDescent="0.2">
      <c r="B5" s="169"/>
      <c r="C5" s="166"/>
      <c r="D5" s="348"/>
      <c r="E5" s="174"/>
      <c r="F5" s="1824" t="str">
        <f>Description!C20</f>
        <v>Trasporto merci</v>
      </c>
      <c r="G5" s="1824"/>
      <c r="H5" s="1824" t="str">
        <f>Description!C21</f>
        <v>Trasporto persone</v>
      </c>
      <c r="I5" s="1824"/>
      <c r="J5" s="1824" t="str">
        <f>Description!C22</f>
        <v>Rifiuti di processo</v>
      </c>
      <c r="K5" s="1824"/>
      <c r="L5" s="1824" t="str">
        <f>Description!C23</f>
        <v>Beni di durevoli</v>
      </c>
      <c r="M5" s="1824"/>
      <c r="N5" s="1824" t="str">
        <f>Description!C24</f>
        <v>Fase d'uso</v>
      </c>
      <c r="O5" s="1824"/>
      <c r="P5" s="1824" t="str">
        <f>Description!C25</f>
        <v>Fine vita</v>
      </c>
      <c r="Q5" s="1825"/>
      <c r="S5" s="1824"/>
      <c r="T5" s="1824"/>
    </row>
    <row r="6" spans="2:20" ht="14" x14ac:dyDescent="0.2">
      <c r="B6" s="170"/>
      <c r="C6" s="171"/>
      <c r="D6" s="356"/>
      <c r="E6" s="175" t="s">
        <v>71</v>
      </c>
      <c r="F6" s="1798" t="str">
        <f>Description!C28</f>
        <v>CO2e panoramica</v>
      </c>
      <c r="G6" s="1798"/>
      <c r="H6" s="1798"/>
      <c r="I6" s="1798"/>
      <c r="J6" s="1798"/>
      <c r="K6" s="1798"/>
      <c r="L6" s="1798"/>
      <c r="M6" s="1798"/>
      <c r="N6" s="1798" t="s">
        <v>121</v>
      </c>
      <c r="O6" s="1798"/>
      <c r="P6" s="172"/>
      <c r="Q6" s="355"/>
    </row>
    <row r="7" spans="2:20" x14ac:dyDescent="0.2">
      <c r="H7" s="164"/>
      <c r="I7" s="164"/>
      <c r="J7" s="164"/>
      <c r="K7" s="164"/>
    </row>
    <row r="8" spans="2:20" ht="16" collapsed="1" x14ac:dyDescent="0.2">
      <c r="B8" s="2001" t="str">
        <f>Description!C16</f>
        <v>Energia</v>
      </c>
      <c r="C8" s="2002"/>
      <c r="D8" s="2002"/>
      <c r="E8" s="2002"/>
      <c r="F8" s="2002"/>
      <c r="G8" s="2002"/>
      <c r="H8" s="2002"/>
      <c r="I8" s="2002"/>
      <c r="J8" s="2002"/>
      <c r="K8" s="2002"/>
      <c r="L8" s="2002"/>
      <c r="M8" s="2002"/>
      <c r="N8" s="2002"/>
      <c r="O8" s="2002"/>
      <c r="P8" s="2002"/>
      <c r="Q8" s="2003"/>
    </row>
    <row r="9" spans="2:20" hidden="1" outlineLevel="1" x14ac:dyDescent="0.2"/>
    <row r="10" spans="2:20" hidden="1" outlineLevel="1" x14ac:dyDescent="0.2"/>
    <row r="11" spans="2:20" hidden="1" outlineLevel="1" x14ac:dyDescent="0.2"/>
    <row r="12" spans="2:20" hidden="1" outlineLevel="1" x14ac:dyDescent="0.2"/>
    <row r="13" spans="2:20" hidden="1" outlineLevel="1" x14ac:dyDescent="0.2"/>
    <row r="14" spans="2:20" hidden="1" outlineLevel="1" x14ac:dyDescent="0.2"/>
    <row r="15" spans="2:20" hidden="1" outlineLevel="1" x14ac:dyDescent="0.2"/>
    <row r="16" spans="2:20" hidden="1" outlineLevel="1" x14ac:dyDescent="0.2"/>
    <row r="17" hidden="1" outlineLevel="1" x14ac:dyDescent="0.2"/>
    <row r="18" hidden="1" outlineLevel="1" x14ac:dyDescent="0.2"/>
    <row r="19" hidden="1" outlineLevel="1" x14ac:dyDescent="0.2"/>
    <row r="20" hidden="1" outlineLevel="1" x14ac:dyDescent="0.2"/>
    <row r="21" hidden="1" outlineLevel="1" x14ac:dyDescent="0.2"/>
    <row r="22" hidden="1" outlineLevel="1" x14ac:dyDescent="0.2"/>
    <row r="23" hidden="1" outlineLevel="1" x14ac:dyDescent="0.2"/>
    <row r="24" hidden="1" outlineLevel="1" x14ac:dyDescent="0.2"/>
    <row r="25" hidden="1" outlineLevel="1" x14ac:dyDescent="0.2"/>
    <row r="26" hidden="1" outlineLevel="1" x14ac:dyDescent="0.2"/>
    <row r="27" hidden="1" outlineLevel="1" x14ac:dyDescent="0.2"/>
    <row r="28" hidden="1" outlineLevel="1" x14ac:dyDescent="0.2"/>
    <row r="29" hidden="1" outlineLevel="1" x14ac:dyDescent="0.2"/>
    <row r="30" hidden="1" outlineLevel="1" x14ac:dyDescent="0.2"/>
    <row r="31" hidden="1" outlineLevel="1" x14ac:dyDescent="0.2"/>
    <row r="32" hidden="1" outlineLevel="1" x14ac:dyDescent="0.2"/>
    <row r="33" spans="2:17" hidden="1" outlineLevel="1" x14ac:dyDescent="0.2"/>
    <row r="34" spans="2:17" hidden="1" outlineLevel="1" x14ac:dyDescent="0.2"/>
    <row r="35" spans="2:17" hidden="1" outlineLevel="1" x14ac:dyDescent="0.2"/>
    <row r="36" spans="2:17" hidden="1" outlineLevel="1" x14ac:dyDescent="0.2"/>
    <row r="37" spans="2:17" hidden="1" outlineLevel="1" x14ac:dyDescent="0.2"/>
    <row r="38" spans="2:17" hidden="1" outlineLevel="1" x14ac:dyDescent="0.2"/>
    <row r="39" spans="2:17" hidden="1" outlineLevel="1" x14ac:dyDescent="0.2"/>
    <row r="41" spans="2:17" x14ac:dyDescent="0.2">
      <c r="B41" s="165"/>
    </row>
    <row r="42" spans="2:17" ht="16" collapsed="1" x14ac:dyDescent="0.2">
      <c r="B42" s="2001" t="str">
        <f>Description!C17</f>
        <v>Non-energetici</v>
      </c>
      <c r="C42" s="2002"/>
      <c r="D42" s="2002"/>
      <c r="E42" s="2002"/>
      <c r="F42" s="2002"/>
      <c r="G42" s="2002"/>
      <c r="H42" s="2002"/>
      <c r="I42" s="2002"/>
      <c r="J42" s="2002"/>
      <c r="K42" s="2002"/>
      <c r="L42" s="2002"/>
      <c r="M42" s="2002"/>
      <c r="N42" s="2002"/>
      <c r="O42" s="2002"/>
      <c r="P42" s="2002"/>
      <c r="Q42" s="2003"/>
    </row>
    <row r="43" spans="2:17" hidden="1" outlineLevel="1" x14ac:dyDescent="0.2">
      <c r="B43" s="165"/>
    </row>
    <row r="44" spans="2:17" hidden="1" outlineLevel="1" x14ac:dyDescent="0.2">
      <c r="B44" s="165"/>
    </row>
    <row r="45" spans="2:17" hidden="1" outlineLevel="1" x14ac:dyDescent="0.2">
      <c r="B45" s="165"/>
    </row>
    <row r="46" spans="2:17" hidden="1" outlineLevel="1" x14ac:dyDescent="0.2">
      <c r="B46" s="165"/>
    </row>
    <row r="47" spans="2:17" hidden="1" outlineLevel="1" x14ac:dyDescent="0.2">
      <c r="B47" s="165"/>
    </row>
    <row r="48" spans="2:17" hidden="1" outlineLevel="1" x14ac:dyDescent="0.2">
      <c r="B48" s="165"/>
    </row>
    <row r="49" spans="2:2" hidden="1" outlineLevel="1" x14ac:dyDescent="0.2">
      <c r="B49" s="165"/>
    </row>
    <row r="50" spans="2:2" hidden="1" outlineLevel="1" x14ac:dyDescent="0.2">
      <c r="B50" s="165"/>
    </row>
    <row r="51" spans="2:2" hidden="1" outlineLevel="1" x14ac:dyDescent="0.2">
      <c r="B51" s="165"/>
    </row>
    <row r="52" spans="2:2" hidden="1" outlineLevel="1" x14ac:dyDescent="0.2">
      <c r="B52" s="165"/>
    </row>
    <row r="53" spans="2:2" hidden="1" outlineLevel="1" x14ac:dyDescent="0.2">
      <c r="B53" s="165"/>
    </row>
    <row r="54" spans="2:2" hidden="1" outlineLevel="1" x14ac:dyDescent="0.2">
      <c r="B54" s="165"/>
    </row>
    <row r="55" spans="2:2" hidden="1" outlineLevel="1" x14ac:dyDescent="0.2">
      <c r="B55" s="165"/>
    </row>
    <row r="56" spans="2:2" hidden="1" outlineLevel="1" x14ac:dyDescent="0.2">
      <c r="B56" s="165"/>
    </row>
    <row r="57" spans="2:2" hidden="1" outlineLevel="1" x14ac:dyDescent="0.2">
      <c r="B57" s="165"/>
    </row>
    <row r="58" spans="2:2" hidden="1" outlineLevel="1" x14ac:dyDescent="0.2">
      <c r="B58" s="165"/>
    </row>
    <row r="59" spans="2:2" hidden="1" outlineLevel="1" x14ac:dyDescent="0.2">
      <c r="B59" s="165"/>
    </row>
    <row r="60" spans="2:2" hidden="1" outlineLevel="1" x14ac:dyDescent="0.2">
      <c r="B60" s="165"/>
    </row>
    <row r="61" spans="2:2" hidden="1" outlineLevel="1" x14ac:dyDescent="0.2">
      <c r="B61" s="165"/>
    </row>
    <row r="62" spans="2:2" hidden="1" outlineLevel="1" x14ac:dyDescent="0.2">
      <c r="B62" s="165"/>
    </row>
    <row r="63" spans="2:2" hidden="1" outlineLevel="1" x14ac:dyDescent="0.2">
      <c r="B63" s="165"/>
    </row>
    <row r="64" spans="2:2" hidden="1" outlineLevel="1" x14ac:dyDescent="0.2">
      <c r="B64" s="165"/>
    </row>
    <row r="65" spans="2:17" hidden="1" outlineLevel="1" x14ac:dyDescent="0.2">
      <c r="B65" s="165"/>
    </row>
    <row r="66" spans="2:17" hidden="1" outlineLevel="1" x14ac:dyDescent="0.2">
      <c r="B66" s="165"/>
    </row>
    <row r="67" spans="2:17" hidden="1" outlineLevel="1" x14ac:dyDescent="0.2">
      <c r="B67" s="165"/>
    </row>
    <row r="68" spans="2:17" hidden="1" outlineLevel="1" x14ac:dyDescent="0.2">
      <c r="B68" s="165"/>
    </row>
    <row r="69" spans="2:17" hidden="1" outlineLevel="1" x14ac:dyDescent="0.2">
      <c r="B69" s="165"/>
    </row>
    <row r="70" spans="2:17" hidden="1" outlineLevel="1" x14ac:dyDescent="0.2">
      <c r="B70" s="165"/>
    </row>
    <row r="71" spans="2:17" hidden="1" outlineLevel="1" x14ac:dyDescent="0.2">
      <c r="B71" s="165"/>
    </row>
    <row r="72" spans="2:17" hidden="1" outlineLevel="1" x14ac:dyDescent="0.2">
      <c r="B72" s="165"/>
    </row>
    <row r="73" spans="2:17" hidden="1" outlineLevel="1" x14ac:dyDescent="0.2"/>
    <row r="75" spans="2:17" ht="16" collapsed="1" x14ac:dyDescent="0.2">
      <c r="B75" s="2001" t="str">
        <f>Description!C18</f>
        <v>Input</v>
      </c>
      <c r="C75" s="2002"/>
      <c r="D75" s="2002"/>
      <c r="E75" s="2002"/>
      <c r="F75" s="2002"/>
      <c r="G75" s="2002"/>
      <c r="H75" s="2002"/>
      <c r="I75" s="2002"/>
      <c r="J75" s="2002"/>
      <c r="K75" s="2002"/>
      <c r="L75" s="2002"/>
      <c r="M75" s="2002"/>
      <c r="N75" s="2002"/>
      <c r="O75" s="2002"/>
      <c r="P75" s="2002"/>
      <c r="Q75" s="2003"/>
    </row>
    <row r="76" spans="2:17" hidden="1" outlineLevel="1" x14ac:dyDescent="0.2">
      <c r="B76" s="165"/>
    </row>
    <row r="77" spans="2:17" hidden="1" outlineLevel="1" x14ac:dyDescent="0.2">
      <c r="B77" s="165"/>
    </row>
    <row r="78" spans="2:17" hidden="1" outlineLevel="1" x14ac:dyDescent="0.2">
      <c r="B78" s="165"/>
    </row>
    <row r="79" spans="2:17" hidden="1" outlineLevel="1" x14ac:dyDescent="0.2">
      <c r="B79" s="165"/>
    </row>
    <row r="80" spans="2:17" hidden="1" outlineLevel="1" x14ac:dyDescent="0.2">
      <c r="B80" s="165"/>
    </row>
    <row r="81" spans="2:2" hidden="1" outlineLevel="1" x14ac:dyDescent="0.2">
      <c r="B81" s="165"/>
    </row>
    <row r="82" spans="2:2" hidden="1" outlineLevel="1" x14ac:dyDescent="0.2">
      <c r="B82" s="165"/>
    </row>
    <row r="83" spans="2:2" hidden="1" outlineLevel="1" x14ac:dyDescent="0.2">
      <c r="B83" s="165"/>
    </row>
    <row r="84" spans="2:2" hidden="1" outlineLevel="1" x14ac:dyDescent="0.2">
      <c r="B84" s="165"/>
    </row>
    <row r="85" spans="2:2" hidden="1" outlineLevel="1" x14ac:dyDescent="0.2">
      <c r="B85" s="165"/>
    </row>
    <row r="86" spans="2:2" hidden="1" outlineLevel="1" x14ac:dyDescent="0.2">
      <c r="B86" s="165"/>
    </row>
    <row r="87" spans="2:2" hidden="1" outlineLevel="1" x14ac:dyDescent="0.2">
      <c r="B87" s="165"/>
    </row>
    <row r="88" spans="2:2" hidden="1" outlineLevel="1" x14ac:dyDescent="0.2">
      <c r="B88" s="165"/>
    </row>
    <row r="89" spans="2:2" hidden="1" outlineLevel="1" x14ac:dyDescent="0.2">
      <c r="B89" s="165"/>
    </row>
    <row r="90" spans="2:2" hidden="1" outlineLevel="1" x14ac:dyDescent="0.2">
      <c r="B90" s="165"/>
    </row>
    <row r="91" spans="2:2" hidden="1" outlineLevel="1" x14ac:dyDescent="0.2">
      <c r="B91" s="165"/>
    </row>
    <row r="92" spans="2:2" hidden="1" outlineLevel="1" x14ac:dyDescent="0.2">
      <c r="B92" s="165"/>
    </row>
    <row r="93" spans="2:2" hidden="1" outlineLevel="1" x14ac:dyDescent="0.2">
      <c r="B93" s="165"/>
    </row>
    <row r="94" spans="2:2" hidden="1" outlineLevel="1" x14ac:dyDescent="0.2">
      <c r="B94" s="165"/>
    </row>
    <row r="95" spans="2:2" hidden="1" outlineLevel="1" x14ac:dyDescent="0.2">
      <c r="B95" s="165"/>
    </row>
    <row r="96" spans="2:2" hidden="1" outlineLevel="1" x14ac:dyDescent="0.2">
      <c r="B96" s="165"/>
    </row>
    <row r="97" spans="2:17" hidden="1" outlineLevel="1" x14ac:dyDescent="0.2">
      <c r="B97" s="165"/>
    </row>
    <row r="98" spans="2:17" hidden="1" outlineLevel="1" x14ac:dyDescent="0.2">
      <c r="B98" s="165"/>
    </row>
    <row r="99" spans="2:17" hidden="1" outlineLevel="1" x14ac:dyDescent="0.2">
      <c r="B99" s="165"/>
    </row>
    <row r="100" spans="2:17" hidden="1" outlineLevel="1" x14ac:dyDescent="0.2">
      <c r="B100" s="165"/>
    </row>
    <row r="101" spans="2:17" hidden="1" outlineLevel="1" x14ac:dyDescent="0.2">
      <c r="B101" s="165"/>
    </row>
    <row r="102" spans="2:17" hidden="1" outlineLevel="1" x14ac:dyDescent="0.2">
      <c r="B102" s="165"/>
    </row>
    <row r="103" spans="2:17" hidden="1" outlineLevel="1" x14ac:dyDescent="0.2">
      <c r="B103" s="165"/>
    </row>
    <row r="104" spans="2:17" hidden="1" outlineLevel="1" x14ac:dyDescent="0.2">
      <c r="B104" s="165"/>
    </row>
    <row r="105" spans="2:17" hidden="1" outlineLevel="1" x14ac:dyDescent="0.2">
      <c r="B105" s="165"/>
    </row>
    <row r="106" spans="2:17" hidden="1" outlineLevel="1" x14ac:dyDescent="0.2"/>
    <row r="108" spans="2:17" ht="16" collapsed="1" x14ac:dyDescent="0.2">
      <c r="B108" s="2001" t="str">
        <f>Description!C19</f>
        <v xml:space="preserve">Imballaggi </v>
      </c>
      <c r="C108" s="2002"/>
      <c r="D108" s="2002"/>
      <c r="E108" s="2002"/>
      <c r="F108" s="2002"/>
      <c r="G108" s="2002"/>
      <c r="H108" s="2002"/>
      <c r="I108" s="2002"/>
      <c r="J108" s="2002"/>
      <c r="K108" s="2002"/>
      <c r="L108" s="2002"/>
      <c r="M108" s="2002"/>
      <c r="N108" s="2002"/>
      <c r="O108" s="2002"/>
      <c r="P108" s="2002"/>
      <c r="Q108" s="2003"/>
    </row>
    <row r="109" spans="2:17" hidden="1" outlineLevel="1" x14ac:dyDescent="0.2">
      <c r="B109" s="165"/>
    </row>
    <row r="110" spans="2:17" hidden="1" outlineLevel="1" x14ac:dyDescent="0.2">
      <c r="B110" s="165"/>
    </row>
    <row r="111" spans="2:17" hidden="1" outlineLevel="1" x14ac:dyDescent="0.2">
      <c r="B111" s="165"/>
    </row>
    <row r="112" spans="2:17" hidden="1" outlineLevel="1" x14ac:dyDescent="0.2">
      <c r="B112" s="165"/>
    </row>
    <row r="113" spans="2:2" hidden="1" outlineLevel="1" x14ac:dyDescent="0.2">
      <c r="B113" s="165"/>
    </row>
    <row r="114" spans="2:2" hidden="1" outlineLevel="1" x14ac:dyDescent="0.2">
      <c r="B114" s="165"/>
    </row>
    <row r="115" spans="2:2" hidden="1" outlineLevel="1" x14ac:dyDescent="0.2">
      <c r="B115" s="165"/>
    </row>
    <row r="116" spans="2:2" hidden="1" outlineLevel="1" x14ac:dyDescent="0.2">
      <c r="B116" s="165"/>
    </row>
    <row r="117" spans="2:2" hidden="1" outlineLevel="1" x14ac:dyDescent="0.2">
      <c r="B117" s="165"/>
    </row>
    <row r="118" spans="2:2" hidden="1" outlineLevel="1" x14ac:dyDescent="0.2">
      <c r="B118" s="165"/>
    </row>
    <row r="119" spans="2:2" hidden="1" outlineLevel="1" x14ac:dyDescent="0.2">
      <c r="B119" s="165"/>
    </row>
    <row r="120" spans="2:2" hidden="1" outlineLevel="1" x14ac:dyDescent="0.2">
      <c r="B120" s="165"/>
    </row>
    <row r="121" spans="2:2" hidden="1" outlineLevel="1" x14ac:dyDescent="0.2">
      <c r="B121" s="165"/>
    </row>
    <row r="122" spans="2:2" hidden="1" outlineLevel="1" x14ac:dyDescent="0.2">
      <c r="B122" s="165"/>
    </row>
    <row r="123" spans="2:2" hidden="1" outlineLevel="1" x14ac:dyDescent="0.2">
      <c r="B123" s="165"/>
    </row>
    <row r="124" spans="2:2" hidden="1" outlineLevel="1" x14ac:dyDescent="0.2">
      <c r="B124" s="165"/>
    </row>
    <row r="125" spans="2:2" hidden="1" outlineLevel="1" x14ac:dyDescent="0.2">
      <c r="B125" s="165"/>
    </row>
    <row r="126" spans="2:2" hidden="1" outlineLevel="1" x14ac:dyDescent="0.2">
      <c r="B126" s="165"/>
    </row>
    <row r="127" spans="2:2" hidden="1" outlineLevel="1" x14ac:dyDescent="0.2">
      <c r="B127" s="165"/>
    </row>
    <row r="128" spans="2:2" hidden="1" outlineLevel="1" x14ac:dyDescent="0.2">
      <c r="B128" s="165"/>
    </row>
    <row r="129" spans="2:17" hidden="1" outlineLevel="1" x14ac:dyDescent="0.2">
      <c r="B129" s="165"/>
    </row>
    <row r="130" spans="2:17" hidden="1" outlineLevel="1" x14ac:dyDescent="0.2">
      <c r="B130" s="165"/>
    </row>
    <row r="131" spans="2:17" hidden="1" outlineLevel="1" x14ac:dyDescent="0.2">
      <c r="B131" s="165"/>
    </row>
    <row r="132" spans="2:17" hidden="1" outlineLevel="1" x14ac:dyDescent="0.2">
      <c r="B132" s="165"/>
    </row>
    <row r="133" spans="2:17" hidden="1" outlineLevel="1" x14ac:dyDescent="0.2">
      <c r="B133" s="165"/>
    </row>
    <row r="134" spans="2:17" hidden="1" outlineLevel="1" x14ac:dyDescent="0.2">
      <c r="B134" s="165"/>
    </row>
    <row r="135" spans="2:17" hidden="1" outlineLevel="1" x14ac:dyDescent="0.2">
      <c r="B135" s="165"/>
    </row>
    <row r="136" spans="2:17" hidden="1" outlineLevel="1" x14ac:dyDescent="0.2">
      <c r="B136" s="165"/>
    </row>
    <row r="137" spans="2:17" hidden="1" outlineLevel="1" x14ac:dyDescent="0.2">
      <c r="B137" s="165"/>
    </row>
    <row r="138" spans="2:17" hidden="1" outlineLevel="1" x14ac:dyDescent="0.2">
      <c r="B138" s="165"/>
    </row>
    <row r="139" spans="2:17" hidden="1" outlineLevel="1" x14ac:dyDescent="0.2"/>
    <row r="141" spans="2:17" ht="16" collapsed="1" x14ac:dyDescent="0.2">
      <c r="B141" s="2001" t="str">
        <f>Description!C20</f>
        <v>Trasporto merci</v>
      </c>
      <c r="C141" s="2002"/>
      <c r="D141" s="2002"/>
      <c r="E141" s="2002"/>
      <c r="F141" s="2002"/>
      <c r="G141" s="2002"/>
      <c r="H141" s="2002"/>
      <c r="I141" s="2002"/>
      <c r="J141" s="2002"/>
      <c r="K141" s="2002"/>
      <c r="L141" s="2002"/>
      <c r="M141" s="2002"/>
      <c r="N141" s="2002"/>
      <c r="O141" s="2002"/>
      <c r="P141" s="2002"/>
      <c r="Q141" s="2003"/>
    </row>
    <row r="142" spans="2:17" hidden="1" outlineLevel="1" x14ac:dyDescent="0.2">
      <c r="B142" s="165"/>
    </row>
    <row r="143" spans="2:17" hidden="1" outlineLevel="1" x14ac:dyDescent="0.2">
      <c r="B143" s="165"/>
    </row>
    <row r="144" spans="2:17" hidden="1" outlineLevel="1" x14ac:dyDescent="0.2">
      <c r="B144" s="165"/>
    </row>
    <row r="145" spans="2:2" hidden="1" outlineLevel="1" x14ac:dyDescent="0.2">
      <c r="B145" s="165"/>
    </row>
    <row r="146" spans="2:2" hidden="1" outlineLevel="1" x14ac:dyDescent="0.2">
      <c r="B146" s="165"/>
    </row>
    <row r="147" spans="2:2" hidden="1" outlineLevel="1" x14ac:dyDescent="0.2">
      <c r="B147" s="165"/>
    </row>
    <row r="148" spans="2:2" hidden="1" outlineLevel="1" x14ac:dyDescent="0.2">
      <c r="B148" s="165"/>
    </row>
    <row r="149" spans="2:2" hidden="1" outlineLevel="1" x14ac:dyDescent="0.2">
      <c r="B149" s="165"/>
    </row>
    <row r="150" spans="2:2" hidden="1" outlineLevel="1" x14ac:dyDescent="0.2">
      <c r="B150" s="165"/>
    </row>
    <row r="151" spans="2:2" hidden="1" outlineLevel="1" x14ac:dyDescent="0.2">
      <c r="B151" s="165"/>
    </row>
    <row r="152" spans="2:2" hidden="1" outlineLevel="1" x14ac:dyDescent="0.2">
      <c r="B152" s="165"/>
    </row>
    <row r="153" spans="2:2" hidden="1" outlineLevel="1" x14ac:dyDescent="0.2">
      <c r="B153" s="165"/>
    </row>
    <row r="154" spans="2:2" hidden="1" outlineLevel="1" x14ac:dyDescent="0.2">
      <c r="B154" s="165"/>
    </row>
    <row r="155" spans="2:2" hidden="1" outlineLevel="1" x14ac:dyDescent="0.2">
      <c r="B155" s="165"/>
    </row>
    <row r="156" spans="2:2" hidden="1" outlineLevel="1" x14ac:dyDescent="0.2">
      <c r="B156" s="165"/>
    </row>
    <row r="157" spans="2:2" hidden="1" outlineLevel="1" x14ac:dyDescent="0.2">
      <c r="B157" s="165"/>
    </row>
    <row r="158" spans="2:2" hidden="1" outlineLevel="1" x14ac:dyDescent="0.2">
      <c r="B158" s="165"/>
    </row>
    <row r="159" spans="2:2" hidden="1" outlineLevel="1" x14ac:dyDescent="0.2">
      <c r="B159" s="165"/>
    </row>
    <row r="160" spans="2:2" hidden="1" outlineLevel="1" x14ac:dyDescent="0.2">
      <c r="B160" s="165"/>
    </row>
    <row r="161" spans="2:2" hidden="1" outlineLevel="1" x14ac:dyDescent="0.2">
      <c r="B161" s="165"/>
    </row>
    <row r="162" spans="2:2" hidden="1" outlineLevel="1" x14ac:dyDescent="0.2">
      <c r="B162" s="165"/>
    </row>
    <row r="163" spans="2:2" hidden="1" outlineLevel="1" x14ac:dyDescent="0.2">
      <c r="B163" s="165"/>
    </row>
    <row r="164" spans="2:2" hidden="1" outlineLevel="1" x14ac:dyDescent="0.2">
      <c r="B164" s="165"/>
    </row>
    <row r="165" spans="2:2" hidden="1" outlineLevel="1" x14ac:dyDescent="0.2">
      <c r="B165" s="165"/>
    </row>
    <row r="166" spans="2:2" hidden="1" outlineLevel="1" x14ac:dyDescent="0.2">
      <c r="B166" s="165"/>
    </row>
    <row r="167" spans="2:2" hidden="1" outlineLevel="1" x14ac:dyDescent="0.2">
      <c r="B167" s="165"/>
    </row>
    <row r="168" spans="2:2" hidden="1" outlineLevel="1" x14ac:dyDescent="0.2">
      <c r="B168" s="165"/>
    </row>
    <row r="169" spans="2:2" hidden="1" outlineLevel="1" x14ac:dyDescent="0.2">
      <c r="B169" s="165"/>
    </row>
    <row r="170" spans="2:2" hidden="1" outlineLevel="1" x14ac:dyDescent="0.2">
      <c r="B170" s="165"/>
    </row>
    <row r="171" spans="2:2" hidden="1" outlineLevel="1" x14ac:dyDescent="0.2">
      <c r="B171" s="165"/>
    </row>
    <row r="172" spans="2:2" hidden="1" outlineLevel="1" x14ac:dyDescent="0.2">
      <c r="B172" s="165"/>
    </row>
    <row r="173" spans="2:2" hidden="1" outlineLevel="1" x14ac:dyDescent="0.2">
      <c r="B173" s="165"/>
    </row>
    <row r="174" spans="2:2" hidden="1" outlineLevel="1" x14ac:dyDescent="0.2">
      <c r="B174" s="165"/>
    </row>
    <row r="175" spans="2:2" hidden="1" outlineLevel="1" x14ac:dyDescent="0.2"/>
    <row r="177" spans="2:17" ht="16" collapsed="1" x14ac:dyDescent="0.2">
      <c r="B177" s="2001" t="str">
        <f>Description!C21</f>
        <v>Trasporto persone</v>
      </c>
      <c r="C177" s="2002"/>
      <c r="D177" s="2002"/>
      <c r="E177" s="2002"/>
      <c r="F177" s="2002"/>
      <c r="G177" s="2002"/>
      <c r="H177" s="2002"/>
      <c r="I177" s="2002"/>
      <c r="J177" s="2002"/>
      <c r="K177" s="2002"/>
      <c r="L177" s="2002"/>
      <c r="M177" s="2002"/>
      <c r="N177" s="2002"/>
      <c r="O177" s="2002"/>
      <c r="P177" s="2002"/>
      <c r="Q177" s="2003"/>
    </row>
    <row r="178" spans="2:17" hidden="1" outlineLevel="1" x14ac:dyDescent="0.2">
      <c r="B178" s="165"/>
    </row>
    <row r="179" spans="2:17" hidden="1" outlineLevel="1" x14ac:dyDescent="0.2">
      <c r="B179" s="165"/>
    </row>
    <row r="180" spans="2:17" hidden="1" outlineLevel="1" x14ac:dyDescent="0.2">
      <c r="B180" s="165"/>
    </row>
    <row r="181" spans="2:17" hidden="1" outlineLevel="1" x14ac:dyDescent="0.2">
      <c r="B181" s="165"/>
    </row>
    <row r="182" spans="2:17" hidden="1" outlineLevel="1" x14ac:dyDescent="0.2">
      <c r="B182" s="165"/>
    </row>
    <row r="183" spans="2:17" hidden="1" outlineLevel="1" x14ac:dyDescent="0.2">
      <c r="B183" s="165"/>
    </row>
    <row r="184" spans="2:17" hidden="1" outlineLevel="1" x14ac:dyDescent="0.2">
      <c r="B184" s="165"/>
    </row>
    <row r="185" spans="2:17" hidden="1" outlineLevel="1" x14ac:dyDescent="0.2">
      <c r="B185" s="165"/>
    </row>
    <row r="186" spans="2:17" hidden="1" outlineLevel="1" x14ac:dyDescent="0.2">
      <c r="B186" s="165"/>
    </row>
    <row r="187" spans="2:17" hidden="1" outlineLevel="1" x14ac:dyDescent="0.2">
      <c r="B187" s="165"/>
    </row>
    <row r="188" spans="2:17" hidden="1" outlineLevel="1" x14ac:dyDescent="0.2">
      <c r="B188" s="165"/>
    </row>
    <row r="189" spans="2:17" hidden="1" outlineLevel="1" x14ac:dyDescent="0.2">
      <c r="B189" s="165"/>
    </row>
    <row r="190" spans="2:17" hidden="1" outlineLevel="1" x14ac:dyDescent="0.2">
      <c r="B190" s="165"/>
    </row>
    <row r="191" spans="2:17" hidden="1" outlineLevel="1" x14ac:dyDescent="0.2">
      <c r="B191" s="165"/>
    </row>
    <row r="192" spans="2:17" hidden="1" outlineLevel="1" x14ac:dyDescent="0.2">
      <c r="B192" s="165"/>
    </row>
    <row r="193" spans="2:2" hidden="1" outlineLevel="1" x14ac:dyDescent="0.2">
      <c r="B193" s="165"/>
    </row>
    <row r="194" spans="2:2" hidden="1" outlineLevel="1" x14ac:dyDescent="0.2">
      <c r="B194" s="165"/>
    </row>
    <row r="195" spans="2:2" hidden="1" outlineLevel="1" x14ac:dyDescent="0.2">
      <c r="B195" s="165"/>
    </row>
    <row r="196" spans="2:2" hidden="1" outlineLevel="1" x14ac:dyDescent="0.2">
      <c r="B196" s="165"/>
    </row>
    <row r="197" spans="2:2" hidden="1" outlineLevel="1" x14ac:dyDescent="0.2">
      <c r="B197" s="165"/>
    </row>
    <row r="198" spans="2:2" hidden="1" outlineLevel="1" x14ac:dyDescent="0.2">
      <c r="B198" s="165"/>
    </row>
    <row r="199" spans="2:2" hidden="1" outlineLevel="1" x14ac:dyDescent="0.2">
      <c r="B199" s="165"/>
    </row>
    <row r="200" spans="2:2" hidden="1" outlineLevel="1" x14ac:dyDescent="0.2">
      <c r="B200" s="165"/>
    </row>
    <row r="201" spans="2:2" hidden="1" outlineLevel="1" x14ac:dyDescent="0.2">
      <c r="B201" s="165"/>
    </row>
    <row r="202" spans="2:2" hidden="1" outlineLevel="1" x14ac:dyDescent="0.2">
      <c r="B202" s="165"/>
    </row>
    <row r="203" spans="2:2" hidden="1" outlineLevel="1" x14ac:dyDescent="0.2">
      <c r="B203" s="165"/>
    </row>
    <row r="204" spans="2:2" hidden="1" outlineLevel="1" x14ac:dyDescent="0.2">
      <c r="B204" s="165"/>
    </row>
    <row r="205" spans="2:2" hidden="1" outlineLevel="1" x14ac:dyDescent="0.2">
      <c r="B205" s="165"/>
    </row>
    <row r="206" spans="2:2" hidden="1" outlineLevel="1" x14ac:dyDescent="0.2">
      <c r="B206" s="165"/>
    </row>
    <row r="207" spans="2:2" hidden="1" outlineLevel="1" x14ac:dyDescent="0.2">
      <c r="B207" s="165"/>
    </row>
    <row r="208" spans="2:2" hidden="1" outlineLevel="1" x14ac:dyDescent="0.2"/>
    <row r="210" spans="2:17" ht="16" collapsed="1" x14ac:dyDescent="0.2">
      <c r="B210" s="2001" t="str">
        <f>Description!C22</f>
        <v>Rifiuti di processo</v>
      </c>
      <c r="C210" s="2002"/>
      <c r="D210" s="2002"/>
      <c r="E210" s="2002"/>
      <c r="F210" s="2002"/>
      <c r="G210" s="2002"/>
      <c r="H210" s="2002"/>
      <c r="I210" s="2002"/>
      <c r="J210" s="2002"/>
      <c r="K210" s="2002"/>
      <c r="L210" s="2002"/>
      <c r="M210" s="2002"/>
      <c r="N210" s="2002"/>
      <c r="O210" s="2002"/>
      <c r="P210" s="2002"/>
      <c r="Q210" s="2003"/>
    </row>
    <row r="211" spans="2:17" hidden="1" outlineLevel="1" x14ac:dyDescent="0.2">
      <c r="B211" s="165"/>
    </row>
    <row r="212" spans="2:17" hidden="1" outlineLevel="1" x14ac:dyDescent="0.2">
      <c r="B212" s="165"/>
    </row>
    <row r="213" spans="2:17" hidden="1" outlineLevel="1" x14ac:dyDescent="0.2">
      <c r="B213" s="165"/>
    </row>
    <row r="214" spans="2:17" hidden="1" outlineLevel="1" x14ac:dyDescent="0.2">
      <c r="B214" s="165"/>
    </row>
    <row r="215" spans="2:17" hidden="1" outlineLevel="1" x14ac:dyDescent="0.2">
      <c r="B215" s="165"/>
    </row>
    <row r="216" spans="2:17" hidden="1" outlineLevel="1" x14ac:dyDescent="0.2">
      <c r="B216" s="165"/>
    </row>
    <row r="217" spans="2:17" hidden="1" outlineLevel="1" x14ac:dyDescent="0.2">
      <c r="B217" s="165"/>
    </row>
    <row r="218" spans="2:17" hidden="1" outlineLevel="1" x14ac:dyDescent="0.2">
      <c r="B218" s="165"/>
    </row>
    <row r="219" spans="2:17" hidden="1" outlineLevel="1" x14ac:dyDescent="0.2">
      <c r="B219" s="165"/>
    </row>
    <row r="220" spans="2:17" hidden="1" outlineLevel="1" x14ac:dyDescent="0.2">
      <c r="B220" s="165"/>
    </row>
    <row r="221" spans="2:17" hidden="1" outlineLevel="1" x14ac:dyDescent="0.2">
      <c r="B221" s="165"/>
    </row>
    <row r="222" spans="2:17" hidden="1" outlineLevel="1" x14ac:dyDescent="0.2">
      <c r="B222" s="165"/>
    </row>
    <row r="223" spans="2:17" hidden="1" outlineLevel="1" x14ac:dyDescent="0.2">
      <c r="B223" s="165"/>
    </row>
    <row r="224" spans="2:17" hidden="1" outlineLevel="1" x14ac:dyDescent="0.2">
      <c r="B224" s="165"/>
    </row>
    <row r="225" spans="2:2" hidden="1" outlineLevel="1" x14ac:dyDescent="0.2">
      <c r="B225" s="165"/>
    </row>
    <row r="226" spans="2:2" hidden="1" outlineLevel="1" x14ac:dyDescent="0.2">
      <c r="B226" s="165"/>
    </row>
    <row r="227" spans="2:2" hidden="1" outlineLevel="1" x14ac:dyDescent="0.2">
      <c r="B227" s="165"/>
    </row>
    <row r="228" spans="2:2" hidden="1" outlineLevel="1" x14ac:dyDescent="0.2">
      <c r="B228" s="165"/>
    </row>
    <row r="229" spans="2:2" hidden="1" outlineLevel="1" x14ac:dyDescent="0.2">
      <c r="B229" s="165"/>
    </row>
    <row r="230" spans="2:2" hidden="1" outlineLevel="1" x14ac:dyDescent="0.2">
      <c r="B230" s="165"/>
    </row>
    <row r="231" spans="2:2" hidden="1" outlineLevel="1" x14ac:dyDescent="0.2">
      <c r="B231" s="165"/>
    </row>
    <row r="232" spans="2:2" hidden="1" outlineLevel="1" x14ac:dyDescent="0.2">
      <c r="B232" s="165"/>
    </row>
    <row r="233" spans="2:2" hidden="1" outlineLevel="1" x14ac:dyDescent="0.2">
      <c r="B233" s="165"/>
    </row>
    <row r="234" spans="2:2" hidden="1" outlineLevel="1" x14ac:dyDescent="0.2">
      <c r="B234" s="165"/>
    </row>
    <row r="235" spans="2:2" hidden="1" outlineLevel="1" x14ac:dyDescent="0.2">
      <c r="B235" s="165"/>
    </row>
    <row r="236" spans="2:2" hidden="1" outlineLevel="1" x14ac:dyDescent="0.2">
      <c r="B236" s="165"/>
    </row>
    <row r="237" spans="2:2" hidden="1" outlineLevel="1" x14ac:dyDescent="0.2">
      <c r="B237" s="165"/>
    </row>
    <row r="238" spans="2:2" hidden="1" outlineLevel="1" x14ac:dyDescent="0.2">
      <c r="B238" s="165"/>
    </row>
    <row r="239" spans="2:2" hidden="1" outlineLevel="1" x14ac:dyDescent="0.2">
      <c r="B239" s="165"/>
    </row>
    <row r="240" spans="2:2" hidden="1" outlineLevel="1" x14ac:dyDescent="0.2">
      <c r="B240" s="165"/>
    </row>
    <row r="241" spans="2:17" hidden="1" outlineLevel="1" x14ac:dyDescent="0.2"/>
    <row r="243" spans="2:17" ht="16" collapsed="1" x14ac:dyDescent="0.2">
      <c r="B243" s="2001" t="str">
        <f>Description!C23</f>
        <v>Beni di durevoli</v>
      </c>
      <c r="C243" s="2002"/>
      <c r="D243" s="2002"/>
      <c r="E243" s="2002"/>
      <c r="F243" s="2002"/>
      <c r="G243" s="2002"/>
      <c r="H243" s="2002"/>
      <c r="I243" s="2002"/>
      <c r="J243" s="2002"/>
      <c r="K243" s="2002"/>
      <c r="L243" s="2002"/>
      <c r="M243" s="2002"/>
      <c r="N243" s="2002"/>
      <c r="O243" s="2002"/>
      <c r="P243" s="2002"/>
      <c r="Q243" s="2003"/>
    </row>
    <row r="244" spans="2:17" hidden="1" outlineLevel="1" x14ac:dyDescent="0.2">
      <c r="B244" s="165"/>
    </row>
    <row r="245" spans="2:17" hidden="1" outlineLevel="1" x14ac:dyDescent="0.2">
      <c r="B245" s="165"/>
    </row>
    <row r="246" spans="2:17" hidden="1" outlineLevel="1" x14ac:dyDescent="0.2">
      <c r="B246" s="165"/>
    </row>
    <row r="247" spans="2:17" hidden="1" outlineLevel="1" x14ac:dyDescent="0.2">
      <c r="B247" s="165"/>
    </row>
    <row r="248" spans="2:17" hidden="1" outlineLevel="1" x14ac:dyDescent="0.2">
      <c r="B248" s="165"/>
    </row>
    <row r="249" spans="2:17" hidden="1" outlineLevel="1" x14ac:dyDescent="0.2">
      <c r="B249" s="165"/>
    </row>
    <row r="250" spans="2:17" hidden="1" outlineLevel="1" x14ac:dyDescent="0.2">
      <c r="B250" s="165"/>
    </row>
    <row r="251" spans="2:17" hidden="1" outlineLevel="1" x14ac:dyDescent="0.2">
      <c r="B251" s="165"/>
    </row>
    <row r="252" spans="2:17" hidden="1" outlineLevel="1" x14ac:dyDescent="0.2">
      <c r="B252" s="165"/>
    </row>
    <row r="253" spans="2:17" hidden="1" outlineLevel="1" x14ac:dyDescent="0.2">
      <c r="B253" s="165"/>
    </row>
    <row r="254" spans="2:17" hidden="1" outlineLevel="1" x14ac:dyDescent="0.2">
      <c r="B254" s="165"/>
    </row>
    <row r="255" spans="2:17" hidden="1" outlineLevel="1" x14ac:dyDescent="0.2">
      <c r="B255" s="165"/>
    </row>
    <row r="256" spans="2:17" hidden="1" outlineLevel="1" x14ac:dyDescent="0.2">
      <c r="B256" s="165"/>
    </row>
    <row r="257" spans="2:2" hidden="1" outlineLevel="1" x14ac:dyDescent="0.2">
      <c r="B257" s="165"/>
    </row>
    <row r="258" spans="2:2" hidden="1" outlineLevel="1" x14ac:dyDescent="0.2">
      <c r="B258" s="165"/>
    </row>
    <row r="259" spans="2:2" hidden="1" outlineLevel="1" x14ac:dyDescent="0.2">
      <c r="B259" s="165"/>
    </row>
    <row r="260" spans="2:2" hidden="1" outlineLevel="1" x14ac:dyDescent="0.2">
      <c r="B260" s="165"/>
    </row>
    <row r="261" spans="2:2" hidden="1" outlineLevel="1" x14ac:dyDescent="0.2">
      <c r="B261" s="165"/>
    </row>
    <row r="262" spans="2:2" hidden="1" outlineLevel="1" x14ac:dyDescent="0.2">
      <c r="B262" s="165"/>
    </row>
    <row r="263" spans="2:2" hidden="1" outlineLevel="1" x14ac:dyDescent="0.2">
      <c r="B263" s="165"/>
    </row>
    <row r="264" spans="2:2" hidden="1" outlineLevel="1" x14ac:dyDescent="0.2">
      <c r="B264" s="165"/>
    </row>
    <row r="265" spans="2:2" hidden="1" outlineLevel="1" x14ac:dyDescent="0.2">
      <c r="B265" s="165"/>
    </row>
    <row r="266" spans="2:2" hidden="1" outlineLevel="1" x14ac:dyDescent="0.2">
      <c r="B266" s="165"/>
    </row>
    <row r="267" spans="2:2" hidden="1" outlineLevel="1" x14ac:dyDescent="0.2">
      <c r="B267" s="165"/>
    </row>
    <row r="268" spans="2:2" hidden="1" outlineLevel="1" x14ac:dyDescent="0.2">
      <c r="B268" s="165"/>
    </row>
    <row r="269" spans="2:2" hidden="1" outlineLevel="1" x14ac:dyDescent="0.2">
      <c r="B269" s="165"/>
    </row>
    <row r="270" spans="2:2" hidden="1" outlineLevel="1" x14ac:dyDescent="0.2">
      <c r="B270" s="165"/>
    </row>
    <row r="271" spans="2:2" hidden="1" outlineLevel="1" x14ac:dyDescent="0.2">
      <c r="B271" s="165"/>
    </row>
    <row r="272" spans="2:2" hidden="1" outlineLevel="1" x14ac:dyDescent="0.2">
      <c r="B272" s="165"/>
    </row>
    <row r="273" spans="2:17" hidden="1" outlineLevel="1" x14ac:dyDescent="0.2">
      <c r="B273" s="165"/>
    </row>
    <row r="274" spans="2:17" hidden="1" outlineLevel="1" x14ac:dyDescent="0.2"/>
    <row r="276" spans="2:17" ht="16" collapsed="1" x14ac:dyDescent="0.2">
      <c r="B276" s="2001" t="str">
        <f>Description!C24</f>
        <v>Fase d'uso</v>
      </c>
      <c r="C276" s="2002"/>
      <c r="D276" s="2002"/>
      <c r="E276" s="2002"/>
      <c r="F276" s="2002"/>
      <c r="G276" s="2002"/>
      <c r="H276" s="2002"/>
      <c r="I276" s="2002"/>
      <c r="J276" s="2002"/>
      <c r="K276" s="2002"/>
      <c r="L276" s="2002"/>
      <c r="M276" s="2002"/>
      <c r="N276" s="2002"/>
      <c r="O276" s="2002"/>
      <c r="P276" s="2002"/>
      <c r="Q276" s="2003"/>
    </row>
    <row r="277" spans="2:17" hidden="1" outlineLevel="1" x14ac:dyDescent="0.2">
      <c r="B277" s="165"/>
    </row>
    <row r="278" spans="2:17" hidden="1" outlineLevel="1" x14ac:dyDescent="0.2">
      <c r="B278" s="165"/>
    </row>
    <row r="279" spans="2:17" hidden="1" outlineLevel="1" x14ac:dyDescent="0.2">
      <c r="B279" s="165"/>
    </row>
    <row r="280" spans="2:17" hidden="1" outlineLevel="1" x14ac:dyDescent="0.2">
      <c r="B280" s="165"/>
    </row>
    <row r="281" spans="2:17" hidden="1" outlineLevel="1" x14ac:dyDescent="0.2">
      <c r="B281" s="165"/>
    </row>
    <row r="282" spans="2:17" hidden="1" outlineLevel="1" x14ac:dyDescent="0.2">
      <c r="B282" s="165"/>
    </row>
    <row r="283" spans="2:17" hidden="1" outlineLevel="1" x14ac:dyDescent="0.2">
      <c r="B283" s="165"/>
    </row>
    <row r="284" spans="2:17" hidden="1" outlineLevel="1" x14ac:dyDescent="0.2">
      <c r="B284" s="165"/>
    </row>
    <row r="285" spans="2:17" hidden="1" outlineLevel="1" x14ac:dyDescent="0.2">
      <c r="B285" s="165"/>
    </row>
    <row r="286" spans="2:17" hidden="1" outlineLevel="1" x14ac:dyDescent="0.2">
      <c r="B286" s="165"/>
    </row>
    <row r="287" spans="2:17" hidden="1" outlineLevel="1" x14ac:dyDescent="0.2">
      <c r="B287" s="165"/>
    </row>
    <row r="288" spans="2:17" hidden="1" outlineLevel="1" x14ac:dyDescent="0.2">
      <c r="B288" s="165"/>
    </row>
    <row r="289" spans="2:2" hidden="1" outlineLevel="1" x14ac:dyDescent="0.2">
      <c r="B289" s="165"/>
    </row>
    <row r="290" spans="2:2" hidden="1" outlineLevel="1" x14ac:dyDescent="0.2">
      <c r="B290" s="165"/>
    </row>
    <row r="291" spans="2:2" hidden="1" outlineLevel="1" x14ac:dyDescent="0.2">
      <c r="B291" s="165"/>
    </row>
    <row r="292" spans="2:2" hidden="1" outlineLevel="1" x14ac:dyDescent="0.2">
      <c r="B292" s="165"/>
    </row>
    <row r="293" spans="2:2" hidden="1" outlineLevel="1" x14ac:dyDescent="0.2">
      <c r="B293" s="165"/>
    </row>
    <row r="294" spans="2:2" hidden="1" outlineLevel="1" x14ac:dyDescent="0.2">
      <c r="B294" s="165"/>
    </row>
    <row r="295" spans="2:2" hidden="1" outlineLevel="1" x14ac:dyDescent="0.2">
      <c r="B295" s="165"/>
    </row>
    <row r="296" spans="2:2" hidden="1" outlineLevel="1" x14ac:dyDescent="0.2">
      <c r="B296" s="165"/>
    </row>
    <row r="297" spans="2:2" hidden="1" outlineLevel="1" x14ac:dyDescent="0.2">
      <c r="B297" s="165"/>
    </row>
    <row r="298" spans="2:2" hidden="1" outlineLevel="1" x14ac:dyDescent="0.2">
      <c r="B298" s="165"/>
    </row>
    <row r="299" spans="2:2" hidden="1" outlineLevel="1" x14ac:dyDescent="0.2">
      <c r="B299" s="165"/>
    </row>
    <row r="300" spans="2:2" hidden="1" outlineLevel="1" x14ac:dyDescent="0.2">
      <c r="B300" s="165"/>
    </row>
    <row r="301" spans="2:2" hidden="1" outlineLevel="1" x14ac:dyDescent="0.2">
      <c r="B301" s="165"/>
    </row>
    <row r="302" spans="2:2" hidden="1" outlineLevel="1" x14ac:dyDescent="0.2">
      <c r="B302" s="165"/>
    </row>
    <row r="303" spans="2:2" hidden="1" outlineLevel="1" x14ac:dyDescent="0.2">
      <c r="B303" s="165"/>
    </row>
    <row r="304" spans="2:2" hidden="1" outlineLevel="1" x14ac:dyDescent="0.2">
      <c r="B304" s="165"/>
    </row>
    <row r="305" spans="2:17" hidden="1" outlineLevel="1" x14ac:dyDescent="0.2">
      <c r="B305" s="165"/>
    </row>
    <row r="306" spans="2:17" hidden="1" outlineLevel="1" x14ac:dyDescent="0.2">
      <c r="B306" s="165"/>
    </row>
    <row r="307" spans="2:17" hidden="1" outlineLevel="1" x14ac:dyDescent="0.2"/>
    <row r="309" spans="2:17" ht="16" collapsed="1" x14ac:dyDescent="0.2">
      <c r="B309" s="2001" t="str">
        <f>Description!C25</f>
        <v>Fine vita</v>
      </c>
      <c r="C309" s="2002"/>
      <c r="D309" s="2002"/>
      <c r="E309" s="2002"/>
      <c r="F309" s="2002"/>
      <c r="G309" s="2002"/>
      <c r="H309" s="2002"/>
      <c r="I309" s="2002"/>
      <c r="J309" s="2002"/>
      <c r="K309" s="2002"/>
      <c r="L309" s="2002"/>
      <c r="M309" s="2002"/>
      <c r="N309" s="2002"/>
      <c r="O309" s="2002"/>
      <c r="P309" s="2002"/>
      <c r="Q309" s="2003"/>
    </row>
    <row r="310" spans="2:17" hidden="1" outlineLevel="1" x14ac:dyDescent="0.2">
      <c r="B310" s="165"/>
    </row>
    <row r="311" spans="2:17" hidden="1" outlineLevel="1" x14ac:dyDescent="0.2">
      <c r="B311" s="165"/>
    </row>
    <row r="312" spans="2:17" hidden="1" outlineLevel="1" x14ac:dyDescent="0.2">
      <c r="B312" s="165"/>
    </row>
    <row r="313" spans="2:17" hidden="1" outlineLevel="1" x14ac:dyDescent="0.2">
      <c r="B313" s="165"/>
    </row>
    <row r="314" spans="2:17" hidden="1" outlineLevel="1" x14ac:dyDescent="0.2">
      <c r="B314" s="165"/>
    </row>
    <row r="315" spans="2:17" hidden="1" outlineLevel="1" x14ac:dyDescent="0.2">
      <c r="B315" s="165"/>
    </row>
    <row r="316" spans="2:17" hidden="1" outlineLevel="1" x14ac:dyDescent="0.2">
      <c r="B316" s="165"/>
    </row>
    <row r="317" spans="2:17" hidden="1" outlineLevel="1" x14ac:dyDescent="0.2">
      <c r="B317" s="165"/>
    </row>
    <row r="318" spans="2:17" hidden="1" outlineLevel="1" x14ac:dyDescent="0.2">
      <c r="B318" s="165"/>
    </row>
    <row r="319" spans="2:17" hidden="1" outlineLevel="1" x14ac:dyDescent="0.2">
      <c r="B319" s="165"/>
    </row>
    <row r="320" spans="2:17" hidden="1" outlineLevel="1" x14ac:dyDescent="0.2">
      <c r="B320" s="165"/>
    </row>
    <row r="321" spans="2:2" hidden="1" outlineLevel="1" x14ac:dyDescent="0.2">
      <c r="B321" s="165"/>
    </row>
    <row r="322" spans="2:2" hidden="1" outlineLevel="1" x14ac:dyDescent="0.2">
      <c r="B322" s="165"/>
    </row>
    <row r="323" spans="2:2" hidden="1" outlineLevel="1" x14ac:dyDescent="0.2">
      <c r="B323" s="165"/>
    </row>
    <row r="324" spans="2:2" hidden="1" outlineLevel="1" x14ac:dyDescent="0.2">
      <c r="B324" s="165"/>
    </row>
    <row r="325" spans="2:2" hidden="1" outlineLevel="1" x14ac:dyDescent="0.2">
      <c r="B325" s="165"/>
    </row>
    <row r="326" spans="2:2" hidden="1" outlineLevel="1" x14ac:dyDescent="0.2">
      <c r="B326" s="165"/>
    </row>
    <row r="327" spans="2:2" hidden="1" outlineLevel="1" x14ac:dyDescent="0.2">
      <c r="B327" s="165"/>
    </row>
    <row r="328" spans="2:2" hidden="1" outlineLevel="1" x14ac:dyDescent="0.2">
      <c r="B328" s="165"/>
    </row>
    <row r="329" spans="2:2" hidden="1" outlineLevel="1" x14ac:dyDescent="0.2">
      <c r="B329" s="165"/>
    </row>
    <row r="330" spans="2:2" hidden="1" outlineLevel="1" x14ac:dyDescent="0.2">
      <c r="B330" s="165"/>
    </row>
    <row r="331" spans="2:2" hidden="1" outlineLevel="1" x14ac:dyDescent="0.2">
      <c r="B331" s="165"/>
    </row>
    <row r="332" spans="2:2" hidden="1" outlineLevel="1" x14ac:dyDescent="0.2">
      <c r="B332" s="165"/>
    </row>
    <row r="333" spans="2:2" hidden="1" outlineLevel="1" x14ac:dyDescent="0.2">
      <c r="B333" s="165"/>
    </row>
    <row r="334" spans="2:2" hidden="1" outlineLevel="1" x14ac:dyDescent="0.2">
      <c r="B334" s="165"/>
    </row>
    <row r="335" spans="2:2" hidden="1" outlineLevel="1" x14ac:dyDescent="0.2">
      <c r="B335" s="165"/>
    </row>
    <row r="336" spans="2:2" hidden="1" outlineLevel="1" x14ac:dyDescent="0.2">
      <c r="B336" s="165"/>
    </row>
    <row r="337" spans="2:17" hidden="1" outlineLevel="1" x14ac:dyDescent="0.2">
      <c r="B337" s="165"/>
    </row>
    <row r="338" spans="2:17" hidden="1" outlineLevel="1" x14ac:dyDescent="0.2">
      <c r="B338" s="165"/>
    </row>
    <row r="339" spans="2:17" hidden="1" outlineLevel="1" x14ac:dyDescent="0.2">
      <c r="B339" s="165"/>
    </row>
    <row r="340" spans="2:17" hidden="1" outlineLevel="1" x14ac:dyDescent="0.2"/>
    <row r="344" spans="2:17" ht="20" customHeight="1" x14ac:dyDescent="0.2">
      <c r="B344" s="1947" t="str">
        <f>Description!C28</f>
        <v>CO2e panoramica</v>
      </c>
      <c r="C344" s="1948"/>
      <c r="D344" s="1948"/>
      <c r="E344" s="1948"/>
      <c r="F344" s="1948"/>
      <c r="G344" s="1948"/>
      <c r="H344" s="1948"/>
      <c r="I344" s="1948"/>
      <c r="J344" s="1948"/>
      <c r="K344" s="1948"/>
      <c r="L344" s="1948"/>
      <c r="M344" s="1948"/>
      <c r="N344" s="1948"/>
      <c r="O344" s="1948"/>
      <c r="P344" s="1948"/>
      <c r="Q344" s="1949"/>
    </row>
    <row r="345" spans="2:17" ht="12" customHeight="1" outlineLevel="1" x14ac:dyDescent="0.2"/>
    <row r="346" spans="2:17" ht="12" customHeight="1" outlineLevel="1" x14ac:dyDescent="0.2"/>
    <row r="347" spans="2:17" ht="12" customHeight="1" outlineLevel="1" x14ac:dyDescent="0.2"/>
    <row r="348" spans="2:17" ht="12" customHeight="1" outlineLevel="1" x14ac:dyDescent="0.2"/>
    <row r="349" spans="2:17" ht="12" customHeight="1" outlineLevel="1" x14ac:dyDescent="0.2"/>
    <row r="350" spans="2:17" ht="12" customHeight="1" outlineLevel="1" x14ac:dyDescent="0.2"/>
    <row r="351" spans="2:17" ht="12" customHeight="1" outlineLevel="1" x14ac:dyDescent="0.2"/>
    <row r="352" spans="2:17" ht="12" customHeight="1" outlineLevel="1" x14ac:dyDescent="0.2"/>
    <row r="353" ht="12" customHeight="1" outlineLevel="1" x14ac:dyDescent="0.2"/>
    <row r="354" ht="12" customHeight="1" outlineLevel="1" x14ac:dyDescent="0.2"/>
    <row r="355" ht="12" customHeight="1" outlineLevel="1" x14ac:dyDescent="0.2"/>
    <row r="356" ht="12" customHeight="1" outlineLevel="1" x14ac:dyDescent="0.2"/>
    <row r="357" ht="12" customHeight="1" outlineLevel="1" x14ac:dyDescent="0.2"/>
    <row r="358" ht="12" customHeight="1" outlineLevel="1" x14ac:dyDescent="0.2"/>
    <row r="359" ht="12" customHeight="1" outlineLevel="1" x14ac:dyDescent="0.2"/>
    <row r="360" ht="12" customHeight="1" outlineLevel="1" x14ac:dyDescent="0.2"/>
    <row r="361" ht="12" customHeight="1" outlineLevel="1" x14ac:dyDescent="0.2"/>
    <row r="362" ht="12" customHeight="1" outlineLevel="1" x14ac:dyDescent="0.2"/>
    <row r="363" ht="12" customHeight="1" outlineLevel="1" x14ac:dyDescent="0.2"/>
    <row r="364" ht="12" customHeight="1" outlineLevel="1" x14ac:dyDescent="0.2"/>
    <row r="365" ht="12" customHeight="1" outlineLevel="1" x14ac:dyDescent="0.2"/>
    <row r="366" ht="12" customHeight="1" outlineLevel="1" x14ac:dyDescent="0.2"/>
    <row r="367" ht="12" customHeight="1" outlineLevel="1" x14ac:dyDescent="0.2"/>
    <row r="368" ht="12" customHeight="1" outlineLevel="1" x14ac:dyDescent="0.2"/>
    <row r="369" spans="2:17" ht="12" customHeight="1" outlineLevel="1" x14ac:dyDescent="0.2"/>
    <row r="370" spans="2:17" ht="12" customHeight="1" outlineLevel="1" x14ac:dyDescent="0.2"/>
    <row r="371" spans="2:17" ht="12" customHeight="1" outlineLevel="1" x14ac:dyDescent="0.2"/>
    <row r="372" spans="2:17" ht="12" customHeight="1" outlineLevel="1" x14ac:dyDescent="0.2"/>
    <row r="373" spans="2:17" ht="12" customHeight="1" outlineLevel="1" x14ac:dyDescent="0.2"/>
    <row r="374" spans="2:17" ht="12" customHeight="1" outlineLevel="1" x14ac:dyDescent="0.2"/>
    <row r="375" spans="2:17" ht="12" customHeight="1" outlineLevel="1" x14ac:dyDescent="0.2"/>
    <row r="376" spans="2:17" ht="12" customHeight="1" outlineLevel="1" x14ac:dyDescent="0.2"/>
    <row r="377" spans="2:17" ht="12" customHeight="1" outlineLevel="1" x14ac:dyDescent="0.2"/>
    <row r="378" spans="2:17" ht="12" customHeight="1" outlineLevel="1" x14ac:dyDescent="0.2"/>
    <row r="379" spans="2:17" ht="12" customHeight="1" outlineLevel="1" x14ac:dyDescent="0.2"/>
    <row r="380" spans="2:17" ht="12" customHeight="1" outlineLevel="1" x14ac:dyDescent="0.2"/>
    <row r="381" spans="2:17" ht="12" customHeight="1" outlineLevel="1" x14ac:dyDescent="0.2"/>
    <row r="383" spans="2:17" ht="16" x14ac:dyDescent="0.2">
      <c r="B383" s="1947" t="str">
        <f>Description!C29</f>
        <v>GHG Protocol</v>
      </c>
      <c r="C383" s="1948"/>
      <c r="D383" s="1948"/>
      <c r="E383" s="1948"/>
      <c r="F383" s="1948"/>
      <c r="G383" s="1948"/>
      <c r="H383" s="1948"/>
      <c r="I383" s="1948"/>
      <c r="J383" s="1948"/>
      <c r="K383" s="1948"/>
      <c r="L383" s="1948"/>
      <c r="M383" s="1948"/>
      <c r="N383" s="1948"/>
      <c r="O383" s="1948"/>
      <c r="P383" s="1948"/>
      <c r="Q383" s="1949"/>
    </row>
    <row r="384" spans="2:17" outlineLevel="1" x14ac:dyDescent="0.2"/>
    <row r="385" outlineLevel="1" x14ac:dyDescent="0.2"/>
    <row r="386" outlineLevel="1" x14ac:dyDescent="0.2"/>
    <row r="387" outlineLevel="1" x14ac:dyDescent="0.2"/>
    <row r="388" outlineLevel="1" x14ac:dyDescent="0.2"/>
    <row r="389" outlineLevel="1" x14ac:dyDescent="0.2"/>
    <row r="390" outlineLevel="1" x14ac:dyDescent="0.2"/>
    <row r="391" outlineLevel="1" x14ac:dyDescent="0.2"/>
    <row r="392" outlineLevel="1" x14ac:dyDescent="0.2"/>
    <row r="393" outlineLevel="1" x14ac:dyDescent="0.2"/>
    <row r="394" outlineLevel="1" x14ac:dyDescent="0.2"/>
    <row r="395" outlineLevel="1" x14ac:dyDescent="0.2"/>
    <row r="396" outlineLevel="1" x14ac:dyDescent="0.2"/>
    <row r="397" outlineLevel="1" x14ac:dyDescent="0.2"/>
    <row r="398" outlineLevel="1" x14ac:dyDescent="0.2"/>
    <row r="399" outlineLevel="1" x14ac:dyDescent="0.2"/>
    <row r="400" outlineLevel="1" x14ac:dyDescent="0.2"/>
    <row r="401" outlineLevel="1" x14ac:dyDescent="0.2"/>
    <row r="402" outlineLevel="1" x14ac:dyDescent="0.2"/>
    <row r="403" outlineLevel="1" x14ac:dyDescent="0.2"/>
    <row r="404" outlineLevel="1" x14ac:dyDescent="0.2"/>
    <row r="405" outlineLevel="1" x14ac:dyDescent="0.2"/>
    <row r="406" outlineLevel="1" x14ac:dyDescent="0.2"/>
    <row r="407" outlineLevel="1" x14ac:dyDescent="0.2"/>
    <row r="408" outlineLevel="1" x14ac:dyDescent="0.2"/>
    <row r="409" outlineLevel="1" x14ac:dyDescent="0.2"/>
    <row r="410" outlineLevel="1" x14ac:dyDescent="0.2"/>
    <row r="411" outlineLevel="1" x14ac:dyDescent="0.2"/>
    <row r="412" outlineLevel="1" x14ac:dyDescent="0.2"/>
    <row r="413" outlineLevel="1" x14ac:dyDescent="0.2"/>
    <row r="414" outlineLevel="1" x14ac:dyDescent="0.2"/>
    <row r="415" outlineLevel="1" x14ac:dyDescent="0.2"/>
    <row r="416" outlineLevel="1" x14ac:dyDescent="0.2"/>
    <row r="417" spans="2:17" outlineLevel="1" x14ac:dyDescent="0.2"/>
    <row r="418" spans="2:17" outlineLevel="1" x14ac:dyDescent="0.2"/>
    <row r="419" spans="2:17" outlineLevel="1" x14ac:dyDescent="0.2"/>
    <row r="420" spans="2:17" outlineLevel="1" x14ac:dyDescent="0.2"/>
    <row r="421" spans="2:17" outlineLevel="1" x14ac:dyDescent="0.2"/>
    <row r="422" spans="2:17" outlineLevel="1" x14ac:dyDescent="0.2"/>
    <row r="423" spans="2:17" outlineLevel="1" x14ac:dyDescent="0.2"/>
    <row r="424" spans="2:17" outlineLevel="1" x14ac:dyDescent="0.2"/>
    <row r="426" spans="2:17" ht="16" x14ac:dyDescent="0.2">
      <c r="B426" s="1947" t="str">
        <f>Description!C30</f>
        <v>ISO 14069</v>
      </c>
      <c r="C426" s="1948"/>
      <c r="D426" s="1948"/>
      <c r="E426" s="1948"/>
      <c r="F426" s="1948"/>
      <c r="G426" s="1948"/>
      <c r="H426" s="1948"/>
      <c r="I426" s="1948"/>
      <c r="J426" s="1948"/>
      <c r="K426" s="1948"/>
      <c r="L426" s="1948"/>
      <c r="M426" s="1948"/>
      <c r="N426" s="1948"/>
      <c r="O426" s="1948"/>
      <c r="P426" s="1948"/>
      <c r="Q426" s="1949"/>
    </row>
    <row r="427" spans="2:17" outlineLevel="1" x14ac:dyDescent="0.2"/>
    <row r="428" spans="2:17" outlineLevel="1" x14ac:dyDescent="0.2"/>
    <row r="429" spans="2:17" outlineLevel="1" x14ac:dyDescent="0.2"/>
    <row r="430" spans="2:17" outlineLevel="1" x14ac:dyDescent="0.2"/>
    <row r="431" spans="2:17" outlineLevel="1" x14ac:dyDescent="0.2"/>
    <row r="432" spans="2:17" outlineLevel="1" x14ac:dyDescent="0.2"/>
    <row r="433" outlineLevel="1" x14ac:dyDescent="0.2"/>
    <row r="434" outlineLevel="1" x14ac:dyDescent="0.2"/>
    <row r="435" outlineLevel="1" x14ac:dyDescent="0.2"/>
    <row r="436" outlineLevel="1" x14ac:dyDescent="0.2"/>
    <row r="437" outlineLevel="1" x14ac:dyDescent="0.2"/>
    <row r="438" outlineLevel="1" x14ac:dyDescent="0.2"/>
    <row r="439" outlineLevel="1" x14ac:dyDescent="0.2"/>
    <row r="440" outlineLevel="1" x14ac:dyDescent="0.2"/>
    <row r="441" outlineLevel="1" x14ac:dyDescent="0.2"/>
    <row r="442" outlineLevel="1" x14ac:dyDescent="0.2"/>
    <row r="443" outlineLevel="1" x14ac:dyDescent="0.2"/>
    <row r="444" outlineLevel="1" x14ac:dyDescent="0.2"/>
    <row r="445" outlineLevel="1" x14ac:dyDescent="0.2"/>
    <row r="446" outlineLevel="1" x14ac:dyDescent="0.2"/>
    <row r="447" outlineLevel="1" x14ac:dyDescent="0.2"/>
    <row r="448" outlineLevel="1" x14ac:dyDescent="0.2"/>
    <row r="449" outlineLevel="1" x14ac:dyDescent="0.2"/>
    <row r="450" outlineLevel="1" x14ac:dyDescent="0.2"/>
    <row r="451" outlineLevel="1" x14ac:dyDescent="0.2"/>
    <row r="452" outlineLevel="1" x14ac:dyDescent="0.2"/>
    <row r="453" outlineLevel="1" x14ac:dyDescent="0.2"/>
    <row r="454" outlineLevel="1" x14ac:dyDescent="0.2"/>
    <row r="455" outlineLevel="1" x14ac:dyDescent="0.2"/>
    <row r="456" outlineLevel="1" x14ac:dyDescent="0.2"/>
    <row r="457" outlineLevel="1" x14ac:dyDescent="0.2"/>
    <row r="458" outlineLevel="1" x14ac:dyDescent="0.2"/>
    <row r="459" outlineLevel="1" x14ac:dyDescent="0.2"/>
    <row r="460" outlineLevel="1" x14ac:dyDescent="0.2"/>
    <row r="461" outlineLevel="1" x14ac:dyDescent="0.2"/>
    <row r="462" outlineLevel="1" x14ac:dyDescent="0.2"/>
    <row r="463" outlineLevel="1" x14ac:dyDescent="0.2"/>
    <row r="464" outlineLevel="1" x14ac:dyDescent="0.2"/>
    <row r="465" outlineLevel="1" x14ac:dyDescent="0.2"/>
    <row r="466" outlineLevel="1" x14ac:dyDescent="0.2"/>
    <row r="467" outlineLevel="1" x14ac:dyDescent="0.2"/>
  </sheetData>
  <mergeCells count="32">
    <mergeCell ref="S5:T5"/>
    <mergeCell ref="B309:Q309"/>
    <mergeCell ref="B344:Q344"/>
    <mergeCell ref="B141:Q141"/>
    <mergeCell ref="B177:Q177"/>
    <mergeCell ref="B210:Q210"/>
    <mergeCell ref="B243:Q243"/>
    <mergeCell ref="B276:Q276"/>
    <mergeCell ref="B42:Q42"/>
    <mergeCell ref="B75:Q75"/>
    <mergeCell ref="J5:K5"/>
    <mergeCell ref="H5:I5"/>
    <mergeCell ref="P5:Q5"/>
    <mergeCell ref="N5:O5"/>
    <mergeCell ref="L5:M5"/>
    <mergeCell ref="F5:G5"/>
    <mergeCell ref="B383:Q383"/>
    <mergeCell ref="N6:O6"/>
    <mergeCell ref="B426:Q426"/>
    <mergeCell ref="B108:Q108"/>
    <mergeCell ref="B8:Q8"/>
    <mergeCell ref="H6:I6"/>
    <mergeCell ref="L6:M6"/>
    <mergeCell ref="J6:K6"/>
    <mergeCell ref="F6:G6"/>
    <mergeCell ref="B2:Q2"/>
    <mergeCell ref="F4:G4"/>
    <mergeCell ref="H4:I4"/>
    <mergeCell ref="J4:K4"/>
    <mergeCell ref="L4:M4"/>
    <mergeCell ref="N4:O4"/>
    <mergeCell ref="P4:Q4"/>
  </mergeCells>
  <hyperlinks>
    <hyperlink ref="F4:G4" location="graphiques_Energie1" display="graphiques_Energie1" xr:uid="{00000000-0004-0000-1000-000000000000}"/>
    <hyperlink ref="J4:K4" location="graphiques_HorsEnergie1" display="graphiques_HorsEnergie1" xr:uid="{00000000-0004-0000-1000-000001000000}"/>
    <hyperlink ref="P4:Q4" location="graphiques_FutursEmballages" display="graphiques_FutursEmballages" xr:uid="{00000000-0004-0000-1000-000002000000}"/>
    <hyperlink ref="F5:G5" location="graphiques_Fret" display="graphiques_Fret" xr:uid="{00000000-0004-0000-1000-000003000000}"/>
    <hyperlink ref="H5:I5" location="graphiques_Déplacements" display="graphiques_Déplacements" xr:uid="{00000000-0004-0000-1000-000004000000}"/>
    <hyperlink ref="J5:K5" location="graphiques_DechetsDirects" display="graphiques_DechetsDirects" xr:uid="{00000000-0004-0000-1000-000005000000}"/>
    <hyperlink ref="L5:M5" location="graphiques_Immobilisations" display="graphiques_Immobilisations" xr:uid="{00000000-0004-0000-1000-000006000000}"/>
    <hyperlink ref="N5:O5" location="graphiques_Utilisation" display="graphiques_Utilisation" xr:uid="{00000000-0004-0000-1000-000007000000}"/>
    <hyperlink ref="P5:Q5" location="graphiques_FinDeVie" display="graphiques_FinDeVie" xr:uid="{00000000-0004-0000-1000-000008000000}"/>
    <hyperlink ref="F6:G6" location="graphiques_RecapCO2e" display="graphiques_RecapCO2e" xr:uid="{00000000-0004-0000-1000-000009000000}"/>
    <hyperlink ref="N4:O4" location="graphiques_Intrants" display="graphiques_Intrants" xr:uid="{00000000-0004-0000-1000-00000A000000}"/>
    <hyperlink ref="N6:O6" location="graphiques_GHGProtocol" display="GHG Protocol" xr:uid="{00000000-0004-0000-1000-00000B000000}"/>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5"/>
    <outlinePr summaryBelow="0"/>
  </sheetPr>
  <dimension ref="A1:AY530"/>
  <sheetViews>
    <sheetView showGridLines="0" zoomScale="150" zoomScaleNormal="150" zoomScalePageLayoutView="150" workbookViewId="0">
      <pane xSplit="3" ySplit="6" topLeftCell="D7" activePane="bottomRight" state="frozenSplit"/>
      <selection pane="topRight" activeCell="K1" sqref="K1"/>
      <selection pane="bottomLeft" activeCell="A41" sqref="A41"/>
      <selection pane="bottomRight" activeCell="F85" sqref="F85"/>
    </sheetView>
  </sheetViews>
  <sheetFormatPr baseColWidth="10" defaultColWidth="10.83203125" defaultRowHeight="12" zeroHeight="1" outlineLevelRow="1" x14ac:dyDescent="0.2"/>
  <cols>
    <col min="1" max="1" width="2.6640625" style="39" customWidth="1"/>
    <col min="2" max="2" width="53.5" style="39" customWidth="1"/>
    <col min="3" max="3" width="2.1640625" style="39" customWidth="1"/>
    <col min="4" max="5" width="12.33203125" style="39" customWidth="1"/>
    <col min="6" max="6" width="17.5" style="39" bestFit="1" customWidth="1"/>
    <col min="7" max="7" width="16.1640625" style="39" customWidth="1"/>
    <col min="8" max="22" width="12.33203125" style="39" customWidth="1"/>
    <col min="23" max="23" width="12.33203125" style="1162" customWidth="1"/>
    <col min="24" max="27" width="12.33203125" style="39" customWidth="1"/>
    <col min="28" max="28" width="12.33203125" style="1162" customWidth="1"/>
    <col min="29" max="31" width="12.33203125" style="39" customWidth="1"/>
    <col min="32" max="32" width="12.33203125" style="1162" customWidth="1"/>
    <col min="33" max="36" width="12.33203125" style="39" customWidth="1"/>
    <col min="37" max="48" width="12.33203125" style="729" customWidth="1"/>
    <col min="49" max="49" width="12.33203125" style="39" customWidth="1"/>
    <col min="50" max="16384" width="10.83203125" style="39"/>
  </cols>
  <sheetData>
    <row r="1" spans="2:48" x14ac:dyDescent="0.2"/>
    <row r="2" spans="2:48" ht="30" customHeight="1" x14ac:dyDescent="0.2">
      <c r="B2" s="1726" t="str">
        <f>Description!C16</f>
        <v>Energia</v>
      </c>
      <c r="C2" s="1726"/>
      <c r="D2" s="1726"/>
      <c r="E2" s="1726"/>
      <c r="F2" s="1726"/>
      <c r="G2" s="1726"/>
      <c r="H2" s="1726"/>
      <c r="I2" s="1726"/>
      <c r="J2" s="1726"/>
      <c r="K2" s="1726"/>
      <c r="L2" s="1726"/>
      <c r="M2" s="1726"/>
      <c r="N2" s="1726"/>
      <c r="O2" s="1726"/>
    </row>
    <row r="3" spans="2:48" s="40" customFormat="1" ht="13" x14ac:dyDescent="0.2">
      <c r="W3" s="49"/>
      <c r="AB3" s="49"/>
      <c r="AF3" s="49"/>
      <c r="AK3" s="602"/>
      <c r="AL3" s="602"/>
      <c r="AM3" s="602"/>
      <c r="AN3" s="602"/>
      <c r="AO3" s="602"/>
      <c r="AP3" s="602"/>
      <c r="AQ3" s="602"/>
      <c r="AR3" s="602"/>
      <c r="AS3" s="602"/>
      <c r="AT3" s="602"/>
      <c r="AU3" s="602"/>
      <c r="AV3" s="602"/>
    </row>
    <row r="4" spans="2:48" s="40" customFormat="1" ht="14" x14ac:dyDescent="0.2">
      <c r="B4" s="119" t="s">
        <v>2531</v>
      </c>
      <c r="C4" s="120"/>
      <c r="D4" s="1797" t="s">
        <v>2049</v>
      </c>
      <c r="E4" s="1797"/>
      <c r="F4" s="1797" t="s">
        <v>2050</v>
      </c>
      <c r="G4" s="1797"/>
      <c r="H4" s="1797" t="s">
        <v>2051</v>
      </c>
      <c r="I4" s="1797"/>
      <c r="J4" s="104"/>
      <c r="K4" s="104"/>
      <c r="L4" s="104"/>
      <c r="M4" s="104"/>
      <c r="N4" s="104"/>
      <c r="O4" s="105"/>
      <c r="W4" s="49"/>
      <c r="AB4" s="49"/>
      <c r="AF4" s="49"/>
      <c r="AK4" s="602"/>
      <c r="AL4" s="602"/>
      <c r="AM4" s="602"/>
      <c r="AN4" s="602"/>
      <c r="AO4" s="602"/>
      <c r="AP4" s="602"/>
      <c r="AQ4" s="602"/>
      <c r="AR4" s="602"/>
      <c r="AS4" s="602"/>
      <c r="AT4" s="602"/>
      <c r="AU4" s="602"/>
      <c r="AV4" s="602"/>
    </row>
    <row r="5" spans="2:48" s="40" customFormat="1" ht="14" x14ac:dyDescent="0.2">
      <c r="B5" s="106" t="s">
        <v>3000</v>
      </c>
      <c r="C5" s="107"/>
      <c r="D5" s="1798" t="s">
        <v>44</v>
      </c>
      <c r="E5" s="1798"/>
      <c r="F5" s="1798" t="s">
        <v>121</v>
      </c>
      <c r="G5" s="1798"/>
      <c r="H5" s="1798" t="s">
        <v>132</v>
      </c>
      <c r="I5" s="1798"/>
      <c r="J5" s="108"/>
      <c r="K5" s="108"/>
      <c r="L5" s="108"/>
      <c r="M5" s="108"/>
      <c r="N5" s="108"/>
      <c r="O5" s="109"/>
      <c r="W5" s="49"/>
      <c r="AB5" s="49"/>
      <c r="AF5" s="49"/>
      <c r="AK5" s="602"/>
      <c r="AL5" s="602"/>
      <c r="AM5" s="602"/>
      <c r="AN5" s="602"/>
      <c r="AO5" s="602"/>
      <c r="AP5" s="602"/>
      <c r="AQ5" s="602"/>
      <c r="AR5" s="602"/>
      <c r="AS5" s="602"/>
      <c r="AT5" s="602"/>
      <c r="AU5" s="602"/>
      <c r="AV5" s="602"/>
    </row>
    <row r="6" spans="2:48" s="40" customFormat="1" ht="14" x14ac:dyDescent="0.2">
      <c r="B6" s="41"/>
      <c r="C6" s="41"/>
      <c r="D6" s="41"/>
      <c r="E6" s="41"/>
      <c r="F6" s="41"/>
      <c r="G6" s="41"/>
      <c r="H6" s="32"/>
      <c r="I6" s="32"/>
      <c r="J6" s="32"/>
      <c r="W6" s="49"/>
      <c r="AB6" s="49"/>
      <c r="AF6" s="49"/>
      <c r="AK6" s="602"/>
      <c r="AL6" s="602"/>
      <c r="AM6" s="602"/>
      <c r="AN6" s="602"/>
      <c r="AO6" s="602"/>
      <c r="AP6" s="602"/>
      <c r="AQ6" s="602"/>
      <c r="AR6" s="602"/>
      <c r="AS6" s="602"/>
      <c r="AT6" s="602"/>
      <c r="AU6" s="602"/>
      <c r="AV6" s="602"/>
    </row>
    <row r="7" spans="2:48" ht="16" collapsed="1" x14ac:dyDescent="0.2">
      <c r="B7" s="1796" t="s">
        <v>3032</v>
      </c>
      <c r="C7" s="1796"/>
      <c r="D7" s="1796"/>
      <c r="E7" s="1796"/>
      <c r="F7" s="1796"/>
      <c r="G7" s="1796"/>
      <c r="H7" s="1796"/>
      <c r="I7" s="1796"/>
      <c r="J7" s="1796"/>
      <c r="K7" s="1796"/>
      <c r="L7" s="1796"/>
      <c r="M7" s="1796"/>
      <c r="N7" s="1796"/>
      <c r="O7" s="1796"/>
    </row>
    <row r="8" spans="2:48" s="40" customFormat="1" ht="12.75" hidden="1" customHeight="1" outlineLevel="1" x14ac:dyDescent="0.2">
      <c r="W8" s="49"/>
      <c r="AB8" s="49"/>
      <c r="AF8" s="49"/>
      <c r="AK8" s="602"/>
      <c r="AL8" s="602"/>
      <c r="AM8" s="602"/>
      <c r="AN8" s="602"/>
      <c r="AO8" s="602"/>
      <c r="AP8" s="602"/>
      <c r="AQ8" s="602"/>
      <c r="AR8" s="602"/>
      <c r="AS8" s="602"/>
      <c r="AT8" s="602"/>
      <c r="AU8" s="602"/>
      <c r="AV8" s="602"/>
    </row>
    <row r="9" spans="2:48" s="42" customFormat="1" ht="12.75" hidden="1" customHeight="1" outlineLevel="1" x14ac:dyDescent="0.2">
      <c r="B9" s="195" t="s">
        <v>2812</v>
      </c>
      <c r="C9" s="58"/>
      <c r="D9" s="197"/>
      <c r="E9" s="197"/>
      <c r="F9" s="59"/>
      <c r="G9" s="60"/>
      <c r="H9" s="60"/>
      <c r="I9" s="60"/>
      <c r="J9" s="60"/>
      <c r="K9" s="60"/>
      <c r="L9" s="60"/>
      <c r="M9" s="60"/>
      <c r="N9" s="60"/>
      <c r="O9" s="60"/>
      <c r="P9" s="60"/>
      <c r="Q9" s="60"/>
      <c r="R9" s="60"/>
      <c r="S9" s="60"/>
      <c r="T9" s="61"/>
      <c r="U9" s="40"/>
      <c r="V9" s="1746" t="s">
        <v>723</v>
      </c>
      <c r="W9" s="1747"/>
      <c r="X9" s="1747"/>
      <c r="Y9" s="1747"/>
      <c r="Z9" s="1748"/>
      <c r="AB9" s="1746" t="s">
        <v>2066</v>
      </c>
      <c r="AC9" s="1747"/>
      <c r="AD9" s="1747"/>
      <c r="AE9" s="1747"/>
      <c r="AF9" s="1747"/>
      <c r="AG9" s="1747"/>
      <c r="AH9" s="1747"/>
      <c r="AI9" s="1748"/>
      <c r="AK9" s="1755" t="s">
        <v>2073</v>
      </c>
      <c r="AL9" s="1756"/>
      <c r="AM9" s="1756"/>
      <c r="AN9" s="1756"/>
      <c r="AO9" s="1756"/>
      <c r="AP9" s="1756"/>
      <c r="AQ9" s="1756"/>
      <c r="AR9" s="1756"/>
      <c r="AS9" s="1756"/>
      <c r="AT9" s="1756"/>
      <c r="AU9" s="1756"/>
      <c r="AV9" s="1757"/>
    </row>
    <row r="10" spans="2:48" s="40" customFormat="1" ht="12.75" hidden="1" customHeight="1" outlineLevel="1" x14ac:dyDescent="0.2">
      <c r="B10" s="62"/>
      <c r="C10" s="63"/>
      <c r="D10" s="705"/>
      <c r="E10" s="705"/>
      <c r="F10" s="64"/>
      <c r="G10" s="63"/>
      <c r="H10" s="63"/>
      <c r="I10" s="63"/>
      <c r="J10" s="63"/>
      <c r="K10" s="63"/>
      <c r="L10" s="63"/>
      <c r="M10" s="63"/>
      <c r="N10" s="63"/>
      <c r="O10" s="63"/>
      <c r="P10" s="63"/>
      <c r="Q10" s="63"/>
      <c r="R10" s="63"/>
      <c r="S10" s="63"/>
      <c r="T10" s="65"/>
      <c r="V10" s="79"/>
      <c r="W10" s="1163"/>
      <c r="X10" s="80"/>
      <c r="Y10" s="80"/>
      <c r="Z10" s="81"/>
      <c r="AB10" s="1170"/>
      <c r="AC10" s="80"/>
      <c r="AD10" s="80"/>
      <c r="AE10" s="80"/>
      <c r="AF10" s="1163"/>
      <c r="AG10" s="80"/>
      <c r="AH10" s="60"/>
      <c r="AI10" s="61"/>
      <c r="AK10" s="1758" t="s">
        <v>61</v>
      </c>
      <c r="AL10" s="1759"/>
      <c r="AM10" s="1759"/>
      <c r="AN10" s="1759"/>
      <c r="AO10" s="1759"/>
      <c r="AP10" s="1759"/>
      <c r="AQ10" s="1759"/>
      <c r="AR10" s="1759"/>
      <c r="AS10" s="1759" t="s">
        <v>61</v>
      </c>
      <c r="AT10" s="1760"/>
      <c r="AU10" s="730"/>
      <c r="AV10" s="731"/>
    </row>
    <row r="11" spans="2:48" s="32" customFormat="1" ht="12.75" hidden="1" customHeight="1" outlineLevel="1" x14ac:dyDescent="0.2">
      <c r="B11" s="1588" t="s">
        <v>3135</v>
      </c>
      <c r="C11" s="63"/>
      <c r="D11" s="64" t="s">
        <v>56</v>
      </c>
      <c r="E11" s="64" t="s">
        <v>56</v>
      </c>
      <c r="F11" s="205" t="s">
        <v>2055</v>
      </c>
      <c r="G11" s="205" t="s">
        <v>2053</v>
      </c>
      <c r="H11" s="1745" t="s">
        <v>767</v>
      </c>
      <c r="I11" s="1745"/>
      <c r="J11" s="67" t="s">
        <v>2053</v>
      </c>
      <c r="K11" s="1745" t="s">
        <v>769</v>
      </c>
      <c r="L11" s="1745"/>
      <c r="M11" s="205" t="s">
        <v>2053</v>
      </c>
      <c r="N11" s="1745" t="s">
        <v>771</v>
      </c>
      <c r="O11" s="1745"/>
      <c r="P11" s="67" t="s">
        <v>2053</v>
      </c>
      <c r="Q11" s="1745" t="s">
        <v>770</v>
      </c>
      <c r="R11" s="1745"/>
      <c r="S11" s="138" t="s">
        <v>61</v>
      </c>
      <c r="T11" s="69" t="s">
        <v>61</v>
      </c>
      <c r="U11" s="40"/>
      <c r="V11" s="66" t="s">
        <v>56</v>
      </c>
      <c r="W11" s="1164" t="s">
        <v>2064</v>
      </c>
      <c r="X11" s="64" t="s">
        <v>61</v>
      </c>
      <c r="Y11" s="64" t="s">
        <v>61</v>
      </c>
      <c r="Z11" s="69" t="s">
        <v>61</v>
      </c>
      <c r="AB11" s="1171" t="s">
        <v>2065</v>
      </c>
      <c r="AC11" s="64" t="s">
        <v>61</v>
      </c>
      <c r="AD11" s="64" t="s">
        <v>61</v>
      </c>
      <c r="AE11" s="68" t="s">
        <v>61</v>
      </c>
      <c r="AF11" s="1164" t="s">
        <v>2067</v>
      </c>
      <c r="AG11" s="64" t="s">
        <v>61</v>
      </c>
      <c r="AH11" s="64" t="s">
        <v>61</v>
      </c>
      <c r="AI11" s="69" t="s">
        <v>61</v>
      </c>
      <c r="AK11" s="1764" t="s">
        <v>14</v>
      </c>
      <c r="AL11" s="1761"/>
      <c r="AM11" s="1761" t="s">
        <v>60</v>
      </c>
      <c r="AN11" s="1761"/>
      <c r="AO11" s="1761" t="s">
        <v>27</v>
      </c>
      <c r="AP11" s="1761"/>
      <c r="AQ11" s="1761" t="s">
        <v>2074</v>
      </c>
      <c r="AR11" s="1761"/>
      <c r="AS11" s="1762" t="s">
        <v>41</v>
      </c>
      <c r="AT11" s="1763"/>
      <c r="AU11" s="1764" t="s">
        <v>85</v>
      </c>
      <c r="AV11" s="1765"/>
    </row>
    <row r="12" spans="2:48" s="32" customFormat="1" ht="12.75" hidden="1" customHeight="1" outlineLevel="1" x14ac:dyDescent="0.2">
      <c r="B12" s="66"/>
      <c r="C12" s="63"/>
      <c r="D12" s="64" t="s">
        <v>61</v>
      </c>
      <c r="E12" s="64" t="s">
        <v>63</v>
      </c>
      <c r="F12" s="208" t="s">
        <v>2054</v>
      </c>
      <c r="G12" s="70" t="s">
        <v>34</v>
      </c>
      <c r="H12" s="148" t="s">
        <v>768</v>
      </c>
      <c r="I12" s="148" t="s">
        <v>24</v>
      </c>
      <c r="J12" s="70" t="s">
        <v>2061</v>
      </c>
      <c r="K12" s="148" t="s">
        <v>768</v>
      </c>
      <c r="L12" s="148" t="s">
        <v>24</v>
      </c>
      <c r="M12" s="70" t="s">
        <v>2059</v>
      </c>
      <c r="N12" s="148" t="s">
        <v>768</v>
      </c>
      <c r="O12" s="148" t="s">
        <v>24</v>
      </c>
      <c r="P12" s="70" t="s">
        <v>15</v>
      </c>
      <c r="Q12" s="148" t="s">
        <v>768</v>
      </c>
      <c r="R12" s="148" t="s">
        <v>24</v>
      </c>
      <c r="S12" s="151" t="s">
        <v>768</v>
      </c>
      <c r="T12" s="152" t="s">
        <v>24</v>
      </c>
      <c r="U12" s="40"/>
      <c r="V12" s="66" t="s">
        <v>2063</v>
      </c>
      <c r="W12" s="1164"/>
      <c r="X12" s="148" t="s">
        <v>768</v>
      </c>
      <c r="Y12" s="148" t="s">
        <v>24</v>
      </c>
      <c r="Z12" s="82" t="s">
        <v>41</v>
      </c>
      <c r="AB12" s="1171"/>
      <c r="AC12" s="148" t="s">
        <v>768</v>
      </c>
      <c r="AD12" s="148" t="s">
        <v>24</v>
      </c>
      <c r="AE12" s="85" t="s">
        <v>41</v>
      </c>
      <c r="AF12" s="1164"/>
      <c r="AG12" s="148" t="s">
        <v>768</v>
      </c>
      <c r="AH12" s="148" t="s">
        <v>24</v>
      </c>
      <c r="AI12" s="82" t="s">
        <v>41</v>
      </c>
      <c r="AK12" s="732" t="s">
        <v>768</v>
      </c>
      <c r="AL12" s="733" t="s">
        <v>24</v>
      </c>
      <c r="AM12" s="733" t="s">
        <v>768</v>
      </c>
      <c r="AN12" s="733" t="s">
        <v>24</v>
      </c>
      <c r="AO12" s="733" t="s">
        <v>768</v>
      </c>
      <c r="AP12" s="733" t="s">
        <v>24</v>
      </c>
      <c r="AQ12" s="733" t="s">
        <v>768</v>
      </c>
      <c r="AR12" s="733" t="s">
        <v>24</v>
      </c>
      <c r="AS12" s="734" t="s">
        <v>768</v>
      </c>
      <c r="AT12" s="735" t="s">
        <v>24</v>
      </c>
      <c r="AU12" s="732" t="s">
        <v>768</v>
      </c>
      <c r="AV12" s="736" t="s">
        <v>24</v>
      </c>
    </row>
    <row r="13" spans="2:48" s="40" customFormat="1" ht="12.75" hidden="1" customHeight="1" outlineLevel="1" x14ac:dyDescent="0.2">
      <c r="B13" s="62" t="s">
        <v>3136</v>
      </c>
      <c r="C13" s="63"/>
      <c r="D13" s="140">
        <f t="shared" ref="D13:D18" si="0">S13+T13</f>
        <v>0</v>
      </c>
      <c r="E13" s="143">
        <f t="shared" ref="E13:E18" si="1">D13*12/44</f>
        <v>0</v>
      </c>
      <c r="F13" s="185"/>
      <c r="G13" s="43"/>
      <c r="H13" s="271">
        <f>VLOOKUP($B13,'Emissions factors'!$B$84:$K$147,2,FALSE)</f>
        <v>419</v>
      </c>
      <c r="I13" s="149">
        <f>VLOOKUP($B13,'Emissions factors'!$B$84:$K$147,3,FALSE)</f>
        <v>2520</v>
      </c>
      <c r="J13" s="43"/>
      <c r="K13" s="277">
        <f>VLOOKUP($B13,'Emissions factors'!$B$84:$K$147,4,FALSE)</f>
        <v>3.8899999999999997E-2</v>
      </c>
      <c r="L13" s="277">
        <f>VLOOKUP($B13,'Emissions factors'!$B$84:$K$147,5,FALSE)</f>
        <v>0.20599999999999999</v>
      </c>
      <c r="M13" s="43"/>
      <c r="N13" s="271">
        <f>VLOOKUP($B13,'Emissions factors'!$B$84:$K$147,6,FALSE)</f>
        <v>368</v>
      </c>
      <c r="O13" s="271">
        <f>VLOOKUP($B13,'Emissions factors'!$B$84:$K$147,7,FALSE)</f>
        <v>2390</v>
      </c>
      <c r="P13" s="43"/>
      <c r="Q13" s="277">
        <f>VLOOKUP($B13,'Emissions factors'!$B$84:$K$147,8,FALSE)</f>
        <v>3.2598200000000005E-4</v>
      </c>
      <c r="R13" s="277">
        <f>VLOOKUP($B13,'Emissions factors'!$B$84:$K$147,9,FALSE)</f>
        <v>1.9605600000000001E-3</v>
      </c>
      <c r="S13" s="719">
        <f t="shared" ref="S13:S18" si="2">G13*H13+J13*K13+M13*N13+P13*Q13</f>
        <v>0</v>
      </c>
      <c r="T13" s="720">
        <f t="shared" ref="T13:T18" si="3">G13*I13+J13*L13+M13*O13+P13*R13</f>
        <v>0</v>
      </c>
      <c r="V13" s="160">
        <f>VLOOKUP($B13,'Emissions factors'!$B$84:$K$147,10,FALSE)</f>
        <v>0</v>
      </c>
      <c r="W13" s="436"/>
      <c r="X13" s="83">
        <f t="shared" ref="X13:X18" si="4">S13*SQRT(V13^2+W13^2)</f>
        <v>0</v>
      </c>
      <c r="Y13" s="83">
        <f t="shared" ref="Y13:Y18" si="5">T13*SQRT(V13^2+W13^2)</f>
        <v>0</v>
      </c>
      <c r="Z13" s="72">
        <f t="shared" ref="Z13:Z18" si="6">SQRT(X13^2+Y13^2)</f>
        <v>0</v>
      </c>
      <c r="AB13" s="439"/>
      <c r="AC13" s="83">
        <f t="shared" ref="AC13:AC18" si="7">S13*AB13</f>
        <v>0</v>
      </c>
      <c r="AD13" s="86">
        <f t="shared" ref="AD13:AD18" si="8">T13*AB13</f>
        <v>0</v>
      </c>
      <c r="AE13" s="71">
        <f t="shared" ref="AE13:AE18" si="9">AC13+AD13</f>
        <v>0</v>
      </c>
      <c r="AF13" s="439"/>
      <c r="AG13" s="83">
        <f t="shared" ref="AG13:AG18" si="10">S13*AF13</f>
        <v>0</v>
      </c>
      <c r="AH13" s="86">
        <f t="shared" ref="AH13:AH18" si="11">T13*AF13</f>
        <v>0</v>
      </c>
      <c r="AI13" s="72">
        <f t="shared" ref="AI13:AI18" si="12">AG13+AH13</f>
        <v>0</v>
      </c>
      <c r="AK13" s="717">
        <f>G13*VLOOKUP($B13,'Emissions factors'!$B$84:$AQ$147,11,FALSE)+J13*VLOOKUP($B13,'Emissions factors'!$B$84:$AQ$147,13,FALSE)+M13*VLOOKUP($B13,'Emissions factors'!$B$84:$AQ$147,15,FALSE)+P13*VLOOKUP($B13,'Emissions factors'!$B$84:$AQ$147,17,FALSE)</f>
        <v>0</v>
      </c>
      <c r="AL13" s="718">
        <f>G13*VLOOKUP($B13,'Emissions factors'!$B$84:$AQ$147,12,FALSE)+J13*VLOOKUP($B13,'Emissions factors'!$B$84:$AQ$147,14,FALSE)+M13*VLOOKUP($B13,'Emissions factors'!$B$84:$AQ$147,16,FALSE)+P13*VLOOKUP($B13,'Emissions factors'!$B$84:$AQ$147,18,FALSE)</f>
        <v>0</v>
      </c>
      <c r="AM13" s="781">
        <f>G13*VLOOKUP($B13,'Emissions factors'!$B$84:$AQ$147,19,FALSE)+J13*VLOOKUP($B13,'Emissions factors'!$B$84:$AQ$147,21,FALSE)+M13*VLOOKUP($B13,'Emissions factors'!$B$84:$AQ$147,23,FALSE)+P13*VLOOKUP($B13,'Emissions factors'!$B$84:$AQ$147,25,FALSE)</f>
        <v>0</v>
      </c>
      <c r="AN13" s="781">
        <f>G13*VLOOKUP($B13,'Emissions factors'!$B$84:$AQ$147,20,FALSE)+J13*VLOOKUP($B13,'Emissions factors'!$B$84:$AQ$147,22,FALSE)+M13*VLOOKUP($B13,'Emissions factors'!$B$84:$AQ$147,24,FALSE)+P13*VLOOKUP($B13,'Emissions factors'!$B$84:$AQ$147,26,FALSE)</f>
        <v>0</v>
      </c>
      <c r="AO13" s="781">
        <f>G13*VLOOKUP($B13,'Emissions factors'!$B$84:$AQ$147,27,FALSE)+J13*VLOOKUP($B13,'Emissions factors'!$B$84:$AQ$147,29,FALSE)+M13*VLOOKUP($B13,'Emissions factors'!$B$84:$AQ$147,31,FALSE)+P13*VLOOKUP($B13,'Emissions factors'!$B$84:$AQ$147,33,FALSE)</f>
        <v>0</v>
      </c>
      <c r="AP13" s="781">
        <f>G13*VLOOKUP($B13,'Emissions factors'!$B$84:$AQ$147,28,FALSE)+J13*VLOOKUP($B13,'Emissions factors'!$B$84:$AQ$147,30,FALSE)+M13*VLOOKUP($B13,'Emissions factors'!$B$84:$AQ$147,32,FALSE)+P13*VLOOKUP($B13,'Emissions factors'!$B$84:$AQ$147,34,FALSE)</f>
        <v>0</v>
      </c>
      <c r="AQ13" s="718">
        <v>0</v>
      </c>
      <c r="AR13" s="718">
        <v>0</v>
      </c>
      <c r="AS13" s="719">
        <f t="shared" ref="AS13:AT18" si="13">S13</f>
        <v>0</v>
      </c>
      <c r="AT13" s="720">
        <f t="shared" si="13"/>
        <v>0</v>
      </c>
      <c r="AU13" s="718">
        <f>G13*VLOOKUP($B13,'Emissions factors'!$B$84:$AQ$147,35,FALSE)+J13*VLOOKUP($B13,'Emissions factors'!$B$84:$AQ$147,37,FALSE)+M13*VLOOKUP($B13,'Emissions factors'!$B$84:$AQ$147,39,FALSE)+P13*VLOOKUP($B13,'Emissions factors'!$B$84:$AQ$147,41,FALSE)</f>
        <v>0</v>
      </c>
      <c r="AV13" s="721">
        <f>G13*VLOOKUP($B13,'Emissions factors'!$B$84:$AQ$147,36,FALSE)+J13*VLOOKUP($B13,'Emissions factors'!$B$84:$AQ$147,38,FALSE)+M13*VLOOKUP($B13,'Emissions factors'!$B$84:$AQ$147,40,FALSE)+P13*VLOOKUP($B13,'Emissions factors'!$B$84:$AQ$147,42,FALSE)</f>
        <v>0</v>
      </c>
    </row>
    <row r="14" spans="2:48" s="40" customFormat="1" ht="12.75" hidden="1" customHeight="1" outlineLevel="1" x14ac:dyDescent="0.2">
      <c r="B14" s="62" t="s">
        <v>3141</v>
      </c>
      <c r="C14" s="63"/>
      <c r="D14" s="140">
        <f t="shared" si="0"/>
        <v>0</v>
      </c>
      <c r="E14" s="143">
        <f t="shared" si="1"/>
        <v>0</v>
      </c>
      <c r="F14" s="185"/>
      <c r="G14" s="45"/>
      <c r="H14" s="149">
        <f>VLOOKUP($B14,'Emissions factors'!$B$84:$K$147,2,FALSE)</f>
        <v>503.1</v>
      </c>
      <c r="I14" s="149">
        <f>VLOOKUP($B14,'Emissions factors'!$B$84:$K$147,3,FALSE)</f>
        <v>3140</v>
      </c>
      <c r="J14" s="45"/>
      <c r="K14" s="277">
        <f>VLOOKUP($B14,'Emissions factors'!$B$84:$K$147,4,FALSE)</f>
        <v>4.5280000000000001E-2</v>
      </c>
      <c r="L14" s="277">
        <f>VLOOKUP($B14,'Emissions factors'!$B$84:$K$147,5,FALSE)</f>
        <v>0.23599999999999999</v>
      </c>
      <c r="M14" s="45"/>
      <c r="N14" s="271">
        <f>VLOOKUP($B14,'Emissions factors'!$B$84:$K$147,6,FALSE)</f>
        <v>528.4</v>
      </c>
      <c r="O14" s="271">
        <f>VLOOKUP($B14,'Emissions factors'!$B$84:$K$147,7,FALSE)</f>
        <v>3195</v>
      </c>
      <c r="P14" s="45"/>
      <c r="Q14" s="277">
        <f>VLOOKUP($B14,'Emissions factors'!$B$84:$K$147,8,FALSE)</f>
        <v>0</v>
      </c>
      <c r="R14" s="277">
        <f>VLOOKUP($B14,'Emissions factors'!$B$84:$K$147,9,FALSE)</f>
        <v>0</v>
      </c>
      <c r="S14" s="719">
        <f t="shared" si="2"/>
        <v>0</v>
      </c>
      <c r="T14" s="720">
        <f t="shared" si="3"/>
        <v>0</v>
      </c>
      <c r="V14" s="282">
        <f>VLOOKUP($B14,'Emissions factors'!$B$84:$K$147,10,FALSE)</f>
        <v>0</v>
      </c>
      <c r="W14" s="437"/>
      <c r="X14" s="221">
        <f t="shared" si="4"/>
        <v>0</v>
      </c>
      <c r="Y14" s="221">
        <f t="shared" si="5"/>
        <v>0</v>
      </c>
      <c r="Z14" s="211">
        <f t="shared" si="6"/>
        <v>0</v>
      </c>
      <c r="AB14" s="440"/>
      <c r="AC14" s="83">
        <f t="shared" si="7"/>
        <v>0</v>
      </c>
      <c r="AD14" s="86">
        <f t="shared" si="8"/>
        <v>0</v>
      </c>
      <c r="AE14" s="71">
        <f t="shared" si="9"/>
        <v>0</v>
      </c>
      <c r="AF14" s="440"/>
      <c r="AG14" s="83">
        <f t="shared" si="10"/>
        <v>0</v>
      </c>
      <c r="AH14" s="86">
        <f t="shared" si="11"/>
        <v>0</v>
      </c>
      <c r="AI14" s="72">
        <f t="shared" si="12"/>
        <v>0</v>
      </c>
      <c r="AK14" s="717">
        <f>G14*VLOOKUP($B14,'Emissions factors'!$B$84:$AQ$147,11,FALSE)+J14*VLOOKUP($B14,'Emissions factors'!$B$84:$AQ$147,13,FALSE)+M14*VLOOKUP($B14,'Emissions factors'!$B$84:$AQ$147,15,FALSE)+P14*VLOOKUP($B14,'Emissions factors'!$B$84:$AQ$147,17,FALSE)</f>
        <v>0</v>
      </c>
      <c r="AL14" s="718">
        <f>G14*VLOOKUP($B14,'Emissions factors'!$B$84:$AQ$147,12,FALSE)+J14*VLOOKUP($B14,'Emissions factors'!$B$84:$AQ$147,14,FALSE)+M14*VLOOKUP($B14,'Emissions factors'!$B$84:$AQ$147,16,FALSE)+P14*VLOOKUP($B14,'Emissions factors'!$B$84:$AQ$147,18,FALSE)</f>
        <v>0</v>
      </c>
      <c r="AM14" s="781">
        <f>G14*VLOOKUP($B14,'Emissions factors'!$B$84:$AQ$147,19,FALSE)+J14*VLOOKUP($B14,'Emissions factors'!$B$84:$AQ$147,21,FALSE)+M14*VLOOKUP($B14,'Emissions factors'!$B$84:$AQ$147,23,FALSE)+P14*VLOOKUP($B14,'Emissions factors'!$B$84:$AQ$147,25,FALSE)</f>
        <v>0</v>
      </c>
      <c r="AN14" s="781">
        <f>G14*VLOOKUP($B14,'Emissions factors'!$B$84:$AQ$147,20,FALSE)+J14*VLOOKUP($B14,'Emissions factors'!$B$84:$AQ$147,22,FALSE)+M14*VLOOKUP($B14,'Emissions factors'!$B$84:$AQ$147,24,FALSE)+P14*VLOOKUP($B14,'Emissions factors'!$B$84:$AQ$147,26,FALSE)</f>
        <v>0</v>
      </c>
      <c r="AO14" s="781">
        <f>G14*VLOOKUP($B14,'Emissions factors'!$B$84:$AQ$147,27,FALSE)+J14*VLOOKUP($B14,'Emissions factors'!$B$84:$AQ$147,29,FALSE)+M14*VLOOKUP($B14,'Emissions factors'!$B$84:$AQ$147,31,FALSE)+P14*VLOOKUP($B14,'Emissions factors'!$B$84:$AQ$147,33,FALSE)</f>
        <v>0</v>
      </c>
      <c r="AP14" s="781">
        <f>G14*VLOOKUP($B14,'Emissions factors'!$B$84:$AQ$147,28,FALSE)+J14*VLOOKUP($B14,'Emissions factors'!$B$84:$AQ$147,30,FALSE)+M14*VLOOKUP($B14,'Emissions factors'!$B$84:$AQ$147,32,FALSE)+P14*VLOOKUP($B14,'Emissions factors'!$B$84:$AQ$147,34,FALSE)</f>
        <v>0</v>
      </c>
      <c r="AQ14" s="718">
        <v>0</v>
      </c>
      <c r="AR14" s="718">
        <v>0</v>
      </c>
      <c r="AS14" s="719">
        <f t="shared" si="13"/>
        <v>0</v>
      </c>
      <c r="AT14" s="720">
        <f t="shared" si="13"/>
        <v>0</v>
      </c>
      <c r="AU14" s="718">
        <f>G14*VLOOKUP($B14,'Emissions factors'!$B$84:$AQ$147,35,FALSE)+J14*VLOOKUP($B14,'Emissions factors'!$B$84:$AQ$147,37,FALSE)+M14*VLOOKUP($B14,'Emissions factors'!$B$84:$AQ$147,39,FALSE)+P14*VLOOKUP($B14,'Emissions factors'!$B$84:$AQ$147,41,FALSE)</f>
        <v>0</v>
      </c>
      <c r="AV14" s="721">
        <f>G14*VLOOKUP($B14,'Emissions factors'!$B$84:$AQ$147,36,FALSE)+J14*VLOOKUP($B14,'Emissions factors'!$B$84:$AQ$147,38,FALSE)+M14*VLOOKUP($B14,'Emissions factors'!$B$84:$AQ$147,40,FALSE)+P14*VLOOKUP($B14,'Emissions factors'!$B$84:$AQ$147,42,FALSE)</f>
        <v>0</v>
      </c>
    </row>
    <row r="15" spans="2:48" s="40" customFormat="1" ht="12.75" hidden="1" customHeight="1" outlineLevel="1" x14ac:dyDescent="0.2">
      <c r="B15" s="62" t="s">
        <v>800</v>
      </c>
      <c r="C15" s="63"/>
      <c r="D15" s="140">
        <f t="shared" si="0"/>
        <v>0</v>
      </c>
      <c r="E15" s="143">
        <f t="shared" si="1"/>
        <v>0</v>
      </c>
      <c r="F15" s="185"/>
      <c r="G15" s="45"/>
      <c r="H15" s="149">
        <f>VLOOKUP($B15,'Emissions factors'!$B$84:$K$147,2,FALSE)</f>
        <v>676.2</v>
      </c>
      <c r="I15" s="149">
        <f>VLOOKUP($B15,'Emissions factors'!$B$84:$K$147,3,FALSE)</f>
        <v>3169.22</v>
      </c>
      <c r="J15" s="45"/>
      <c r="K15" s="277">
        <f>VLOOKUP($B15,'Emissions factors'!$B$84:$K$147,4,FALSE)</f>
        <v>5.2699999999999997E-2</v>
      </c>
      <c r="L15" s="277">
        <f>VLOOKUP($B15,'Emissions factors'!$B$84:$K$147,5,FALSE)</f>
        <v>0.271646</v>
      </c>
      <c r="M15" s="45"/>
      <c r="N15" s="271">
        <f>VLOOKUP($B15,'Emissions factors'!$B$84:$K$147,6,FALSE)</f>
        <v>528.5</v>
      </c>
      <c r="O15" s="271">
        <f>VLOOKUP($B15,'Emissions factors'!$B$84:$K$147,7,FALSE)</f>
        <v>3169.7</v>
      </c>
      <c r="P15" s="45"/>
      <c r="Q15" s="277">
        <f>VLOOKUP($B15,'Emissions factors'!$B$84:$K$147,8,FALSE)</f>
        <v>0.5706</v>
      </c>
      <c r="R15" s="277">
        <f>VLOOKUP($B15,'Emissions factors'!$B$84:$K$147,9,FALSE)</f>
        <v>2.6762300000000003</v>
      </c>
      <c r="S15" s="719">
        <f t="shared" si="2"/>
        <v>0</v>
      </c>
      <c r="T15" s="720">
        <f t="shared" si="3"/>
        <v>0</v>
      </c>
      <c r="V15" s="282">
        <f>VLOOKUP($B15,'Emissions factors'!$B$84:$K$147,10,FALSE)</f>
        <v>0.05</v>
      </c>
      <c r="W15" s="437"/>
      <c r="X15" s="221">
        <f t="shared" si="4"/>
        <v>0</v>
      </c>
      <c r="Y15" s="221">
        <f t="shared" si="5"/>
        <v>0</v>
      </c>
      <c r="Z15" s="211">
        <f t="shared" si="6"/>
        <v>0</v>
      </c>
      <c r="AB15" s="440"/>
      <c r="AC15" s="83">
        <f t="shared" si="7"/>
        <v>0</v>
      </c>
      <c r="AD15" s="86">
        <f t="shared" si="8"/>
        <v>0</v>
      </c>
      <c r="AE15" s="71">
        <f t="shared" si="9"/>
        <v>0</v>
      </c>
      <c r="AF15" s="440"/>
      <c r="AG15" s="83">
        <f t="shared" si="10"/>
        <v>0</v>
      </c>
      <c r="AH15" s="86">
        <f t="shared" si="11"/>
        <v>0</v>
      </c>
      <c r="AI15" s="72">
        <f t="shared" si="12"/>
        <v>0</v>
      </c>
      <c r="AK15" s="717">
        <f>G15*VLOOKUP($B15,'Emissions factors'!$B$84:$AQ$147,11,FALSE)+J15*VLOOKUP($B15,'Emissions factors'!$B$84:$AQ$147,13,FALSE)+M15*VLOOKUP($B15,'Emissions factors'!$B$84:$AQ$147,15,FALSE)+P15*VLOOKUP($B15,'Emissions factors'!$B$84:$AQ$147,17,FALSE)</f>
        <v>0</v>
      </c>
      <c r="AL15" s="718">
        <f>G15*VLOOKUP($B15,'Emissions factors'!$B$84:$AQ$147,12,FALSE)+J15*VLOOKUP($B15,'Emissions factors'!$B$84:$AQ$147,14,FALSE)+M15*VLOOKUP($B15,'Emissions factors'!$B$84:$AQ$147,16,FALSE)+P15*VLOOKUP($B15,'Emissions factors'!$B$84:$AQ$147,18,FALSE)</f>
        <v>0</v>
      </c>
      <c r="AM15" s="781">
        <f>G15*VLOOKUP($B15,'Emissions factors'!$B$84:$AQ$147,19,FALSE)+J15*VLOOKUP($B15,'Emissions factors'!$B$84:$AQ$147,21,FALSE)+M15*VLOOKUP($B15,'Emissions factors'!$B$84:$AQ$147,23,FALSE)+P15*VLOOKUP($B15,'Emissions factors'!$B$84:$AQ$147,25,FALSE)</f>
        <v>0</v>
      </c>
      <c r="AN15" s="781">
        <f>G15*VLOOKUP($B15,'Emissions factors'!$B$84:$AQ$147,20,FALSE)+J15*VLOOKUP($B15,'Emissions factors'!$B$84:$AQ$147,22,FALSE)+M15*VLOOKUP($B15,'Emissions factors'!$B$84:$AQ$147,24,FALSE)+P15*VLOOKUP($B15,'Emissions factors'!$B$84:$AQ$147,26,FALSE)</f>
        <v>0</v>
      </c>
      <c r="AO15" s="781">
        <f>G15*VLOOKUP($B15,'Emissions factors'!$B$84:$AQ$147,27,FALSE)+J15*VLOOKUP($B15,'Emissions factors'!$B$84:$AQ$147,29,FALSE)+M15*VLOOKUP($B15,'Emissions factors'!$B$84:$AQ$147,31,FALSE)+P15*VLOOKUP($B15,'Emissions factors'!$B$84:$AQ$147,33,FALSE)</f>
        <v>0</v>
      </c>
      <c r="AP15" s="781">
        <f>G15*VLOOKUP($B15,'Emissions factors'!$B$84:$AQ$147,28,FALSE)+J15*VLOOKUP($B15,'Emissions factors'!$B$84:$AQ$147,30,FALSE)+M15*VLOOKUP($B15,'Emissions factors'!$B$84:$AQ$147,32,FALSE)+P15*VLOOKUP($B15,'Emissions factors'!$B$84:$AQ$147,34,FALSE)</f>
        <v>0</v>
      </c>
      <c r="AQ15" s="718">
        <v>0</v>
      </c>
      <c r="AR15" s="718">
        <v>0</v>
      </c>
      <c r="AS15" s="719">
        <f t="shared" si="13"/>
        <v>0</v>
      </c>
      <c r="AT15" s="720">
        <f t="shared" si="13"/>
        <v>0</v>
      </c>
      <c r="AU15" s="718">
        <f>G15*VLOOKUP($B15,'Emissions factors'!$B$84:$AQ$147,35,FALSE)+J15*VLOOKUP($B15,'Emissions factors'!$B$84:$AQ$147,37,FALSE)+M15*VLOOKUP($B15,'Emissions factors'!$B$84:$AQ$147,39,FALSE)+P15*VLOOKUP($B15,'Emissions factors'!$B$84:$AQ$147,41,FALSE)</f>
        <v>0</v>
      </c>
      <c r="AV15" s="721">
        <f>G15*VLOOKUP($B15,'Emissions factors'!$B$84:$AQ$147,36,FALSE)+J15*VLOOKUP($B15,'Emissions factors'!$B$84:$AQ$147,38,FALSE)+M15*VLOOKUP($B15,'Emissions factors'!$B$84:$AQ$147,40,FALSE)+P15*VLOOKUP($B15,'Emissions factors'!$B$84:$AQ$147,42,FALSE)</f>
        <v>0</v>
      </c>
    </row>
    <row r="16" spans="2:48" s="40" customFormat="1" ht="12.75" hidden="1" customHeight="1" outlineLevel="1" x14ac:dyDescent="0.2">
      <c r="B16" s="62" t="s">
        <v>805</v>
      </c>
      <c r="C16" s="63"/>
      <c r="D16" s="140">
        <f t="shared" si="0"/>
        <v>0</v>
      </c>
      <c r="E16" s="143">
        <f t="shared" si="1"/>
        <v>0</v>
      </c>
      <c r="F16" s="185"/>
      <c r="G16" s="45"/>
      <c r="H16" s="149">
        <f>VLOOKUP($B16,'Emissions factors'!$B$84:$K$147,2,FALSE)</f>
        <v>775.9</v>
      </c>
      <c r="I16" s="149">
        <f>VLOOKUP($B16,'Emissions factors'!$B$84:$K$147,3,FALSE)</f>
        <v>2975.0299999999997</v>
      </c>
      <c r="J16" s="45"/>
      <c r="K16" s="277">
        <f>VLOOKUP($B16,'Emissions factors'!$B$84:$K$147,4,FALSE)</f>
        <v>6.7080000000000001E-2</v>
      </c>
      <c r="L16" s="277">
        <f>VLOOKUP($B16,'Emissions factors'!$B$84:$K$147,5,FALSE)</f>
        <v>0.25615399999999999</v>
      </c>
      <c r="M16" s="45"/>
      <c r="N16" s="271">
        <f>VLOOKUP($B16,'Emissions factors'!$B$84:$K$147,6,FALSE)</f>
        <v>783.2</v>
      </c>
      <c r="O16" s="271">
        <f>VLOOKUP($B16,'Emissions factors'!$B$84:$K$147,7,FALSE)</f>
        <v>2985.1400000000003</v>
      </c>
      <c r="P16" s="45"/>
      <c r="Q16" s="277">
        <f>VLOOKUP($B16,'Emissions factors'!$B$84:$K$147,8,FALSE)</f>
        <v>0.65529999999999988</v>
      </c>
      <c r="R16" s="277">
        <f>VLOOKUP($B16,'Emissions factors'!$B$84:$K$147,9,FALSE)</f>
        <v>2.5111300000000001</v>
      </c>
      <c r="S16" s="719">
        <f t="shared" si="2"/>
        <v>0</v>
      </c>
      <c r="T16" s="720">
        <f t="shared" si="3"/>
        <v>0</v>
      </c>
      <c r="V16" s="282">
        <f>VLOOKUP($B16,'Emissions factors'!$B$84:$K$147,10,FALSE)</f>
        <v>0.05</v>
      </c>
      <c r="W16" s="437"/>
      <c r="X16" s="221">
        <f t="shared" si="4"/>
        <v>0</v>
      </c>
      <c r="Y16" s="221">
        <f t="shared" si="5"/>
        <v>0</v>
      </c>
      <c r="Z16" s="211">
        <f t="shared" si="6"/>
        <v>0</v>
      </c>
      <c r="AB16" s="440"/>
      <c r="AC16" s="83">
        <f t="shared" si="7"/>
        <v>0</v>
      </c>
      <c r="AD16" s="86">
        <f t="shared" si="8"/>
        <v>0</v>
      </c>
      <c r="AE16" s="71">
        <f t="shared" si="9"/>
        <v>0</v>
      </c>
      <c r="AF16" s="440"/>
      <c r="AG16" s="83">
        <f t="shared" si="10"/>
        <v>0</v>
      </c>
      <c r="AH16" s="86">
        <f t="shared" si="11"/>
        <v>0</v>
      </c>
      <c r="AI16" s="72">
        <f t="shared" si="12"/>
        <v>0</v>
      </c>
      <c r="AK16" s="717">
        <f>G16*VLOOKUP($B16,'Emissions factors'!$B$84:$AQ$147,11,FALSE)+J16*VLOOKUP($B16,'Emissions factors'!$B$84:$AQ$147,13,FALSE)+M16*VLOOKUP($B16,'Emissions factors'!$B$84:$AQ$147,15,FALSE)+P16*VLOOKUP($B16,'Emissions factors'!$B$84:$AQ$147,17,FALSE)</f>
        <v>0</v>
      </c>
      <c r="AL16" s="718">
        <f>G16*VLOOKUP($B16,'Emissions factors'!$B$84:$AQ$147,12,FALSE)+J16*VLOOKUP($B16,'Emissions factors'!$B$84:$AQ$147,14,FALSE)+M16*VLOOKUP($B16,'Emissions factors'!$B$84:$AQ$147,16,FALSE)+P16*VLOOKUP($B16,'Emissions factors'!$B$84:$AQ$147,18,FALSE)</f>
        <v>0</v>
      </c>
      <c r="AM16" s="781">
        <f>G16*VLOOKUP($B16,'Emissions factors'!$B$84:$AQ$147,19,FALSE)+J16*VLOOKUP($B16,'Emissions factors'!$B$84:$AQ$147,21,FALSE)+M16*VLOOKUP($B16,'Emissions factors'!$B$84:$AQ$147,23,FALSE)+P16*VLOOKUP($B16,'Emissions factors'!$B$84:$AQ$147,25,FALSE)</f>
        <v>0</v>
      </c>
      <c r="AN16" s="781">
        <f>G16*VLOOKUP($B16,'Emissions factors'!$B$84:$AQ$147,20,FALSE)+J16*VLOOKUP($B16,'Emissions factors'!$B$84:$AQ$147,22,FALSE)+M16*VLOOKUP($B16,'Emissions factors'!$B$84:$AQ$147,24,FALSE)+P16*VLOOKUP($B16,'Emissions factors'!$B$84:$AQ$147,26,FALSE)</f>
        <v>0</v>
      </c>
      <c r="AO16" s="781">
        <f>G16*VLOOKUP($B16,'Emissions factors'!$B$84:$AQ$147,27,FALSE)+J16*VLOOKUP($B16,'Emissions factors'!$B$84:$AQ$147,29,FALSE)+M16*VLOOKUP($B16,'Emissions factors'!$B$84:$AQ$147,31,FALSE)+P16*VLOOKUP($B16,'Emissions factors'!$B$84:$AQ$147,33,FALSE)</f>
        <v>0</v>
      </c>
      <c r="AP16" s="781">
        <f>G16*VLOOKUP($B16,'Emissions factors'!$B$84:$AQ$147,28,FALSE)+J16*VLOOKUP($B16,'Emissions factors'!$B$84:$AQ$147,30,FALSE)+M16*VLOOKUP($B16,'Emissions factors'!$B$84:$AQ$147,32,FALSE)+P16*VLOOKUP($B16,'Emissions factors'!$B$84:$AQ$147,34,FALSE)</f>
        <v>0</v>
      </c>
      <c r="AQ16" s="718">
        <v>0</v>
      </c>
      <c r="AR16" s="718">
        <v>0</v>
      </c>
      <c r="AS16" s="719">
        <f t="shared" si="13"/>
        <v>0</v>
      </c>
      <c r="AT16" s="720">
        <f t="shared" si="13"/>
        <v>0</v>
      </c>
      <c r="AU16" s="718">
        <f>G16*VLOOKUP($B16,'Emissions factors'!$B$84:$AQ$147,35,FALSE)+J16*VLOOKUP($B16,'Emissions factors'!$B$84:$AQ$147,37,FALSE)+M16*VLOOKUP($B16,'Emissions factors'!$B$84:$AQ$147,39,FALSE)+P16*VLOOKUP($B16,'Emissions factors'!$B$84:$AQ$147,41,FALSE)</f>
        <v>0</v>
      </c>
      <c r="AV16" s="721">
        <f>G16*VLOOKUP($B16,'Emissions factors'!$B$84:$AQ$147,36,FALSE)+J16*VLOOKUP($B16,'Emissions factors'!$B$84:$AQ$147,38,FALSE)+M16*VLOOKUP($B16,'Emissions factors'!$B$84:$AQ$147,40,FALSE)+P16*VLOOKUP($B16,'Emissions factors'!$B$84:$AQ$147,42,FALSE)</f>
        <v>0</v>
      </c>
    </row>
    <row r="17" spans="1:48" s="40" customFormat="1" ht="12.75" hidden="1" customHeight="1" outlineLevel="1" x14ac:dyDescent="0.2">
      <c r="B17" s="62" t="s">
        <v>3142</v>
      </c>
      <c r="C17" s="63"/>
      <c r="D17" s="140">
        <f t="shared" si="0"/>
        <v>0</v>
      </c>
      <c r="E17" s="143">
        <f t="shared" si="1"/>
        <v>0</v>
      </c>
      <c r="F17" s="185" t="s">
        <v>2431</v>
      </c>
      <c r="G17" s="45"/>
      <c r="H17" s="149">
        <f>VLOOKUP($B17,'Emissions factors'!$B$84:$K$147,2,FALSE)</f>
        <v>284</v>
      </c>
      <c r="I17" s="149">
        <f>VLOOKUP($B17,'Emissions factors'!$B$84:$K$147,3,FALSE)</f>
        <v>2360</v>
      </c>
      <c r="J17" s="45"/>
      <c r="K17" s="277">
        <f>VLOOKUP($B17,'Emissions factors'!$B$84:$K$147,4,FALSE)</f>
        <v>3.1899999999999998E-2</v>
      </c>
      <c r="L17" s="277">
        <f>VLOOKUP($B17,'Emissions factors'!$B$84:$K$147,5,FALSE)</f>
        <v>0.33700000000000002</v>
      </c>
      <c r="M17" s="45"/>
      <c r="N17" s="271">
        <f>VLOOKUP($B17,'Emissions factors'!$B$84:$K$147,6,FALSE)</f>
        <v>372</v>
      </c>
      <c r="O17" s="271">
        <f>VLOOKUP($B17,'Emissions factors'!$B$84:$K$147,7,FALSE)</f>
        <v>3920</v>
      </c>
      <c r="P17" s="45"/>
      <c r="Q17" s="277">
        <f>VLOOKUP($B17,'Emissions factors'!$B$84:$K$147,8,FALSE)</f>
        <v>0</v>
      </c>
      <c r="R17" s="277">
        <f>VLOOKUP($B17,'Emissions factors'!$B$84:$K$147,9,FALSE)</f>
        <v>0</v>
      </c>
      <c r="S17" s="719">
        <f t="shared" si="2"/>
        <v>0</v>
      </c>
      <c r="T17" s="720">
        <f t="shared" si="3"/>
        <v>0</v>
      </c>
      <c r="V17" s="282">
        <f>VLOOKUP($B17,'Emissions factors'!$B$84:$K$147,10,FALSE)</f>
        <v>0</v>
      </c>
      <c r="W17" s="437"/>
      <c r="X17" s="221">
        <f t="shared" si="4"/>
        <v>0</v>
      </c>
      <c r="Y17" s="221">
        <f t="shared" si="5"/>
        <v>0</v>
      </c>
      <c r="Z17" s="211">
        <f t="shared" si="6"/>
        <v>0</v>
      </c>
      <c r="AB17" s="440"/>
      <c r="AC17" s="83">
        <f t="shared" si="7"/>
        <v>0</v>
      </c>
      <c r="AD17" s="86">
        <f t="shared" si="8"/>
        <v>0</v>
      </c>
      <c r="AE17" s="71">
        <f t="shared" si="9"/>
        <v>0</v>
      </c>
      <c r="AF17" s="440"/>
      <c r="AG17" s="83">
        <f t="shared" si="10"/>
        <v>0</v>
      </c>
      <c r="AH17" s="86">
        <f t="shared" si="11"/>
        <v>0</v>
      </c>
      <c r="AI17" s="72">
        <f t="shared" si="12"/>
        <v>0</v>
      </c>
      <c r="AK17" s="717">
        <f>G17*VLOOKUP($B17,'Emissions factors'!$B$84:$AQ$147,11,FALSE)+J17*VLOOKUP($B17,'Emissions factors'!$B$84:$AQ$147,13,FALSE)+M17*VLOOKUP($B17,'Emissions factors'!$B$84:$AQ$147,15,FALSE)+P17*VLOOKUP($B17,'Emissions factors'!$B$84:$AQ$147,17,FALSE)</f>
        <v>0</v>
      </c>
      <c r="AL17" s="718">
        <f>G17*VLOOKUP($B17,'Emissions factors'!$B$84:$AQ$147,12,FALSE)+J17*VLOOKUP($B17,'Emissions factors'!$B$84:$AQ$147,14,FALSE)+M17*VLOOKUP($B17,'Emissions factors'!$B$84:$AQ$147,16,FALSE)+P17*VLOOKUP($B17,'Emissions factors'!$B$84:$AQ$147,18,FALSE)</f>
        <v>0</v>
      </c>
      <c r="AM17" s="781">
        <f>G17*VLOOKUP($B17,'Emissions factors'!$B$84:$AQ$147,19,FALSE)+J17*VLOOKUP($B17,'Emissions factors'!$B$84:$AQ$147,21,FALSE)+M17*VLOOKUP($B17,'Emissions factors'!$B$84:$AQ$147,23,FALSE)+P17*VLOOKUP($B17,'Emissions factors'!$B$84:$AQ$147,25,FALSE)</f>
        <v>0</v>
      </c>
      <c r="AN17" s="781">
        <f>G17*VLOOKUP($B17,'Emissions factors'!$B$84:$AQ$147,20,FALSE)+J17*VLOOKUP($B17,'Emissions factors'!$B$84:$AQ$147,22,FALSE)+M17*VLOOKUP($B17,'Emissions factors'!$B$84:$AQ$147,24,FALSE)+P17*VLOOKUP($B17,'Emissions factors'!$B$84:$AQ$147,26,FALSE)</f>
        <v>0</v>
      </c>
      <c r="AO17" s="781">
        <f>G17*VLOOKUP($B17,'Emissions factors'!$B$84:$AQ$147,27,FALSE)+J17*VLOOKUP($B17,'Emissions factors'!$B$84:$AQ$147,29,FALSE)+M17*VLOOKUP($B17,'Emissions factors'!$B$84:$AQ$147,31,FALSE)+P17*VLOOKUP($B17,'Emissions factors'!$B$84:$AQ$147,33,FALSE)</f>
        <v>0</v>
      </c>
      <c r="AP17" s="781">
        <f>G17*VLOOKUP($B17,'Emissions factors'!$B$84:$AQ$147,28,FALSE)+J17*VLOOKUP($B17,'Emissions factors'!$B$84:$AQ$147,30,FALSE)+M17*VLOOKUP($B17,'Emissions factors'!$B$84:$AQ$147,32,FALSE)+P17*VLOOKUP($B17,'Emissions factors'!$B$84:$AQ$147,34,FALSE)</f>
        <v>0</v>
      </c>
      <c r="AQ17" s="718">
        <v>0</v>
      </c>
      <c r="AR17" s="718">
        <v>0</v>
      </c>
      <c r="AS17" s="719">
        <f t="shared" si="13"/>
        <v>0</v>
      </c>
      <c r="AT17" s="720">
        <f t="shared" si="13"/>
        <v>0</v>
      </c>
      <c r="AU17" s="718">
        <f>G17*VLOOKUP($B17,'Emissions factors'!$B$84:$AQ$147,35,FALSE)+J17*VLOOKUP($B17,'Emissions factors'!$B$84:$AQ$147,37,FALSE)+M17*VLOOKUP($B17,'Emissions factors'!$B$84:$AQ$147,39,FALSE)+P17*VLOOKUP($B17,'Emissions factors'!$B$84:$AQ$147,41,FALSE)</f>
        <v>0</v>
      </c>
      <c r="AV17" s="721">
        <f>G17*VLOOKUP($B17,'Emissions factors'!$B$84:$AQ$147,36,FALSE)+J17*VLOOKUP($B17,'Emissions factors'!$B$84:$AQ$147,38,FALSE)+M17*VLOOKUP($B17,'Emissions factors'!$B$84:$AQ$147,40,FALSE)+P17*VLOOKUP($B17,'Emissions factors'!$B$84:$AQ$147,42,FALSE)</f>
        <v>0</v>
      </c>
    </row>
    <row r="18" spans="1:48" s="40" customFormat="1" ht="12.75" hidden="1" customHeight="1" outlineLevel="1" x14ac:dyDescent="0.2">
      <c r="B18" s="62" t="s">
        <v>811</v>
      </c>
      <c r="C18" s="63"/>
      <c r="D18" s="140">
        <f t="shared" si="0"/>
        <v>0</v>
      </c>
      <c r="E18" s="143">
        <f t="shared" si="1"/>
        <v>0</v>
      </c>
      <c r="F18" s="188"/>
      <c r="G18" s="47"/>
      <c r="H18" s="149">
        <f>VLOOKUP($B18,'Emissions factors'!$B$84:$K$147,2,FALSE)</f>
        <v>236.1</v>
      </c>
      <c r="I18" s="149">
        <f>VLOOKUP($B18,'Emissions factors'!$B$84:$K$147,3,FALSE)</f>
        <v>2631.4009999999998</v>
      </c>
      <c r="J18" s="47"/>
      <c r="K18" s="277">
        <f>VLOOKUP($B18,'Emissions factors'!$B$84:$K$147,4,FALSE)</f>
        <v>3.1899999999999998E-2</v>
      </c>
      <c r="L18" s="277">
        <f>VLOOKUP($B18,'Emissions factors'!$B$84:$K$147,5,FALSE)</f>
        <v>0.35599999999999998</v>
      </c>
      <c r="M18" s="47"/>
      <c r="N18" s="271">
        <f>VLOOKUP($B18,'Emissions factors'!$B$84:$K$147,6,FALSE)</f>
        <v>373</v>
      </c>
      <c r="O18" s="271">
        <f>VLOOKUP($B18,'Emissions factors'!$B$84:$K$147,7,FALSE)</f>
        <v>4146.7</v>
      </c>
      <c r="P18" s="47"/>
      <c r="Q18" s="277">
        <f>VLOOKUP($B18,'Emissions factors'!$B$84:$K$147,8,FALSE)</f>
        <v>0</v>
      </c>
      <c r="R18" s="277">
        <f>VLOOKUP($B18,'Emissions factors'!$B$84:$K$147,9,FALSE)</f>
        <v>0</v>
      </c>
      <c r="S18" s="719">
        <f t="shared" si="2"/>
        <v>0</v>
      </c>
      <c r="T18" s="720">
        <f t="shared" si="3"/>
        <v>0</v>
      </c>
      <c r="V18" s="282">
        <f>VLOOKUP($B18,'Emissions factors'!$B$84:$K$147,10,FALSE)</f>
        <v>0.2</v>
      </c>
      <c r="W18" s="438"/>
      <c r="X18" s="221">
        <f t="shared" si="4"/>
        <v>0</v>
      </c>
      <c r="Y18" s="221">
        <f t="shared" si="5"/>
        <v>0</v>
      </c>
      <c r="Z18" s="211">
        <f t="shared" si="6"/>
        <v>0</v>
      </c>
      <c r="AB18" s="441"/>
      <c r="AC18" s="83">
        <f t="shared" si="7"/>
        <v>0</v>
      </c>
      <c r="AD18" s="86">
        <f t="shared" si="8"/>
        <v>0</v>
      </c>
      <c r="AE18" s="71">
        <f t="shared" si="9"/>
        <v>0</v>
      </c>
      <c r="AF18" s="441"/>
      <c r="AG18" s="83">
        <f t="shared" si="10"/>
        <v>0</v>
      </c>
      <c r="AH18" s="86">
        <f t="shared" si="11"/>
        <v>0</v>
      </c>
      <c r="AI18" s="72">
        <f t="shared" si="12"/>
        <v>0</v>
      </c>
      <c r="AK18" s="717">
        <f>G18*VLOOKUP($B18,'Emissions factors'!$B$84:$AQ$147,11,FALSE)+J18*VLOOKUP($B18,'Emissions factors'!$B$84:$AQ$147,13,FALSE)+M18*VLOOKUP($B18,'Emissions factors'!$B$84:$AQ$147,15,FALSE)+P18*VLOOKUP($B18,'Emissions factors'!$B$84:$AQ$147,17,FALSE)</f>
        <v>0</v>
      </c>
      <c r="AL18" s="718">
        <f>G18*VLOOKUP($B18,'Emissions factors'!$B$84:$AQ$147,12,FALSE)+J18*VLOOKUP($B18,'Emissions factors'!$B$84:$AQ$147,14,FALSE)+M18*VLOOKUP($B18,'Emissions factors'!$B$84:$AQ$147,16,FALSE)+P18*VLOOKUP($B18,'Emissions factors'!$B$84:$AQ$147,18,FALSE)</f>
        <v>0</v>
      </c>
      <c r="AM18" s="781">
        <f>G18*VLOOKUP($B18,'Emissions factors'!$B$84:$AQ$147,19,FALSE)+J18*VLOOKUP($B18,'Emissions factors'!$B$84:$AQ$147,21,FALSE)+M18*VLOOKUP($B18,'Emissions factors'!$B$84:$AQ$147,23,FALSE)+P18*VLOOKUP($B18,'Emissions factors'!$B$84:$AQ$147,25,FALSE)</f>
        <v>0</v>
      </c>
      <c r="AN18" s="781">
        <f>G18*VLOOKUP($B18,'Emissions factors'!$B$84:$AQ$147,20,FALSE)+J18*VLOOKUP($B18,'Emissions factors'!$B$84:$AQ$147,22,FALSE)+M18*VLOOKUP($B18,'Emissions factors'!$B$84:$AQ$147,24,FALSE)+P18*VLOOKUP($B18,'Emissions factors'!$B$84:$AQ$147,26,FALSE)</f>
        <v>0</v>
      </c>
      <c r="AO18" s="781">
        <f>G18*VLOOKUP($B18,'Emissions factors'!$B$84:$AQ$147,27,FALSE)+J18*VLOOKUP($B18,'Emissions factors'!$B$84:$AQ$147,29,FALSE)+M18*VLOOKUP($B18,'Emissions factors'!$B$84:$AQ$147,31,FALSE)+P18*VLOOKUP($B18,'Emissions factors'!$B$84:$AQ$147,33,FALSE)</f>
        <v>0</v>
      </c>
      <c r="AP18" s="781">
        <f>G18*VLOOKUP($B18,'Emissions factors'!$B$84:$AQ$147,28,FALSE)+J18*VLOOKUP($B18,'Emissions factors'!$B$84:$AQ$147,30,FALSE)+M18*VLOOKUP($B18,'Emissions factors'!$B$84:$AQ$147,32,FALSE)+P18*VLOOKUP($B18,'Emissions factors'!$B$84:$AQ$147,34,FALSE)</f>
        <v>0</v>
      </c>
      <c r="AQ18" s="718">
        <v>0</v>
      </c>
      <c r="AR18" s="718">
        <v>0</v>
      </c>
      <c r="AS18" s="719">
        <f t="shared" si="13"/>
        <v>0</v>
      </c>
      <c r="AT18" s="720">
        <f t="shared" si="13"/>
        <v>0</v>
      </c>
      <c r="AU18" s="718">
        <f>G18*VLOOKUP($B18,'Emissions factors'!$B$84:$AQ$147,35,FALSE)+J18*VLOOKUP($B18,'Emissions factors'!$B$84:$AQ$147,37,FALSE)+M18*VLOOKUP($B18,'Emissions factors'!$B$84:$AQ$147,39,FALSE)+P18*VLOOKUP($B18,'Emissions factors'!$B$84:$AQ$147,41,FALSE)</f>
        <v>0</v>
      </c>
      <c r="AV18" s="721">
        <f>G18*VLOOKUP($B18,'Emissions factors'!$B$84:$AQ$147,36,FALSE)+J18*VLOOKUP($B18,'Emissions factors'!$B$84:$AQ$147,38,FALSE)+M18*VLOOKUP($B18,'Emissions factors'!$B$84:$AQ$147,40,FALSE)+P18*VLOOKUP($B18,'Emissions factors'!$B$84:$AQ$147,42,FALSE)</f>
        <v>0</v>
      </c>
    </row>
    <row r="19" spans="1:48" s="40" customFormat="1" ht="12.75" hidden="1" customHeight="1" outlineLevel="1" x14ac:dyDescent="0.2">
      <c r="B19" s="62"/>
      <c r="C19" s="63"/>
      <c r="D19" s="141"/>
      <c r="E19" s="144"/>
      <c r="F19" s="63"/>
      <c r="G19" s="63"/>
      <c r="H19" s="63"/>
      <c r="I19" s="63"/>
      <c r="J19" s="63"/>
      <c r="K19" s="63"/>
      <c r="L19" s="63"/>
      <c r="M19" s="63"/>
      <c r="N19" s="63"/>
      <c r="O19" s="63"/>
      <c r="P19" s="63"/>
      <c r="Q19" s="63"/>
      <c r="R19" s="63"/>
      <c r="S19" s="63"/>
      <c r="T19" s="72"/>
      <c r="V19" s="62"/>
      <c r="W19" s="1165"/>
      <c r="X19" s="63"/>
      <c r="Y19" s="83"/>
      <c r="Z19" s="84"/>
      <c r="AB19" s="1172"/>
      <c r="AC19" s="63"/>
      <c r="AD19" s="64"/>
      <c r="AE19" s="68"/>
      <c r="AF19" s="1165"/>
      <c r="AG19" s="63"/>
      <c r="AH19" s="83"/>
      <c r="AI19" s="72"/>
      <c r="AK19" s="717"/>
      <c r="AL19" s="718"/>
      <c r="AM19" s="781"/>
      <c r="AN19" s="781"/>
      <c r="AO19" s="781"/>
      <c r="AP19" s="781"/>
      <c r="AQ19" s="718"/>
      <c r="AR19" s="718"/>
      <c r="AS19" s="719"/>
      <c r="AT19" s="720"/>
      <c r="AU19" s="722"/>
      <c r="AV19" s="723"/>
    </row>
    <row r="20" spans="1:48" s="40" customFormat="1" ht="12.75" hidden="1" customHeight="1" outlineLevel="1" x14ac:dyDescent="0.2">
      <c r="B20" s="110" t="s">
        <v>3001</v>
      </c>
      <c r="C20" s="111"/>
      <c r="D20" s="142">
        <f>SUM(D13:D19)</f>
        <v>0</v>
      </c>
      <c r="E20" s="145">
        <f>SUM(E13:E19)</f>
        <v>0</v>
      </c>
      <c r="F20" s="112"/>
      <c r="G20" s="113"/>
      <c r="H20" s="113"/>
      <c r="I20" s="113"/>
      <c r="J20" s="113"/>
      <c r="K20" s="113"/>
      <c r="L20" s="113"/>
      <c r="M20" s="113"/>
      <c r="N20" s="113"/>
      <c r="O20" s="113"/>
      <c r="P20" s="113"/>
      <c r="Q20" s="113"/>
      <c r="R20" s="113"/>
      <c r="S20" s="116">
        <f>SUM(S13:S19)</f>
        <v>0</v>
      </c>
      <c r="T20" s="114">
        <f>SUM(T13:T19)</f>
        <v>0</v>
      </c>
      <c r="V20" s="115"/>
      <c r="W20" s="1166"/>
      <c r="X20" s="260">
        <f>SQRT(SUMSQ(X13:X19))</f>
        <v>0</v>
      </c>
      <c r="Y20" s="260">
        <f>SQRT(SUMSQ(Y13:Y19))</f>
        <v>0</v>
      </c>
      <c r="Z20" s="114">
        <f>SQRT(SUMSQ(Z13:Z19))</f>
        <v>0</v>
      </c>
      <c r="AB20" s="1173"/>
      <c r="AC20" s="260">
        <f>SUM(AC13:AC19)</f>
        <v>0</v>
      </c>
      <c r="AD20" s="260">
        <f>SUM(AD13:AD19)</f>
        <v>0</v>
      </c>
      <c r="AE20" s="259">
        <f>SUM(AE13:AE19)</f>
        <v>0</v>
      </c>
      <c r="AF20" s="1380"/>
      <c r="AG20" s="260">
        <f>SUM(AG13:AG19)</f>
        <v>0</v>
      </c>
      <c r="AH20" s="260">
        <f>SUM(AH13:AH19)</f>
        <v>0</v>
      </c>
      <c r="AI20" s="257">
        <f>SUM(AI13:AI19)</f>
        <v>0</v>
      </c>
      <c r="AK20" s="724">
        <f t="shared" ref="AK20:AV20" si="14">SUM(AK13:AK19)</f>
        <v>0</v>
      </c>
      <c r="AL20" s="725">
        <f t="shared" si="14"/>
        <v>0</v>
      </c>
      <c r="AM20" s="782">
        <f t="shared" si="14"/>
        <v>0</v>
      </c>
      <c r="AN20" s="782">
        <f t="shared" si="14"/>
        <v>0</v>
      </c>
      <c r="AO20" s="782">
        <f t="shared" si="14"/>
        <v>0</v>
      </c>
      <c r="AP20" s="782">
        <f t="shared" si="14"/>
        <v>0</v>
      </c>
      <c r="AQ20" s="725">
        <f t="shared" si="14"/>
        <v>0</v>
      </c>
      <c r="AR20" s="725">
        <f t="shared" si="14"/>
        <v>0</v>
      </c>
      <c r="AS20" s="726">
        <f t="shared" si="14"/>
        <v>0</v>
      </c>
      <c r="AT20" s="727">
        <f t="shared" si="14"/>
        <v>0</v>
      </c>
      <c r="AU20" s="724">
        <f t="shared" si="14"/>
        <v>0</v>
      </c>
      <c r="AV20" s="728">
        <f t="shared" si="14"/>
        <v>0</v>
      </c>
    </row>
    <row r="21" spans="1:48" s="40" customFormat="1" ht="12.75" hidden="1" customHeight="1" outlineLevel="1" x14ac:dyDescent="0.2">
      <c r="W21" s="49"/>
      <c r="AB21" s="49"/>
      <c r="AF21" s="49"/>
      <c r="AK21" s="602"/>
      <c r="AL21" s="602"/>
      <c r="AM21" s="602"/>
      <c r="AN21" s="602"/>
      <c r="AO21" s="602"/>
      <c r="AP21" s="602"/>
      <c r="AQ21" s="602"/>
      <c r="AR21" s="602"/>
      <c r="AS21" s="602"/>
      <c r="AT21" s="602"/>
      <c r="AU21" s="602"/>
      <c r="AV21" s="602"/>
    </row>
    <row r="22" spans="1:48" s="40" customFormat="1" ht="12.75" hidden="1" customHeight="1" outlineLevel="1" x14ac:dyDescent="0.2">
      <c r="B22" s="195" t="s">
        <v>2813</v>
      </c>
      <c r="C22" s="58"/>
      <c r="D22" s="197"/>
      <c r="E22" s="197"/>
      <c r="F22" s="59"/>
      <c r="G22" s="60"/>
      <c r="H22" s="60"/>
      <c r="I22" s="60"/>
      <c r="J22" s="60"/>
      <c r="K22" s="60"/>
      <c r="L22" s="60"/>
      <c r="M22" s="60"/>
      <c r="N22" s="60"/>
      <c r="O22" s="60"/>
      <c r="P22" s="198"/>
      <c r="Q22" s="198"/>
      <c r="R22" s="198"/>
      <c r="S22" s="60"/>
      <c r="T22" s="61"/>
      <c r="V22" s="1746" t="s">
        <v>723</v>
      </c>
      <c r="W22" s="1747"/>
      <c r="X22" s="1747"/>
      <c r="Y22" s="1747"/>
      <c r="Z22" s="1748"/>
      <c r="AB22" s="1752" t="s">
        <v>2066</v>
      </c>
      <c r="AC22" s="1753"/>
      <c r="AD22" s="1753"/>
      <c r="AE22" s="1753"/>
      <c r="AF22" s="1753"/>
      <c r="AG22" s="1753"/>
      <c r="AH22" s="1753"/>
      <c r="AI22" s="1754"/>
      <c r="AK22" s="1755" t="s">
        <v>2073</v>
      </c>
      <c r="AL22" s="1756"/>
      <c r="AM22" s="1756"/>
      <c r="AN22" s="1756"/>
      <c r="AO22" s="1756"/>
      <c r="AP22" s="1756"/>
      <c r="AQ22" s="1756"/>
      <c r="AR22" s="1756"/>
      <c r="AS22" s="1756"/>
      <c r="AT22" s="1756"/>
      <c r="AU22" s="1756"/>
      <c r="AV22" s="1757"/>
    </row>
    <row r="23" spans="1:48" s="40" customFormat="1" ht="12.75" hidden="1" customHeight="1" outlineLevel="1" x14ac:dyDescent="0.2">
      <c r="B23" s="62"/>
      <c r="C23" s="63"/>
      <c r="D23" s="705"/>
      <c r="E23" s="705"/>
      <c r="F23" s="64"/>
      <c r="G23" s="63"/>
      <c r="H23" s="63"/>
      <c r="I23" s="63"/>
      <c r="J23" s="63"/>
      <c r="K23" s="63"/>
      <c r="L23" s="63"/>
      <c r="M23" s="63"/>
      <c r="N23" s="63"/>
      <c r="O23" s="63"/>
      <c r="P23" s="201"/>
      <c r="Q23" s="201"/>
      <c r="R23" s="201"/>
      <c r="S23" s="63"/>
      <c r="T23" s="65"/>
      <c r="V23" s="79"/>
      <c r="W23" s="1163"/>
      <c r="X23" s="80"/>
      <c r="Y23" s="80"/>
      <c r="Z23" s="61"/>
      <c r="AB23" s="1170"/>
      <c r="AC23" s="80"/>
      <c r="AD23" s="80"/>
      <c r="AE23" s="60"/>
      <c r="AF23" s="1163"/>
      <c r="AG23" s="80"/>
      <c r="AH23" s="60"/>
      <c r="AI23" s="61"/>
      <c r="AK23" s="1758" t="s">
        <v>61</v>
      </c>
      <c r="AL23" s="1759"/>
      <c r="AM23" s="1759"/>
      <c r="AN23" s="1759"/>
      <c r="AO23" s="1759"/>
      <c r="AP23" s="1759"/>
      <c r="AQ23" s="1759"/>
      <c r="AR23" s="1759"/>
      <c r="AS23" s="1759" t="s">
        <v>61</v>
      </c>
      <c r="AT23" s="1760"/>
      <c r="AU23" s="730"/>
      <c r="AV23" s="731"/>
    </row>
    <row r="24" spans="1:48" s="32" customFormat="1" ht="12.75" hidden="1" customHeight="1" outlineLevel="1" x14ac:dyDescent="0.2">
      <c r="A24" s="40"/>
      <c r="B24" s="66" t="s">
        <v>3004</v>
      </c>
      <c r="C24" s="64"/>
      <c r="D24" s="202" t="s">
        <v>56</v>
      </c>
      <c r="E24" s="202" t="s">
        <v>56</v>
      </c>
      <c r="F24" s="205" t="s">
        <v>2055</v>
      </c>
      <c r="G24" s="67" t="s">
        <v>2053</v>
      </c>
      <c r="H24" s="1745" t="s">
        <v>767</v>
      </c>
      <c r="I24" s="1745"/>
      <c r="J24" s="205" t="s">
        <v>2053</v>
      </c>
      <c r="K24" s="1745" t="s">
        <v>769</v>
      </c>
      <c r="L24" s="1745"/>
      <c r="M24" s="205" t="s">
        <v>2053</v>
      </c>
      <c r="N24" s="1745" t="s">
        <v>771</v>
      </c>
      <c r="O24" s="1745"/>
      <c r="P24" s="205" t="s">
        <v>2053</v>
      </c>
      <c r="Q24" s="1745" t="s">
        <v>770</v>
      </c>
      <c r="R24" s="1745"/>
      <c r="S24" s="138" t="s">
        <v>61</v>
      </c>
      <c r="T24" s="69" t="s">
        <v>61</v>
      </c>
      <c r="V24" s="66" t="s">
        <v>56</v>
      </c>
      <c r="W24" s="1164" t="s">
        <v>2064</v>
      </c>
      <c r="X24" s="64" t="s">
        <v>61</v>
      </c>
      <c r="Y24" s="64" t="s">
        <v>61</v>
      </c>
      <c r="Z24" s="69" t="s">
        <v>61</v>
      </c>
      <c r="AB24" s="1171" t="s">
        <v>2065</v>
      </c>
      <c r="AC24" s="64" t="s">
        <v>61</v>
      </c>
      <c r="AD24" s="64" t="s">
        <v>61</v>
      </c>
      <c r="AE24" s="68" t="s">
        <v>61</v>
      </c>
      <c r="AF24" s="1164" t="s">
        <v>2067</v>
      </c>
      <c r="AG24" s="64" t="s">
        <v>61</v>
      </c>
      <c r="AH24" s="64" t="s">
        <v>61</v>
      </c>
      <c r="AI24" s="69" t="s">
        <v>61</v>
      </c>
      <c r="AK24" s="1764" t="s">
        <v>14</v>
      </c>
      <c r="AL24" s="1761"/>
      <c r="AM24" s="1761" t="s">
        <v>60</v>
      </c>
      <c r="AN24" s="1761"/>
      <c r="AO24" s="1761" t="s">
        <v>27</v>
      </c>
      <c r="AP24" s="1761"/>
      <c r="AQ24" s="1761" t="s">
        <v>2074</v>
      </c>
      <c r="AR24" s="1761"/>
      <c r="AS24" s="1762" t="s">
        <v>41</v>
      </c>
      <c r="AT24" s="1763"/>
      <c r="AU24" s="1764" t="s">
        <v>85</v>
      </c>
      <c r="AV24" s="1765"/>
    </row>
    <row r="25" spans="1:48" s="32" customFormat="1" ht="12.75" hidden="1" customHeight="1" outlineLevel="1" x14ac:dyDescent="0.2">
      <c r="A25" s="40"/>
      <c r="B25" s="66"/>
      <c r="C25" s="64"/>
      <c r="D25" s="202" t="s">
        <v>61</v>
      </c>
      <c r="E25" s="202" t="s">
        <v>63</v>
      </c>
      <c r="F25" s="208" t="s">
        <v>2054</v>
      </c>
      <c r="G25" s="73" t="s">
        <v>34</v>
      </c>
      <c r="H25" s="148" t="s">
        <v>768</v>
      </c>
      <c r="I25" s="148" t="s">
        <v>24</v>
      </c>
      <c r="J25" s="70" t="s">
        <v>2061</v>
      </c>
      <c r="K25" s="148" t="s">
        <v>768</v>
      </c>
      <c r="L25" s="148" t="s">
        <v>24</v>
      </c>
      <c r="M25" s="70" t="s">
        <v>2059</v>
      </c>
      <c r="N25" s="148" t="s">
        <v>768</v>
      </c>
      <c r="O25" s="148" t="s">
        <v>24</v>
      </c>
      <c r="P25" s="208" t="s">
        <v>15</v>
      </c>
      <c r="Q25" s="664" t="s">
        <v>768</v>
      </c>
      <c r="R25" s="664" t="s">
        <v>24</v>
      </c>
      <c r="S25" s="151" t="s">
        <v>768</v>
      </c>
      <c r="T25" s="152" t="s">
        <v>24</v>
      </c>
      <c r="V25" s="66" t="s">
        <v>2063</v>
      </c>
      <c r="W25" s="1164"/>
      <c r="X25" s="148" t="s">
        <v>768</v>
      </c>
      <c r="Y25" s="148" t="s">
        <v>24</v>
      </c>
      <c r="Z25" s="82" t="s">
        <v>41</v>
      </c>
      <c r="AB25" s="1171"/>
      <c r="AC25" s="148" t="s">
        <v>768</v>
      </c>
      <c r="AD25" s="148" t="s">
        <v>24</v>
      </c>
      <c r="AE25" s="85" t="s">
        <v>41</v>
      </c>
      <c r="AF25" s="1164"/>
      <c r="AG25" s="148" t="s">
        <v>768</v>
      </c>
      <c r="AH25" s="148" t="s">
        <v>24</v>
      </c>
      <c r="AI25" s="82" t="s">
        <v>41</v>
      </c>
      <c r="AK25" s="732" t="s">
        <v>768</v>
      </c>
      <c r="AL25" s="733" t="s">
        <v>24</v>
      </c>
      <c r="AM25" s="733" t="s">
        <v>768</v>
      </c>
      <c r="AN25" s="733" t="s">
        <v>24</v>
      </c>
      <c r="AO25" s="733" t="s">
        <v>768</v>
      </c>
      <c r="AP25" s="733" t="s">
        <v>24</v>
      </c>
      <c r="AQ25" s="733" t="s">
        <v>768</v>
      </c>
      <c r="AR25" s="733" t="s">
        <v>24</v>
      </c>
      <c r="AS25" s="734" t="s">
        <v>768</v>
      </c>
      <c r="AT25" s="735" t="s">
        <v>24</v>
      </c>
      <c r="AU25" s="732" t="s">
        <v>768</v>
      </c>
      <c r="AV25" s="736" t="s">
        <v>24</v>
      </c>
    </row>
    <row r="26" spans="1:48" s="40" customFormat="1" ht="12.75" hidden="1" customHeight="1" outlineLevel="1" x14ac:dyDescent="0.2">
      <c r="B26" s="62" t="s">
        <v>840</v>
      </c>
      <c r="C26" s="64"/>
      <c r="D26" s="140">
        <f>S26+T26</f>
        <v>0</v>
      </c>
      <c r="E26" s="143">
        <f>D26*12/44</f>
        <v>0</v>
      </c>
      <c r="F26" s="43"/>
      <c r="G26" s="43"/>
      <c r="H26" s="149">
        <f>VLOOKUP($B26,'Emissions factors'!$B$152:$K$165,2,FALSE)</f>
        <v>26.810000000000002</v>
      </c>
      <c r="I26" s="154">
        <f>VLOOKUP($B26,'Emissions factors'!$B$152:$K$165,3,FALSE)</f>
        <v>1.1599999999999999</v>
      </c>
      <c r="J26" s="43"/>
      <c r="K26" s="155">
        <f>VLOOKUP($B26,'Emissions factors'!$B$152:$K$165,4,FALSE)</f>
        <v>6.8799999999999998E-3</v>
      </c>
      <c r="L26" s="154">
        <f>VLOOKUP($B26,'Emissions factors'!$B$152:$K$165,5,FALSE)</f>
        <v>2.9700000000000001E-4</v>
      </c>
      <c r="M26" s="43"/>
      <c r="N26" s="149">
        <f>VLOOKUP($B26,'Emissions factors'!$B$152:$K$165,6,FALSE)</f>
        <v>0</v>
      </c>
      <c r="O26" s="154">
        <f>VLOOKUP($B26,'Emissions factors'!$B$152:$K$165,7,FALSE)</f>
        <v>0</v>
      </c>
      <c r="P26" s="182"/>
      <c r="Q26" s="277">
        <f>VLOOKUP($B26,'Emissions factors'!$B$152:$K$165,8,FALSE)</f>
        <v>0</v>
      </c>
      <c r="R26" s="277">
        <f>VLOOKUP($B26,'Emissions factors'!$B$152:$K$165,9,FALSE)</f>
        <v>0</v>
      </c>
      <c r="S26" s="719">
        <f>G26*H26+J26*K26+M26*N26+P26*Q26</f>
        <v>0</v>
      </c>
      <c r="T26" s="720">
        <f>G26*I26+J26*L26+M26*O26+P26*R26</f>
        <v>0</v>
      </c>
      <c r="V26" s="160">
        <f>VLOOKUP($B26,'Emissions factors'!$B$152:$K$165,10,FALSE)</f>
        <v>0.5</v>
      </c>
      <c r="W26" s="436"/>
      <c r="X26" s="221">
        <f>S26*SQRT(V26^2+W26^2)</f>
        <v>0</v>
      </c>
      <c r="Y26" s="221">
        <f>T26*SQRT(V26^2+W26^2)</f>
        <v>0</v>
      </c>
      <c r="Z26" s="211">
        <f>SQRT(X26^2+Y26^2)</f>
        <v>0</v>
      </c>
      <c r="AB26" s="439"/>
      <c r="AC26" s="83">
        <f>S26*AB26</f>
        <v>0</v>
      </c>
      <c r="AD26" s="86">
        <f>T26*AB26</f>
        <v>0</v>
      </c>
      <c r="AE26" s="71">
        <f>AC26+AD26</f>
        <v>0</v>
      </c>
      <c r="AF26" s="439"/>
      <c r="AG26" s="83">
        <f>S26*AF26</f>
        <v>0</v>
      </c>
      <c r="AH26" s="86">
        <f>T26*AF26</f>
        <v>0</v>
      </c>
      <c r="AI26" s="72">
        <f>AG26+AH26</f>
        <v>0</v>
      </c>
      <c r="AK26" s="783">
        <f>G26*VLOOKUP($B26,'Emissions factors'!$B$152:$AQ$165,11,FALSE)+J26*VLOOKUP($B26,'Emissions factors'!$B$152:$AQ$165,13,FALSE)+M26*VLOOKUP($B26,'Emissions factors'!$B$152:$AQ$165,15,FALSE)+P26*VLOOKUP($B26,'Emissions factors'!$B$152:$AQ$165,17,FALSE)</f>
        <v>0</v>
      </c>
      <c r="AL26" s="781">
        <f>G26*VLOOKUP($B26,'Emissions factors'!$B$152:$AQ$165,12,FALSE)+J26*VLOOKUP($B26,'Emissions factors'!$B$152:$AQ$165,14,FALSE)+M26*VLOOKUP($B26,'Emissions factors'!$B$152:$AQ$165,16,FALSE)+P26*VLOOKUP($B26,'Emissions factors'!$B$152:$AQ$165,18,FALSE)</f>
        <v>0</v>
      </c>
      <c r="AM26" s="781">
        <f>G26*VLOOKUP($B26,'Emissions factors'!$B$152:$AQ$165,19,FALSE)+J26*VLOOKUP($B26,'Emissions factors'!$B$152:$AQ$165,21,FALSE)+M26*VLOOKUP($B26,'Emissions factors'!$B$152:$AQ$165,23,FALSE)+P26*VLOOKUP($B26,'Emissions factors'!$B$152:$AQ$165,25,FALSE)</f>
        <v>0</v>
      </c>
      <c r="AN26" s="781">
        <f>G26*VLOOKUP($B26,'Emissions factors'!$B$152:$AQ$165,20,FALSE)+J26*VLOOKUP($B26,'Emissions factors'!$B$152:$AQ$165,22,FALSE)+M26*VLOOKUP($B26,'Emissions factors'!$B$152:$AQ$165,24,FALSE)+P26*VLOOKUP($B26,'Emissions factors'!$B$152:$AQ$165,26,FALSE)</f>
        <v>0</v>
      </c>
      <c r="AO26" s="781">
        <f>G26*VLOOKUP($B26,'Emissions factors'!$B$152:$AQ$165,27,FALSE)+J26*VLOOKUP($B26,'Emissions factors'!$B$152:$AQ$165,29,FALSE)+M26*VLOOKUP($B26,'Emissions factors'!$B$152:$AQ$165,31,FALSE)+P26*VLOOKUP($B26,'Emissions factors'!$B$152:$AQ$165,33,FALSE)</f>
        <v>0</v>
      </c>
      <c r="AP26" s="781">
        <f>G26*VLOOKUP($B26,'Emissions factors'!$B$152:$AQ$165,28,FALSE)+J26*VLOOKUP($B26,'Emissions factors'!$B$152:$AQ$165,30,FALSE)+M26*VLOOKUP($B26,'Emissions factors'!$B$152:$AQ$165,32,FALSE)+P26*VLOOKUP($B26,'Emissions factors'!$B$152:$AQ$165,34,FALSE)</f>
        <v>0</v>
      </c>
      <c r="AQ26" s="718">
        <v>0</v>
      </c>
      <c r="AR26" s="718">
        <v>0</v>
      </c>
      <c r="AS26" s="719">
        <f t="shared" ref="AS26:AT28" si="15">S26</f>
        <v>0</v>
      </c>
      <c r="AT26" s="720">
        <f t="shared" si="15"/>
        <v>0</v>
      </c>
      <c r="AU26" s="717">
        <f>G26*VLOOKUP($B26,'Emissions factors'!$B$152:$AQ$165,35,FALSE)+J26*VLOOKUP($B26,'Emissions factors'!$B$152:$AQ$165,37,FALSE)+M26*VLOOKUP($B26,'Emissions factors'!$B$152:$AQ$165,39,FALSE)+P26*VLOOKUP($B26,'Emissions factors'!$B$152:$AQ$165,41,FALSE)</f>
        <v>0</v>
      </c>
      <c r="AV26" s="721">
        <f>G26*VLOOKUP($B26,'Emissions factors'!$B$152:$AQ$165,36,FALSE)+J26*VLOOKUP($B26,'Emissions factors'!$B$152:$AQ$165,38,FALSE)+M26*VLOOKUP($B26,'Emissions factors'!$B$152:$AQ$165,40,FALSE)+P26*VLOOKUP($B26,'Emissions factors'!$B$152:$AQ$165,42,FALSE)</f>
        <v>0</v>
      </c>
    </row>
    <row r="27" spans="1:48" s="40" customFormat="1" ht="12.75" hidden="1" customHeight="1" outlineLevel="1" x14ac:dyDescent="0.2">
      <c r="B27" s="62" t="s">
        <v>839</v>
      </c>
      <c r="C27" s="64"/>
      <c r="D27" s="140">
        <f>S27+T27</f>
        <v>0</v>
      </c>
      <c r="E27" s="143">
        <f>D27*12/44</f>
        <v>0</v>
      </c>
      <c r="F27" s="45"/>
      <c r="G27" s="45"/>
      <c r="H27" s="149">
        <f>VLOOKUP($B27,'Emissions factors'!$B$152:$K$165,2,FALSE)</f>
        <v>41.2</v>
      </c>
      <c r="I27" s="154">
        <f>VLOOKUP($B27,'Emissions factors'!$B$152:$K$165,3,FALSE)</f>
        <v>72.599999999999994</v>
      </c>
      <c r="J27" s="45"/>
      <c r="K27" s="155">
        <f>VLOOKUP($B27,'Emissions factors'!$B$152:$K$165,4,FALSE)</f>
        <v>1.068E-2</v>
      </c>
      <c r="L27" s="154">
        <f>VLOOKUP($B27,'Emissions factors'!$B$152:$K$165,5,FALSE)</f>
        <v>1.8800000000000001E-2</v>
      </c>
      <c r="M27" s="45"/>
      <c r="N27" s="149">
        <f>VLOOKUP($B27,'Emissions factors'!$B$152:$K$165,6,FALSE)</f>
        <v>0</v>
      </c>
      <c r="O27" s="154">
        <f>VLOOKUP($B27,'Emissions factors'!$B$152:$K$165,7,FALSE)</f>
        <v>0</v>
      </c>
      <c r="P27" s="185"/>
      <c r="Q27" s="277">
        <f>VLOOKUP($B27,'Emissions factors'!$B$152:$K$165,8,FALSE)</f>
        <v>0</v>
      </c>
      <c r="R27" s="277">
        <f>VLOOKUP($B27,'Emissions factors'!$B$152:$K$165,9,FALSE)</f>
        <v>0</v>
      </c>
      <c r="S27" s="719">
        <f>G27*H27+J27*K27+M27*N27+P27*Q27</f>
        <v>0</v>
      </c>
      <c r="T27" s="720">
        <f>G27*I27+J27*L27+M27*O27+P27*R27</f>
        <v>0</v>
      </c>
      <c r="V27" s="282">
        <f>VLOOKUP($B27,'Emissions factors'!$B$152:$K$165,10,FALSE)</f>
        <v>0.5</v>
      </c>
      <c r="W27" s="437"/>
      <c r="X27" s="221">
        <f>S27*SQRT(V27^2+W27^2)</f>
        <v>0</v>
      </c>
      <c r="Y27" s="221">
        <f>T27*SQRT(V27^2+W27^2)</f>
        <v>0</v>
      </c>
      <c r="Z27" s="211">
        <f>SQRT(X27^2+Y27^2)</f>
        <v>0</v>
      </c>
      <c r="AB27" s="440"/>
      <c r="AC27" s="83">
        <f>S27*AB27</f>
        <v>0</v>
      </c>
      <c r="AD27" s="86">
        <f>T27*AB27</f>
        <v>0</v>
      </c>
      <c r="AE27" s="71">
        <f>AC27+AD27</f>
        <v>0</v>
      </c>
      <c r="AF27" s="440"/>
      <c r="AG27" s="83">
        <f>S27*AF27</f>
        <v>0</v>
      </c>
      <c r="AH27" s="86">
        <f>T27*AF27</f>
        <v>0</v>
      </c>
      <c r="AI27" s="72">
        <f>AG27+AH27</f>
        <v>0</v>
      </c>
      <c r="AK27" s="783">
        <f>G27*VLOOKUP($B27,'Emissions factors'!$B$152:$AQ$165,11,FALSE)+J27*VLOOKUP($B27,'Emissions factors'!$B$152:$AQ$165,13,FALSE)+M27*VLOOKUP($B27,'Emissions factors'!$B$152:$AQ$165,15,FALSE)+P27*VLOOKUP($B27,'Emissions factors'!$B$152:$AQ$165,17,FALSE)</f>
        <v>0</v>
      </c>
      <c r="AL27" s="781">
        <f>G27*VLOOKUP($B27,'Emissions factors'!$B$152:$AQ$165,12,FALSE)+J27*VLOOKUP($B27,'Emissions factors'!$B$152:$AQ$165,14,FALSE)+M27*VLOOKUP($B27,'Emissions factors'!$B$152:$AQ$165,16,FALSE)+P27*VLOOKUP($B27,'Emissions factors'!$B$152:$AQ$165,18,FALSE)</f>
        <v>0</v>
      </c>
      <c r="AM27" s="781">
        <f>G27*VLOOKUP($B27,'Emissions factors'!$B$152:$AQ$165,19,FALSE)+J27*VLOOKUP($B27,'Emissions factors'!$B$152:$AQ$165,21,FALSE)+M27*VLOOKUP($B27,'Emissions factors'!$B$152:$AQ$165,23,FALSE)+P27*VLOOKUP($B27,'Emissions factors'!$B$152:$AQ$165,25,FALSE)</f>
        <v>0</v>
      </c>
      <c r="AN27" s="781">
        <f>G27*VLOOKUP($B27,'Emissions factors'!$B$152:$AQ$165,20,FALSE)+J27*VLOOKUP($B27,'Emissions factors'!$B$152:$AQ$165,22,FALSE)+M27*VLOOKUP($B27,'Emissions factors'!$B$152:$AQ$165,24,FALSE)+P27*VLOOKUP($B27,'Emissions factors'!$B$152:$AQ$165,26,FALSE)</f>
        <v>0</v>
      </c>
      <c r="AO27" s="781">
        <f>G27*VLOOKUP($B27,'Emissions factors'!$B$152:$AQ$165,27,FALSE)+J27*VLOOKUP($B27,'Emissions factors'!$B$152:$AQ$165,29,FALSE)+M27*VLOOKUP($B27,'Emissions factors'!$B$152:$AQ$165,31,FALSE)+P27*VLOOKUP($B27,'Emissions factors'!$B$152:$AQ$165,33,FALSE)</f>
        <v>0</v>
      </c>
      <c r="AP27" s="781">
        <f>G27*VLOOKUP($B27,'Emissions factors'!$B$152:$AQ$165,28,FALSE)+J27*VLOOKUP($B27,'Emissions factors'!$B$152:$AQ$165,30,FALSE)+M27*VLOOKUP($B27,'Emissions factors'!$B$152:$AQ$165,32,FALSE)+P27*VLOOKUP($B27,'Emissions factors'!$B$152:$AQ$165,34,FALSE)</f>
        <v>0</v>
      </c>
      <c r="AQ27" s="718">
        <v>0</v>
      </c>
      <c r="AR27" s="718">
        <v>0</v>
      </c>
      <c r="AS27" s="719">
        <f t="shared" si="15"/>
        <v>0</v>
      </c>
      <c r="AT27" s="720">
        <f t="shared" si="15"/>
        <v>0</v>
      </c>
      <c r="AU27" s="717">
        <f>G27*VLOOKUP($B27,'Emissions factors'!$B$152:$AQ$165,35,FALSE)+J27*VLOOKUP($B27,'Emissions factors'!$B$152:$AQ$165,37,FALSE)+M27*VLOOKUP($B27,'Emissions factors'!$B$152:$AQ$165,39,FALSE)+P27*VLOOKUP($B27,'Emissions factors'!$B$152:$AQ$165,41,FALSE)</f>
        <v>0</v>
      </c>
      <c r="AV27" s="721">
        <f>G27*VLOOKUP($B27,'Emissions factors'!$B$152:$AQ$165,36,FALSE)+J27*VLOOKUP($B27,'Emissions factors'!$B$152:$AQ$165,38,FALSE)+M27*VLOOKUP($B27,'Emissions factors'!$B$152:$AQ$165,40,FALSE)+P27*VLOOKUP($B27,'Emissions factors'!$B$152:$AQ$165,42,FALSE)</f>
        <v>0</v>
      </c>
    </row>
    <row r="28" spans="1:48" s="40" customFormat="1" ht="12.75" hidden="1" customHeight="1" outlineLevel="1" x14ac:dyDescent="0.2">
      <c r="B28" s="62" t="s">
        <v>844</v>
      </c>
      <c r="C28" s="64"/>
      <c r="D28" s="140">
        <f>S28+T28</f>
        <v>0</v>
      </c>
      <c r="E28" s="143">
        <f>D28*12/44</f>
        <v>0</v>
      </c>
      <c r="F28" s="47"/>
      <c r="G28" s="47"/>
      <c r="H28" s="149">
        <f>VLOOKUP($B28,'Emissions factors'!$B$152:$K$165,2,FALSE)</f>
        <v>4.58</v>
      </c>
      <c r="I28" s="154">
        <f>VLOOKUP($B28,'Emissions factors'!$B$152:$K$165,3,FALSE)</f>
        <v>0.19900000000000001</v>
      </c>
      <c r="J28" s="47"/>
      <c r="K28" s="155">
        <f>VLOOKUP($B28,'Emissions factors'!$B$152:$K$165,4,FALSE)</f>
        <v>2.7200000000000002E-3</v>
      </c>
      <c r="L28" s="154">
        <f>VLOOKUP($B28,'Emissions factors'!$B$152:$K$165,5,FALSE)</f>
        <v>1.9900000000000001E-4</v>
      </c>
      <c r="M28" s="47"/>
      <c r="N28" s="149">
        <f>VLOOKUP($B28,'Emissions factors'!$B$152:$K$165,6,FALSE)</f>
        <v>0</v>
      </c>
      <c r="O28" s="154">
        <f>VLOOKUP($B28,'Emissions factors'!$B$152:$K$165,7,FALSE)</f>
        <v>0</v>
      </c>
      <c r="P28" s="188"/>
      <c r="Q28" s="277">
        <f>VLOOKUP($B28,'Emissions factors'!$B$152:$K$165,8,FALSE)</f>
        <v>0</v>
      </c>
      <c r="R28" s="277">
        <f>VLOOKUP($B28,'Emissions factors'!$B$152:$K$165,9,FALSE)</f>
        <v>0</v>
      </c>
      <c r="S28" s="719">
        <f>G28*H28+J28*K28+M28*N28+P28*Q28</f>
        <v>0</v>
      </c>
      <c r="T28" s="720">
        <f>G28*I28+J28*L28+M28*O28+P28*R28</f>
        <v>0</v>
      </c>
      <c r="V28" s="282">
        <f>VLOOKUP($B28,'Emissions factors'!$B$152:$K$165,10,FALSE)</f>
        <v>0.5</v>
      </c>
      <c r="W28" s="438"/>
      <c r="X28" s="221">
        <f>S28*SQRT(V28^2+W28^2)</f>
        <v>0</v>
      </c>
      <c r="Y28" s="221">
        <f>T28*SQRT(V28^2+W28^2)</f>
        <v>0</v>
      </c>
      <c r="Z28" s="211">
        <f>SQRT(X28^2+Y28^2)</f>
        <v>0</v>
      </c>
      <c r="AB28" s="441"/>
      <c r="AC28" s="83">
        <f>S28*AB28</f>
        <v>0</v>
      </c>
      <c r="AD28" s="86">
        <f>T28*AB28</f>
        <v>0</v>
      </c>
      <c r="AE28" s="71">
        <f>AC28+AD28</f>
        <v>0</v>
      </c>
      <c r="AF28" s="441"/>
      <c r="AG28" s="83">
        <f>S28*AF28</f>
        <v>0</v>
      </c>
      <c r="AH28" s="86">
        <f>T28*AF28</f>
        <v>0</v>
      </c>
      <c r="AI28" s="72">
        <f>AG28+AH28</f>
        <v>0</v>
      </c>
      <c r="AK28" s="783">
        <f>G28*VLOOKUP($B28,'Emissions factors'!$B$152:$AQ$165,11,FALSE)+J28*VLOOKUP($B28,'Emissions factors'!$B$152:$AQ$165,13,FALSE)+M28*VLOOKUP($B28,'Emissions factors'!$B$152:$AQ$165,15,FALSE)+P28*VLOOKUP($B28,'Emissions factors'!$B$152:$AQ$165,17,FALSE)</f>
        <v>0</v>
      </c>
      <c r="AL28" s="781">
        <f>G28*VLOOKUP($B28,'Emissions factors'!$B$152:$AQ$165,12,FALSE)+J28*VLOOKUP($B28,'Emissions factors'!$B$152:$AQ$165,14,FALSE)+M28*VLOOKUP($B28,'Emissions factors'!$B$152:$AQ$165,16,FALSE)+P28*VLOOKUP($B28,'Emissions factors'!$B$152:$AQ$165,18,FALSE)</f>
        <v>0</v>
      </c>
      <c r="AM28" s="781">
        <f>G28*VLOOKUP($B28,'Emissions factors'!$B$152:$AQ$165,19,FALSE)+J28*VLOOKUP($B28,'Emissions factors'!$B$152:$AQ$165,21,FALSE)+M28*VLOOKUP($B28,'Emissions factors'!$B$152:$AQ$165,23,FALSE)+P28*VLOOKUP($B28,'Emissions factors'!$B$152:$AQ$165,25,FALSE)</f>
        <v>0</v>
      </c>
      <c r="AN28" s="781">
        <f>G28*VLOOKUP($B28,'Emissions factors'!$B$152:$AQ$165,20,FALSE)+J28*VLOOKUP($B28,'Emissions factors'!$B$152:$AQ$165,22,FALSE)+M28*VLOOKUP($B28,'Emissions factors'!$B$152:$AQ$165,24,FALSE)+P28*VLOOKUP($B28,'Emissions factors'!$B$152:$AQ$165,26,FALSE)</f>
        <v>0</v>
      </c>
      <c r="AO28" s="781">
        <f>G28*VLOOKUP($B28,'Emissions factors'!$B$152:$AQ$165,27,FALSE)+J28*VLOOKUP($B28,'Emissions factors'!$B$152:$AQ$165,29,FALSE)+M28*VLOOKUP($B28,'Emissions factors'!$B$152:$AQ$165,31,FALSE)+P28*VLOOKUP($B28,'Emissions factors'!$B$152:$AQ$165,33,FALSE)</f>
        <v>0</v>
      </c>
      <c r="AP28" s="781">
        <f>G28*VLOOKUP($B28,'Emissions factors'!$B$152:$AQ$165,28,FALSE)+J28*VLOOKUP($B28,'Emissions factors'!$B$152:$AQ$165,30,FALSE)+M28*VLOOKUP($B28,'Emissions factors'!$B$152:$AQ$165,32,FALSE)+P28*VLOOKUP($B28,'Emissions factors'!$B$152:$AQ$165,34,FALSE)</f>
        <v>0</v>
      </c>
      <c r="AQ28" s="718">
        <v>0</v>
      </c>
      <c r="AR28" s="718">
        <v>0</v>
      </c>
      <c r="AS28" s="719">
        <f t="shared" si="15"/>
        <v>0</v>
      </c>
      <c r="AT28" s="720">
        <f t="shared" si="15"/>
        <v>0</v>
      </c>
      <c r="AU28" s="717">
        <f>G28*VLOOKUP($B28,'Emissions factors'!$B$152:$AQ$165,35,FALSE)+J28*VLOOKUP($B28,'Emissions factors'!$B$152:$AQ$165,37,FALSE)+M28*VLOOKUP($B28,'Emissions factors'!$B$152:$AQ$165,39,FALSE)+P28*VLOOKUP($B28,'Emissions factors'!$B$152:$AQ$165,41,FALSE)</f>
        <v>0</v>
      </c>
      <c r="AV28" s="721">
        <f>G28*VLOOKUP($B28,'Emissions factors'!$B$152:$AQ$165,36,FALSE)+J28*VLOOKUP($B28,'Emissions factors'!$B$152:$AQ$165,38,FALSE)+M28*VLOOKUP($B28,'Emissions factors'!$B$152:$AQ$165,40,FALSE)+P28*VLOOKUP($B28,'Emissions factors'!$B$152:$AQ$165,42,FALSE)</f>
        <v>0</v>
      </c>
    </row>
    <row r="29" spans="1:48" s="40" customFormat="1" ht="12.75" hidden="1" customHeight="1" outlineLevel="1" x14ac:dyDescent="0.2">
      <c r="B29" s="74"/>
      <c r="C29" s="75"/>
      <c r="D29" s="153"/>
      <c r="E29" s="146"/>
      <c r="F29" s="75"/>
      <c r="G29" s="75"/>
      <c r="H29" s="75"/>
      <c r="I29" s="75"/>
      <c r="J29" s="75"/>
      <c r="K29" s="75"/>
      <c r="L29" s="75"/>
      <c r="M29" s="75"/>
      <c r="N29" s="75"/>
      <c r="O29" s="75"/>
      <c r="P29" s="201"/>
      <c r="Q29" s="201"/>
      <c r="R29" s="201"/>
      <c r="S29" s="75"/>
      <c r="T29" s="76"/>
      <c r="V29" s="74"/>
      <c r="W29" s="1167"/>
      <c r="X29" s="75"/>
      <c r="Y29" s="88"/>
      <c r="Z29" s="76"/>
      <c r="AB29" s="1172"/>
      <c r="AC29" s="63"/>
      <c r="AD29" s="64"/>
      <c r="AE29" s="71"/>
      <c r="AF29" s="1165"/>
      <c r="AG29" s="63"/>
      <c r="AH29" s="83"/>
      <c r="AI29" s="72"/>
      <c r="AK29" s="783"/>
      <c r="AL29" s="781"/>
      <c r="AM29" s="781"/>
      <c r="AN29" s="781"/>
      <c r="AO29" s="781"/>
      <c r="AP29" s="781"/>
      <c r="AQ29" s="718"/>
      <c r="AR29" s="718"/>
      <c r="AS29" s="719"/>
      <c r="AT29" s="720"/>
      <c r="AU29" s="722"/>
      <c r="AV29" s="723"/>
    </row>
    <row r="30" spans="1:48" s="40" customFormat="1" ht="12.75" hidden="1" customHeight="1" outlineLevel="1" x14ac:dyDescent="0.2">
      <c r="B30" s="110" t="s">
        <v>3001</v>
      </c>
      <c r="C30" s="111"/>
      <c r="D30" s="142">
        <f>SUM(D26:D29)</f>
        <v>0</v>
      </c>
      <c r="E30" s="145">
        <f>SUM(E26:E29)</f>
        <v>0</v>
      </c>
      <c r="F30" s="112"/>
      <c r="G30" s="113"/>
      <c r="H30" s="113"/>
      <c r="I30" s="113"/>
      <c r="J30" s="113"/>
      <c r="K30" s="113"/>
      <c r="L30" s="113"/>
      <c r="M30" s="113"/>
      <c r="N30" s="113"/>
      <c r="O30" s="113"/>
      <c r="P30" s="256"/>
      <c r="Q30" s="256"/>
      <c r="R30" s="256"/>
      <c r="S30" s="116">
        <f>SUM(S26:S29)</f>
        <v>0</v>
      </c>
      <c r="T30" s="114">
        <f>SUM(T26:T29)</f>
        <v>0</v>
      </c>
      <c r="V30" s="115"/>
      <c r="W30" s="1166"/>
      <c r="X30" s="260">
        <f>SQRT(SUMSQ(X26:X29))</f>
        <v>0</v>
      </c>
      <c r="Y30" s="260">
        <f>SQRT(SUMSQ(Y26:Y29))</f>
        <v>0</v>
      </c>
      <c r="Z30" s="257">
        <f>SQRT(SUMSQ(Z26:Z29))</f>
        <v>0</v>
      </c>
      <c r="AB30" s="1173"/>
      <c r="AC30" s="117">
        <f>SUM(AC26:AC29)</f>
        <v>0</v>
      </c>
      <c r="AD30" s="260">
        <f>SUM(AD26:AD29)</f>
        <v>0</v>
      </c>
      <c r="AE30" s="116">
        <f>SUM(AE26:AE29)</f>
        <v>0</v>
      </c>
      <c r="AF30" s="1166"/>
      <c r="AG30" s="117">
        <f>SUM(AG26:AG29)</f>
        <v>0</v>
      </c>
      <c r="AH30" s="260">
        <f>SUM(AH26:AH29)</f>
        <v>0</v>
      </c>
      <c r="AI30" s="114">
        <f>SUM(AI26:AI29)</f>
        <v>0</v>
      </c>
      <c r="AK30" s="784">
        <f t="shared" ref="AK30:AV30" si="16">SUM(AK26:AK29)</f>
        <v>0</v>
      </c>
      <c r="AL30" s="782">
        <f t="shared" si="16"/>
        <v>0</v>
      </c>
      <c r="AM30" s="782">
        <f t="shared" si="16"/>
        <v>0</v>
      </c>
      <c r="AN30" s="782">
        <f t="shared" si="16"/>
        <v>0</v>
      </c>
      <c r="AO30" s="782">
        <f t="shared" si="16"/>
        <v>0</v>
      </c>
      <c r="AP30" s="782">
        <f t="shared" si="16"/>
        <v>0</v>
      </c>
      <c r="AQ30" s="725">
        <f t="shared" si="16"/>
        <v>0</v>
      </c>
      <c r="AR30" s="725">
        <f t="shared" si="16"/>
        <v>0</v>
      </c>
      <c r="AS30" s="726">
        <f t="shared" si="16"/>
        <v>0</v>
      </c>
      <c r="AT30" s="727">
        <f t="shared" si="16"/>
        <v>0</v>
      </c>
      <c r="AU30" s="725">
        <f t="shared" si="16"/>
        <v>0</v>
      </c>
      <c r="AV30" s="728">
        <f t="shared" si="16"/>
        <v>0</v>
      </c>
    </row>
    <row r="31" spans="1:48" s="40" customFormat="1" ht="12.75" hidden="1" customHeight="1" outlineLevel="1" x14ac:dyDescent="0.2">
      <c r="K31" s="49"/>
      <c r="W31" s="49"/>
      <c r="AB31" s="49"/>
      <c r="AF31" s="49"/>
      <c r="AK31" s="602"/>
      <c r="AL31" s="602"/>
      <c r="AM31" s="602"/>
      <c r="AN31" s="602"/>
      <c r="AO31" s="602"/>
      <c r="AP31" s="602"/>
      <c r="AQ31" s="602"/>
      <c r="AR31" s="602"/>
      <c r="AS31" s="602"/>
      <c r="AT31" s="602"/>
      <c r="AU31" s="602"/>
      <c r="AV31" s="602"/>
    </row>
    <row r="32" spans="1:48" s="40" customFormat="1" ht="14.25" hidden="1" customHeight="1" outlineLevel="1" x14ac:dyDescent="0.2">
      <c r="B32" s="57" t="s">
        <v>3033</v>
      </c>
      <c r="C32" s="58"/>
      <c r="D32" s="197"/>
      <c r="E32" s="197"/>
      <c r="F32" s="59"/>
      <c r="G32" s="60"/>
      <c r="H32" s="60"/>
      <c r="I32" s="60"/>
      <c r="J32" s="60"/>
      <c r="K32" s="60"/>
      <c r="L32" s="60"/>
      <c r="M32" s="77"/>
      <c r="N32" s="78"/>
      <c r="V32" s="1746" t="s">
        <v>723</v>
      </c>
      <c r="W32" s="1747"/>
      <c r="X32" s="1747"/>
      <c r="Y32" s="1747"/>
      <c r="Z32" s="1748"/>
      <c r="AB32" s="1752" t="s">
        <v>2066</v>
      </c>
      <c r="AC32" s="1753"/>
      <c r="AD32" s="1753"/>
      <c r="AE32" s="1753"/>
      <c r="AF32" s="1753"/>
      <c r="AG32" s="1753"/>
      <c r="AH32" s="1753"/>
      <c r="AI32" s="1754"/>
      <c r="AK32" s="1755" t="s">
        <v>2073</v>
      </c>
      <c r="AL32" s="1756"/>
      <c r="AM32" s="1756"/>
      <c r="AN32" s="1756"/>
      <c r="AO32" s="1756"/>
      <c r="AP32" s="1756"/>
      <c r="AQ32" s="1756"/>
      <c r="AR32" s="1756"/>
      <c r="AS32" s="1756"/>
      <c r="AT32" s="1756"/>
      <c r="AU32" s="1756"/>
      <c r="AV32" s="1757"/>
    </row>
    <row r="33" spans="1:48" s="40" customFormat="1" ht="14" hidden="1" customHeight="1" outlineLevel="1" x14ac:dyDescent="0.2">
      <c r="B33" s="62"/>
      <c r="C33" s="63"/>
      <c r="D33" s="705"/>
      <c r="E33" s="705"/>
      <c r="F33" s="64"/>
      <c r="G33" s="63"/>
      <c r="H33" s="63"/>
      <c r="I33" s="1799" t="s">
        <v>768</v>
      </c>
      <c r="J33" s="1799"/>
      <c r="K33" s="1799" t="s">
        <v>24</v>
      </c>
      <c r="L33" s="1799"/>
      <c r="M33" s="363"/>
      <c r="N33" s="274"/>
      <c r="V33" s="79"/>
      <c r="W33" s="1163"/>
      <c r="X33" s="80"/>
      <c r="Y33" s="80"/>
      <c r="Z33" s="61"/>
      <c r="AB33" s="1170"/>
      <c r="AC33" s="80"/>
      <c r="AD33" s="80"/>
      <c r="AE33" s="60"/>
      <c r="AF33" s="1163"/>
      <c r="AG33" s="80"/>
      <c r="AH33" s="60"/>
      <c r="AI33" s="61"/>
      <c r="AK33" s="1758" t="s">
        <v>61</v>
      </c>
      <c r="AL33" s="1759"/>
      <c r="AM33" s="1759"/>
      <c r="AN33" s="1759"/>
      <c r="AO33" s="1759"/>
      <c r="AP33" s="1759"/>
      <c r="AQ33" s="1759"/>
      <c r="AR33" s="1759"/>
      <c r="AS33" s="1759" t="s">
        <v>61</v>
      </c>
      <c r="AT33" s="1760"/>
      <c r="AU33" s="730"/>
      <c r="AV33" s="731"/>
    </row>
    <row r="34" spans="1:48" s="32" customFormat="1" ht="12.75" hidden="1" customHeight="1" outlineLevel="1" x14ac:dyDescent="0.2">
      <c r="A34" s="40"/>
      <c r="B34" s="1588" t="s">
        <v>3002</v>
      </c>
      <c r="C34" s="64"/>
      <c r="D34" s="202" t="s">
        <v>56</v>
      </c>
      <c r="E34" s="202" t="s">
        <v>56</v>
      </c>
      <c r="F34" s="205" t="s">
        <v>2055</v>
      </c>
      <c r="G34" s="67" t="s">
        <v>2056</v>
      </c>
      <c r="H34" s="67" t="s">
        <v>1561</v>
      </c>
      <c r="I34" s="139" t="s">
        <v>61</v>
      </c>
      <c r="J34" s="139" t="s">
        <v>61</v>
      </c>
      <c r="K34" s="139" t="s">
        <v>61</v>
      </c>
      <c r="L34" s="139" t="s">
        <v>61</v>
      </c>
      <c r="M34" s="138" t="s">
        <v>61</v>
      </c>
      <c r="N34" s="69" t="s">
        <v>61</v>
      </c>
      <c r="O34" s="40"/>
      <c r="V34" s="66" t="s">
        <v>56</v>
      </c>
      <c r="W34" s="1164" t="s">
        <v>2064</v>
      </c>
      <c r="X34" s="64" t="s">
        <v>61</v>
      </c>
      <c r="Y34" s="64" t="s">
        <v>61</v>
      </c>
      <c r="Z34" s="69" t="s">
        <v>61</v>
      </c>
      <c r="AB34" s="1171" t="s">
        <v>2065</v>
      </c>
      <c r="AC34" s="64" t="s">
        <v>61</v>
      </c>
      <c r="AD34" s="64" t="s">
        <v>61</v>
      </c>
      <c r="AE34" s="68" t="s">
        <v>61</v>
      </c>
      <c r="AF34" s="1164" t="s">
        <v>2067</v>
      </c>
      <c r="AG34" s="64" t="s">
        <v>61</v>
      </c>
      <c r="AH34" s="64" t="s">
        <v>61</v>
      </c>
      <c r="AI34" s="69" t="s">
        <v>61</v>
      </c>
      <c r="AJ34" s="40"/>
      <c r="AK34" s="1764" t="s">
        <v>14</v>
      </c>
      <c r="AL34" s="1761"/>
      <c r="AM34" s="1761" t="s">
        <v>60</v>
      </c>
      <c r="AN34" s="1761"/>
      <c r="AO34" s="1761" t="s">
        <v>27</v>
      </c>
      <c r="AP34" s="1761"/>
      <c r="AQ34" s="1761" t="s">
        <v>2074</v>
      </c>
      <c r="AR34" s="1761"/>
      <c r="AS34" s="1762" t="s">
        <v>41</v>
      </c>
      <c r="AT34" s="1763"/>
      <c r="AU34" s="1764" t="s">
        <v>85</v>
      </c>
      <c r="AV34" s="1765"/>
    </row>
    <row r="35" spans="1:48" s="32" customFormat="1" ht="12.75" hidden="1" customHeight="1" outlineLevel="1" x14ac:dyDescent="0.2">
      <c r="A35" s="40"/>
      <c r="B35" s="66"/>
      <c r="C35" s="64"/>
      <c r="D35" s="202" t="s">
        <v>61</v>
      </c>
      <c r="E35" s="202" t="s">
        <v>63</v>
      </c>
      <c r="F35" s="208" t="s">
        <v>2054</v>
      </c>
      <c r="G35" s="212" t="s">
        <v>2998</v>
      </c>
      <c r="H35" s="208" t="s">
        <v>2060</v>
      </c>
      <c r="I35" s="139" t="s">
        <v>2057</v>
      </c>
      <c r="J35" s="139" t="s">
        <v>2079</v>
      </c>
      <c r="K35" s="139" t="s">
        <v>2057</v>
      </c>
      <c r="L35" s="139" t="s">
        <v>2079</v>
      </c>
      <c r="M35" s="151" t="s">
        <v>768</v>
      </c>
      <c r="N35" s="152" t="s">
        <v>24</v>
      </c>
      <c r="O35" s="40"/>
      <c r="V35" s="66" t="s">
        <v>2063</v>
      </c>
      <c r="W35" s="1164"/>
      <c r="X35" s="148" t="s">
        <v>768</v>
      </c>
      <c r="Y35" s="148" t="s">
        <v>24</v>
      </c>
      <c r="Z35" s="82" t="s">
        <v>41</v>
      </c>
      <c r="AB35" s="1171"/>
      <c r="AC35" s="148" t="s">
        <v>768</v>
      </c>
      <c r="AD35" s="148" t="s">
        <v>24</v>
      </c>
      <c r="AE35" s="85" t="s">
        <v>41</v>
      </c>
      <c r="AF35" s="1164"/>
      <c r="AG35" s="148" t="s">
        <v>768</v>
      </c>
      <c r="AH35" s="148" t="s">
        <v>24</v>
      </c>
      <c r="AI35" s="82" t="s">
        <v>41</v>
      </c>
      <c r="AJ35" s="40"/>
      <c r="AK35" s="732" t="s">
        <v>768</v>
      </c>
      <c r="AL35" s="733" t="s">
        <v>24</v>
      </c>
      <c r="AM35" s="733" t="s">
        <v>768</v>
      </c>
      <c r="AN35" s="733" t="s">
        <v>24</v>
      </c>
      <c r="AO35" s="733" t="s">
        <v>768</v>
      </c>
      <c r="AP35" s="733" t="s">
        <v>24</v>
      </c>
      <c r="AQ35" s="733" t="s">
        <v>768</v>
      </c>
      <c r="AR35" s="733" t="s">
        <v>24</v>
      </c>
      <c r="AS35" s="734" t="s">
        <v>768</v>
      </c>
      <c r="AT35" s="735" t="s">
        <v>24</v>
      </c>
      <c r="AU35" s="732" t="s">
        <v>768</v>
      </c>
      <c r="AV35" s="736" t="s">
        <v>24</v>
      </c>
    </row>
    <row r="36" spans="1:48" s="40" customFormat="1" ht="12" hidden="1" customHeight="1" outlineLevel="1" x14ac:dyDescent="0.2">
      <c r="B36" s="62" t="s">
        <v>784</v>
      </c>
      <c r="C36" s="64"/>
      <c r="D36" s="140">
        <f>M36+N36</f>
        <v>0</v>
      </c>
      <c r="E36" s="143">
        <f>D36*12/44</f>
        <v>0</v>
      </c>
      <c r="F36" s="43"/>
      <c r="G36" s="182"/>
      <c r="H36" s="43"/>
      <c r="I36" s="150">
        <f>VLOOKUP($B36,'Emissions factors'!$B$84:$K$147,4,FALSE)</f>
        <v>3.8899999999999997E-2</v>
      </c>
      <c r="J36" s="156">
        <f>G36*I36</f>
        <v>0</v>
      </c>
      <c r="K36" s="150">
        <f>VLOOKUP($B36,'Emissions factors'!$B$84:$K$147,5,FALSE)</f>
        <v>0.20493000000000003</v>
      </c>
      <c r="L36" s="156">
        <f>G36*K36</f>
        <v>0</v>
      </c>
      <c r="M36" s="71">
        <f>H36*J36</f>
        <v>0</v>
      </c>
      <c r="N36" s="72">
        <f>H36*L36</f>
        <v>0</v>
      </c>
      <c r="V36" s="282">
        <f>'Info utili'!F88</f>
        <v>0.3</v>
      </c>
      <c r="W36" s="436"/>
      <c r="X36" s="83">
        <f>M36*SQRT(V36^2+W36^2)</f>
        <v>0</v>
      </c>
      <c r="Y36" s="83">
        <f>N36*SQRT(V36^2+W36^2)</f>
        <v>0</v>
      </c>
      <c r="Z36" s="211">
        <f>SQRT(X36^2+Y36^2)</f>
        <v>0</v>
      </c>
      <c r="AB36" s="439"/>
      <c r="AC36" s="83">
        <f>AB36*M36</f>
        <v>0</v>
      </c>
      <c r="AD36" s="83">
        <f>AB36*N36</f>
        <v>0</v>
      </c>
      <c r="AE36" s="71">
        <f>AC36+AD36</f>
        <v>0</v>
      </c>
      <c r="AF36" s="439"/>
      <c r="AG36" s="83">
        <f>AF36*M36</f>
        <v>0</v>
      </c>
      <c r="AH36" s="83">
        <f>AF36*N36</f>
        <v>0</v>
      </c>
      <c r="AI36" s="72">
        <f>AG36+AH36</f>
        <v>0</v>
      </c>
      <c r="AK36" s="717">
        <f>G36*H36*VLOOKUP($B36,'Emissions factors'!$B$84:$AQ$147,13,FALSE)</f>
        <v>0</v>
      </c>
      <c r="AL36" s="718">
        <f>G36*H36*VLOOKUP($B36,'Emissions factors'!$B$84:$AQ$147,14,FALSE)</f>
        <v>0</v>
      </c>
      <c r="AM36" s="718">
        <f>G36*H36*VLOOKUP($B36,'Emissions factors'!$B$84:$AQ$147,21,FALSE)</f>
        <v>0</v>
      </c>
      <c r="AN36" s="718">
        <f>G36*H36*VLOOKUP($B36,'Emissions factors'!$B$84:$AQ$147,22,FALSE)</f>
        <v>0</v>
      </c>
      <c r="AO36" s="718">
        <f>G36*H36*VLOOKUP($B36,'Emissions factors'!$B$84:$AQ$147,29,FALSE)</f>
        <v>0</v>
      </c>
      <c r="AP36" s="718">
        <f>G36*H36*VLOOKUP($B36,'Emissions factors'!$B$84:$AQ$147,30,FALSE)</f>
        <v>0</v>
      </c>
      <c r="AQ36" s="718">
        <v>0</v>
      </c>
      <c r="AR36" s="718">
        <v>0</v>
      </c>
      <c r="AS36" s="719">
        <f t="shared" ref="AS36:AT39" si="17">M36</f>
        <v>0</v>
      </c>
      <c r="AT36" s="720">
        <f t="shared" si="17"/>
        <v>0</v>
      </c>
      <c r="AU36" s="718">
        <f>G36*H36*VLOOKUP($B36,'Emissions factors'!$B$84:$AQ$147,37,FALSE)</f>
        <v>0</v>
      </c>
      <c r="AV36" s="721">
        <f>G36*H36*VLOOKUP($B36,'Emissions factors'!$B$84:$AQ$147,38,FALSE)</f>
        <v>0</v>
      </c>
    </row>
    <row r="37" spans="1:48" s="40" customFormat="1" ht="12" hidden="1" customHeight="1" outlineLevel="1" x14ac:dyDescent="0.2">
      <c r="B37" s="62" t="s">
        <v>782</v>
      </c>
      <c r="C37" s="64"/>
      <c r="D37" s="140">
        <f>M37+N37</f>
        <v>0</v>
      </c>
      <c r="E37" s="143">
        <f>D37*12/44</f>
        <v>0</v>
      </c>
      <c r="F37" s="45"/>
      <c r="G37" s="185"/>
      <c r="H37" s="45"/>
      <c r="I37" s="150">
        <f>VLOOKUP($B37,'Emissions factors'!$B$84:$K$147,4,FALSE)</f>
        <v>2.7400000000000001E-2</v>
      </c>
      <c r="J37" s="156">
        <f>G37*I37</f>
        <v>0</v>
      </c>
      <c r="K37" s="150">
        <f>VLOOKUP($B37,'Emissions factors'!$B$84:$K$147,5,FALSE)</f>
        <v>0.22972000000000001</v>
      </c>
      <c r="L37" s="156">
        <f>G37*K37</f>
        <v>0</v>
      </c>
      <c r="M37" s="71">
        <f>H37*J37</f>
        <v>0</v>
      </c>
      <c r="N37" s="72">
        <f>H37*L37</f>
        <v>0</v>
      </c>
      <c r="V37" s="282">
        <f>'Info utili'!F88</f>
        <v>0.3</v>
      </c>
      <c r="W37" s="437"/>
      <c r="X37" s="221">
        <f>M37*SQRT(V37^2+W37^2)</f>
        <v>0</v>
      </c>
      <c r="Y37" s="221">
        <f>N37*SQRT(V37^2+W37^2)</f>
        <v>0</v>
      </c>
      <c r="Z37" s="211">
        <f>SQRT(X37^2+Y37^2)</f>
        <v>0</v>
      </c>
      <c r="AB37" s="440"/>
      <c r="AC37" s="83">
        <f>AB37*M37</f>
        <v>0</v>
      </c>
      <c r="AD37" s="83">
        <f>AB37*N37</f>
        <v>0</v>
      </c>
      <c r="AE37" s="71">
        <f>AC37+AD37</f>
        <v>0</v>
      </c>
      <c r="AF37" s="440"/>
      <c r="AG37" s="83">
        <f>AF37*M37</f>
        <v>0</v>
      </c>
      <c r="AH37" s="83">
        <f>AF37*N37</f>
        <v>0</v>
      </c>
      <c r="AI37" s="72">
        <f>AG37+AH37</f>
        <v>0</v>
      </c>
      <c r="AK37" s="717">
        <f>G37*H37*VLOOKUP($B37,'Emissions factors'!$B$84:$AQ$147,13,FALSE)</f>
        <v>0</v>
      </c>
      <c r="AL37" s="718">
        <f>G37*H37*VLOOKUP($B37,'Emissions factors'!$B$84:$AQ$147,14,FALSE)</f>
        <v>0</v>
      </c>
      <c r="AM37" s="718">
        <f>G37*H37*VLOOKUP($B37,'Emissions factors'!$B$84:$AQ$147,21,FALSE)</f>
        <v>0</v>
      </c>
      <c r="AN37" s="718">
        <f>G37*H37*VLOOKUP($B37,'Emissions factors'!$B$84:$AQ$147,22,FALSE)</f>
        <v>0</v>
      </c>
      <c r="AO37" s="718">
        <f>G37*H37*VLOOKUP($B37,'Emissions factors'!$B$84:$AQ$147,29,FALSE)</f>
        <v>0</v>
      </c>
      <c r="AP37" s="718">
        <f>G37*H37*VLOOKUP($B37,'Emissions factors'!$B$84:$AQ$147,30,FALSE)</f>
        <v>0</v>
      </c>
      <c r="AQ37" s="718">
        <v>0</v>
      </c>
      <c r="AR37" s="718">
        <v>0</v>
      </c>
      <c r="AS37" s="719">
        <f t="shared" si="17"/>
        <v>0</v>
      </c>
      <c r="AT37" s="720">
        <f t="shared" si="17"/>
        <v>0</v>
      </c>
      <c r="AU37" s="718">
        <f>G37*H37*VLOOKUP($B37,'Emissions factors'!$B$84:$AQ$147,37,FALSE)</f>
        <v>0</v>
      </c>
      <c r="AV37" s="721">
        <f>G37*H37*VLOOKUP($B37,'Emissions factors'!$B$84:$AQ$147,38,FALSE)</f>
        <v>0</v>
      </c>
    </row>
    <row r="38" spans="1:48" s="40" customFormat="1" ht="12" hidden="1" customHeight="1" outlineLevel="1" x14ac:dyDescent="0.2">
      <c r="B38" s="62" t="s">
        <v>3139</v>
      </c>
      <c r="C38" s="64"/>
      <c r="D38" s="140">
        <f>M38+N38</f>
        <v>0</v>
      </c>
      <c r="E38" s="143">
        <f>D38*12/44</f>
        <v>0</v>
      </c>
      <c r="F38" s="45"/>
      <c r="G38" s="185"/>
      <c r="H38" s="45"/>
      <c r="I38" s="150">
        <f>VLOOKUP($B38,'Emissions factors'!$B$84:$K$147,4,FALSE)</f>
        <v>5.2699999999999997E-2</v>
      </c>
      <c r="J38" s="156">
        <f>G38*I38</f>
        <v>0</v>
      </c>
      <c r="K38" s="150">
        <f>VLOOKUP($B38,'Emissions factors'!$B$84:$K$147,5,FALSE)</f>
        <v>0.26500000000000001</v>
      </c>
      <c r="L38" s="156">
        <f>G38*K38</f>
        <v>0</v>
      </c>
      <c r="M38" s="71">
        <f>H38*J38</f>
        <v>0</v>
      </c>
      <c r="N38" s="72">
        <f>H38*L38</f>
        <v>0</v>
      </c>
      <c r="V38" s="282">
        <f>'Info utili'!F88</f>
        <v>0.3</v>
      </c>
      <c r="W38" s="437"/>
      <c r="X38" s="221">
        <f>M38*SQRT(V38^2+W38^2)</f>
        <v>0</v>
      </c>
      <c r="Y38" s="221">
        <f>N38*SQRT(V38^2+W38^2)</f>
        <v>0</v>
      </c>
      <c r="Z38" s="211">
        <f>SQRT(X38^2+Y38^2)</f>
        <v>0</v>
      </c>
      <c r="AB38" s="440"/>
      <c r="AC38" s="83">
        <f>AB38*M38</f>
        <v>0</v>
      </c>
      <c r="AD38" s="83">
        <f>AB38*N38</f>
        <v>0</v>
      </c>
      <c r="AE38" s="71">
        <f>AC38+AD38</f>
        <v>0</v>
      </c>
      <c r="AF38" s="440"/>
      <c r="AG38" s="83">
        <f>AF38*M38</f>
        <v>0</v>
      </c>
      <c r="AH38" s="83">
        <f>AF38*N38</f>
        <v>0</v>
      </c>
      <c r="AI38" s="72">
        <f>AG38+AH38</f>
        <v>0</v>
      </c>
      <c r="AK38" s="717">
        <f>G38*H38*VLOOKUP($B38,'Emissions factors'!$B$84:$AQ$147,13,FALSE)</f>
        <v>0</v>
      </c>
      <c r="AL38" s="718">
        <f>G38*H38*VLOOKUP($B38,'Emissions factors'!$B$84:$AQ$147,14,FALSE)</f>
        <v>0</v>
      </c>
      <c r="AM38" s="718">
        <f>G38*H38*VLOOKUP($B38,'Emissions factors'!$B$84:$AQ$147,21,FALSE)</f>
        <v>0</v>
      </c>
      <c r="AN38" s="718">
        <f>G38*H38*VLOOKUP($B38,'Emissions factors'!$B$84:$AQ$147,22,FALSE)</f>
        <v>0</v>
      </c>
      <c r="AO38" s="718">
        <f>G38*H38*VLOOKUP($B38,'Emissions factors'!$B$84:$AQ$147,29,FALSE)</f>
        <v>0</v>
      </c>
      <c r="AP38" s="718">
        <f>G38*H38*VLOOKUP($B38,'Emissions factors'!$B$84:$AQ$147,30,FALSE)</f>
        <v>0</v>
      </c>
      <c r="AQ38" s="718">
        <v>0</v>
      </c>
      <c r="AR38" s="718">
        <v>0</v>
      </c>
      <c r="AS38" s="719">
        <f t="shared" si="17"/>
        <v>0</v>
      </c>
      <c r="AT38" s="720">
        <f t="shared" si="17"/>
        <v>0</v>
      </c>
      <c r="AU38" s="718">
        <f>G38*H38*VLOOKUP($B38,'Emissions factors'!$B$84:$AQ$147,37,FALSE)</f>
        <v>0</v>
      </c>
      <c r="AV38" s="721">
        <f>G38*H38*VLOOKUP($B38,'Emissions factors'!$B$84:$AQ$147,38,FALSE)</f>
        <v>0</v>
      </c>
    </row>
    <row r="39" spans="1:48" s="40" customFormat="1" ht="12" hidden="1" customHeight="1" outlineLevel="1" x14ac:dyDescent="0.2">
      <c r="B39" s="62" t="s">
        <v>818</v>
      </c>
      <c r="C39" s="64"/>
      <c r="D39" s="140">
        <f>M39+N39</f>
        <v>0</v>
      </c>
      <c r="E39" s="143">
        <f>D39*12/44</f>
        <v>0</v>
      </c>
      <c r="F39" s="47"/>
      <c r="G39" s="188"/>
      <c r="H39" s="47"/>
      <c r="I39" s="150">
        <f>VLOOKUP($B39,'Emissions factors'!$B$84:$K$147,4,FALSE)</f>
        <v>0</v>
      </c>
      <c r="J39" s="156">
        <f>G39*I39</f>
        <v>0</v>
      </c>
      <c r="K39" s="150">
        <f>VLOOKUP($B39,'Emissions factors'!$B$84:$K$147,5,FALSE)</f>
        <v>0</v>
      </c>
      <c r="L39" s="156">
        <f>G39*K39</f>
        <v>0</v>
      </c>
      <c r="M39" s="71">
        <f>H39*J39</f>
        <v>0</v>
      </c>
      <c r="N39" s="72">
        <f>H39*L39</f>
        <v>0</v>
      </c>
      <c r="V39" s="282">
        <f>'Info utili'!F88</f>
        <v>0.3</v>
      </c>
      <c r="W39" s="438"/>
      <c r="X39" s="221">
        <f>M39*SQRT(V39^2+W39^2)</f>
        <v>0</v>
      </c>
      <c r="Y39" s="221">
        <f>N39*SQRT(V39^2+W39^2)</f>
        <v>0</v>
      </c>
      <c r="Z39" s="211">
        <f>SQRT(X39^2+Y39^2)</f>
        <v>0</v>
      </c>
      <c r="AB39" s="441"/>
      <c r="AC39" s="83">
        <f>AB39*M39</f>
        <v>0</v>
      </c>
      <c r="AD39" s="83">
        <f>AB39*N39</f>
        <v>0</v>
      </c>
      <c r="AE39" s="71">
        <f>AC39+AD39</f>
        <v>0</v>
      </c>
      <c r="AF39" s="441"/>
      <c r="AG39" s="83">
        <f>AF39*M39</f>
        <v>0</v>
      </c>
      <c r="AH39" s="83">
        <f>AF39*N39</f>
        <v>0</v>
      </c>
      <c r="AI39" s="72">
        <f>AG39+AH39</f>
        <v>0</v>
      </c>
      <c r="AK39" s="717">
        <f>G39*H39*VLOOKUP($B39,'Emissions factors'!$B$84:$AQ$147,13,FALSE)</f>
        <v>0</v>
      </c>
      <c r="AL39" s="718">
        <f>G39*H39*VLOOKUP($B39,'Emissions factors'!$B$84:$AQ$147,14,FALSE)</f>
        <v>0</v>
      </c>
      <c r="AM39" s="718">
        <f>G39*H39*VLOOKUP($B39,'Emissions factors'!$B$84:$AQ$147,21,FALSE)</f>
        <v>0</v>
      </c>
      <c r="AN39" s="718">
        <f>G39*H39*VLOOKUP($B39,'Emissions factors'!$B$84:$AQ$147,22,FALSE)</f>
        <v>0</v>
      </c>
      <c r="AO39" s="718">
        <f>G39*H39*VLOOKUP($B39,'Emissions factors'!$B$84:$AQ$147,29,FALSE)</f>
        <v>0</v>
      </c>
      <c r="AP39" s="718">
        <f>G39*H39*VLOOKUP($B39,'Emissions factors'!$B$84:$AQ$147,30,FALSE)</f>
        <v>0</v>
      </c>
      <c r="AQ39" s="718">
        <v>0</v>
      </c>
      <c r="AR39" s="718">
        <v>0</v>
      </c>
      <c r="AS39" s="719">
        <f t="shared" si="17"/>
        <v>0</v>
      </c>
      <c r="AT39" s="720">
        <f t="shared" si="17"/>
        <v>0</v>
      </c>
      <c r="AU39" s="718">
        <f>G39*H39*VLOOKUP($B39,'Emissions factors'!$B$84:$AQ$147,37,FALSE)</f>
        <v>0</v>
      </c>
      <c r="AV39" s="721">
        <f>G39*H39*VLOOKUP($B39,'Emissions factors'!$B$84:$AQ$147,38,FALSE)</f>
        <v>0</v>
      </c>
    </row>
    <row r="40" spans="1:48" s="40" customFormat="1" ht="12.75" hidden="1" customHeight="1" outlineLevel="1" x14ac:dyDescent="0.2">
      <c r="B40" s="74"/>
      <c r="C40" s="75"/>
      <c r="D40" s="153"/>
      <c r="E40" s="146"/>
      <c r="F40" s="75"/>
      <c r="G40" s="75"/>
      <c r="H40" s="75"/>
      <c r="I40" s="75"/>
      <c r="J40" s="75"/>
      <c r="K40" s="75"/>
      <c r="L40" s="75"/>
      <c r="M40" s="147"/>
      <c r="N40" s="76"/>
      <c r="V40" s="62"/>
      <c r="W40" s="1165"/>
      <c r="X40" s="83"/>
      <c r="Y40" s="83"/>
      <c r="Z40" s="72"/>
      <c r="AB40" s="1172"/>
      <c r="AC40" s="63"/>
      <c r="AD40" s="64"/>
      <c r="AE40" s="71"/>
      <c r="AF40" s="1165"/>
      <c r="AG40" s="64"/>
      <c r="AH40" s="83"/>
      <c r="AI40" s="72"/>
      <c r="AK40" s="717"/>
      <c r="AL40" s="718"/>
      <c r="AM40" s="718"/>
      <c r="AN40" s="718"/>
      <c r="AO40" s="718"/>
      <c r="AP40" s="718"/>
      <c r="AQ40" s="718"/>
      <c r="AR40" s="718"/>
      <c r="AS40" s="719"/>
      <c r="AT40" s="720"/>
      <c r="AU40" s="722"/>
      <c r="AV40" s="723"/>
    </row>
    <row r="41" spans="1:48" s="40" customFormat="1" ht="12.75" hidden="1" customHeight="1" outlineLevel="1" x14ac:dyDescent="0.2">
      <c r="B41" s="110" t="s">
        <v>3001</v>
      </c>
      <c r="C41" s="111"/>
      <c r="D41" s="142">
        <f>SUM(D36:D40)</f>
        <v>0</v>
      </c>
      <c r="E41" s="145">
        <f>SUM(E36:E40)</f>
        <v>0</v>
      </c>
      <c r="F41" s="112"/>
      <c r="G41" s="113"/>
      <c r="H41" s="113"/>
      <c r="I41" s="113"/>
      <c r="J41" s="113"/>
      <c r="K41" s="113"/>
      <c r="L41" s="113"/>
      <c r="M41" s="116">
        <f>SUM(M36:M40)</f>
        <v>0</v>
      </c>
      <c r="N41" s="114">
        <f>SUM(N36:N40)</f>
        <v>0</v>
      </c>
      <c r="V41" s="115"/>
      <c r="W41" s="1166"/>
      <c r="X41" s="260">
        <f>SQRT(SUMSQ(X36:X40))</f>
        <v>0</v>
      </c>
      <c r="Y41" s="260">
        <f>SQRT(SUMSQ(Y36:Y40))</f>
        <v>0</v>
      </c>
      <c r="Z41" s="114">
        <f>SQRT(SUMSQ(Z36:Z40))</f>
        <v>0</v>
      </c>
      <c r="AB41" s="1173"/>
      <c r="AC41" s="260">
        <f>SUM(AC36:AC40)</f>
        <v>0</v>
      </c>
      <c r="AD41" s="260">
        <f>SUM(AD36:AD40)</f>
        <v>0</v>
      </c>
      <c r="AE41" s="116">
        <f>SUM(AE36:AE40)</f>
        <v>0</v>
      </c>
      <c r="AF41" s="1166"/>
      <c r="AG41" s="260">
        <f>SUM(AG36:AG40)</f>
        <v>0</v>
      </c>
      <c r="AH41" s="260">
        <f>SUM(AH36:AH40)</f>
        <v>0</v>
      </c>
      <c r="AI41" s="114">
        <f>SUM(AI36:AI40)</f>
        <v>0</v>
      </c>
      <c r="AK41" s="724">
        <f t="shared" ref="AK41:AV41" si="18">SUM(AK36:AK40)</f>
        <v>0</v>
      </c>
      <c r="AL41" s="725">
        <f t="shared" si="18"/>
        <v>0</v>
      </c>
      <c r="AM41" s="725">
        <f t="shared" si="18"/>
        <v>0</v>
      </c>
      <c r="AN41" s="725">
        <f t="shared" si="18"/>
        <v>0</v>
      </c>
      <c r="AO41" s="725">
        <f t="shared" si="18"/>
        <v>0</v>
      </c>
      <c r="AP41" s="725">
        <f t="shared" si="18"/>
        <v>0</v>
      </c>
      <c r="AQ41" s="725">
        <f t="shared" si="18"/>
        <v>0</v>
      </c>
      <c r="AR41" s="725">
        <f t="shared" si="18"/>
        <v>0</v>
      </c>
      <c r="AS41" s="726">
        <f t="shared" si="18"/>
        <v>0</v>
      </c>
      <c r="AT41" s="727">
        <f t="shared" si="18"/>
        <v>0</v>
      </c>
      <c r="AU41" s="724">
        <f t="shared" si="18"/>
        <v>0</v>
      </c>
      <c r="AV41" s="728">
        <f t="shared" si="18"/>
        <v>0</v>
      </c>
    </row>
    <row r="42" spans="1:48" s="40" customFormat="1" ht="12.75" hidden="1" customHeight="1" outlineLevel="1" x14ac:dyDescent="0.2">
      <c r="W42" s="49"/>
      <c r="AB42" s="49"/>
      <c r="AF42" s="49"/>
      <c r="AK42" s="602"/>
      <c r="AL42" s="602"/>
      <c r="AM42" s="602"/>
      <c r="AN42" s="602"/>
      <c r="AO42" s="602"/>
      <c r="AP42" s="602"/>
      <c r="AQ42" s="602"/>
      <c r="AR42" s="602"/>
      <c r="AS42" s="602"/>
      <c r="AT42" s="602"/>
      <c r="AU42" s="602"/>
      <c r="AV42" s="602"/>
    </row>
    <row r="43" spans="1:48" s="40" customFormat="1" ht="13" x14ac:dyDescent="0.2">
      <c r="W43" s="49"/>
      <c r="AB43" s="49"/>
      <c r="AF43" s="49"/>
      <c r="AK43" s="602"/>
      <c r="AL43" s="602"/>
      <c r="AM43" s="602"/>
      <c r="AN43" s="602"/>
      <c r="AO43" s="602"/>
      <c r="AP43" s="602"/>
      <c r="AQ43" s="602"/>
      <c r="AR43" s="602"/>
      <c r="AS43" s="602"/>
      <c r="AT43" s="602"/>
      <c r="AU43" s="602"/>
      <c r="AV43" s="602"/>
    </row>
    <row r="44" spans="1:48" ht="16" collapsed="1" x14ac:dyDescent="0.2">
      <c r="A44" s="40"/>
      <c r="B44" s="1795" t="s">
        <v>2814</v>
      </c>
      <c r="C44" s="1795"/>
      <c r="D44" s="1795"/>
      <c r="E44" s="1795"/>
      <c r="F44" s="1795"/>
      <c r="G44" s="1795"/>
      <c r="H44" s="1795"/>
      <c r="I44" s="1795"/>
      <c r="J44" s="1795"/>
      <c r="K44" s="1795"/>
      <c r="L44" s="1795"/>
      <c r="M44" s="1795"/>
      <c r="N44" s="1795"/>
      <c r="O44" s="1795"/>
      <c r="AK44" s="602"/>
      <c r="AU44" s="602"/>
      <c r="AV44" s="602"/>
    </row>
    <row r="45" spans="1:48" s="40" customFormat="1" ht="12.75" hidden="1" customHeight="1" outlineLevel="1" x14ac:dyDescent="0.2">
      <c r="W45" s="49"/>
      <c r="AB45" s="49"/>
      <c r="AF45" s="49"/>
      <c r="AK45" s="602"/>
      <c r="AL45" s="602"/>
      <c r="AM45" s="602"/>
      <c r="AN45" s="602"/>
      <c r="AO45" s="602"/>
      <c r="AP45" s="602"/>
      <c r="AQ45" s="602"/>
      <c r="AR45" s="602"/>
      <c r="AS45" s="602"/>
      <c r="AT45" s="602"/>
      <c r="AU45" s="729"/>
      <c r="AV45" s="729"/>
    </row>
    <row r="46" spans="1:48" s="40" customFormat="1" ht="12.75" hidden="1" customHeight="1" outlineLevel="1" x14ac:dyDescent="0.2">
      <c r="B46" s="195" t="s">
        <v>3046</v>
      </c>
      <c r="C46" s="58"/>
      <c r="D46" s="197"/>
      <c r="E46" s="197"/>
      <c r="F46" s="1212"/>
      <c r="G46" s="60"/>
      <c r="H46" s="60"/>
      <c r="I46" s="60"/>
      <c r="J46" s="60"/>
      <c r="K46" s="60"/>
      <c r="L46" s="60"/>
      <c r="M46" s="60"/>
      <c r="N46" s="61"/>
      <c r="V46" s="1746" t="s">
        <v>723</v>
      </c>
      <c r="W46" s="1747"/>
      <c r="X46" s="1748"/>
      <c r="AB46" s="1746" t="s">
        <v>2066</v>
      </c>
      <c r="AC46" s="1747"/>
      <c r="AD46" s="1747"/>
      <c r="AE46" s="1748"/>
      <c r="AF46" s="49"/>
      <c r="AK46" s="1800" t="s">
        <v>2073</v>
      </c>
      <c r="AL46" s="1801"/>
      <c r="AM46" s="1801"/>
      <c r="AN46" s="1801"/>
      <c r="AO46" s="1801"/>
      <c r="AP46" s="1802"/>
      <c r="AQ46" s="602"/>
      <c r="AR46" s="602"/>
      <c r="AS46" s="602"/>
      <c r="AT46" s="602"/>
      <c r="AU46" s="602"/>
      <c r="AV46" s="602"/>
    </row>
    <row r="47" spans="1:48" s="40" customFormat="1" ht="12.75" hidden="1" customHeight="1" outlineLevel="1" x14ac:dyDescent="0.2">
      <c r="B47" s="62"/>
      <c r="C47" s="63"/>
      <c r="D47" s="705"/>
      <c r="E47" s="705"/>
      <c r="F47" s="1211"/>
      <c r="G47" s="63"/>
      <c r="H47" s="63"/>
      <c r="I47" s="63"/>
      <c r="J47" s="63"/>
      <c r="K47" s="63"/>
      <c r="L47" s="63"/>
      <c r="M47" s="63"/>
      <c r="N47" s="65"/>
      <c r="V47" s="66"/>
      <c r="W47" s="1164"/>
      <c r="X47" s="65"/>
      <c r="AB47" s="1171"/>
      <c r="AC47" s="64"/>
      <c r="AD47" s="64"/>
      <c r="AE47" s="65"/>
      <c r="AF47" s="49"/>
      <c r="AK47" s="737"/>
      <c r="AL47" s="738"/>
      <c r="AM47" s="738"/>
      <c r="AN47" s="738"/>
      <c r="AO47" s="739"/>
      <c r="AP47" s="740"/>
      <c r="AQ47" s="602"/>
      <c r="AR47" s="602"/>
      <c r="AS47" s="602"/>
      <c r="AT47" s="602"/>
      <c r="AU47" s="602"/>
      <c r="AV47" s="602"/>
    </row>
    <row r="48" spans="1:48" s="32" customFormat="1" ht="12.75" hidden="1" customHeight="1" outlineLevel="1" x14ac:dyDescent="0.2">
      <c r="A48" s="40"/>
      <c r="B48" s="1588" t="s">
        <v>3003</v>
      </c>
      <c r="C48" s="64"/>
      <c r="D48" s="202" t="s">
        <v>56</v>
      </c>
      <c r="E48" s="202" t="s">
        <v>56</v>
      </c>
      <c r="F48" s="205" t="s">
        <v>2055</v>
      </c>
      <c r="G48" s="67" t="s">
        <v>2053</v>
      </c>
      <c r="H48" s="64" t="s">
        <v>61</v>
      </c>
      <c r="I48" s="67" t="s">
        <v>2053</v>
      </c>
      <c r="J48" s="64" t="s">
        <v>61</v>
      </c>
      <c r="K48" s="67" t="s">
        <v>2053</v>
      </c>
      <c r="L48" s="64" t="s">
        <v>61</v>
      </c>
      <c r="M48" s="205" t="s">
        <v>2069</v>
      </c>
      <c r="N48" s="69" t="s">
        <v>61</v>
      </c>
      <c r="V48" s="66" t="s">
        <v>56</v>
      </c>
      <c r="W48" s="1164" t="s">
        <v>2064</v>
      </c>
      <c r="X48" s="69" t="s">
        <v>61</v>
      </c>
      <c r="AB48" s="1171" t="s">
        <v>2065</v>
      </c>
      <c r="AC48" s="138" t="s">
        <v>61</v>
      </c>
      <c r="AD48" s="64" t="s">
        <v>2067</v>
      </c>
      <c r="AE48" s="69" t="s">
        <v>61</v>
      </c>
      <c r="AF48" s="1175"/>
      <c r="AK48" s="1739" t="s">
        <v>61</v>
      </c>
      <c r="AL48" s="1740"/>
      <c r="AM48" s="1740"/>
      <c r="AN48" s="1740"/>
      <c r="AO48" s="741" t="s">
        <v>61</v>
      </c>
      <c r="AP48" s="742"/>
      <c r="AQ48" s="743"/>
      <c r="AR48" s="743"/>
      <c r="AS48" s="743"/>
      <c r="AT48" s="602"/>
      <c r="AU48" s="602"/>
      <c r="AV48" s="743"/>
    </row>
    <row r="49" spans="1:48" s="32" customFormat="1" ht="12.75" hidden="1" customHeight="1" outlineLevel="1" x14ac:dyDescent="0.2">
      <c r="A49" s="40"/>
      <c r="B49" s="66"/>
      <c r="C49" s="64"/>
      <c r="D49" s="202" t="s">
        <v>61</v>
      </c>
      <c r="E49" s="202" t="s">
        <v>63</v>
      </c>
      <c r="F49" s="208" t="s">
        <v>2054</v>
      </c>
      <c r="G49" s="70" t="s">
        <v>34</v>
      </c>
      <c r="H49" s="64" t="s">
        <v>2058</v>
      </c>
      <c r="I49" s="70" t="s">
        <v>74</v>
      </c>
      <c r="J49" s="64" t="s">
        <v>2057</v>
      </c>
      <c r="K49" s="70" t="s">
        <v>2071</v>
      </c>
      <c r="L49" s="64" t="s">
        <v>2072</v>
      </c>
      <c r="M49" s="208" t="s">
        <v>2070</v>
      </c>
      <c r="N49" s="69"/>
      <c r="V49" s="66" t="s">
        <v>2063</v>
      </c>
      <c r="W49" s="1164"/>
      <c r="X49" s="69"/>
      <c r="AB49" s="1171"/>
      <c r="AC49" s="138"/>
      <c r="AD49" s="64"/>
      <c r="AE49" s="69"/>
      <c r="AF49" s="1175"/>
      <c r="AK49" s="744" t="s">
        <v>14</v>
      </c>
      <c r="AL49" s="745" t="s">
        <v>60</v>
      </c>
      <c r="AM49" s="745" t="s">
        <v>27</v>
      </c>
      <c r="AN49" s="745" t="s">
        <v>2074</v>
      </c>
      <c r="AO49" s="746" t="s">
        <v>41</v>
      </c>
      <c r="AP49" s="747" t="s">
        <v>85</v>
      </c>
      <c r="AQ49" s="743"/>
      <c r="AR49" s="743"/>
      <c r="AS49" s="743"/>
      <c r="AT49" s="743"/>
      <c r="AU49" s="743"/>
      <c r="AV49" s="743"/>
    </row>
    <row r="50" spans="1:48" s="40" customFormat="1" ht="12.75" hidden="1" customHeight="1" outlineLevel="1" x14ac:dyDescent="0.2">
      <c r="B50" s="62" t="s">
        <v>3264</v>
      </c>
      <c r="C50" s="64"/>
      <c r="D50" s="140">
        <f>N50</f>
        <v>0</v>
      </c>
      <c r="E50" s="143">
        <f>D50*12/44</f>
        <v>0</v>
      </c>
      <c r="F50" s="182"/>
      <c r="G50" s="43"/>
      <c r="H50" s="149">
        <f>VLOOKUP($B50,'Emissions factors'!$B$172:$G$591,2,FALSE)</f>
        <v>0</v>
      </c>
      <c r="I50" s="43"/>
      <c r="J50" s="155">
        <f>VLOOKUP($B50,'Emissions factors'!$B$172:$G$591,3,FALSE)</f>
        <v>0.34229854152167549</v>
      </c>
      <c r="K50" s="43"/>
      <c r="L50" s="149">
        <f>VLOOKUP($B50,'Emissions factors'!$B$172:$G$591,4,FALSE)</f>
        <v>0</v>
      </c>
      <c r="M50" s="157">
        <f>VLOOKUP($B50,'Emissions factors'!$B$172:$G$591,5,FALSE)</f>
        <v>0</v>
      </c>
      <c r="N50" s="72">
        <f>(G50*H50+I50*J50+K50*L50)*(1+M50)</f>
        <v>0</v>
      </c>
      <c r="V50" s="161">
        <f>VLOOKUP($B50,'Emissions factors'!$B$172:$G$591,6,FALSE)</f>
        <v>0</v>
      </c>
      <c r="W50" s="436"/>
      <c r="X50" s="72">
        <f>N50*SQRT(V50^2+W50^2)</f>
        <v>0</v>
      </c>
      <c r="Y50" s="602"/>
      <c r="AB50" s="439"/>
      <c r="AC50" s="162">
        <f>N50*AB50</f>
        <v>0</v>
      </c>
      <c r="AD50" s="44"/>
      <c r="AE50" s="163">
        <f>N50*AD50</f>
        <v>0</v>
      </c>
      <c r="AF50" s="49"/>
      <c r="AK50" s="717"/>
      <c r="AL50" s="718"/>
      <c r="AM50" s="718"/>
      <c r="AN50" s="718"/>
      <c r="AO50" s="720">
        <f>N50</f>
        <v>0</v>
      </c>
      <c r="AP50" s="748"/>
      <c r="AQ50" s="602"/>
      <c r="AR50" s="602"/>
      <c r="AS50" s="602"/>
      <c r="AT50" s="743"/>
      <c r="AU50" s="743"/>
      <c r="AV50" s="602"/>
    </row>
    <row r="51" spans="1:48" s="40" customFormat="1" ht="12.75" hidden="1" customHeight="1" outlineLevel="1" x14ac:dyDescent="0.2">
      <c r="B51" s="62" t="s">
        <v>3265</v>
      </c>
      <c r="C51" s="64"/>
      <c r="D51" s="140">
        <f>N51</f>
        <v>0</v>
      </c>
      <c r="E51" s="143">
        <f>D51*12/44</f>
        <v>0</v>
      </c>
      <c r="F51" s="185"/>
      <c r="G51" s="45"/>
      <c r="H51" s="149">
        <f>VLOOKUP($B51,'Emissions factors'!$B$172:$G$591,2,FALSE)</f>
        <v>0</v>
      </c>
      <c r="I51" s="45"/>
      <c r="J51" s="155">
        <f>VLOOKUP($B51,'Emissions factors'!$B$172:$G$591,3,FALSE)</f>
        <v>0.24926894153001611</v>
      </c>
      <c r="K51" s="45"/>
      <c r="L51" s="149">
        <f>VLOOKUP($B51,'Emissions factors'!$B$172:$G$591,4,FALSE)</f>
        <v>0</v>
      </c>
      <c r="M51" s="158">
        <f>VLOOKUP($B51,'Emissions factors'!$B$172:$G$591,5,FALSE)</f>
        <v>0</v>
      </c>
      <c r="N51" s="72">
        <f>(G51*H51+I51*J51+K51*L51)*(1+M51)</f>
        <v>0</v>
      </c>
      <c r="V51" s="161">
        <f>VLOOKUP($B51,'Emissions factors'!$B$172:$G$591,6,FALSE)</f>
        <v>0</v>
      </c>
      <c r="W51" s="437"/>
      <c r="X51" s="211">
        <f>N51*SQRT(V51^2+W51^2)</f>
        <v>0</v>
      </c>
      <c r="AB51" s="440"/>
      <c r="AC51" s="162">
        <f>N51*AB51</f>
        <v>0</v>
      </c>
      <c r="AD51" s="46"/>
      <c r="AE51" s="163">
        <f>N51*AD51</f>
        <v>0</v>
      </c>
      <c r="AF51" s="49"/>
      <c r="AK51" s="717"/>
      <c r="AL51" s="718"/>
      <c r="AM51" s="718"/>
      <c r="AN51" s="718"/>
      <c r="AO51" s="720">
        <f>N51</f>
        <v>0</v>
      </c>
      <c r="AP51" s="748"/>
      <c r="AQ51" s="602"/>
      <c r="AR51" s="602"/>
      <c r="AS51" s="602"/>
      <c r="AT51" s="602"/>
      <c r="AU51" s="602"/>
      <c r="AV51" s="602"/>
    </row>
    <row r="52" spans="1:48" s="40" customFormat="1" ht="12.75" hidden="1" customHeight="1" outlineLevel="1" x14ac:dyDescent="0.2">
      <c r="B52" s="62" t="s">
        <v>3266</v>
      </c>
      <c r="C52" s="64"/>
      <c r="D52" s="140">
        <f>N52</f>
        <v>0</v>
      </c>
      <c r="E52" s="143">
        <f>D52*12/44</f>
        <v>0</v>
      </c>
      <c r="F52" s="188"/>
      <c r="G52" s="47"/>
      <c r="H52" s="149">
        <f>VLOOKUP($B52,'Emissions factors'!$B$172:$G$591,2,FALSE)</f>
        <v>0</v>
      </c>
      <c r="I52" s="47"/>
      <c r="J52" s="155">
        <f>VLOOKUP($B52,'Emissions factors'!$B$172:$G$591,3,FALSE)</f>
        <v>0.54338305598212322</v>
      </c>
      <c r="K52" s="47"/>
      <c r="L52" s="149">
        <f>VLOOKUP($B52,'Emissions factors'!$B$172:$G$591,4,FALSE)</f>
        <v>0</v>
      </c>
      <c r="M52" s="159">
        <f>VLOOKUP($B52,'Emissions factors'!$B$172:$G$591,5,FALSE)</f>
        <v>0</v>
      </c>
      <c r="N52" s="72">
        <f>(G52*H52+I52*J52+K52*L52)*(1+M52)</f>
        <v>0</v>
      </c>
      <c r="V52" s="161">
        <f>VLOOKUP($B52,'Emissions factors'!$B$172:$G$591,6,FALSE)</f>
        <v>0</v>
      </c>
      <c r="W52" s="438"/>
      <c r="X52" s="211">
        <f>N52*SQRT(V52^2+W52^2)</f>
        <v>0</v>
      </c>
      <c r="AB52" s="441"/>
      <c r="AC52" s="162">
        <f>N52*AB52</f>
        <v>0</v>
      </c>
      <c r="AD52" s="48"/>
      <c r="AE52" s="163">
        <f>N52*AD52</f>
        <v>0</v>
      </c>
      <c r="AF52" s="49"/>
      <c r="AK52" s="717"/>
      <c r="AL52" s="718"/>
      <c r="AM52" s="718"/>
      <c r="AN52" s="718"/>
      <c r="AO52" s="720">
        <f>N52</f>
        <v>0</v>
      </c>
      <c r="AP52" s="748"/>
      <c r="AQ52" s="602"/>
      <c r="AR52" s="602"/>
      <c r="AS52" s="602"/>
      <c r="AT52" s="602"/>
      <c r="AU52" s="602"/>
      <c r="AV52" s="602"/>
    </row>
    <row r="53" spans="1:48" s="40" customFormat="1" ht="12.75" hidden="1" customHeight="1" outlineLevel="1" x14ac:dyDescent="0.2">
      <c r="B53" s="62"/>
      <c r="C53" s="63"/>
      <c r="D53" s="141"/>
      <c r="E53" s="144"/>
      <c r="F53" s="214"/>
      <c r="G53" s="63"/>
      <c r="H53" s="63"/>
      <c r="I53" s="63"/>
      <c r="J53" s="63"/>
      <c r="K53" s="63"/>
      <c r="L53" s="63"/>
      <c r="M53" s="63"/>
      <c r="N53" s="72"/>
      <c r="V53" s="62"/>
      <c r="W53" s="1165"/>
      <c r="X53" s="84"/>
      <c r="AB53" s="1172"/>
      <c r="AC53" s="64"/>
      <c r="AD53" s="63"/>
      <c r="AE53" s="84"/>
      <c r="AF53" s="49"/>
      <c r="AK53" s="717"/>
      <c r="AL53" s="718"/>
      <c r="AM53" s="718"/>
      <c r="AN53" s="718"/>
      <c r="AO53" s="720"/>
      <c r="AP53" s="749"/>
      <c r="AQ53" s="602"/>
      <c r="AR53" s="602"/>
      <c r="AS53" s="602"/>
      <c r="AT53" s="602"/>
      <c r="AU53" s="602"/>
      <c r="AV53" s="602"/>
    </row>
    <row r="54" spans="1:48" s="40" customFormat="1" ht="12.75" hidden="1" customHeight="1" outlineLevel="1" x14ac:dyDescent="0.2">
      <c r="B54" s="110" t="s">
        <v>3001</v>
      </c>
      <c r="C54" s="111"/>
      <c r="D54" s="142">
        <f>SUM(D50:D53)</f>
        <v>0</v>
      </c>
      <c r="E54" s="145">
        <f>SUM(E50:E53)</f>
        <v>0</v>
      </c>
      <c r="F54" s="255"/>
      <c r="G54" s="113"/>
      <c r="H54" s="113"/>
      <c r="I54" s="113"/>
      <c r="J54" s="113"/>
      <c r="K54" s="113"/>
      <c r="L54" s="113"/>
      <c r="M54" s="113"/>
      <c r="N54" s="114">
        <f>SUM(N50:N53)</f>
        <v>0</v>
      </c>
      <c r="V54" s="115"/>
      <c r="W54" s="1166"/>
      <c r="X54" s="114">
        <f>SQRT(SUMSQ(X50:X53))</f>
        <v>0</v>
      </c>
      <c r="AB54" s="1173"/>
      <c r="AC54" s="116">
        <f>SUM(AC50:AC53)</f>
        <v>0</v>
      </c>
      <c r="AD54" s="113"/>
      <c r="AE54" s="114">
        <f>SUM(AE50:AE53)</f>
        <v>0</v>
      </c>
      <c r="AF54" s="49"/>
      <c r="AK54" s="724">
        <f t="shared" ref="AK54:AP54" si="19">SUM(AK50:AK53)</f>
        <v>0</v>
      </c>
      <c r="AL54" s="725">
        <f t="shared" si="19"/>
        <v>0</v>
      </c>
      <c r="AM54" s="725">
        <f t="shared" si="19"/>
        <v>0</v>
      </c>
      <c r="AN54" s="725">
        <f t="shared" si="19"/>
        <v>0</v>
      </c>
      <c r="AO54" s="727">
        <f t="shared" si="19"/>
        <v>0</v>
      </c>
      <c r="AP54" s="750">
        <f t="shared" si="19"/>
        <v>0</v>
      </c>
      <c r="AQ54" s="602"/>
      <c r="AR54" s="602"/>
      <c r="AS54" s="602"/>
      <c r="AT54" s="602"/>
      <c r="AU54" s="602"/>
      <c r="AV54" s="602"/>
    </row>
    <row r="55" spans="1:48" s="40" customFormat="1" ht="12.75" hidden="1" customHeight="1" outlineLevel="1" x14ac:dyDescent="0.2">
      <c r="W55" s="49"/>
      <c r="AB55" s="49"/>
      <c r="AF55" s="49"/>
      <c r="AK55" s="602"/>
      <c r="AL55" s="602"/>
      <c r="AM55" s="602"/>
      <c r="AN55" s="602"/>
      <c r="AO55" s="602"/>
      <c r="AP55" s="602"/>
      <c r="AQ55" s="602"/>
      <c r="AR55" s="602"/>
      <c r="AS55" s="602"/>
      <c r="AT55" s="602"/>
      <c r="AU55" s="602"/>
      <c r="AV55" s="602"/>
    </row>
    <row r="56" spans="1:48" s="40" customFormat="1" ht="12.75" hidden="1" customHeight="1" outlineLevel="1" x14ac:dyDescent="0.2">
      <c r="B56" s="195" t="s">
        <v>2818</v>
      </c>
      <c r="C56" s="58"/>
      <c r="D56" s="197"/>
      <c r="E56" s="197"/>
      <c r="F56" s="1212"/>
      <c r="G56" s="60"/>
      <c r="H56" s="60"/>
      <c r="I56" s="60"/>
      <c r="J56" s="60"/>
      <c r="K56" s="60"/>
      <c r="L56" s="61"/>
      <c r="V56" s="1746" t="s">
        <v>723</v>
      </c>
      <c r="W56" s="1747"/>
      <c r="X56" s="1748"/>
      <c r="AB56" s="1746" t="s">
        <v>2066</v>
      </c>
      <c r="AC56" s="1747"/>
      <c r="AD56" s="1747"/>
      <c r="AE56" s="1748"/>
      <c r="AF56" s="49"/>
      <c r="AK56" s="1800" t="s">
        <v>2073</v>
      </c>
      <c r="AL56" s="1801"/>
      <c r="AM56" s="1801"/>
      <c r="AN56" s="1801"/>
      <c r="AO56" s="1801"/>
      <c r="AP56" s="1802"/>
      <c r="AQ56" s="602"/>
      <c r="AR56" s="602"/>
      <c r="AS56" s="602"/>
      <c r="AT56" s="602"/>
      <c r="AU56" s="602"/>
      <c r="AV56" s="602"/>
    </row>
    <row r="57" spans="1:48" s="40" customFormat="1" ht="12.75" hidden="1" customHeight="1" outlineLevel="1" x14ac:dyDescent="0.2">
      <c r="B57" s="62"/>
      <c r="C57" s="63"/>
      <c r="D57" s="705"/>
      <c r="E57" s="705"/>
      <c r="F57" s="1211"/>
      <c r="G57" s="63"/>
      <c r="H57" s="63"/>
      <c r="I57" s="63"/>
      <c r="J57" s="63"/>
      <c r="K57" s="63"/>
      <c r="L57" s="65"/>
      <c r="V57" s="66"/>
      <c r="W57" s="1164"/>
      <c r="X57" s="65"/>
      <c r="AB57" s="1171"/>
      <c r="AC57" s="64"/>
      <c r="AD57" s="64"/>
      <c r="AE57" s="65"/>
      <c r="AF57" s="49"/>
      <c r="AK57" s="737"/>
      <c r="AL57" s="738"/>
      <c r="AM57" s="738"/>
      <c r="AN57" s="738"/>
      <c r="AO57" s="739"/>
      <c r="AP57" s="740"/>
      <c r="AQ57" s="602"/>
      <c r="AR57" s="602"/>
      <c r="AS57" s="602"/>
      <c r="AT57" s="602"/>
      <c r="AU57" s="602"/>
      <c r="AV57" s="602"/>
    </row>
    <row r="58" spans="1:48" s="32" customFormat="1" ht="12.75" hidden="1" customHeight="1" outlineLevel="1" x14ac:dyDescent="0.2">
      <c r="A58" s="40"/>
      <c r="B58" s="1588" t="s">
        <v>3003</v>
      </c>
      <c r="C58" s="64"/>
      <c r="D58" s="202" t="s">
        <v>56</v>
      </c>
      <c r="E58" s="202" t="s">
        <v>56</v>
      </c>
      <c r="F58" s="205" t="s">
        <v>2055</v>
      </c>
      <c r="G58" s="67" t="s">
        <v>2053</v>
      </c>
      <c r="H58" s="64" t="s">
        <v>61</v>
      </c>
      <c r="I58" s="67" t="s">
        <v>2053</v>
      </c>
      <c r="J58" s="64" t="s">
        <v>61</v>
      </c>
      <c r="K58" s="205" t="s">
        <v>2069</v>
      </c>
      <c r="L58" s="69" t="s">
        <v>61</v>
      </c>
      <c r="V58" s="66" t="s">
        <v>56</v>
      </c>
      <c r="W58" s="1164" t="s">
        <v>2064</v>
      </c>
      <c r="X58" s="69" t="s">
        <v>61</v>
      </c>
      <c r="AB58" s="1171" t="s">
        <v>2065</v>
      </c>
      <c r="AC58" s="138" t="s">
        <v>61</v>
      </c>
      <c r="AD58" s="64" t="s">
        <v>2067</v>
      </c>
      <c r="AE58" s="69" t="s">
        <v>61</v>
      </c>
      <c r="AF58" s="1175"/>
      <c r="AK58" s="1739" t="s">
        <v>61</v>
      </c>
      <c r="AL58" s="1740"/>
      <c r="AM58" s="1740"/>
      <c r="AN58" s="1740"/>
      <c r="AO58" s="741" t="s">
        <v>61</v>
      </c>
      <c r="AP58" s="742"/>
      <c r="AQ58" s="743"/>
      <c r="AR58" s="743"/>
      <c r="AS58" s="743"/>
      <c r="AT58" s="602"/>
      <c r="AU58" s="602"/>
      <c r="AV58" s="743"/>
    </row>
    <row r="59" spans="1:48" s="32" customFormat="1" ht="12.75" hidden="1" customHeight="1" outlineLevel="1" x14ac:dyDescent="0.2">
      <c r="A59" s="40"/>
      <c r="B59" s="66"/>
      <c r="C59" s="64"/>
      <c r="D59" s="202" t="s">
        <v>61</v>
      </c>
      <c r="E59" s="202" t="s">
        <v>63</v>
      </c>
      <c r="F59" s="208" t="s">
        <v>2054</v>
      </c>
      <c r="G59" s="70" t="s">
        <v>74</v>
      </c>
      <c r="H59" s="64" t="s">
        <v>2057</v>
      </c>
      <c r="I59" s="70" t="s">
        <v>2071</v>
      </c>
      <c r="J59" s="64" t="s">
        <v>2072</v>
      </c>
      <c r="K59" s="208" t="s">
        <v>2070</v>
      </c>
      <c r="L59" s="69"/>
      <c r="V59" s="66" t="s">
        <v>2063</v>
      </c>
      <c r="W59" s="1164"/>
      <c r="X59" s="69"/>
      <c r="AB59" s="1171"/>
      <c r="AC59" s="138"/>
      <c r="AD59" s="64"/>
      <c r="AE59" s="69"/>
      <c r="AF59" s="1175"/>
      <c r="AK59" s="744" t="s">
        <v>14</v>
      </c>
      <c r="AL59" s="745" t="s">
        <v>60</v>
      </c>
      <c r="AM59" s="745" t="s">
        <v>27</v>
      </c>
      <c r="AN59" s="745" t="s">
        <v>2074</v>
      </c>
      <c r="AO59" s="746" t="s">
        <v>41</v>
      </c>
      <c r="AP59" s="747" t="s">
        <v>85</v>
      </c>
      <c r="AQ59" s="743"/>
      <c r="AR59" s="743"/>
      <c r="AS59" s="743"/>
      <c r="AT59" s="743"/>
      <c r="AU59" s="743"/>
      <c r="AV59" s="743"/>
    </row>
    <row r="60" spans="1:48" s="40" customFormat="1" ht="12.75" hidden="1" customHeight="1" outlineLevel="1" x14ac:dyDescent="0.2">
      <c r="B60" s="62" t="s">
        <v>335</v>
      </c>
      <c r="C60" s="64"/>
      <c r="D60" s="140">
        <f>L60</f>
        <v>0</v>
      </c>
      <c r="E60" s="143">
        <f>D60*12/44</f>
        <v>0</v>
      </c>
      <c r="F60" s="182"/>
      <c r="G60" s="43"/>
      <c r="H60" s="155">
        <f>VLOOKUP($B60,'Emissions factors'!$B$595:$F$608,2,FALSE)</f>
        <v>0.2</v>
      </c>
      <c r="I60" s="43"/>
      <c r="J60" s="149">
        <f>VLOOKUP($B60,'Emissions factors'!$B$595:$F$608,3,FALSE)</f>
        <v>2325.5555555555557</v>
      </c>
      <c r="K60" s="157">
        <f>VLOOKUP($B60,'Emissions factors'!$B$595:$F$608,4,FALSE)</f>
        <v>0.1</v>
      </c>
      <c r="L60" s="72">
        <f>(G60*H60+I60*J60)*(1+K60)</f>
        <v>0</v>
      </c>
      <c r="M60" s="32"/>
      <c r="V60" s="161">
        <f>VLOOKUP($B60,'Emissions factors'!$B$595:$F$608,5,FALSE)</f>
        <v>0.3</v>
      </c>
      <c r="W60" s="436"/>
      <c r="X60" s="72">
        <f>L60*SQRT(V60^2+W60^2)</f>
        <v>0</v>
      </c>
      <c r="AB60" s="439"/>
      <c r="AC60" s="162">
        <f>L60*AB60</f>
        <v>0</v>
      </c>
      <c r="AD60" s="44"/>
      <c r="AE60" s="163">
        <f>L60*AD60</f>
        <v>0</v>
      </c>
      <c r="AF60" s="49"/>
      <c r="AK60" s="717"/>
      <c r="AL60" s="718"/>
      <c r="AM60" s="718"/>
      <c r="AN60" s="718"/>
      <c r="AO60" s="720">
        <f>L60</f>
        <v>0</v>
      </c>
      <c r="AP60" s="748"/>
      <c r="AQ60" s="602"/>
      <c r="AR60" s="602"/>
      <c r="AS60" s="602"/>
      <c r="AT60" s="743"/>
      <c r="AU60" s="743"/>
      <c r="AV60" s="602"/>
    </row>
    <row r="61" spans="1:48" s="40" customFormat="1" ht="12.75" hidden="1" customHeight="1" outlineLevel="1" x14ac:dyDescent="0.2">
      <c r="B61" s="62" t="s">
        <v>515</v>
      </c>
      <c r="C61" s="64"/>
      <c r="D61" s="140">
        <f>L61</f>
        <v>0</v>
      </c>
      <c r="E61" s="143">
        <f>D61*12/44</f>
        <v>0</v>
      </c>
      <c r="F61" s="185"/>
      <c r="G61" s="45"/>
      <c r="H61" s="155">
        <f>VLOOKUP($B61,'Emissions factors'!$B$595:$F$608,2,FALSE)</f>
        <v>7.0000000000000001E-3</v>
      </c>
      <c r="I61" s="45"/>
      <c r="J61" s="149">
        <f>VLOOKUP($B61,'Emissions factors'!$B$595:$F$608,3,FALSE)</f>
        <v>81.394444444444446</v>
      </c>
      <c r="K61" s="158">
        <f>VLOOKUP($B61,'Emissions factors'!$B$595:$F$608,4,FALSE)</f>
        <v>0.1</v>
      </c>
      <c r="L61" s="72">
        <f>(G61*H61+I61*J61)*(1+K61)</f>
        <v>0</v>
      </c>
      <c r="M61" s="32"/>
      <c r="V61" s="161">
        <f>VLOOKUP($B61,'Emissions factors'!$B$595:$F$608,5,FALSE)</f>
        <v>0.3</v>
      </c>
      <c r="W61" s="437"/>
      <c r="X61" s="211">
        <f>L61*SQRT(V61^2+W61^2)</f>
        <v>0</v>
      </c>
      <c r="AB61" s="440"/>
      <c r="AC61" s="162">
        <f>L61*AB61</f>
        <v>0</v>
      </c>
      <c r="AD61" s="46"/>
      <c r="AE61" s="163">
        <f>L61*AD61</f>
        <v>0</v>
      </c>
      <c r="AF61" s="49"/>
      <c r="AK61" s="717"/>
      <c r="AL61" s="718"/>
      <c r="AM61" s="718"/>
      <c r="AN61" s="718"/>
      <c r="AO61" s="720">
        <f>L61</f>
        <v>0</v>
      </c>
      <c r="AP61" s="748"/>
      <c r="AQ61" s="602"/>
      <c r="AR61" s="602"/>
      <c r="AS61" s="602"/>
      <c r="AT61" s="602"/>
      <c r="AU61" s="602"/>
      <c r="AV61" s="602"/>
    </row>
    <row r="62" spans="1:48" s="40" customFormat="1" ht="12.75" hidden="1" customHeight="1" outlineLevel="1" x14ac:dyDescent="0.2">
      <c r="B62" s="62" t="s">
        <v>591</v>
      </c>
      <c r="C62" s="64"/>
      <c r="D62" s="140">
        <f>L62</f>
        <v>0</v>
      </c>
      <c r="E62" s="143">
        <f>D62*12/44</f>
        <v>0</v>
      </c>
      <c r="F62" s="188"/>
      <c r="G62" s="47"/>
      <c r="H62" s="155">
        <f>VLOOKUP($B62,'Emissions factors'!$B$595:$F$608,2,FALSE)</f>
        <v>0.02</v>
      </c>
      <c r="I62" s="47"/>
      <c r="J62" s="149">
        <f>VLOOKUP($B62,'Emissions factors'!$B$595:$F$608,3,FALSE)</f>
        <v>232.55555555555554</v>
      </c>
      <c r="K62" s="159">
        <f>VLOOKUP($B62,'Emissions factors'!$B$595:$F$608,4,FALSE)</f>
        <v>0.1</v>
      </c>
      <c r="L62" s="72">
        <f>(G62*H62+I62*J62)*(1+K62)</f>
        <v>0</v>
      </c>
      <c r="V62" s="161">
        <f>VLOOKUP($B62,'Emissions factors'!$B$595:$F$608,5,FALSE)</f>
        <v>0.3</v>
      </c>
      <c r="W62" s="438"/>
      <c r="X62" s="211">
        <f>L62*SQRT(V62^2+W62^2)</f>
        <v>0</v>
      </c>
      <c r="AB62" s="441"/>
      <c r="AC62" s="162">
        <f>L62*AB62</f>
        <v>0</v>
      </c>
      <c r="AD62" s="48"/>
      <c r="AE62" s="163">
        <f>L62*AD62</f>
        <v>0</v>
      </c>
      <c r="AF62" s="49"/>
      <c r="AK62" s="717"/>
      <c r="AL62" s="718"/>
      <c r="AM62" s="718"/>
      <c r="AN62" s="718"/>
      <c r="AO62" s="720">
        <f>L62</f>
        <v>0</v>
      </c>
      <c r="AP62" s="748"/>
      <c r="AQ62" s="602"/>
      <c r="AR62" s="602"/>
      <c r="AS62" s="602"/>
      <c r="AT62" s="602"/>
      <c r="AU62" s="602"/>
      <c r="AV62" s="602"/>
    </row>
    <row r="63" spans="1:48" s="40" customFormat="1" ht="12.75" hidden="1" customHeight="1" outlineLevel="1" x14ac:dyDescent="0.2">
      <c r="B63" s="62"/>
      <c r="C63" s="63"/>
      <c r="D63" s="141"/>
      <c r="E63" s="144"/>
      <c r="F63" s="214"/>
      <c r="G63" s="63"/>
      <c r="H63" s="63"/>
      <c r="I63" s="63"/>
      <c r="J63" s="63"/>
      <c r="K63" s="63"/>
      <c r="L63" s="72"/>
      <c r="V63" s="62"/>
      <c r="W63" s="1165"/>
      <c r="X63" s="84"/>
      <c r="AB63" s="1172"/>
      <c r="AC63" s="64"/>
      <c r="AD63" s="63"/>
      <c r="AE63" s="84"/>
      <c r="AF63" s="49"/>
      <c r="AK63" s="717"/>
      <c r="AL63" s="718"/>
      <c r="AM63" s="718"/>
      <c r="AN63" s="718"/>
      <c r="AO63" s="720"/>
      <c r="AP63" s="749"/>
      <c r="AQ63" s="602"/>
      <c r="AR63" s="602"/>
      <c r="AS63" s="602"/>
      <c r="AT63" s="602"/>
      <c r="AU63" s="602"/>
      <c r="AV63" s="602"/>
    </row>
    <row r="64" spans="1:48" s="40" customFormat="1" ht="12.75" hidden="1" customHeight="1" outlineLevel="1" x14ac:dyDescent="0.2">
      <c r="B64" s="110" t="s">
        <v>3001</v>
      </c>
      <c r="C64" s="111"/>
      <c r="D64" s="142">
        <f>SUM(D60:D63)</f>
        <v>0</v>
      </c>
      <c r="E64" s="145">
        <f>SUM(E60:E63)</f>
        <v>0</v>
      </c>
      <c r="F64" s="255"/>
      <c r="G64" s="113"/>
      <c r="H64" s="113"/>
      <c r="I64" s="113"/>
      <c r="J64" s="113"/>
      <c r="K64" s="113"/>
      <c r="L64" s="114">
        <f>SUM(L60:L63)</f>
        <v>0</v>
      </c>
      <c r="V64" s="115"/>
      <c r="W64" s="1166"/>
      <c r="X64" s="257">
        <f>SQRT(SUMSQ(X60:X63))</f>
        <v>0</v>
      </c>
      <c r="AB64" s="1173"/>
      <c r="AC64" s="116">
        <f>SUM(AC60:AC63)</f>
        <v>0</v>
      </c>
      <c r="AD64" s="113"/>
      <c r="AE64" s="114">
        <f>SUM(AE60:AE63)</f>
        <v>0</v>
      </c>
      <c r="AF64" s="49"/>
      <c r="AK64" s="724">
        <f t="shared" ref="AK64:AP64" si="20">SUM(AK60:AK63)</f>
        <v>0</v>
      </c>
      <c r="AL64" s="725">
        <f t="shared" si="20"/>
        <v>0</v>
      </c>
      <c r="AM64" s="725">
        <f t="shared" si="20"/>
        <v>0</v>
      </c>
      <c r="AN64" s="725">
        <f t="shared" si="20"/>
        <v>0</v>
      </c>
      <c r="AO64" s="727">
        <f t="shared" si="20"/>
        <v>0</v>
      </c>
      <c r="AP64" s="750">
        <f t="shared" si="20"/>
        <v>0</v>
      </c>
      <c r="AQ64" s="602"/>
      <c r="AR64" s="602"/>
      <c r="AS64" s="602"/>
      <c r="AT64" s="602"/>
      <c r="AU64" s="602"/>
      <c r="AV64" s="602"/>
    </row>
    <row r="65" spans="1:48" s="40" customFormat="1" ht="12.75" hidden="1" customHeight="1" outlineLevel="1" x14ac:dyDescent="0.2">
      <c r="W65" s="49"/>
      <c r="AB65" s="49"/>
      <c r="AF65" s="49"/>
      <c r="AK65" s="602"/>
      <c r="AL65" s="602"/>
      <c r="AM65" s="602"/>
      <c r="AN65" s="602"/>
      <c r="AO65" s="602"/>
      <c r="AP65" s="602"/>
      <c r="AQ65" s="602"/>
      <c r="AR65" s="602"/>
      <c r="AS65" s="602"/>
      <c r="AT65" s="602"/>
      <c r="AU65" s="602"/>
      <c r="AV65" s="602"/>
    </row>
    <row r="66" spans="1:48" s="40" customFormat="1" ht="13" x14ac:dyDescent="0.2">
      <c r="W66" s="49"/>
      <c r="AB66" s="49"/>
      <c r="AF66" s="49"/>
      <c r="AK66" s="602"/>
      <c r="AL66" s="602"/>
      <c r="AM66" s="602"/>
      <c r="AN66" s="602"/>
      <c r="AO66" s="602"/>
      <c r="AP66" s="602"/>
      <c r="AQ66" s="602"/>
      <c r="AR66" s="602"/>
      <c r="AS66" s="602"/>
      <c r="AT66" s="602"/>
      <c r="AU66" s="602"/>
      <c r="AV66" s="602"/>
    </row>
    <row r="67" spans="1:48" ht="16" x14ac:dyDescent="0.2">
      <c r="A67" s="40"/>
      <c r="B67" s="1795" t="s">
        <v>3299</v>
      </c>
      <c r="C67" s="1795"/>
      <c r="D67" s="1795"/>
      <c r="E67" s="1795"/>
      <c r="F67" s="1795"/>
      <c r="G67" s="1795"/>
      <c r="H67" s="1795"/>
      <c r="I67" s="1795"/>
      <c r="J67" s="1795"/>
      <c r="K67" s="1795"/>
      <c r="L67" s="1795"/>
      <c r="M67" s="1795"/>
      <c r="N67" s="1795"/>
      <c r="O67" s="1795"/>
      <c r="AK67" s="602"/>
      <c r="AU67" s="602"/>
      <c r="AV67" s="602"/>
    </row>
    <row r="68" spans="1:48" s="40" customFormat="1" ht="12.75" customHeight="1" outlineLevel="1" x14ac:dyDescent="0.2">
      <c r="B68" s="42"/>
      <c r="C68" s="42"/>
      <c r="D68" s="42"/>
      <c r="E68" s="42"/>
      <c r="F68" s="42"/>
      <c r="G68" s="42"/>
      <c r="H68" s="42"/>
      <c r="I68" s="42"/>
      <c r="J68" s="42"/>
      <c r="K68" s="42"/>
      <c r="L68" s="42"/>
      <c r="M68" s="42"/>
      <c r="N68" s="42"/>
      <c r="O68" s="42"/>
      <c r="W68" s="49"/>
      <c r="AB68" s="49"/>
      <c r="AF68" s="49"/>
      <c r="AK68" s="602"/>
      <c r="AL68" s="602"/>
      <c r="AM68" s="602"/>
      <c r="AN68" s="602"/>
      <c r="AO68" s="602"/>
      <c r="AP68" s="602"/>
      <c r="AQ68" s="602"/>
      <c r="AR68" s="602"/>
      <c r="AS68" s="602"/>
      <c r="AT68" s="602"/>
      <c r="AU68" s="729"/>
      <c r="AV68" s="729"/>
    </row>
    <row r="69" spans="1:48" s="40" customFormat="1" ht="12.75" customHeight="1" outlineLevel="1" x14ac:dyDescent="0.2">
      <c r="B69" s="195" t="s">
        <v>3300</v>
      </c>
      <c r="C69" s="196"/>
      <c r="D69" s="1308"/>
      <c r="E69" s="1308"/>
      <c r="F69" s="1308"/>
      <c r="G69" s="198"/>
      <c r="H69" s="198"/>
      <c r="I69" s="198"/>
      <c r="J69" s="198"/>
      <c r="K69" s="199"/>
      <c r="L69" s="42"/>
      <c r="M69" s="42"/>
      <c r="N69" s="42"/>
      <c r="O69" s="42"/>
      <c r="V69" s="1746" t="s">
        <v>723</v>
      </c>
      <c r="W69" s="1747"/>
      <c r="X69" s="1747"/>
      <c r="Y69" s="1747"/>
      <c r="Z69" s="1748"/>
      <c r="AB69" s="1752" t="s">
        <v>2066</v>
      </c>
      <c r="AC69" s="1753"/>
      <c r="AD69" s="1753"/>
      <c r="AE69" s="1753"/>
      <c r="AF69" s="1753"/>
      <c r="AG69" s="1753"/>
      <c r="AH69" s="1753"/>
      <c r="AI69" s="1754"/>
      <c r="AK69" s="1755" t="s">
        <v>2073</v>
      </c>
      <c r="AL69" s="1756"/>
      <c r="AM69" s="1756"/>
      <c r="AN69" s="1756"/>
      <c r="AO69" s="1756"/>
      <c r="AP69" s="1756"/>
      <c r="AQ69" s="1756"/>
      <c r="AR69" s="1756"/>
      <c r="AS69" s="1756"/>
      <c r="AT69" s="1756"/>
      <c r="AU69" s="1756"/>
      <c r="AV69" s="1757"/>
    </row>
    <row r="70" spans="1:48" s="40" customFormat="1" ht="12.75" customHeight="1" outlineLevel="1" x14ac:dyDescent="0.2">
      <c r="B70" s="200"/>
      <c r="C70" s="201"/>
      <c r="D70" s="705"/>
      <c r="E70" s="705"/>
      <c r="F70" s="1310"/>
      <c r="G70" s="201"/>
      <c r="H70" s="201"/>
      <c r="I70" s="201"/>
      <c r="J70" s="201"/>
      <c r="K70" s="203"/>
      <c r="L70" s="42"/>
      <c r="M70" s="42"/>
      <c r="N70" s="42"/>
      <c r="O70" s="42"/>
      <c r="V70" s="216"/>
      <c r="W70" s="1163"/>
      <c r="X70" s="217"/>
      <c r="Y70" s="217"/>
      <c r="Z70" s="199"/>
      <c r="AB70" s="1170"/>
      <c r="AC70" s="217"/>
      <c r="AD70" s="217"/>
      <c r="AE70" s="198"/>
      <c r="AF70" s="1163"/>
      <c r="AG70" s="217"/>
      <c r="AH70" s="198"/>
      <c r="AI70" s="199"/>
      <c r="AK70" s="1758" t="s">
        <v>61</v>
      </c>
      <c r="AL70" s="1759"/>
      <c r="AM70" s="1759"/>
      <c r="AN70" s="1759"/>
      <c r="AO70" s="1759"/>
      <c r="AP70" s="1759"/>
      <c r="AQ70" s="1759"/>
      <c r="AR70" s="1759"/>
      <c r="AS70" s="1759" t="s">
        <v>61</v>
      </c>
      <c r="AT70" s="1760"/>
      <c r="AU70" s="730"/>
      <c r="AV70" s="731"/>
    </row>
    <row r="71" spans="1:48" s="40" customFormat="1" ht="12.75" customHeight="1" outlineLevel="1" x14ac:dyDescent="0.2">
      <c r="B71" s="1312"/>
      <c r="C71" s="1310"/>
      <c r="D71" s="1310" t="s">
        <v>56</v>
      </c>
      <c r="E71" s="1310" t="s">
        <v>56</v>
      </c>
      <c r="F71" s="205" t="s">
        <v>2055</v>
      </c>
      <c r="G71" s="205" t="s">
        <v>2053</v>
      </c>
      <c r="H71" s="1744" t="s">
        <v>847</v>
      </c>
      <c r="I71" s="1745"/>
      <c r="J71" s="705" t="s">
        <v>61</v>
      </c>
      <c r="K71" s="711" t="s">
        <v>61</v>
      </c>
      <c r="L71" s="42"/>
      <c r="M71" s="42"/>
      <c r="N71" s="42"/>
      <c r="O71" s="42"/>
      <c r="V71" s="1312" t="s">
        <v>56</v>
      </c>
      <c r="W71" s="1164" t="s">
        <v>2064</v>
      </c>
      <c r="X71" s="1310" t="s">
        <v>61</v>
      </c>
      <c r="Y71" s="1310" t="s">
        <v>61</v>
      </c>
      <c r="Z71" s="711" t="s">
        <v>61</v>
      </c>
      <c r="AB71" s="1171" t="s">
        <v>2065</v>
      </c>
      <c r="AC71" s="1310" t="s">
        <v>61</v>
      </c>
      <c r="AD71" s="1310" t="s">
        <v>61</v>
      </c>
      <c r="AE71" s="705" t="s">
        <v>61</v>
      </c>
      <c r="AF71" s="1164" t="s">
        <v>2067</v>
      </c>
      <c r="AG71" s="1310" t="s">
        <v>61</v>
      </c>
      <c r="AH71" s="1310" t="s">
        <v>61</v>
      </c>
      <c r="AI71" s="711" t="s">
        <v>61</v>
      </c>
      <c r="AK71" s="1764" t="s">
        <v>14</v>
      </c>
      <c r="AL71" s="1761"/>
      <c r="AM71" s="1761" t="s">
        <v>60</v>
      </c>
      <c r="AN71" s="1761"/>
      <c r="AO71" s="1761" t="s">
        <v>27</v>
      </c>
      <c r="AP71" s="1761"/>
      <c r="AQ71" s="1761" t="s">
        <v>2074</v>
      </c>
      <c r="AR71" s="1761"/>
      <c r="AS71" s="1762" t="s">
        <v>41</v>
      </c>
      <c r="AT71" s="1763"/>
      <c r="AU71" s="1764" t="s">
        <v>85</v>
      </c>
      <c r="AV71" s="1765"/>
    </row>
    <row r="72" spans="1:48" s="40" customFormat="1" ht="12.75" customHeight="1" outlineLevel="1" x14ac:dyDescent="0.2">
      <c r="B72" s="1312"/>
      <c r="C72" s="1310"/>
      <c r="D72" s="1310" t="s">
        <v>61</v>
      </c>
      <c r="E72" s="1310" t="s">
        <v>63</v>
      </c>
      <c r="F72" s="208" t="s">
        <v>2054</v>
      </c>
      <c r="G72" s="208" t="s">
        <v>74</v>
      </c>
      <c r="H72" s="1311" t="s">
        <v>768</v>
      </c>
      <c r="I72" s="1311" t="s">
        <v>124</v>
      </c>
      <c r="J72" s="1309" t="s">
        <v>768</v>
      </c>
      <c r="K72" s="274" t="s">
        <v>124</v>
      </c>
      <c r="L72" s="42"/>
      <c r="M72" s="42"/>
      <c r="N72" s="42"/>
      <c r="O72" s="42"/>
      <c r="V72" s="1312" t="s">
        <v>2063</v>
      </c>
      <c r="W72" s="1164"/>
      <c r="X72" s="1311" t="s">
        <v>768</v>
      </c>
      <c r="Y72" s="1311" t="s">
        <v>124</v>
      </c>
      <c r="Z72" s="219" t="s">
        <v>41</v>
      </c>
      <c r="AB72" s="1171"/>
      <c r="AC72" s="1311" t="s">
        <v>768</v>
      </c>
      <c r="AD72" s="1311" t="s">
        <v>124</v>
      </c>
      <c r="AE72" s="223" t="s">
        <v>41</v>
      </c>
      <c r="AF72" s="1164"/>
      <c r="AG72" s="1311" t="s">
        <v>768</v>
      </c>
      <c r="AH72" s="1311" t="s">
        <v>124</v>
      </c>
      <c r="AI72" s="219" t="s">
        <v>41</v>
      </c>
      <c r="AK72" s="732" t="s">
        <v>768</v>
      </c>
      <c r="AL72" s="733" t="s">
        <v>124</v>
      </c>
      <c r="AM72" s="733" t="s">
        <v>768</v>
      </c>
      <c r="AN72" s="733" t="s">
        <v>124</v>
      </c>
      <c r="AO72" s="733" t="s">
        <v>768</v>
      </c>
      <c r="AP72" s="733" t="s">
        <v>124</v>
      </c>
      <c r="AQ72" s="733" t="s">
        <v>768</v>
      </c>
      <c r="AR72" s="733" t="s">
        <v>124</v>
      </c>
      <c r="AS72" s="734" t="s">
        <v>768</v>
      </c>
      <c r="AT72" s="735" t="s">
        <v>124</v>
      </c>
      <c r="AU72" s="732" t="s">
        <v>768</v>
      </c>
      <c r="AV72" s="736" t="s">
        <v>124</v>
      </c>
    </row>
    <row r="73" spans="1:48" s="40" customFormat="1" ht="12.75" customHeight="1" outlineLevel="1" x14ac:dyDescent="0.2">
      <c r="B73" s="200" t="s">
        <v>3261</v>
      </c>
      <c r="C73" s="1310"/>
      <c r="D73" s="262">
        <f>J73+K73</f>
        <v>4.88</v>
      </c>
      <c r="E73" s="265">
        <f>D73*12/44</f>
        <v>1.330909090909091</v>
      </c>
      <c r="F73" s="182" t="s">
        <v>2421</v>
      </c>
      <c r="G73" s="182">
        <v>200</v>
      </c>
      <c r="H73" s="277">
        <f>VLOOKUP(B73,'Emissions factors'!$B$688:$G$717,2,FALSE)</f>
        <v>2.4400000000000002E-2</v>
      </c>
      <c r="I73" s="277">
        <f>VLOOKUP(B73,'Emissions factors'!$B$688:$G$717,3,FALSE)</f>
        <v>0</v>
      </c>
      <c r="J73" s="719">
        <f>G73*H73</f>
        <v>4.88</v>
      </c>
      <c r="K73" s="720">
        <f>G73*I73</f>
        <v>0</v>
      </c>
      <c r="L73" s="42"/>
      <c r="M73" s="1337"/>
      <c r="N73" s="1338"/>
      <c r="O73" s="42"/>
      <c r="V73" s="282">
        <f>VLOOKUP(B73,'Emissions factors'!$B$688:$G$717,6,FALSE)</f>
        <v>0</v>
      </c>
      <c r="W73" s="436"/>
      <c r="X73" s="221">
        <f>J73*SQRT(V73^2+W73^2)</f>
        <v>0</v>
      </c>
      <c r="Y73" s="221">
        <f>K73*SQRT(V73^2+W73^2)</f>
        <v>0</v>
      </c>
      <c r="Z73" s="211">
        <f>SQRT(X73^2+Y73^2)</f>
        <v>0</v>
      </c>
      <c r="AB73" s="439"/>
      <c r="AC73" s="221">
        <f>AB73*J73</f>
        <v>0</v>
      </c>
      <c r="AD73" s="221">
        <f>AB73*K73</f>
        <v>0</v>
      </c>
      <c r="AE73" s="210">
        <f>AC73+AD73</f>
        <v>0</v>
      </c>
      <c r="AF73" s="439"/>
      <c r="AG73" s="221">
        <f>AF73*J73</f>
        <v>0</v>
      </c>
      <c r="AH73" s="221">
        <f>AF73*K73</f>
        <v>0</v>
      </c>
      <c r="AI73" s="211">
        <f>AG73+AH73</f>
        <v>0</v>
      </c>
      <c r="AK73" s="717"/>
      <c r="AL73" s="718"/>
      <c r="AM73" s="718"/>
      <c r="AN73" s="718"/>
      <c r="AO73" s="718"/>
      <c r="AP73" s="718"/>
      <c r="AQ73" s="718"/>
      <c r="AR73" s="718"/>
      <c r="AS73" s="719">
        <f t="shared" ref="AS73:AT76" si="21">J73</f>
        <v>4.88</v>
      </c>
      <c r="AT73" s="720">
        <f t="shared" si="21"/>
        <v>0</v>
      </c>
      <c r="AU73" s="718"/>
      <c r="AV73" s="721"/>
    </row>
    <row r="74" spans="1:48" s="40" customFormat="1" ht="12.75" customHeight="1" outlineLevel="1" x14ac:dyDescent="0.2">
      <c r="B74" s="200" t="s">
        <v>1113</v>
      </c>
      <c r="C74" s="1310"/>
      <c r="D74" s="262">
        <f>J74+K74</f>
        <v>0</v>
      </c>
      <c r="E74" s="265">
        <f>D74*12/44</f>
        <v>0</v>
      </c>
      <c r="F74" s="185" t="s">
        <v>2421</v>
      </c>
      <c r="G74" s="185">
        <v>200</v>
      </c>
      <c r="H74" s="277">
        <f>VLOOKUP(B74,'Emissions factors'!$B$688:$G$717,2,FALSE)</f>
        <v>0</v>
      </c>
      <c r="I74" s="277">
        <f>VLOOKUP(B74,'Emissions factors'!$B$688:$G$717,3,FALSE)</f>
        <v>0</v>
      </c>
      <c r="J74" s="719">
        <f>G74*H74</f>
        <v>0</v>
      </c>
      <c r="K74" s="720">
        <f>G74*I74</f>
        <v>0</v>
      </c>
      <c r="L74" s="42"/>
      <c r="M74" s="42"/>
      <c r="N74" s="42"/>
      <c r="O74" s="42"/>
      <c r="V74" s="282">
        <f>VLOOKUP(B74,'Emissions factors'!$B$688:$G$717,6,FALSE)</f>
        <v>0</v>
      </c>
      <c r="W74" s="437"/>
      <c r="X74" s="221">
        <f>J74*SQRT(V74^2+W74^2)</f>
        <v>0</v>
      </c>
      <c r="Y74" s="221">
        <f>K74*SQRT(V74^2+W74^2)</f>
        <v>0</v>
      </c>
      <c r="Z74" s="211">
        <f>SQRT(X74^2+Y74^2)</f>
        <v>0</v>
      </c>
      <c r="AB74" s="440"/>
      <c r="AC74" s="221">
        <f>AB74*J74</f>
        <v>0</v>
      </c>
      <c r="AD74" s="221">
        <f>AB74*K74</f>
        <v>0</v>
      </c>
      <c r="AE74" s="210">
        <f>AC74+AD74</f>
        <v>0</v>
      </c>
      <c r="AF74" s="440"/>
      <c r="AG74" s="221">
        <f>AF74*J74</f>
        <v>0</v>
      </c>
      <c r="AH74" s="221">
        <f>AF74*K74</f>
        <v>0</v>
      </c>
      <c r="AI74" s="211">
        <f>AG74+AH74</f>
        <v>0</v>
      </c>
      <c r="AK74" s="717"/>
      <c r="AL74" s="718"/>
      <c r="AM74" s="718"/>
      <c r="AN74" s="718"/>
      <c r="AO74" s="718"/>
      <c r="AP74" s="718"/>
      <c r="AQ74" s="718"/>
      <c r="AR74" s="718"/>
      <c r="AS74" s="719">
        <f t="shared" si="21"/>
        <v>0</v>
      </c>
      <c r="AT74" s="720">
        <f t="shared" si="21"/>
        <v>0</v>
      </c>
      <c r="AU74" s="718"/>
      <c r="AV74" s="721"/>
    </row>
    <row r="75" spans="1:48" s="40" customFormat="1" ht="12.75" customHeight="1" outlineLevel="1" x14ac:dyDescent="0.2">
      <c r="B75" s="200" t="s">
        <v>3327</v>
      </c>
      <c r="C75" s="1310"/>
      <c r="D75" s="262">
        <f>J75+K75</f>
        <v>191.4</v>
      </c>
      <c r="E75" s="265">
        <f>D75*12/44</f>
        <v>52.2</v>
      </c>
      <c r="F75" s="185" t="s">
        <v>2421</v>
      </c>
      <c r="G75" s="185">
        <v>600</v>
      </c>
      <c r="H75" s="277">
        <f>VLOOKUP(B75,'Emissions factors'!$B$688:$G$717,2,FALSE)</f>
        <v>1.4999999999999999E-2</v>
      </c>
      <c r="I75" s="277">
        <f>VLOOKUP(B75,'Emissions factors'!$B$688:$G$717,3,FALSE)</f>
        <v>0.30399999999999999</v>
      </c>
      <c r="J75" s="719">
        <f>G75*H75</f>
        <v>9</v>
      </c>
      <c r="K75" s="720">
        <f>G75*I75</f>
        <v>182.4</v>
      </c>
      <c r="L75" s="42"/>
      <c r="M75" s="42"/>
      <c r="N75" s="42"/>
      <c r="O75" s="42"/>
      <c r="V75" s="282">
        <f>VLOOKUP(B75,'Emissions factors'!$B$688:$G$717,6,FALSE)</f>
        <v>0</v>
      </c>
      <c r="W75" s="437"/>
      <c r="X75" s="221">
        <f>J75*SQRT(V75^2+W75^2)</f>
        <v>0</v>
      </c>
      <c r="Y75" s="221">
        <f>K75*SQRT(V75^2+W75^2)</f>
        <v>0</v>
      </c>
      <c r="Z75" s="211">
        <f>SQRT(X75^2+Y75^2)</f>
        <v>0</v>
      </c>
      <c r="AB75" s="440"/>
      <c r="AC75" s="221">
        <f>AB75*J75</f>
        <v>0</v>
      </c>
      <c r="AD75" s="221">
        <f>AB75*K75</f>
        <v>0</v>
      </c>
      <c r="AE75" s="210">
        <f>AC75+AD75</f>
        <v>0</v>
      </c>
      <c r="AF75" s="440"/>
      <c r="AG75" s="221">
        <f>AF75*J75</f>
        <v>0</v>
      </c>
      <c r="AH75" s="221">
        <f>AF75*K75</f>
        <v>0</v>
      </c>
      <c r="AI75" s="211">
        <f>AG75+AH75</f>
        <v>0</v>
      </c>
      <c r="AK75" s="717"/>
      <c r="AL75" s="718"/>
      <c r="AM75" s="718"/>
      <c r="AN75" s="718"/>
      <c r="AO75" s="718"/>
      <c r="AP75" s="718"/>
      <c r="AQ75" s="718"/>
      <c r="AR75" s="718"/>
      <c r="AS75" s="719">
        <f t="shared" si="21"/>
        <v>9</v>
      </c>
      <c r="AT75" s="720">
        <f t="shared" si="21"/>
        <v>182.4</v>
      </c>
      <c r="AU75" s="718"/>
      <c r="AV75" s="721"/>
    </row>
    <row r="76" spans="1:48" s="40" customFormat="1" ht="12.75" customHeight="1" outlineLevel="1" x14ac:dyDescent="0.2">
      <c r="B76" s="200" t="s">
        <v>3327</v>
      </c>
      <c r="C76" s="1310"/>
      <c r="D76" s="262">
        <f>J76+K76</f>
        <v>0</v>
      </c>
      <c r="E76" s="265">
        <f>D76*12/44</f>
        <v>0</v>
      </c>
      <c r="F76" s="188" t="s">
        <v>2431</v>
      </c>
      <c r="G76" s="188"/>
      <c r="H76" s="277">
        <f>VLOOKUP(B76,'Emissions factors'!$B$688:$G$717,2,FALSE)</f>
        <v>1.4999999999999999E-2</v>
      </c>
      <c r="I76" s="277">
        <f>VLOOKUP(B76,'Emissions factors'!$B$688:$G$717,3,FALSE)</f>
        <v>0.30399999999999999</v>
      </c>
      <c r="J76" s="719">
        <f>G76*H76</f>
        <v>0</v>
      </c>
      <c r="K76" s="720">
        <f>G76*I76</f>
        <v>0</v>
      </c>
      <c r="L76" s="42"/>
      <c r="M76" s="42"/>
      <c r="N76" s="42"/>
      <c r="O76" s="42"/>
      <c r="V76" s="282">
        <f>VLOOKUP(B76,'Emissions factors'!$B$688:$G$717,6,FALSE)</f>
        <v>0</v>
      </c>
      <c r="W76" s="438"/>
      <c r="X76" s="221">
        <f>J76*SQRT(V76^2+W76^2)</f>
        <v>0</v>
      </c>
      <c r="Y76" s="221">
        <f>K76*SQRT(V76^2+W76^2)</f>
        <v>0</v>
      </c>
      <c r="Z76" s="211">
        <f>SQRT(X76^2+Y76^2)</f>
        <v>0</v>
      </c>
      <c r="AB76" s="441"/>
      <c r="AC76" s="221">
        <f>AB76*J76</f>
        <v>0</v>
      </c>
      <c r="AD76" s="221">
        <f>AB76*K76</f>
        <v>0</v>
      </c>
      <c r="AE76" s="210">
        <f>AC76+AD76</f>
        <v>0</v>
      </c>
      <c r="AF76" s="441"/>
      <c r="AG76" s="221">
        <f>AF76*J76</f>
        <v>0</v>
      </c>
      <c r="AH76" s="221">
        <f>AF76*K76</f>
        <v>0</v>
      </c>
      <c r="AI76" s="211">
        <f>AG76+AH76</f>
        <v>0</v>
      </c>
      <c r="AK76" s="717"/>
      <c r="AL76" s="718"/>
      <c r="AM76" s="718"/>
      <c r="AN76" s="718"/>
      <c r="AO76" s="718"/>
      <c r="AP76" s="718"/>
      <c r="AQ76" s="718"/>
      <c r="AR76" s="718"/>
      <c r="AS76" s="719">
        <f t="shared" si="21"/>
        <v>0</v>
      </c>
      <c r="AT76" s="720">
        <f t="shared" si="21"/>
        <v>0</v>
      </c>
      <c r="AU76" s="718"/>
      <c r="AV76" s="721"/>
    </row>
    <row r="77" spans="1:48" s="40" customFormat="1" ht="12.75" customHeight="1" outlineLevel="1" x14ac:dyDescent="0.2">
      <c r="B77" s="200"/>
      <c r="C77" s="201"/>
      <c r="D77" s="263"/>
      <c r="E77" s="266"/>
      <c r="F77" s="214"/>
      <c r="G77" s="201"/>
      <c r="H77" s="201"/>
      <c r="I77" s="201"/>
      <c r="J77" s="214"/>
      <c r="K77" s="215"/>
      <c r="L77" s="42"/>
      <c r="M77" s="42"/>
      <c r="N77" s="42"/>
      <c r="O77" s="42"/>
      <c r="V77" s="200"/>
      <c r="W77" s="1165"/>
      <c r="X77" s="221"/>
      <c r="Y77" s="221"/>
      <c r="Z77" s="211"/>
      <c r="AB77" s="1172"/>
      <c r="AC77" s="201"/>
      <c r="AD77" s="1310"/>
      <c r="AE77" s="210"/>
      <c r="AF77" s="1165"/>
      <c r="AG77" s="1310"/>
      <c r="AH77" s="221"/>
      <c r="AI77" s="211"/>
      <c r="AK77" s="717"/>
      <c r="AL77" s="718"/>
      <c r="AM77" s="718"/>
      <c r="AN77" s="718"/>
      <c r="AO77" s="718"/>
      <c r="AP77" s="718"/>
      <c r="AQ77" s="718"/>
      <c r="AR77" s="718"/>
      <c r="AS77" s="719"/>
      <c r="AT77" s="720"/>
      <c r="AU77" s="722"/>
      <c r="AV77" s="723"/>
    </row>
    <row r="78" spans="1:48" s="40" customFormat="1" ht="12.75" customHeight="1" outlineLevel="1" x14ac:dyDescent="0.2">
      <c r="B78" s="253" t="s">
        <v>3001</v>
      </c>
      <c r="C78" s="254"/>
      <c r="D78" s="264">
        <f>SUM(D73:D77)</f>
        <v>196.28</v>
      </c>
      <c r="E78" s="267">
        <f>SUM(E73:E77)</f>
        <v>53.530909090909091</v>
      </c>
      <c r="F78" s="255"/>
      <c r="G78" s="256"/>
      <c r="H78" s="256"/>
      <c r="I78" s="256"/>
      <c r="J78" s="259">
        <f>SUM(J73:J77)</f>
        <v>13.879999999999999</v>
      </c>
      <c r="K78" s="257">
        <f>SUM(K73:K77)</f>
        <v>182.4</v>
      </c>
      <c r="L78" s="42"/>
      <c r="M78" s="42"/>
      <c r="N78" s="42"/>
      <c r="O78" s="42"/>
      <c r="V78" s="258"/>
      <c r="W78" s="1166"/>
      <c r="X78" s="260">
        <f>SQRT(SUMSQ(X73:X77))</f>
        <v>0</v>
      </c>
      <c r="Y78" s="260">
        <f>SQRT(SUMSQ(Y73:Y77))</f>
        <v>0</v>
      </c>
      <c r="Z78" s="257">
        <f>SQRT(SUMSQ(Z73:Z77))</f>
        <v>0</v>
      </c>
      <c r="AB78" s="1173"/>
      <c r="AC78" s="260">
        <f>SUM(AC73:AC77)</f>
        <v>0</v>
      </c>
      <c r="AD78" s="260">
        <f>SUM(AD73:AD77)</f>
        <v>0</v>
      </c>
      <c r="AE78" s="259">
        <f>SUM(AE73:AE77)</f>
        <v>0</v>
      </c>
      <c r="AF78" s="1166"/>
      <c r="AG78" s="260">
        <f>SUM(AG73:AG77)</f>
        <v>0</v>
      </c>
      <c r="AH78" s="260">
        <f>SUM(AH73:AH77)</f>
        <v>0</v>
      </c>
      <c r="AI78" s="257">
        <f>SUM(AI73:AI77)</f>
        <v>0</v>
      </c>
      <c r="AK78" s="724">
        <f t="shared" ref="AK78:AV78" si="22">SUM(AK70:AK77)</f>
        <v>0</v>
      </c>
      <c r="AL78" s="725">
        <f t="shared" si="22"/>
        <v>0</v>
      </c>
      <c r="AM78" s="725">
        <f t="shared" si="22"/>
        <v>0</v>
      </c>
      <c r="AN78" s="725">
        <f t="shared" si="22"/>
        <v>0</v>
      </c>
      <c r="AO78" s="725">
        <f t="shared" si="22"/>
        <v>0</v>
      </c>
      <c r="AP78" s="725">
        <f t="shared" si="22"/>
        <v>0</v>
      </c>
      <c r="AQ78" s="725">
        <f t="shared" si="22"/>
        <v>0</v>
      </c>
      <c r="AR78" s="725">
        <f t="shared" si="22"/>
        <v>0</v>
      </c>
      <c r="AS78" s="726">
        <f t="shared" si="22"/>
        <v>13.879999999999999</v>
      </c>
      <c r="AT78" s="727">
        <f t="shared" si="22"/>
        <v>182.4</v>
      </c>
      <c r="AU78" s="724">
        <f t="shared" si="22"/>
        <v>0</v>
      </c>
      <c r="AV78" s="728">
        <f t="shared" si="22"/>
        <v>0</v>
      </c>
    </row>
    <row r="79" spans="1:48" s="40" customFormat="1" ht="12.75" customHeight="1" outlineLevel="1" x14ac:dyDescent="0.2">
      <c r="B79" s="42"/>
      <c r="C79" s="42"/>
      <c r="D79" s="42"/>
      <c r="E79" s="42"/>
      <c r="F79" s="42"/>
      <c r="G79" s="42"/>
      <c r="H79" s="42"/>
      <c r="I79" s="42"/>
      <c r="J79" s="42"/>
      <c r="K79" s="42"/>
      <c r="L79" s="42"/>
      <c r="M79" s="42"/>
      <c r="N79" s="42"/>
      <c r="O79" s="42"/>
      <c r="W79" s="49"/>
      <c r="AB79" s="49"/>
      <c r="AF79" s="49"/>
      <c r="AK79" s="602"/>
      <c r="AL79" s="602"/>
      <c r="AM79" s="602"/>
      <c r="AN79" s="602"/>
      <c r="AO79" s="602"/>
      <c r="AP79" s="602"/>
      <c r="AQ79" s="602"/>
      <c r="AR79" s="602"/>
      <c r="AS79" s="602"/>
      <c r="AT79" s="602"/>
      <c r="AU79" s="729"/>
      <c r="AV79" s="729"/>
    </row>
    <row r="80" spans="1:48" s="40" customFormat="1" ht="12.75" customHeight="1" outlineLevel="1" x14ac:dyDescent="0.2">
      <c r="B80" s="57" t="s">
        <v>3034</v>
      </c>
      <c r="C80" s="58"/>
      <c r="D80" s="197"/>
      <c r="E80" s="197"/>
      <c r="F80" s="1212"/>
      <c r="G80" s="60"/>
      <c r="H80" s="60"/>
      <c r="I80" s="61"/>
      <c r="J80" s="42"/>
      <c r="K80" s="42"/>
      <c r="L80" s="42"/>
      <c r="V80" s="1746" t="s">
        <v>723</v>
      </c>
      <c r="W80" s="1747"/>
      <c r="X80" s="1748"/>
      <c r="AB80" s="1746" t="s">
        <v>2066</v>
      </c>
      <c r="AC80" s="1747"/>
      <c r="AD80" s="1747"/>
      <c r="AE80" s="1748"/>
      <c r="AF80" s="49"/>
      <c r="AK80" s="1755" t="s">
        <v>2073</v>
      </c>
      <c r="AL80" s="1756"/>
      <c r="AM80" s="1756"/>
      <c r="AN80" s="1756"/>
      <c r="AO80" s="1756"/>
      <c r="AP80" s="1757"/>
      <c r="AQ80" s="602"/>
      <c r="AR80" s="602"/>
      <c r="AS80" s="602"/>
      <c r="AT80" s="602"/>
      <c r="AU80" s="602"/>
      <c r="AV80" s="602"/>
    </row>
    <row r="81" spans="1:48" s="40" customFormat="1" ht="12.75" customHeight="1" outlineLevel="1" x14ac:dyDescent="0.2">
      <c r="B81" s="62"/>
      <c r="C81" s="63"/>
      <c r="D81" s="705"/>
      <c r="E81" s="705"/>
      <c r="F81" s="1211"/>
      <c r="G81" s="63"/>
      <c r="H81" s="63"/>
      <c r="I81" s="65"/>
      <c r="L81" s="42"/>
      <c r="V81" s="66"/>
      <c r="W81" s="1164"/>
      <c r="X81" s="65"/>
      <c r="AB81" s="1171"/>
      <c r="AC81" s="64"/>
      <c r="AD81" s="64"/>
      <c r="AE81" s="65"/>
      <c r="AF81" s="49"/>
      <c r="AK81" s="737"/>
      <c r="AL81" s="738"/>
      <c r="AM81" s="738"/>
      <c r="AN81" s="738"/>
      <c r="AO81" s="739"/>
      <c r="AP81" s="740"/>
      <c r="AQ81" s="602"/>
      <c r="AR81" s="602"/>
      <c r="AS81" s="602"/>
      <c r="AT81" s="602"/>
      <c r="AU81" s="602"/>
      <c r="AV81" s="602"/>
    </row>
    <row r="82" spans="1:48" s="32" customFormat="1" ht="12.75" customHeight="1" outlineLevel="1" x14ac:dyDescent="0.2">
      <c r="A82" s="40"/>
      <c r="B82" s="1588" t="s">
        <v>2815</v>
      </c>
      <c r="C82" s="64"/>
      <c r="D82" s="202" t="s">
        <v>56</v>
      </c>
      <c r="E82" s="202" t="s">
        <v>56</v>
      </c>
      <c r="F82" s="205" t="s">
        <v>2055</v>
      </c>
      <c r="G82" s="67" t="s">
        <v>2053</v>
      </c>
      <c r="H82" s="64" t="s">
        <v>61</v>
      </c>
      <c r="I82" s="69" t="s">
        <v>61</v>
      </c>
      <c r="L82" s="50"/>
      <c r="N82" s="1539"/>
      <c r="O82" s="1539"/>
      <c r="P82" s="1539"/>
      <c r="Q82" s="1539"/>
      <c r="V82" s="66" t="s">
        <v>56</v>
      </c>
      <c r="W82" s="1164" t="s">
        <v>2064</v>
      </c>
      <c r="X82" s="69" t="s">
        <v>61</v>
      </c>
      <c r="AB82" s="1171" t="s">
        <v>2065</v>
      </c>
      <c r="AC82" s="138" t="s">
        <v>61</v>
      </c>
      <c r="AD82" s="64" t="s">
        <v>2067</v>
      </c>
      <c r="AE82" s="69" t="s">
        <v>61</v>
      </c>
      <c r="AF82" s="1175"/>
      <c r="AK82" s="1739" t="s">
        <v>61</v>
      </c>
      <c r="AL82" s="1740"/>
      <c r="AM82" s="1740"/>
      <c r="AN82" s="1740"/>
      <c r="AO82" s="741" t="s">
        <v>61</v>
      </c>
      <c r="AP82" s="742"/>
      <c r="AQ82" s="743"/>
      <c r="AR82" s="743"/>
      <c r="AS82" s="743"/>
      <c r="AT82" s="602"/>
      <c r="AU82" s="602"/>
      <c r="AV82" s="743"/>
    </row>
    <row r="83" spans="1:48" s="32" customFormat="1" ht="12.75" customHeight="1" outlineLevel="1" x14ac:dyDescent="0.2">
      <c r="A83" s="40"/>
      <c r="B83" s="66"/>
      <c r="C83" s="64"/>
      <c r="D83" s="202" t="s">
        <v>61</v>
      </c>
      <c r="E83" s="202" t="s">
        <v>63</v>
      </c>
      <c r="F83" s="208" t="s">
        <v>2054</v>
      </c>
      <c r="G83" s="70" t="s">
        <v>74</v>
      </c>
      <c r="H83" s="64" t="s">
        <v>2057</v>
      </c>
      <c r="I83" s="69"/>
      <c r="L83" s="50"/>
      <c r="N83" s="1540"/>
      <c r="O83" s="1540"/>
      <c r="P83" s="1540"/>
      <c r="Q83" s="1540"/>
      <c r="V83" s="66" t="s">
        <v>2063</v>
      </c>
      <c r="W83" s="1164"/>
      <c r="X83" s="69"/>
      <c r="AB83" s="1172"/>
      <c r="AC83" s="138"/>
      <c r="AD83" s="64"/>
      <c r="AE83" s="69"/>
      <c r="AF83" s="1175"/>
      <c r="AK83" s="744" t="s">
        <v>14</v>
      </c>
      <c r="AL83" s="745" t="s">
        <v>60</v>
      </c>
      <c r="AM83" s="745" t="s">
        <v>27</v>
      </c>
      <c r="AN83" s="745" t="s">
        <v>2074</v>
      </c>
      <c r="AO83" s="746" t="s">
        <v>41</v>
      </c>
      <c r="AP83" s="747" t="s">
        <v>85</v>
      </c>
      <c r="AQ83" s="743"/>
      <c r="AR83" s="743"/>
      <c r="AS83" s="743"/>
      <c r="AT83" s="743"/>
      <c r="AU83" s="743"/>
      <c r="AV83" s="743"/>
    </row>
    <row r="84" spans="1:48" s="40" customFormat="1" ht="12.75" customHeight="1" outlineLevel="1" x14ac:dyDescent="0.2">
      <c r="B84" s="62" t="s">
        <v>979</v>
      </c>
      <c r="C84" s="64"/>
      <c r="D84" s="140">
        <f>I84</f>
        <v>0</v>
      </c>
      <c r="E84" s="143">
        <f>D84*12/44</f>
        <v>0</v>
      </c>
      <c r="F84" s="182" t="s">
        <v>2421</v>
      </c>
      <c r="G84" s="182"/>
      <c r="H84" s="150">
        <f>VLOOKUP($B84,'Emissions factors'!$B$721:$D$873,2,FALSE)</f>
        <v>0.34200000000000003</v>
      </c>
      <c r="I84" s="72">
        <f>G84*H84</f>
        <v>0</v>
      </c>
      <c r="L84" s="42"/>
      <c r="V84" s="160">
        <f>VLOOKUP($B84,'Emissions factors'!$B$721:$D$873,3,FALSE)</f>
        <v>0.1</v>
      </c>
      <c r="W84" s="436"/>
      <c r="X84" s="72">
        <f>I84*SQRT(V84^2+W84^2)</f>
        <v>0</v>
      </c>
      <c r="AB84" s="439"/>
      <c r="AC84" s="71">
        <f>AB84*I84</f>
        <v>0</v>
      </c>
      <c r="AD84" s="44"/>
      <c r="AE84" s="72">
        <f>AD84*I84</f>
        <v>0</v>
      </c>
      <c r="AF84" s="49"/>
      <c r="AK84" s="717">
        <f>G84*VLOOKUP(B84,'Emissions factors'!$B$721:$I$873,4,FALSE)</f>
        <v>0</v>
      </c>
      <c r="AL84" s="781">
        <f>G84*VLOOKUP(B84,'Emissions factors'!$B$721:$I$873,5,FALSE)</f>
        <v>0</v>
      </c>
      <c r="AM84" s="781">
        <f>G84*VLOOKUP(B84,'Emissions factors'!$B$721:$I$873,6,FALSE)</f>
        <v>0</v>
      </c>
      <c r="AN84" s="718">
        <f>G84*VLOOKUP(B84,'Emissions factors'!$B$721:$I$873,7,FALSE)</f>
        <v>0</v>
      </c>
      <c r="AO84" s="720">
        <f>I84</f>
        <v>0</v>
      </c>
      <c r="AP84" s="748">
        <f>G84*VLOOKUP(B84,'Emissions factors'!$B$721:$I$873,8,FALSE)</f>
        <v>0</v>
      </c>
      <c r="AQ84" s="602"/>
      <c r="AR84" s="602"/>
      <c r="AS84" s="602"/>
      <c r="AT84" s="743"/>
      <c r="AU84" s="743"/>
      <c r="AV84" s="602"/>
    </row>
    <row r="85" spans="1:48" s="40" customFormat="1" ht="12.75" customHeight="1" outlineLevel="1" x14ac:dyDescent="0.2">
      <c r="B85" s="200" t="s">
        <v>935</v>
      </c>
      <c r="C85" s="64"/>
      <c r="D85" s="140">
        <f>I85</f>
        <v>0</v>
      </c>
      <c r="E85" s="143">
        <f>D85*12/44</f>
        <v>0</v>
      </c>
      <c r="F85" s="185"/>
      <c r="G85" s="185"/>
      <c r="H85" s="150">
        <f>VLOOKUP($B85,'Emissions factors'!$B$721:$D$873,2,FALSE)</f>
        <v>0.22</v>
      </c>
      <c r="I85" s="72">
        <f>G85*H85</f>
        <v>0</v>
      </c>
      <c r="L85" s="42"/>
      <c r="V85" s="160">
        <f>VLOOKUP($B85,'Emissions factors'!$B$721:$D$873,3,FALSE)</f>
        <v>0.1</v>
      </c>
      <c r="W85" s="437"/>
      <c r="X85" s="211">
        <f>I85*SQRT(V85^2+W85^2)</f>
        <v>0</v>
      </c>
      <c r="AB85" s="440"/>
      <c r="AC85" s="71">
        <f>AB85*I85</f>
        <v>0</v>
      </c>
      <c r="AD85" s="46"/>
      <c r="AE85" s="72">
        <f>AD85*I85</f>
        <v>0</v>
      </c>
      <c r="AF85" s="49"/>
      <c r="AK85" s="717">
        <f>G85*VLOOKUP(B85,'Emissions factors'!$B$721:$I$873,4,FALSE)</f>
        <v>0</v>
      </c>
      <c r="AL85" s="781">
        <f>G85*VLOOKUP(B85,'Emissions factors'!$B$721:$I$873,5,FALSE)</f>
        <v>0</v>
      </c>
      <c r="AM85" s="781">
        <f>G85*VLOOKUP(B85,'Emissions factors'!$B$721:$I$873,6,FALSE)</f>
        <v>0</v>
      </c>
      <c r="AN85" s="718">
        <f>G85*VLOOKUP(B85,'Emissions factors'!$B$721:$I$873,7,FALSE)</f>
        <v>0</v>
      </c>
      <c r="AO85" s="720">
        <f>I85</f>
        <v>0</v>
      </c>
      <c r="AP85" s="748">
        <f>G85*VLOOKUP(B85,'Emissions factors'!$B$721:$I$873,8,FALSE)</f>
        <v>0</v>
      </c>
      <c r="AQ85" s="602"/>
      <c r="AR85" s="602"/>
      <c r="AS85" s="602"/>
      <c r="AT85" s="602"/>
      <c r="AU85" s="602"/>
      <c r="AV85" s="602"/>
    </row>
    <row r="86" spans="1:48" s="40" customFormat="1" ht="12.75" customHeight="1" outlineLevel="1" x14ac:dyDescent="0.2">
      <c r="B86" s="200" t="s">
        <v>152</v>
      </c>
      <c r="C86" s="64"/>
      <c r="D86" s="140">
        <f>I86</f>
        <v>0</v>
      </c>
      <c r="E86" s="143">
        <f>D86*12/44</f>
        <v>0</v>
      </c>
      <c r="F86" s="185"/>
      <c r="G86" s="45"/>
      <c r="H86" s="150">
        <f>VLOOKUP($B86,'Emissions factors'!$B$721:$D$873,2,FALSE)</f>
        <v>0.41</v>
      </c>
      <c r="I86" s="72">
        <f>G86*H86</f>
        <v>0</v>
      </c>
      <c r="L86" s="42"/>
      <c r="V86" s="160">
        <f>VLOOKUP($B86,'Emissions factors'!$B$721:$D$873,3,FALSE)</f>
        <v>0.1</v>
      </c>
      <c r="W86" s="437"/>
      <c r="X86" s="211">
        <f>I86*SQRT(V86^2+W86^2)</f>
        <v>0</v>
      </c>
      <c r="AB86" s="440"/>
      <c r="AC86" s="71">
        <f>AB86*I86</f>
        <v>0</v>
      </c>
      <c r="AD86" s="46"/>
      <c r="AE86" s="72">
        <f>AD86*I86</f>
        <v>0</v>
      </c>
      <c r="AF86" s="49"/>
      <c r="AK86" s="717">
        <f>G86*VLOOKUP(B86,'Emissions factors'!$B$721:$I$873,4,FALSE)</f>
        <v>0</v>
      </c>
      <c r="AL86" s="781">
        <f>G86*VLOOKUP(B86,'Emissions factors'!$B$721:$I$873,5,FALSE)</f>
        <v>0</v>
      </c>
      <c r="AM86" s="781">
        <f>G86*VLOOKUP(B86,'Emissions factors'!$B$721:$I$873,6,FALSE)</f>
        <v>0</v>
      </c>
      <c r="AN86" s="718">
        <f>G86*VLOOKUP(B86,'Emissions factors'!$B$721:$I$873,7,FALSE)</f>
        <v>0</v>
      </c>
      <c r="AO86" s="720">
        <f>I86</f>
        <v>0</v>
      </c>
      <c r="AP86" s="748">
        <f>G86*VLOOKUP(B86,'Emissions factors'!$B$721:$I$873,8,FALSE)</f>
        <v>0</v>
      </c>
      <c r="AQ86" s="602"/>
      <c r="AR86" s="602"/>
      <c r="AS86" s="602"/>
      <c r="AT86" s="602"/>
      <c r="AU86" s="602"/>
      <c r="AV86" s="602"/>
    </row>
    <row r="87" spans="1:48" s="40" customFormat="1" ht="12.75" customHeight="1" outlineLevel="1" x14ac:dyDescent="0.2">
      <c r="B87" s="200" t="s">
        <v>956</v>
      </c>
      <c r="C87" s="64"/>
      <c r="D87" s="140">
        <f>I87</f>
        <v>0</v>
      </c>
      <c r="E87" s="143">
        <f>D87*12/44</f>
        <v>0</v>
      </c>
      <c r="F87" s="188"/>
      <c r="G87" s="47"/>
      <c r="H87" s="150">
        <f>VLOOKUP($B87,'Emissions factors'!$B$721:$D$873,2,FALSE)</f>
        <v>0.23799999999999999</v>
      </c>
      <c r="I87" s="72">
        <f>G87*H87</f>
        <v>0</v>
      </c>
      <c r="L87" s="42"/>
      <c r="V87" s="160">
        <f>VLOOKUP($B87,'Emissions factors'!$B$721:$D$873,3,FALSE)</f>
        <v>0.1</v>
      </c>
      <c r="W87" s="438"/>
      <c r="X87" s="211">
        <f>I87*SQRT(V87^2+W87^2)</f>
        <v>0</v>
      </c>
      <c r="AB87" s="441"/>
      <c r="AC87" s="71">
        <f>AB87*I87</f>
        <v>0</v>
      </c>
      <c r="AD87" s="48"/>
      <c r="AE87" s="72">
        <f>AD87*I87</f>
        <v>0</v>
      </c>
      <c r="AF87" s="49"/>
      <c r="AK87" s="717">
        <f>G87*VLOOKUP(B87,'Emissions factors'!$B$721:$I$873,4,FALSE)</f>
        <v>0</v>
      </c>
      <c r="AL87" s="781">
        <f>G87*VLOOKUP(B87,'Emissions factors'!$B$721:$I$873,5,FALSE)</f>
        <v>0</v>
      </c>
      <c r="AM87" s="781">
        <f>G87*VLOOKUP(B87,'Emissions factors'!$B$721:$I$873,6,FALSE)</f>
        <v>0</v>
      </c>
      <c r="AN87" s="718">
        <f>G87*VLOOKUP(B87,'Emissions factors'!$B$721:$I$873,7,FALSE)</f>
        <v>0</v>
      </c>
      <c r="AO87" s="720">
        <f>I87</f>
        <v>0</v>
      </c>
      <c r="AP87" s="748">
        <f>G87*VLOOKUP(B87,'Emissions factors'!$B$721:$I$873,8,FALSE)</f>
        <v>0</v>
      </c>
      <c r="AQ87" s="602"/>
      <c r="AR87" s="602"/>
      <c r="AS87" s="602"/>
      <c r="AT87" s="602"/>
      <c r="AU87" s="602"/>
      <c r="AV87" s="602"/>
    </row>
    <row r="88" spans="1:48" s="40" customFormat="1" ht="12.75" customHeight="1" outlineLevel="1" x14ac:dyDescent="0.2">
      <c r="B88" s="62"/>
      <c r="C88" s="63"/>
      <c r="D88" s="141"/>
      <c r="E88" s="144"/>
      <c r="F88" s="214"/>
      <c r="G88" s="63"/>
      <c r="H88" s="63"/>
      <c r="I88" s="87"/>
      <c r="L88" s="42"/>
      <c r="V88" s="62"/>
      <c r="W88" s="1168"/>
      <c r="X88" s="84"/>
      <c r="AB88" s="1172"/>
      <c r="AC88" s="64"/>
      <c r="AD88" s="63"/>
      <c r="AE88" s="84"/>
      <c r="AF88" s="49"/>
      <c r="AK88" s="717"/>
      <c r="AL88" s="718"/>
      <c r="AM88" s="718"/>
      <c r="AN88" s="718"/>
      <c r="AO88" s="720"/>
      <c r="AP88" s="749"/>
      <c r="AQ88" s="602"/>
      <c r="AR88" s="602"/>
      <c r="AS88" s="602"/>
      <c r="AT88" s="602"/>
      <c r="AU88" s="602"/>
      <c r="AV88" s="602"/>
    </row>
    <row r="89" spans="1:48" s="40" customFormat="1" ht="12.75" customHeight="1" outlineLevel="1" x14ac:dyDescent="0.2">
      <c r="B89" s="110" t="s">
        <v>3001</v>
      </c>
      <c r="C89" s="111"/>
      <c r="D89" s="142">
        <f>SUM(D84:D88)</f>
        <v>0</v>
      </c>
      <c r="E89" s="145">
        <f>SUM(E84:E88)</f>
        <v>0</v>
      </c>
      <c r="F89" s="255"/>
      <c r="G89" s="113"/>
      <c r="H89" s="113"/>
      <c r="I89" s="114">
        <f>SUM(I84:I88)</f>
        <v>0</v>
      </c>
      <c r="L89" s="42"/>
      <c r="V89" s="115"/>
      <c r="W89" s="1166"/>
      <c r="X89" s="114">
        <f>SQRT(SUMSQ(X84:X88))</f>
        <v>0</v>
      </c>
      <c r="AB89" s="1173"/>
      <c r="AC89" s="116">
        <f>SUM(AC84:AC88)</f>
        <v>0</v>
      </c>
      <c r="AD89" s="113"/>
      <c r="AE89" s="114">
        <f>SUM(AE84:AE88)</f>
        <v>0</v>
      </c>
      <c r="AF89" s="49"/>
      <c r="AK89" s="724">
        <f t="shared" ref="AK89:AP89" si="23">SUM(AK84:AK88)</f>
        <v>0</v>
      </c>
      <c r="AL89" s="1193">
        <f t="shared" si="23"/>
        <v>0</v>
      </c>
      <c r="AM89" s="1193">
        <f t="shared" si="23"/>
        <v>0</v>
      </c>
      <c r="AN89" s="725">
        <f t="shared" si="23"/>
        <v>0</v>
      </c>
      <c r="AO89" s="727">
        <f t="shared" si="23"/>
        <v>0</v>
      </c>
      <c r="AP89" s="750">
        <f t="shared" si="23"/>
        <v>0</v>
      </c>
      <c r="AQ89" s="602"/>
      <c r="AR89" s="602"/>
      <c r="AS89" s="602"/>
      <c r="AT89" s="602"/>
      <c r="AU89" s="602"/>
      <c r="AV89" s="602"/>
    </row>
    <row r="90" spans="1:48" s="40" customFormat="1" ht="12.75" customHeight="1" outlineLevel="1" x14ac:dyDescent="0.2">
      <c r="B90" s="42"/>
      <c r="C90" s="42"/>
      <c r="D90" s="42"/>
      <c r="E90" s="42"/>
      <c r="G90" s="42"/>
      <c r="H90" s="42"/>
      <c r="L90" s="42"/>
      <c r="V90" s="42"/>
      <c r="W90" s="637"/>
      <c r="X90" s="42"/>
      <c r="AB90" s="637"/>
      <c r="AC90" s="42"/>
      <c r="AD90" s="42"/>
      <c r="AE90" s="42"/>
      <c r="AF90" s="49"/>
      <c r="AK90" s="602"/>
      <c r="AL90" s="602"/>
      <c r="AM90" s="602"/>
      <c r="AN90" s="602"/>
      <c r="AO90" s="602"/>
      <c r="AP90" s="602"/>
      <c r="AQ90" s="602"/>
      <c r="AR90" s="602"/>
      <c r="AS90" s="602"/>
      <c r="AT90" s="602"/>
      <c r="AU90" s="602"/>
      <c r="AV90" s="602"/>
    </row>
    <row r="91" spans="1:48" s="40" customFormat="1" ht="12.75" customHeight="1" outlineLevel="1" x14ac:dyDescent="0.2">
      <c r="B91" s="57" t="s">
        <v>3035</v>
      </c>
      <c r="C91" s="58"/>
      <c r="D91" s="197"/>
      <c r="E91" s="197"/>
      <c r="F91" s="1212"/>
      <c r="G91" s="60"/>
      <c r="H91" s="60"/>
      <c r="I91" s="61"/>
      <c r="J91" s="42"/>
      <c r="L91" s="42"/>
      <c r="V91" s="1746" t="s">
        <v>723</v>
      </c>
      <c r="W91" s="1747"/>
      <c r="X91" s="1748"/>
      <c r="AB91" s="1746" t="s">
        <v>2066</v>
      </c>
      <c r="AC91" s="1747"/>
      <c r="AD91" s="1747"/>
      <c r="AE91" s="1748"/>
      <c r="AF91" s="49"/>
      <c r="AK91" s="1755" t="s">
        <v>2073</v>
      </c>
      <c r="AL91" s="1756"/>
      <c r="AM91" s="1756"/>
      <c r="AN91" s="1756"/>
      <c r="AO91" s="1756"/>
      <c r="AP91" s="1757"/>
      <c r="AQ91" s="602"/>
      <c r="AR91" s="602"/>
      <c r="AS91" s="602"/>
      <c r="AT91" s="602"/>
      <c r="AU91" s="602"/>
      <c r="AV91" s="602"/>
    </row>
    <row r="92" spans="1:48" s="40" customFormat="1" ht="12.75" customHeight="1" outlineLevel="1" x14ac:dyDescent="0.2">
      <c r="B92" s="62"/>
      <c r="C92" s="63"/>
      <c r="D92" s="705"/>
      <c r="E92" s="705"/>
      <c r="F92" s="1211"/>
      <c r="G92" s="63"/>
      <c r="H92" s="63"/>
      <c r="I92" s="65"/>
      <c r="J92" s="42"/>
      <c r="L92" s="42"/>
      <c r="V92" s="66"/>
      <c r="W92" s="1164"/>
      <c r="X92" s="65"/>
      <c r="AB92" s="1171"/>
      <c r="AC92" s="64"/>
      <c r="AD92" s="64"/>
      <c r="AE92" s="65"/>
      <c r="AF92" s="49"/>
      <c r="AK92" s="737"/>
      <c r="AL92" s="738"/>
      <c r="AM92" s="738"/>
      <c r="AN92" s="738"/>
      <c r="AO92" s="739"/>
      <c r="AP92" s="740"/>
      <c r="AQ92" s="602"/>
      <c r="AR92" s="602"/>
      <c r="AS92" s="602"/>
      <c r="AT92" s="602"/>
      <c r="AU92" s="602"/>
      <c r="AV92" s="602"/>
    </row>
    <row r="93" spans="1:48" s="40" customFormat="1" ht="12.75" customHeight="1" outlineLevel="1" x14ac:dyDescent="0.2">
      <c r="B93" s="1588" t="s">
        <v>2816</v>
      </c>
      <c r="C93" s="64"/>
      <c r="D93" s="202" t="s">
        <v>56</v>
      </c>
      <c r="E93" s="202" t="s">
        <v>56</v>
      </c>
      <c r="F93" s="205" t="s">
        <v>2055</v>
      </c>
      <c r="G93" s="67" t="s">
        <v>2053</v>
      </c>
      <c r="H93" s="64" t="s">
        <v>61</v>
      </c>
      <c r="I93" s="69" t="s">
        <v>61</v>
      </c>
      <c r="J93" s="50"/>
      <c r="L93" s="42"/>
      <c r="V93" s="66" t="s">
        <v>56</v>
      </c>
      <c r="W93" s="1164" t="s">
        <v>2064</v>
      </c>
      <c r="X93" s="69" t="s">
        <v>61</v>
      </c>
      <c r="AB93" s="1171" t="s">
        <v>2065</v>
      </c>
      <c r="AC93" s="138" t="s">
        <v>61</v>
      </c>
      <c r="AD93" s="64" t="s">
        <v>2067</v>
      </c>
      <c r="AE93" s="69" t="s">
        <v>61</v>
      </c>
      <c r="AF93" s="49"/>
      <c r="AK93" s="1739" t="s">
        <v>61</v>
      </c>
      <c r="AL93" s="1740"/>
      <c r="AM93" s="1740"/>
      <c r="AN93" s="1740"/>
      <c r="AO93" s="741" t="s">
        <v>61</v>
      </c>
      <c r="AP93" s="742"/>
      <c r="AQ93" s="602"/>
      <c r="AR93" s="602"/>
      <c r="AS93" s="602"/>
      <c r="AT93" s="602"/>
      <c r="AU93" s="602"/>
      <c r="AV93" s="602"/>
    </row>
    <row r="94" spans="1:48" s="40" customFormat="1" ht="12.75" customHeight="1" outlineLevel="1" x14ac:dyDescent="0.2">
      <c r="B94" s="66"/>
      <c r="C94" s="64"/>
      <c r="D94" s="202" t="s">
        <v>61</v>
      </c>
      <c r="E94" s="202" t="s">
        <v>63</v>
      </c>
      <c r="F94" s="208" t="s">
        <v>2054</v>
      </c>
      <c r="G94" s="70" t="s">
        <v>74</v>
      </c>
      <c r="H94" s="64" t="s">
        <v>2057</v>
      </c>
      <c r="I94" s="69"/>
      <c r="J94" s="50"/>
      <c r="L94" s="42"/>
      <c r="V94" s="66" t="s">
        <v>2063</v>
      </c>
      <c r="W94" s="1164"/>
      <c r="X94" s="69"/>
      <c r="AB94" s="1172"/>
      <c r="AC94" s="138"/>
      <c r="AD94" s="64"/>
      <c r="AE94" s="69"/>
      <c r="AF94" s="49"/>
      <c r="AK94" s="744" t="s">
        <v>14</v>
      </c>
      <c r="AL94" s="745" t="s">
        <v>60</v>
      </c>
      <c r="AM94" s="745" t="s">
        <v>27</v>
      </c>
      <c r="AN94" s="745" t="s">
        <v>2074</v>
      </c>
      <c r="AO94" s="746" t="s">
        <v>41</v>
      </c>
      <c r="AP94" s="747" t="s">
        <v>85</v>
      </c>
      <c r="AQ94" s="602"/>
      <c r="AR94" s="602"/>
      <c r="AS94" s="602"/>
      <c r="AT94" s="602"/>
      <c r="AU94" s="602"/>
      <c r="AV94" s="602"/>
    </row>
    <row r="95" spans="1:48" s="40" customFormat="1" ht="12.75" customHeight="1" outlineLevel="1" x14ac:dyDescent="0.2">
      <c r="B95" s="62" t="s">
        <v>1052</v>
      </c>
      <c r="C95" s="64"/>
      <c r="D95" s="140">
        <f>I95</f>
        <v>0</v>
      </c>
      <c r="E95" s="143">
        <f>D95*12/44</f>
        <v>0</v>
      </c>
      <c r="F95" s="182"/>
      <c r="G95" s="182"/>
      <c r="H95" s="150">
        <f>VLOOKUP($B95,'Emissions factors'!$B$877:$D$913,2,FALSE)</f>
        <v>1.107</v>
      </c>
      <c r="I95" s="72">
        <f>G95*H95</f>
        <v>0</v>
      </c>
      <c r="J95" s="42"/>
      <c r="L95" s="42"/>
      <c r="V95" s="160">
        <f>VLOOKUP($B95,'Emissions factors'!$B$877:$D$913,3,FALSE)</f>
        <v>0.15</v>
      </c>
      <c r="W95" s="436"/>
      <c r="X95" s="211">
        <f>I95*SQRT(V95^2+W95^2)</f>
        <v>0</v>
      </c>
      <c r="AB95" s="439"/>
      <c r="AC95" s="71">
        <f>AB95*I95</f>
        <v>0</v>
      </c>
      <c r="AD95" s="44"/>
      <c r="AE95" s="72">
        <f>AD95*I95</f>
        <v>0</v>
      </c>
      <c r="AF95" s="49"/>
      <c r="AK95" s="717"/>
      <c r="AL95" s="718"/>
      <c r="AM95" s="718"/>
      <c r="AN95" s="718"/>
      <c r="AO95" s="720">
        <f>I95</f>
        <v>0</v>
      </c>
      <c r="AP95" s="748"/>
      <c r="AQ95" s="602"/>
      <c r="AR95" s="602"/>
      <c r="AS95" s="602"/>
      <c r="AT95" s="602"/>
      <c r="AU95" s="602"/>
      <c r="AV95" s="602"/>
    </row>
    <row r="96" spans="1:48" s="40" customFormat="1" ht="12.75" customHeight="1" outlineLevel="1" x14ac:dyDescent="0.2">
      <c r="B96" s="62" t="s">
        <v>151</v>
      </c>
      <c r="C96" s="64"/>
      <c r="D96" s="140">
        <f>I96</f>
        <v>0</v>
      </c>
      <c r="E96" s="143">
        <f>D96*12/44</f>
        <v>0</v>
      </c>
      <c r="F96" s="185"/>
      <c r="G96" s="185"/>
      <c r="H96" s="150">
        <f>VLOOKUP($B96,'Emissions factors'!$B$877:$D$913,2,FALSE)</f>
        <v>0.91900000000000004</v>
      </c>
      <c r="I96" s="72">
        <f>G96*H96</f>
        <v>0</v>
      </c>
      <c r="J96" s="42"/>
      <c r="L96" s="42"/>
      <c r="V96" s="160">
        <f>VLOOKUP($B96,'Emissions factors'!$B$877:$D$913,3,FALSE)</f>
        <v>0.15</v>
      </c>
      <c r="W96" s="437"/>
      <c r="X96" s="211">
        <f>I96*SQRT(V96^2+W96^2)</f>
        <v>0</v>
      </c>
      <c r="AB96" s="440"/>
      <c r="AC96" s="71">
        <f>AB96*I96</f>
        <v>0</v>
      </c>
      <c r="AD96" s="46"/>
      <c r="AE96" s="72">
        <f>AD96*I96</f>
        <v>0</v>
      </c>
      <c r="AF96" s="49"/>
      <c r="AK96" s="717"/>
      <c r="AL96" s="718"/>
      <c r="AM96" s="718"/>
      <c r="AN96" s="718"/>
      <c r="AO96" s="720">
        <f>I96</f>
        <v>0</v>
      </c>
      <c r="AP96" s="748"/>
      <c r="AQ96" s="602"/>
      <c r="AR96" s="602"/>
      <c r="AS96" s="602"/>
      <c r="AT96" s="602"/>
      <c r="AU96" s="602"/>
      <c r="AV96" s="602"/>
    </row>
    <row r="97" spans="1:48" s="40" customFormat="1" ht="12.75" customHeight="1" outlineLevel="1" x14ac:dyDescent="0.2">
      <c r="B97" s="62" t="s">
        <v>1046</v>
      </c>
      <c r="C97" s="64"/>
      <c r="D97" s="140">
        <f>I97</f>
        <v>0</v>
      </c>
      <c r="E97" s="143">
        <f>D97*12/44</f>
        <v>0</v>
      </c>
      <c r="F97" s="185"/>
      <c r="G97" s="45"/>
      <c r="H97" s="150">
        <f>VLOOKUP($B97,'Emissions factors'!$B$877:$D$913,2,FALSE)</f>
        <v>0.105</v>
      </c>
      <c r="I97" s="72">
        <f>G97*H97</f>
        <v>0</v>
      </c>
      <c r="J97" s="42"/>
      <c r="L97" s="42"/>
      <c r="V97" s="160">
        <f>VLOOKUP($B97,'Emissions factors'!$B$877:$D$913,3,FALSE)</f>
        <v>0.15</v>
      </c>
      <c r="W97" s="437"/>
      <c r="X97" s="211">
        <f>I97*SQRT(V97^2+W97^2)</f>
        <v>0</v>
      </c>
      <c r="AB97" s="440"/>
      <c r="AC97" s="71">
        <f>AB97*I97</f>
        <v>0</v>
      </c>
      <c r="AD97" s="46"/>
      <c r="AE97" s="72">
        <f>AD97*I97</f>
        <v>0</v>
      </c>
      <c r="AF97" s="49"/>
      <c r="AK97" s="717"/>
      <c r="AL97" s="718"/>
      <c r="AM97" s="718"/>
      <c r="AN97" s="718"/>
      <c r="AO97" s="720">
        <f>I97</f>
        <v>0</v>
      </c>
      <c r="AP97" s="748"/>
      <c r="AQ97" s="602"/>
      <c r="AR97" s="602"/>
      <c r="AS97" s="602"/>
      <c r="AT97" s="602"/>
      <c r="AU97" s="602"/>
      <c r="AV97" s="602"/>
    </row>
    <row r="98" spans="1:48" s="40" customFormat="1" ht="12.75" customHeight="1" outlineLevel="1" x14ac:dyDescent="0.2">
      <c r="B98" s="62" t="s">
        <v>1033</v>
      </c>
      <c r="C98" s="64"/>
      <c r="D98" s="140">
        <f>I98</f>
        <v>0</v>
      </c>
      <c r="E98" s="143">
        <f>D98*12/44</f>
        <v>0</v>
      </c>
      <c r="F98" s="185"/>
      <c r="G98" s="45"/>
      <c r="H98" s="150">
        <f>VLOOKUP($B98,'Emissions factors'!$B$877:$D$913,2,FALSE)</f>
        <v>0.251</v>
      </c>
      <c r="I98" s="72">
        <f>G98*H98</f>
        <v>0</v>
      </c>
      <c r="J98" s="42"/>
      <c r="L98" s="42"/>
      <c r="V98" s="160">
        <f>VLOOKUP($B98,'Emissions factors'!$B$877:$D$913,3,FALSE)</f>
        <v>0.15</v>
      </c>
      <c r="W98" s="437"/>
      <c r="X98" s="211">
        <f>I98*SQRT(V98^2+W98^2)</f>
        <v>0</v>
      </c>
      <c r="AB98" s="440"/>
      <c r="AC98" s="71">
        <f>AB98*I98</f>
        <v>0</v>
      </c>
      <c r="AD98" s="46"/>
      <c r="AE98" s="72">
        <f>AD98*I98</f>
        <v>0</v>
      </c>
      <c r="AF98" s="49"/>
      <c r="AK98" s="717"/>
      <c r="AL98" s="718"/>
      <c r="AM98" s="718"/>
      <c r="AN98" s="718"/>
      <c r="AO98" s="720">
        <f>I98</f>
        <v>0</v>
      </c>
      <c r="AP98" s="748"/>
      <c r="AQ98" s="602"/>
      <c r="AR98" s="602"/>
      <c r="AS98" s="602"/>
      <c r="AT98" s="602"/>
      <c r="AU98" s="602"/>
      <c r="AV98" s="602"/>
    </row>
    <row r="99" spans="1:48" s="40" customFormat="1" ht="12.75" customHeight="1" outlineLevel="1" x14ac:dyDescent="0.2">
      <c r="B99" s="62" t="s">
        <v>1042</v>
      </c>
      <c r="C99" s="64"/>
      <c r="D99" s="140">
        <f>I99</f>
        <v>0</v>
      </c>
      <c r="E99" s="143">
        <f>D99*12/44</f>
        <v>0</v>
      </c>
      <c r="F99" s="188"/>
      <c r="G99" s="47"/>
      <c r="H99" s="150">
        <f>VLOOKUP($B99,'Emissions factors'!$B$877:$D$913,2,FALSE)</f>
        <v>0.27900000000000003</v>
      </c>
      <c r="I99" s="72">
        <f>G99*H99</f>
        <v>0</v>
      </c>
      <c r="J99" s="42"/>
      <c r="L99" s="42"/>
      <c r="V99" s="160">
        <f>VLOOKUP($B99,'Emissions factors'!$B$877:$D$913,3,FALSE)</f>
        <v>0.15</v>
      </c>
      <c r="W99" s="438"/>
      <c r="X99" s="211">
        <f>I99*SQRT(V99^2+W99^2)</f>
        <v>0</v>
      </c>
      <c r="AB99" s="441"/>
      <c r="AC99" s="71">
        <f>AB99*I99</f>
        <v>0</v>
      </c>
      <c r="AD99" s="48"/>
      <c r="AE99" s="72">
        <f>AD99*I99</f>
        <v>0</v>
      </c>
      <c r="AF99" s="49"/>
      <c r="AK99" s="717"/>
      <c r="AL99" s="718"/>
      <c r="AM99" s="718"/>
      <c r="AN99" s="718"/>
      <c r="AO99" s="720">
        <f>I99</f>
        <v>0</v>
      </c>
      <c r="AP99" s="748"/>
      <c r="AQ99" s="602"/>
      <c r="AR99" s="602"/>
      <c r="AS99" s="602"/>
      <c r="AT99" s="602"/>
      <c r="AU99" s="602"/>
      <c r="AV99" s="602"/>
    </row>
    <row r="100" spans="1:48" s="40" customFormat="1" ht="12.75" customHeight="1" outlineLevel="1" x14ac:dyDescent="0.2">
      <c r="B100" s="62"/>
      <c r="C100" s="63"/>
      <c r="D100" s="141"/>
      <c r="E100" s="144"/>
      <c r="F100" s="214"/>
      <c r="G100" s="63"/>
      <c r="H100" s="63"/>
      <c r="I100" s="72"/>
      <c r="J100" s="42"/>
      <c r="L100" s="42"/>
      <c r="V100" s="62"/>
      <c r="W100" s="1168"/>
      <c r="X100" s="84"/>
      <c r="AB100" s="1172"/>
      <c r="AC100" s="64"/>
      <c r="AD100" s="63"/>
      <c r="AE100" s="84"/>
      <c r="AF100" s="49"/>
      <c r="AK100" s="717"/>
      <c r="AL100" s="718"/>
      <c r="AM100" s="718"/>
      <c r="AN100" s="718"/>
      <c r="AO100" s="720"/>
      <c r="AP100" s="749"/>
      <c r="AQ100" s="602"/>
      <c r="AR100" s="602"/>
      <c r="AS100" s="602"/>
      <c r="AT100" s="602"/>
      <c r="AU100" s="602"/>
      <c r="AV100" s="602"/>
    </row>
    <row r="101" spans="1:48" s="40" customFormat="1" ht="12.75" customHeight="1" outlineLevel="1" x14ac:dyDescent="0.2">
      <c r="B101" s="110" t="s">
        <v>44</v>
      </c>
      <c r="C101" s="111"/>
      <c r="D101" s="142">
        <f>SUM(D95:D100)</f>
        <v>0</v>
      </c>
      <c r="E101" s="145">
        <f>SUM(E95:E100)</f>
        <v>0</v>
      </c>
      <c r="F101" s="255"/>
      <c r="G101" s="113"/>
      <c r="H101" s="113"/>
      <c r="I101" s="114">
        <f>SUM(I95:I100)</f>
        <v>0</v>
      </c>
      <c r="J101" s="42"/>
      <c r="L101" s="42"/>
      <c r="V101" s="115"/>
      <c r="W101" s="1166"/>
      <c r="X101" s="257">
        <f>SQRT(SUMSQ(X95:X100))</f>
        <v>0</v>
      </c>
      <c r="AB101" s="1173"/>
      <c r="AC101" s="116">
        <f>SUM(AC95:AC100)</f>
        <v>0</v>
      </c>
      <c r="AD101" s="113"/>
      <c r="AE101" s="114">
        <f>SUM(AE95:AE100)</f>
        <v>0</v>
      </c>
      <c r="AF101" s="49"/>
      <c r="AK101" s="724">
        <f t="shared" ref="AK101:AP101" si="24">SUM(AK95:AK100)</f>
        <v>0</v>
      </c>
      <c r="AL101" s="725">
        <f t="shared" si="24"/>
        <v>0</v>
      </c>
      <c r="AM101" s="725">
        <f t="shared" si="24"/>
        <v>0</v>
      </c>
      <c r="AN101" s="725">
        <f t="shared" si="24"/>
        <v>0</v>
      </c>
      <c r="AO101" s="727">
        <f t="shared" si="24"/>
        <v>0</v>
      </c>
      <c r="AP101" s="750">
        <f t="shared" si="24"/>
        <v>0</v>
      </c>
      <c r="AQ101" s="602"/>
      <c r="AR101" s="602"/>
      <c r="AS101" s="602"/>
      <c r="AT101" s="602"/>
      <c r="AU101" s="602"/>
      <c r="AV101" s="602"/>
    </row>
    <row r="102" spans="1:48" s="40" customFormat="1" ht="12.75" customHeight="1" outlineLevel="1" x14ac:dyDescent="0.2">
      <c r="J102" s="42"/>
      <c r="L102" s="42"/>
      <c r="W102" s="49"/>
      <c r="AB102" s="49"/>
      <c r="AF102" s="49"/>
      <c r="AK102" s="602"/>
      <c r="AL102" s="602"/>
      <c r="AM102" s="602"/>
      <c r="AN102" s="602"/>
      <c r="AO102" s="602"/>
      <c r="AP102" s="602"/>
      <c r="AQ102" s="602"/>
      <c r="AR102" s="602"/>
      <c r="AS102" s="602"/>
      <c r="AT102" s="602"/>
      <c r="AU102" s="602"/>
      <c r="AV102" s="602"/>
    </row>
    <row r="103" spans="1:48" s="40" customFormat="1" ht="12.75" customHeight="1" outlineLevel="1" x14ac:dyDescent="0.2">
      <c r="B103" s="195" t="s">
        <v>3036</v>
      </c>
      <c r="C103" s="58"/>
      <c r="D103" s="197"/>
      <c r="E103" s="197"/>
      <c r="F103" s="1212"/>
      <c r="G103" s="60"/>
      <c r="H103" s="60"/>
      <c r="I103" s="60"/>
      <c r="J103" s="60"/>
      <c r="K103" s="60"/>
      <c r="L103" s="92"/>
      <c r="V103" s="1746" t="s">
        <v>723</v>
      </c>
      <c r="W103" s="1747"/>
      <c r="X103" s="1748"/>
      <c r="AB103" s="1746" t="s">
        <v>2066</v>
      </c>
      <c r="AC103" s="1747"/>
      <c r="AD103" s="1747"/>
      <c r="AE103" s="1748"/>
      <c r="AF103" s="49"/>
      <c r="AK103" s="1755" t="s">
        <v>2073</v>
      </c>
      <c r="AL103" s="1756"/>
      <c r="AM103" s="1756"/>
      <c r="AN103" s="1756"/>
      <c r="AO103" s="1756"/>
      <c r="AP103" s="1757"/>
      <c r="AQ103" s="602"/>
      <c r="AR103" s="602"/>
      <c r="AS103" s="602"/>
      <c r="AT103" s="602"/>
      <c r="AU103" s="602"/>
      <c r="AV103" s="602"/>
    </row>
    <row r="104" spans="1:48" s="40" customFormat="1" ht="12.75" customHeight="1" outlineLevel="1" x14ac:dyDescent="0.2">
      <c r="B104" s="200" t="s">
        <v>2778</v>
      </c>
      <c r="C104" s="63"/>
      <c r="D104" s="705"/>
      <c r="E104" s="705"/>
      <c r="F104" s="1211"/>
      <c r="G104" s="63"/>
      <c r="H104" s="63"/>
      <c r="I104" s="63"/>
      <c r="J104" s="63"/>
      <c r="K104" s="63"/>
      <c r="L104" s="87"/>
      <c r="V104" s="66"/>
      <c r="W104" s="1164"/>
      <c r="X104" s="65"/>
      <c r="AB104" s="1171"/>
      <c r="AC104" s="64"/>
      <c r="AD104" s="64"/>
      <c r="AE104" s="65"/>
      <c r="AF104" s="49"/>
      <c r="AK104" s="737"/>
      <c r="AL104" s="738"/>
      <c r="AM104" s="738"/>
      <c r="AN104" s="738"/>
      <c r="AO104" s="739"/>
      <c r="AP104" s="740"/>
      <c r="AQ104" s="602"/>
      <c r="AR104" s="602"/>
      <c r="AS104" s="602"/>
      <c r="AT104" s="602"/>
      <c r="AU104" s="602"/>
      <c r="AV104" s="602"/>
    </row>
    <row r="105" spans="1:48" s="32" customFormat="1" ht="12.75" customHeight="1" outlineLevel="1" x14ac:dyDescent="0.2">
      <c r="A105" s="40"/>
      <c r="B105" s="236" t="s">
        <v>2076</v>
      </c>
      <c r="C105" s="93"/>
      <c r="D105" s="202" t="s">
        <v>56</v>
      </c>
      <c r="E105" s="202" t="s">
        <v>56</v>
      </c>
      <c r="F105" s="205" t="s">
        <v>2055</v>
      </c>
      <c r="G105" s="205" t="s">
        <v>2053</v>
      </c>
      <c r="H105" s="205" t="s">
        <v>2078</v>
      </c>
      <c r="I105" s="64" t="s">
        <v>61</v>
      </c>
      <c r="J105" s="1589" t="s">
        <v>37</v>
      </c>
      <c r="K105" s="64" t="s">
        <v>61</v>
      </c>
      <c r="L105" s="69" t="s">
        <v>61</v>
      </c>
      <c r="T105" s="40"/>
      <c r="U105" s="40"/>
      <c r="V105" s="66" t="s">
        <v>56</v>
      </c>
      <c r="W105" s="1164" t="s">
        <v>2064</v>
      </c>
      <c r="X105" s="69" t="s">
        <v>61</v>
      </c>
      <c r="AB105" s="1171" t="s">
        <v>2065</v>
      </c>
      <c r="AC105" s="138" t="s">
        <v>61</v>
      </c>
      <c r="AD105" s="64" t="s">
        <v>2067</v>
      </c>
      <c r="AE105" s="69" t="s">
        <v>61</v>
      </c>
      <c r="AF105" s="1175"/>
      <c r="AK105" s="1739" t="s">
        <v>61</v>
      </c>
      <c r="AL105" s="1740"/>
      <c r="AM105" s="1740"/>
      <c r="AN105" s="1740"/>
      <c r="AO105" s="741" t="s">
        <v>61</v>
      </c>
      <c r="AP105" s="742"/>
      <c r="AQ105" s="743"/>
      <c r="AR105" s="743"/>
      <c r="AS105" s="743"/>
      <c r="AT105" s="602"/>
      <c r="AU105" s="602"/>
      <c r="AV105" s="743"/>
    </row>
    <row r="106" spans="1:48" s="32" customFormat="1" ht="12.75" customHeight="1" outlineLevel="1" x14ac:dyDescent="0.2">
      <c r="A106" s="40"/>
      <c r="B106" s="66"/>
      <c r="C106" s="93"/>
      <c r="D106" s="202" t="s">
        <v>61</v>
      </c>
      <c r="E106" s="202" t="s">
        <v>63</v>
      </c>
      <c r="F106" s="208" t="s">
        <v>2054</v>
      </c>
      <c r="G106" s="208" t="s">
        <v>2077</v>
      </c>
      <c r="H106" s="212" t="s">
        <v>1561</v>
      </c>
      <c r="I106" s="64" t="s">
        <v>2057</v>
      </c>
      <c r="J106" s="64" t="s">
        <v>2079</v>
      </c>
      <c r="K106" s="179" t="s">
        <v>2079</v>
      </c>
      <c r="L106" s="69"/>
      <c r="T106" s="40"/>
      <c r="U106" s="40"/>
      <c r="V106" s="66" t="s">
        <v>2063</v>
      </c>
      <c r="W106" s="1164"/>
      <c r="X106" s="69"/>
      <c r="AB106" s="1172"/>
      <c r="AC106" s="138"/>
      <c r="AD106" s="64"/>
      <c r="AE106" s="69"/>
      <c r="AF106" s="1175"/>
      <c r="AK106" s="744" t="s">
        <v>14</v>
      </c>
      <c r="AL106" s="745" t="s">
        <v>60</v>
      </c>
      <c r="AM106" s="745" t="s">
        <v>27</v>
      </c>
      <c r="AN106" s="745" t="s">
        <v>2074</v>
      </c>
      <c r="AO106" s="746" t="s">
        <v>41</v>
      </c>
      <c r="AP106" s="747" t="s">
        <v>85</v>
      </c>
      <c r="AQ106" s="743"/>
      <c r="AR106" s="743"/>
      <c r="AS106" s="743"/>
      <c r="AT106" s="743"/>
      <c r="AU106" s="743"/>
      <c r="AV106" s="743"/>
    </row>
    <row r="107" spans="1:48" s="40" customFormat="1" ht="12" customHeight="1" outlineLevel="1" x14ac:dyDescent="0.2">
      <c r="B107" s="62" t="s">
        <v>2082</v>
      </c>
      <c r="C107" s="93"/>
      <c r="D107" s="140">
        <f>L107</f>
        <v>0</v>
      </c>
      <c r="E107" s="143">
        <f>D107*12/44</f>
        <v>0</v>
      </c>
      <c r="F107" s="182"/>
      <c r="G107" s="96" t="s">
        <v>970</v>
      </c>
      <c r="H107" s="43"/>
      <c r="I107" s="272">
        <f>VLOOKUP($G107,'Emissions factors'!$B$721:$E$873,2,FALSE)</f>
        <v>0.71799999999999997</v>
      </c>
      <c r="J107" s="276">
        <f>IF(ISNA(VLOOKUP($B107&amp;", "&amp;G107,'Info utili'!$B$119:$E$173,2,FALSE)),VLOOKUP($B107&amp;", France [1]",'Info utili'!$B$119:$E$173,2,FALSE),VLOOKUP($B107&amp;", "&amp;G107,'Info utili'!$B$119:$E$173,2,FALSE))</f>
        <v>16</v>
      </c>
      <c r="K107" s="156">
        <f>I107*J107</f>
        <v>11.488</v>
      </c>
      <c r="L107" s="72">
        <f>H107*K107</f>
        <v>0</v>
      </c>
      <c r="V107" s="160">
        <f>IF(ISNA(VLOOKUP($B107&amp;", "&amp;G107,'Info utili'!$B$119:$E$173,4,FALSE)),VLOOKUP($B107&amp;", France [1]",'Info utili'!$B$119:$E$173,4,FALSE),VLOOKUP($B107&amp;", "&amp;G107,'Info utili'!$B$119:$E$173,4,FALSE))</f>
        <v>0.3</v>
      </c>
      <c r="W107" s="436"/>
      <c r="X107" s="72">
        <f>L107*SQRT(V107^2+W107^2)</f>
        <v>0</v>
      </c>
      <c r="AB107" s="439"/>
      <c r="AC107" s="71">
        <f>AB107*L107</f>
        <v>0</v>
      </c>
      <c r="AD107" s="44"/>
      <c r="AE107" s="72">
        <f>AD107*L107</f>
        <v>0</v>
      </c>
      <c r="AF107" s="49"/>
      <c r="AK107" s="717">
        <f>H107*J107*VLOOKUP($G107,'Emissions factors'!$B$721:$I$873,4,FALSE)</f>
        <v>0</v>
      </c>
      <c r="AL107" s="718">
        <f>H107*J107*VLOOKUP($G107,'Emissions factors'!$B$721:$I$873,5,FALSE)</f>
        <v>0</v>
      </c>
      <c r="AM107" s="718">
        <f>H107*J107*VLOOKUP($G107,'Emissions factors'!$B$721:$I$873,6,FALSE)</f>
        <v>0</v>
      </c>
      <c r="AN107" s="718">
        <f>H107*J107*VLOOKUP($G107,'Emissions factors'!$B$721:$I$873,7,FALSE)</f>
        <v>0</v>
      </c>
      <c r="AO107" s="720">
        <f>L107</f>
        <v>0</v>
      </c>
      <c r="AP107" s="748">
        <f>H107*J107*VLOOKUP($G107,'Emissions factors'!$B$721:$I$873,8,FALSE)</f>
        <v>0</v>
      </c>
      <c r="AQ107" s="602"/>
      <c r="AR107" s="602"/>
      <c r="AS107" s="602"/>
      <c r="AT107" s="743"/>
      <c r="AU107" s="743"/>
      <c r="AV107" s="602"/>
    </row>
    <row r="108" spans="1:48" s="40" customFormat="1" ht="12" customHeight="1" outlineLevel="1" x14ac:dyDescent="0.2">
      <c r="B108" s="62" t="s">
        <v>2081</v>
      </c>
      <c r="C108" s="93"/>
      <c r="D108" s="140">
        <f>L108</f>
        <v>0</v>
      </c>
      <c r="E108" s="143">
        <f>D108*12/44</f>
        <v>0</v>
      </c>
      <c r="F108" s="185"/>
      <c r="G108" s="97" t="s">
        <v>1323</v>
      </c>
      <c r="H108" s="45"/>
      <c r="I108" s="272">
        <f>VLOOKUP($G108,'Emissions factors'!$B$721:$E$873,2,FALSE)</f>
        <v>0.45700000000000002</v>
      </c>
      <c r="J108" s="276">
        <f>IF(ISNA(VLOOKUP($B108&amp;", "&amp;G108,'Info utili'!$B$119:$E$173,2,FALSE)),VLOOKUP($B108&amp;", France [1]",'Info utili'!$B$119:$E$173,2,FALSE),VLOOKUP($B108&amp;", "&amp;G108,'Info utili'!$B$119:$E$173,2,FALSE))</f>
        <v>126</v>
      </c>
      <c r="K108" s="156">
        <f>I108*J108</f>
        <v>57.582000000000001</v>
      </c>
      <c r="L108" s="72">
        <f>H108*K108</f>
        <v>0</v>
      </c>
      <c r="V108" s="282">
        <f>IF(ISNA(VLOOKUP($B108&amp;", "&amp;G108,'Info utili'!$B$119:$E$173,4,FALSE)),VLOOKUP($B108&amp;", France [1]",'Info utili'!$B$119:$E$173,4,FALSE),VLOOKUP($B108&amp;", "&amp;G108,'Info utili'!$B$119:$E$173,4,FALSE))</f>
        <v>0.3</v>
      </c>
      <c r="W108" s="437"/>
      <c r="X108" s="211">
        <f>L108*SQRT(V108^2+W108^2)</f>
        <v>0</v>
      </c>
      <c r="AB108" s="440"/>
      <c r="AC108" s="71">
        <f>AB108*L108</f>
        <v>0</v>
      </c>
      <c r="AD108" s="46"/>
      <c r="AE108" s="72">
        <f>AD108*L108</f>
        <v>0</v>
      </c>
      <c r="AF108" s="49"/>
      <c r="AK108" s="717">
        <f>H108*J108*VLOOKUP($G108,'Emissions factors'!$B$721:$I$873,4,FALSE)</f>
        <v>0</v>
      </c>
      <c r="AL108" s="718">
        <f>H108*J108*VLOOKUP($G108,'Emissions factors'!$B$721:$I$873,5,FALSE)</f>
        <v>0</v>
      </c>
      <c r="AM108" s="718">
        <f>H108*J108*VLOOKUP($G108,'Emissions factors'!$B$721:$I$873,6,FALSE)</f>
        <v>0</v>
      </c>
      <c r="AN108" s="718">
        <f>H108*J108*VLOOKUP($G108,'Emissions factors'!$B$721:$I$873,7,FALSE)</f>
        <v>0</v>
      </c>
      <c r="AO108" s="720">
        <f>L108</f>
        <v>0</v>
      </c>
      <c r="AP108" s="748">
        <f>H108*J108*VLOOKUP($G108,'Emissions factors'!$B$721:$I$873,8,FALSE)</f>
        <v>0</v>
      </c>
      <c r="AQ108" s="602"/>
      <c r="AR108" s="602"/>
      <c r="AS108" s="602"/>
      <c r="AT108" s="602"/>
      <c r="AU108" s="602"/>
      <c r="AV108" s="602"/>
    </row>
    <row r="109" spans="1:48" s="40" customFormat="1" ht="12" customHeight="1" outlineLevel="1" x14ac:dyDescent="0.2">
      <c r="B109" s="62" t="s">
        <v>2083</v>
      </c>
      <c r="C109" s="93"/>
      <c r="D109" s="140">
        <f>L109</f>
        <v>0</v>
      </c>
      <c r="E109" s="143">
        <f>D109*12/44</f>
        <v>0</v>
      </c>
      <c r="F109" s="185"/>
      <c r="G109" s="97" t="s">
        <v>141</v>
      </c>
      <c r="H109" s="45"/>
      <c r="I109" s="272">
        <f>VLOOKUP($G109,'Emissions factors'!$B$721:$E$873,2,FALSE)</f>
        <v>7.4999999999999997E-2</v>
      </c>
      <c r="J109" s="276">
        <f>IF(ISNA(VLOOKUP($B109&amp;", "&amp;G109,'Info utili'!$B$119:$E$173,2,FALSE)),VLOOKUP($B109&amp;", France [1]",'Info utili'!$B$119:$E$173,2,FALSE),VLOOKUP($B109&amp;", "&amp;G109,'Info utili'!$B$119:$E$173,2,FALSE))</f>
        <v>67</v>
      </c>
      <c r="K109" s="156">
        <f>I109*J109</f>
        <v>5.0249999999999995</v>
      </c>
      <c r="L109" s="72">
        <f>H109*K109</f>
        <v>0</v>
      </c>
      <c r="V109" s="282">
        <f>IF(ISNA(VLOOKUP($B109&amp;", "&amp;G109,'Info utili'!$B$119:$E$173,4,FALSE)),VLOOKUP($B109&amp;", France [1]",'Info utili'!$B$119:$E$173,4,FALSE),VLOOKUP($B109&amp;", "&amp;G109,'Info utili'!$B$119:$E$173,4,FALSE))</f>
        <v>0.3</v>
      </c>
      <c r="W109" s="437"/>
      <c r="X109" s="211">
        <f>L109*SQRT(V109^2+W109^2)</f>
        <v>0</v>
      </c>
      <c r="AB109" s="440"/>
      <c r="AC109" s="71">
        <f>AB109*L109</f>
        <v>0</v>
      </c>
      <c r="AD109" s="46"/>
      <c r="AE109" s="72">
        <f>AD109*L109</f>
        <v>0</v>
      </c>
      <c r="AF109" s="49"/>
      <c r="AK109" s="717">
        <f>H109*J109*VLOOKUP($G109,'Emissions factors'!$B$721:$I$873,4,FALSE)</f>
        <v>0</v>
      </c>
      <c r="AL109" s="718">
        <f>H109*J109*VLOOKUP($G109,'Emissions factors'!$B$721:$I$873,5,FALSE)</f>
        <v>0</v>
      </c>
      <c r="AM109" s="718">
        <f>H109*J109*VLOOKUP($G109,'Emissions factors'!$B$721:$I$873,6,FALSE)</f>
        <v>0</v>
      </c>
      <c r="AN109" s="718">
        <f>H109*J109*VLOOKUP($G109,'Emissions factors'!$B$721:$I$873,7,FALSE)</f>
        <v>0</v>
      </c>
      <c r="AO109" s="720">
        <f>L109</f>
        <v>0</v>
      </c>
      <c r="AP109" s="748">
        <f>H109*J109*VLOOKUP($G109,'Emissions factors'!$B$721:$I$873,8,FALSE)</f>
        <v>0</v>
      </c>
      <c r="AQ109" s="602"/>
      <c r="AR109" s="602"/>
      <c r="AS109" s="602"/>
      <c r="AT109" s="602"/>
      <c r="AU109" s="602"/>
      <c r="AV109" s="602"/>
    </row>
    <row r="110" spans="1:48" s="40" customFormat="1" ht="12" customHeight="1" outlineLevel="1" x14ac:dyDescent="0.2">
      <c r="B110" s="62" t="s">
        <v>2187</v>
      </c>
      <c r="C110" s="93"/>
      <c r="D110" s="140">
        <f>L110</f>
        <v>0</v>
      </c>
      <c r="E110" s="143">
        <f>D110*12/44</f>
        <v>0</v>
      </c>
      <c r="F110" s="188"/>
      <c r="G110" s="98" t="s">
        <v>141</v>
      </c>
      <c r="H110" s="47"/>
      <c r="I110" s="272">
        <f>VLOOKUP($G110,'Emissions factors'!$B$721:$E$873,2,FALSE)</f>
        <v>7.4999999999999997E-2</v>
      </c>
      <c r="J110" s="276">
        <f>IF(ISNA(VLOOKUP($B110&amp;", "&amp;G110,'Info utili'!$B$119:$E$173,2,FALSE)),VLOOKUP($B110&amp;", France [1]",'Info utili'!$B$119:$E$173,2,FALSE),VLOOKUP($B110&amp;", "&amp;G110,'Info utili'!$B$119:$E$173,2,FALSE))</f>
        <v>83</v>
      </c>
      <c r="K110" s="156">
        <f>I110*J110</f>
        <v>6.2249999999999996</v>
      </c>
      <c r="L110" s="72">
        <f>H110*K110</f>
        <v>0</v>
      </c>
      <c r="V110" s="282">
        <f>IF(ISNA(VLOOKUP($B110&amp;", "&amp;G110,'Info utili'!$B$119:$E$173,4,FALSE)),VLOOKUP($B110&amp;", France [1]",'Info utili'!$B$119:$E$173,4,FALSE),VLOOKUP($B110&amp;", "&amp;G110,'Info utili'!$B$119:$E$173,4,FALSE))</f>
        <v>0.3</v>
      </c>
      <c r="W110" s="438"/>
      <c r="X110" s="211">
        <f>L110*SQRT(V110^2+W110^2)</f>
        <v>0</v>
      </c>
      <c r="AB110" s="441"/>
      <c r="AC110" s="71">
        <f>AB110*L110</f>
        <v>0</v>
      </c>
      <c r="AD110" s="48"/>
      <c r="AE110" s="72">
        <f>AD110*L110</f>
        <v>0</v>
      </c>
      <c r="AF110" s="49"/>
      <c r="AK110" s="717">
        <f>H110*J110*VLOOKUP($G110,'Emissions factors'!$B$721:$I$873,4,FALSE)</f>
        <v>0</v>
      </c>
      <c r="AL110" s="718">
        <f>H110*J110*VLOOKUP($G110,'Emissions factors'!$B$721:$I$873,5,FALSE)</f>
        <v>0</v>
      </c>
      <c r="AM110" s="718">
        <f>H110*J110*VLOOKUP($G110,'Emissions factors'!$B$721:$I$873,6,FALSE)</f>
        <v>0</v>
      </c>
      <c r="AN110" s="718">
        <f>H110*J110*VLOOKUP($G110,'Emissions factors'!$B$721:$I$873,7,FALSE)</f>
        <v>0</v>
      </c>
      <c r="AO110" s="720">
        <f>L110</f>
        <v>0</v>
      </c>
      <c r="AP110" s="748">
        <f>H110*J110*VLOOKUP($G110,'Emissions factors'!$B$721:$I$873,8,FALSE)</f>
        <v>0</v>
      </c>
      <c r="AQ110" s="602"/>
      <c r="AR110" s="602"/>
      <c r="AS110" s="602"/>
      <c r="AT110" s="602"/>
      <c r="AU110" s="602"/>
      <c r="AV110" s="602"/>
    </row>
    <row r="111" spans="1:48" s="40" customFormat="1" ht="12.75" customHeight="1" outlineLevel="1" x14ac:dyDescent="0.2">
      <c r="B111" s="62"/>
      <c r="C111" s="63"/>
      <c r="D111" s="141"/>
      <c r="E111" s="144"/>
      <c r="F111" s="214"/>
      <c r="G111" s="63"/>
      <c r="H111" s="63"/>
      <c r="I111" s="63"/>
      <c r="J111" s="63"/>
      <c r="K111" s="63"/>
      <c r="L111" s="72"/>
      <c r="V111" s="62"/>
      <c r="W111" s="1168"/>
      <c r="X111" s="84"/>
      <c r="AB111" s="1172"/>
      <c r="AC111" s="64"/>
      <c r="AD111" s="63"/>
      <c r="AE111" s="84"/>
      <c r="AF111" s="49"/>
      <c r="AK111" s="717"/>
      <c r="AL111" s="718"/>
      <c r="AM111" s="718"/>
      <c r="AN111" s="718"/>
      <c r="AO111" s="720"/>
      <c r="AP111" s="749"/>
      <c r="AQ111" s="602"/>
      <c r="AR111" s="602"/>
      <c r="AS111" s="602"/>
      <c r="AT111" s="602"/>
      <c r="AU111" s="602"/>
      <c r="AV111" s="602"/>
    </row>
    <row r="112" spans="1:48" s="40" customFormat="1" ht="12.75" customHeight="1" outlineLevel="1" x14ac:dyDescent="0.2">
      <c r="B112" s="110" t="s">
        <v>44</v>
      </c>
      <c r="C112" s="111"/>
      <c r="D112" s="142">
        <f>SUM(D107:D111)</f>
        <v>0</v>
      </c>
      <c r="E112" s="145">
        <f>SUM(E107:E111)</f>
        <v>0</v>
      </c>
      <c r="F112" s="255"/>
      <c r="G112" s="113"/>
      <c r="H112" s="113"/>
      <c r="I112" s="113"/>
      <c r="J112" s="113"/>
      <c r="K112" s="113"/>
      <c r="L112" s="114">
        <f>SUM(L107:L111)</f>
        <v>0</v>
      </c>
      <c r="V112" s="115"/>
      <c r="W112" s="1166"/>
      <c r="X112" s="114">
        <f>SQRT(SUMSQ(X107:X111))</f>
        <v>0</v>
      </c>
      <c r="AB112" s="1173"/>
      <c r="AC112" s="116">
        <f>SUM(AC107:AC111)</f>
        <v>0</v>
      </c>
      <c r="AD112" s="113"/>
      <c r="AE112" s="114">
        <f>SUM(AE107:AE111)</f>
        <v>0</v>
      </c>
      <c r="AF112" s="49"/>
      <c r="AK112" s="724">
        <f t="shared" ref="AK112:AP112" si="25">SUM(AK107:AK111)</f>
        <v>0</v>
      </c>
      <c r="AL112" s="725">
        <f t="shared" si="25"/>
        <v>0</v>
      </c>
      <c r="AM112" s="725">
        <f t="shared" si="25"/>
        <v>0</v>
      </c>
      <c r="AN112" s="725">
        <f t="shared" si="25"/>
        <v>0</v>
      </c>
      <c r="AO112" s="727">
        <f t="shared" si="25"/>
        <v>0</v>
      </c>
      <c r="AP112" s="750">
        <f t="shared" si="25"/>
        <v>0</v>
      </c>
      <c r="AQ112" s="602"/>
      <c r="AR112" s="602"/>
      <c r="AS112" s="602"/>
      <c r="AT112" s="602"/>
      <c r="AU112" s="602"/>
      <c r="AV112" s="602"/>
    </row>
    <row r="113" spans="1:48" s="40" customFormat="1" ht="12.75" customHeight="1" outlineLevel="1" x14ac:dyDescent="0.2">
      <c r="K113" s="42"/>
      <c r="W113" s="637"/>
      <c r="AB113" s="49"/>
      <c r="AF113" s="49"/>
      <c r="AK113" s="602"/>
      <c r="AL113" s="602"/>
      <c r="AM113" s="602"/>
      <c r="AN113" s="602"/>
      <c r="AO113" s="602"/>
      <c r="AP113" s="602"/>
      <c r="AQ113" s="602"/>
      <c r="AR113" s="602"/>
      <c r="AS113" s="602"/>
      <c r="AT113" s="602"/>
      <c r="AU113" s="602"/>
      <c r="AV113" s="602"/>
    </row>
    <row r="114" spans="1:48" s="40" customFormat="1" ht="12.75" customHeight="1" outlineLevel="1" x14ac:dyDescent="0.2">
      <c r="B114" s="195" t="s">
        <v>3037</v>
      </c>
      <c r="C114" s="58"/>
      <c r="D114" s="197"/>
      <c r="E114" s="197"/>
      <c r="F114" s="1212"/>
      <c r="G114" s="60"/>
      <c r="H114" s="60"/>
      <c r="I114" s="60"/>
      <c r="J114" s="60"/>
      <c r="K114" s="60"/>
      <c r="L114" s="92"/>
      <c r="V114" s="1746" t="s">
        <v>723</v>
      </c>
      <c r="W114" s="1747"/>
      <c r="X114" s="1748"/>
      <c r="AB114" s="1746" t="s">
        <v>2066</v>
      </c>
      <c r="AC114" s="1747"/>
      <c r="AD114" s="1747"/>
      <c r="AE114" s="1748"/>
      <c r="AF114" s="49"/>
      <c r="AK114" s="1755" t="s">
        <v>2073</v>
      </c>
      <c r="AL114" s="1756"/>
      <c r="AM114" s="1756"/>
      <c r="AN114" s="1756"/>
      <c r="AO114" s="1756"/>
      <c r="AP114" s="1757"/>
      <c r="AQ114" s="602"/>
      <c r="AR114" s="602"/>
      <c r="AS114" s="602"/>
      <c r="AT114" s="602"/>
      <c r="AU114" s="602"/>
      <c r="AV114" s="602"/>
    </row>
    <row r="115" spans="1:48" s="40" customFormat="1" ht="12.75" customHeight="1" outlineLevel="1" x14ac:dyDescent="0.2">
      <c r="B115" s="200" t="s">
        <v>2779</v>
      </c>
      <c r="C115" s="63"/>
      <c r="D115" s="206"/>
      <c r="E115" s="206"/>
      <c r="F115" s="1211"/>
      <c r="G115" s="63"/>
      <c r="H115" s="63"/>
      <c r="I115" s="63"/>
      <c r="J115" s="63"/>
      <c r="K115" s="63"/>
      <c r="L115" s="87"/>
      <c r="V115" s="66"/>
      <c r="W115" s="1164"/>
      <c r="X115" s="65"/>
      <c r="AB115" s="1171"/>
      <c r="AC115" s="64"/>
      <c r="AD115" s="64"/>
      <c r="AE115" s="65"/>
      <c r="AF115" s="49"/>
      <c r="AK115" s="737"/>
      <c r="AL115" s="738"/>
      <c r="AM115" s="738"/>
      <c r="AN115" s="738"/>
      <c r="AO115" s="739"/>
      <c r="AP115" s="740"/>
      <c r="AQ115" s="602"/>
      <c r="AR115" s="602"/>
      <c r="AS115" s="602"/>
      <c r="AT115" s="602"/>
      <c r="AU115" s="602"/>
      <c r="AV115" s="602"/>
    </row>
    <row r="116" spans="1:48" s="32" customFormat="1" ht="12.75" customHeight="1" outlineLevel="1" x14ac:dyDescent="0.2">
      <c r="A116" s="40"/>
      <c r="B116" s="236" t="s">
        <v>2076</v>
      </c>
      <c r="C116" s="93"/>
      <c r="D116" s="202" t="s">
        <v>56</v>
      </c>
      <c r="E116" s="202" t="s">
        <v>56</v>
      </c>
      <c r="F116" s="205" t="s">
        <v>2055</v>
      </c>
      <c r="G116" s="205" t="s">
        <v>2053</v>
      </c>
      <c r="H116" s="205" t="s">
        <v>2078</v>
      </c>
      <c r="I116" s="64" t="s">
        <v>61</v>
      </c>
      <c r="J116" s="1589" t="s">
        <v>37</v>
      </c>
      <c r="K116" s="64" t="s">
        <v>61</v>
      </c>
      <c r="L116" s="69" t="s">
        <v>61</v>
      </c>
      <c r="T116" s="40"/>
      <c r="U116" s="40"/>
      <c r="V116" s="66" t="s">
        <v>56</v>
      </c>
      <c r="W116" s="1164" t="s">
        <v>2064</v>
      </c>
      <c r="X116" s="69" t="s">
        <v>61</v>
      </c>
      <c r="AB116" s="1171" t="s">
        <v>2065</v>
      </c>
      <c r="AC116" s="138" t="s">
        <v>61</v>
      </c>
      <c r="AD116" s="64" t="s">
        <v>2067</v>
      </c>
      <c r="AE116" s="69" t="s">
        <v>61</v>
      </c>
      <c r="AF116" s="1175"/>
      <c r="AK116" s="1739" t="s">
        <v>61</v>
      </c>
      <c r="AL116" s="1740"/>
      <c r="AM116" s="1740"/>
      <c r="AN116" s="1740"/>
      <c r="AO116" s="741" t="s">
        <v>61</v>
      </c>
      <c r="AP116" s="742"/>
      <c r="AQ116" s="743"/>
      <c r="AR116" s="743"/>
      <c r="AS116" s="743"/>
      <c r="AT116" s="602"/>
      <c r="AU116" s="602"/>
      <c r="AV116" s="743"/>
    </row>
    <row r="117" spans="1:48" s="32" customFormat="1" ht="12.75" customHeight="1" outlineLevel="1" x14ac:dyDescent="0.2">
      <c r="A117" s="40"/>
      <c r="B117" s="66"/>
      <c r="C117" s="64"/>
      <c r="D117" s="202" t="s">
        <v>61</v>
      </c>
      <c r="E117" s="202" t="s">
        <v>63</v>
      </c>
      <c r="F117" s="208" t="s">
        <v>2054</v>
      </c>
      <c r="G117" s="208" t="s">
        <v>2077</v>
      </c>
      <c r="H117" s="212" t="s">
        <v>1561</v>
      </c>
      <c r="I117" s="64" t="s">
        <v>2057</v>
      </c>
      <c r="J117" s="1331" t="s">
        <v>2079</v>
      </c>
      <c r="K117" s="179" t="s">
        <v>2079</v>
      </c>
      <c r="L117" s="69"/>
      <c r="T117" s="40"/>
      <c r="U117" s="40"/>
      <c r="V117" s="66" t="s">
        <v>2063</v>
      </c>
      <c r="W117" s="1164"/>
      <c r="X117" s="69"/>
      <c r="AB117" s="1172"/>
      <c r="AC117" s="138"/>
      <c r="AD117" s="64"/>
      <c r="AE117" s="69"/>
      <c r="AF117" s="1175"/>
      <c r="AK117" s="744" t="s">
        <v>14</v>
      </c>
      <c r="AL117" s="745" t="s">
        <v>60</v>
      </c>
      <c r="AM117" s="745" t="s">
        <v>27</v>
      </c>
      <c r="AN117" s="745" t="s">
        <v>2074</v>
      </c>
      <c r="AO117" s="746" t="s">
        <v>41</v>
      </c>
      <c r="AP117" s="747" t="s">
        <v>85</v>
      </c>
      <c r="AQ117" s="743"/>
      <c r="AR117" s="743"/>
      <c r="AS117" s="743"/>
      <c r="AT117" s="743"/>
      <c r="AU117" s="743"/>
      <c r="AV117" s="743"/>
    </row>
    <row r="118" spans="1:48" s="40" customFormat="1" ht="12" customHeight="1" outlineLevel="1" x14ac:dyDescent="0.2">
      <c r="B118" s="200" t="s">
        <v>2080</v>
      </c>
      <c r="C118" s="64"/>
      <c r="D118" s="140">
        <f>L118</f>
        <v>0</v>
      </c>
      <c r="E118" s="143">
        <f>D118*12/44</f>
        <v>0</v>
      </c>
      <c r="F118" s="182"/>
      <c r="G118" s="96" t="s">
        <v>972</v>
      </c>
      <c r="H118" s="43"/>
      <c r="I118" s="272">
        <f>VLOOKUP($G118,'Emissions factors'!$B$721:$E$873,2,FALSE)</f>
        <v>0.317</v>
      </c>
      <c r="J118" s="276">
        <f>IF(ISNA(VLOOKUP($B118&amp;", "&amp;G118,'Info utili'!$B$119:$E$173,3,FALSE)),VLOOKUP($B118&amp;", France [1]",'Info utili'!$B$119:$E$173,3,FALSE),VLOOKUP($B118&amp;", "&amp;G118,'Info utili'!$B$119:$E$173,3,FALSE))</f>
        <v>283</v>
      </c>
      <c r="K118" s="156">
        <f>I118*J118</f>
        <v>89.710999999999999</v>
      </c>
      <c r="L118" s="72">
        <f>H118*K118</f>
        <v>0</v>
      </c>
      <c r="V118" s="160">
        <f>IF(ISNA(VLOOKUP($B118&amp;", "&amp;G118,'Info utili'!$B$119:$E$173,4,FALSE)),VLOOKUP($B118&amp;", France [1]",'Info utili'!$B$119:$E$173,4,FALSE),VLOOKUP($B118&amp;", "&amp;G118,'Info utili'!$B$119:$E$173,4,FALSE))</f>
        <v>0.3</v>
      </c>
      <c r="W118" s="436"/>
      <c r="X118" s="211">
        <f>L118*SQRT(V118^2+W118^2)</f>
        <v>0</v>
      </c>
      <c r="AB118" s="439"/>
      <c r="AC118" s="71">
        <f>AB118*L118</f>
        <v>0</v>
      </c>
      <c r="AD118" s="44"/>
      <c r="AE118" s="72">
        <f>AD118*L118</f>
        <v>0</v>
      </c>
      <c r="AF118" s="49"/>
      <c r="AK118" s="717">
        <f>H118*J118*VLOOKUP($G118,'Emissions factors'!$B$721:$I$873,4,FALSE)</f>
        <v>0</v>
      </c>
      <c r="AL118" s="718">
        <f>H118*J118*VLOOKUP($G118,'Emissions factors'!$B$721:$I$873,5,FALSE)</f>
        <v>0</v>
      </c>
      <c r="AM118" s="718">
        <f>H118*J118*VLOOKUP($G118,'Emissions factors'!$B$721:$I$873,6,FALSE)</f>
        <v>0</v>
      </c>
      <c r="AN118" s="718">
        <f>H118*J118*VLOOKUP($G118,'Emissions factors'!$B$721:$I$873,7,FALSE)</f>
        <v>0</v>
      </c>
      <c r="AO118" s="720">
        <f>L118</f>
        <v>0</v>
      </c>
      <c r="AP118" s="748">
        <f>H118*J118*VLOOKUP($G118,'Emissions factors'!$B$721:$I$873,8,FALSE)</f>
        <v>0</v>
      </c>
      <c r="AQ118" s="602"/>
      <c r="AR118" s="602"/>
      <c r="AS118" s="602"/>
      <c r="AT118" s="743"/>
      <c r="AU118" s="743"/>
      <c r="AV118" s="602"/>
    </row>
    <row r="119" spans="1:48" s="40" customFormat="1" ht="12" customHeight="1" outlineLevel="1" x14ac:dyDescent="0.2">
      <c r="B119" s="200" t="s">
        <v>2081</v>
      </c>
      <c r="C119" s="64"/>
      <c r="D119" s="140">
        <f>L119</f>
        <v>0</v>
      </c>
      <c r="E119" s="143">
        <f>D119*12/44</f>
        <v>0</v>
      </c>
      <c r="F119" s="185"/>
      <c r="G119" s="97" t="s">
        <v>141</v>
      </c>
      <c r="H119" s="45"/>
      <c r="I119" s="272">
        <f>VLOOKUP($G119,'Emissions factors'!$B$721:$E$873,2,FALSE)</f>
        <v>7.4999999999999997E-2</v>
      </c>
      <c r="J119" s="276">
        <f>IF(ISNA(VLOOKUP($B119&amp;", "&amp;G119,'Info utili'!$B$119:$E$173,3,FALSE)),VLOOKUP($B119&amp;", France [1]",'Info utili'!$B$119:$E$173,3,FALSE),VLOOKUP($B119&amp;", "&amp;G119,'Info utili'!$B$119:$E$173,3,FALSE))</f>
        <v>243</v>
      </c>
      <c r="K119" s="156">
        <f>I119*J119</f>
        <v>18.224999999999998</v>
      </c>
      <c r="L119" s="72">
        <f>H119*K119</f>
        <v>0</v>
      </c>
      <c r="V119" s="282">
        <f>IF(ISNA(VLOOKUP($B119&amp;", "&amp;G119,'Info utili'!$B$119:$E$173,4,FALSE)),VLOOKUP($B119&amp;", France [1]",'Info utili'!$B$119:$E$173,4,FALSE),VLOOKUP($B119&amp;", "&amp;G119,'Info utili'!$B$119:$E$173,4,FALSE))</f>
        <v>0.3</v>
      </c>
      <c r="W119" s="437"/>
      <c r="X119" s="211">
        <f>L119*SQRT(V119^2+W119^2)</f>
        <v>0</v>
      </c>
      <c r="AB119" s="440"/>
      <c r="AC119" s="71">
        <f>AB119*L119</f>
        <v>0</v>
      </c>
      <c r="AD119" s="46"/>
      <c r="AE119" s="72">
        <f>AD119*L119</f>
        <v>0</v>
      </c>
      <c r="AF119" s="49"/>
      <c r="AK119" s="717">
        <f>H119*J119*VLOOKUP($G119,'Emissions factors'!$B$721:$I$873,4,FALSE)</f>
        <v>0</v>
      </c>
      <c r="AL119" s="718">
        <f>H119*J119*VLOOKUP($G119,'Emissions factors'!$B$721:$I$873,5,FALSE)</f>
        <v>0</v>
      </c>
      <c r="AM119" s="718">
        <f>H119*J119*VLOOKUP($G119,'Emissions factors'!$B$721:$I$873,6,FALSE)</f>
        <v>0</v>
      </c>
      <c r="AN119" s="718">
        <f>H119*J119*VLOOKUP($G119,'Emissions factors'!$B$721:$I$873,7,FALSE)</f>
        <v>0</v>
      </c>
      <c r="AO119" s="720">
        <f>L119</f>
        <v>0</v>
      </c>
      <c r="AP119" s="748">
        <f>H119*J119*VLOOKUP($G119,'Emissions factors'!$B$721:$I$873,8,FALSE)</f>
        <v>0</v>
      </c>
      <c r="AQ119" s="602"/>
      <c r="AR119" s="602"/>
      <c r="AS119" s="602"/>
      <c r="AT119" s="602"/>
      <c r="AU119" s="602"/>
      <c r="AV119" s="602"/>
    </row>
    <row r="120" spans="1:48" s="40" customFormat="1" ht="12" customHeight="1" outlineLevel="1" x14ac:dyDescent="0.2">
      <c r="B120" s="200" t="s">
        <v>2083</v>
      </c>
      <c r="C120" s="64"/>
      <c r="D120" s="140">
        <f>L120</f>
        <v>0</v>
      </c>
      <c r="E120" s="143">
        <f>D120*12/44</f>
        <v>0</v>
      </c>
      <c r="F120" s="185"/>
      <c r="G120" s="97" t="s">
        <v>141</v>
      </c>
      <c r="H120" s="45"/>
      <c r="I120" s="272">
        <f>VLOOKUP($G120,'Emissions factors'!$B$721:$E$873,2,FALSE)</f>
        <v>7.4999999999999997E-2</v>
      </c>
      <c r="J120" s="276">
        <f>IF(ISNA(VLOOKUP($B120&amp;", "&amp;G120,'Info utili'!$B$119:$E$173,3,FALSE)),VLOOKUP($B120&amp;", France [1]",'Info utili'!$B$119:$E$173,3,FALSE),VLOOKUP($B120&amp;", "&amp;G120,'Info utili'!$B$119:$E$173,3,FALSE))</f>
        <v>221</v>
      </c>
      <c r="K120" s="156">
        <f>I120*J120</f>
        <v>16.574999999999999</v>
      </c>
      <c r="L120" s="72">
        <f>H120*K120</f>
        <v>0</v>
      </c>
      <c r="V120" s="282">
        <f>IF(ISNA(VLOOKUP($B120&amp;", "&amp;G120,'Info utili'!$B$119:$E$173,4,FALSE)),VLOOKUP($B120&amp;", France [1]",'Info utili'!$B$119:$E$173,4,FALSE),VLOOKUP($B120&amp;", "&amp;G120,'Info utili'!$B$119:$E$173,4,FALSE))</f>
        <v>0.3</v>
      </c>
      <c r="W120" s="437"/>
      <c r="X120" s="211">
        <f>L120*SQRT(V120^2+W120^2)</f>
        <v>0</v>
      </c>
      <c r="AB120" s="440"/>
      <c r="AC120" s="71">
        <f>AB120*L120</f>
        <v>0</v>
      </c>
      <c r="AD120" s="46"/>
      <c r="AE120" s="72">
        <f>AD120*L120</f>
        <v>0</v>
      </c>
      <c r="AF120" s="49"/>
      <c r="AK120" s="717">
        <f>H120*J120*VLOOKUP($G120,'Emissions factors'!$B$721:$I$873,4,FALSE)</f>
        <v>0</v>
      </c>
      <c r="AL120" s="718">
        <f>H120*J120*VLOOKUP($G120,'Emissions factors'!$B$721:$I$873,5,FALSE)</f>
        <v>0</v>
      </c>
      <c r="AM120" s="718">
        <f>H120*J120*VLOOKUP($G120,'Emissions factors'!$B$721:$I$873,6,FALSE)</f>
        <v>0</v>
      </c>
      <c r="AN120" s="718">
        <f>H120*J120*VLOOKUP($G120,'Emissions factors'!$B$721:$I$873,7,FALSE)</f>
        <v>0</v>
      </c>
      <c r="AO120" s="720">
        <f>L120</f>
        <v>0</v>
      </c>
      <c r="AP120" s="748">
        <f>H120*J120*VLOOKUP($G120,'Emissions factors'!$B$721:$I$873,8,FALSE)</f>
        <v>0</v>
      </c>
      <c r="AQ120" s="602"/>
      <c r="AR120" s="602"/>
      <c r="AS120" s="602"/>
      <c r="AT120" s="602"/>
      <c r="AU120" s="602"/>
      <c r="AV120" s="602"/>
    </row>
    <row r="121" spans="1:48" s="40" customFormat="1" ht="12" customHeight="1" outlineLevel="1" x14ac:dyDescent="0.2">
      <c r="B121" s="200" t="s">
        <v>2187</v>
      </c>
      <c r="C121" s="64"/>
      <c r="D121" s="140">
        <f>L121</f>
        <v>0</v>
      </c>
      <c r="E121" s="143">
        <f>D121*12/44</f>
        <v>0</v>
      </c>
      <c r="F121" s="188"/>
      <c r="G121" s="98" t="s">
        <v>144</v>
      </c>
      <c r="H121" s="47"/>
      <c r="I121" s="272">
        <f>VLOOKUP($G121,'Emissions factors'!$B$721:$E$873,2,FALSE)</f>
        <v>0.77960299999999993</v>
      </c>
      <c r="J121" s="276">
        <f>IF(ISNA(VLOOKUP($B121&amp;", "&amp;G121,'Info utili'!$B$119:$E$173,3,FALSE)),VLOOKUP($B121&amp;", France [1]",'Info utili'!$B$119:$E$173,3,FALSE),VLOOKUP($B121&amp;", "&amp;G121,'Info utili'!$B$119:$E$173,3,FALSE))</f>
        <v>177</v>
      </c>
      <c r="K121" s="156">
        <f>I121*J121</f>
        <v>137.98973099999998</v>
      </c>
      <c r="L121" s="72">
        <f>H121*K121</f>
        <v>0</v>
      </c>
      <c r="V121" s="282">
        <f>IF(ISNA(VLOOKUP($B121&amp;", "&amp;G121,'Info utili'!$B$119:$E$173,4,FALSE)),VLOOKUP($B121&amp;", France [1]",'Info utili'!$B$119:$E$173,4,FALSE),VLOOKUP($B121&amp;", "&amp;G121,'Info utili'!$B$119:$E$173,4,FALSE))</f>
        <v>0.3</v>
      </c>
      <c r="W121" s="438"/>
      <c r="X121" s="211">
        <f>L121*SQRT(V121^2+W121^2)</f>
        <v>0</v>
      </c>
      <c r="AB121" s="441"/>
      <c r="AC121" s="71">
        <f>AB121*L121</f>
        <v>0</v>
      </c>
      <c r="AD121" s="48"/>
      <c r="AE121" s="72">
        <f>AD121*L121</f>
        <v>0</v>
      </c>
      <c r="AF121" s="49"/>
      <c r="AK121" s="717">
        <f>H121*J121*VLOOKUP($G121,'Emissions factors'!$B$721:$I$873,4,FALSE)</f>
        <v>0</v>
      </c>
      <c r="AL121" s="718">
        <f>H121*J121*VLOOKUP($G121,'Emissions factors'!$B$721:$I$873,5,FALSE)</f>
        <v>0</v>
      </c>
      <c r="AM121" s="718">
        <f>H121*J121*VLOOKUP($G121,'Emissions factors'!$B$721:$I$873,6,FALSE)</f>
        <v>0</v>
      </c>
      <c r="AN121" s="718">
        <f>H121*J121*VLOOKUP($G121,'Emissions factors'!$B$721:$I$873,7,FALSE)</f>
        <v>0</v>
      </c>
      <c r="AO121" s="720">
        <f>L121</f>
        <v>0</v>
      </c>
      <c r="AP121" s="748">
        <f>H121*J121*VLOOKUP($G121,'Emissions factors'!$B$721:$I$873,8,FALSE)</f>
        <v>0</v>
      </c>
      <c r="AQ121" s="602"/>
      <c r="AR121" s="602"/>
      <c r="AS121" s="602"/>
      <c r="AT121" s="602"/>
      <c r="AU121" s="602"/>
      <c r="AV121" s="602"/>
    </row>
    <row r="122" spans="1:48" s="40" customFormat="1" ht="12.75" customHeight="1" outlineLevel="1" x14ac:dyDescent="0.2">
      <c r="B122" s="62"/>
      <c r="C122" s="63"/>
      <c r="D122" s="141"/>
      <c r="E122" s="144"/>
      <c r="F122" s="214"/>
      <c r="G122" s="63"/>
      <c r="H122" s="63"/>
      <c r="I122" s="63"/>
      <c r="J122" s="63"/>
      <c r="K122" s="63"/>
      <c r="L122" s="72"/>
      <c r="V122" s="62"/>
      <c r="W122" s="1168"/>
      <c r="X122" s="222"/>
      <c r="AB122" s="1172"/>
      <c r="AC122" s="64"/>
      <c r="AD122" s="63"/>
      <c r="AE122" s="84"/>
      <c r="AF122" s="49"/>
      <c r="AK122" s="717"/>
      <c r="AL122" s="718"/>
      <c r="AM122" s="718"/>
      <c r="AN122" s="718"/>
      <c r="AO122" s="720"/>
      <c r="AP122" s="749"/>
      <c r="AQ122" s="602"/>
      <c r="AR122" s="602"/>
      <c r="AS122" s="602"/>
      <c r="AT122" s="602"/>
      <c r="AU122" s="602"/>
      <c r="AV122" s="602"/>
    </row>
    <row r="123" spans="1:48" s="40" customFormat="1" ht="12.75" customHeight="1" outlineLevel="1" x14ac:dyDescent="0.2">
      <c r="B123" s="110" t="s">
        <v>44</v>
      </c>
      <c r="C123" s="111"/>
      <c r="D123" s="142">
        <f>SUM(D118:D122)</f>
        <v>0</v>
      </c>
      <c r="E123" s="145">
        <f>SUM(E118:E122)</f>
        <v>0</v>
      </c>
      <c r="F123" s="255"/>
      <c r="G123" s="113"/>
      <c r="H123" s="113"/>
      <c r="I123" s="113"/>
      <c r="J123" s="113"/>
      <c r="K123" s="113"/>
      <c r="L123" s="114">
        <f>SUM(L118:L122)</f>
        <v>0</v>
      </c>
      <c r="V123" s="115"/>
      <c r="W123" s="1166"/>
      <c r="X123" s="257">
        <f>SQRT(SUMSQ(X118:X122))</f>
        <v>0</v>
      </c>
      <c r="AB123" s="1173"/>
      <c r="AC123" s="116">
        <f>SUM(AC118:AC122)</f>
        <v>0</v>
      </c>
      <c r="AD123" s="113"/>
      <c r="AE123" s="114">
        <f>SUM(AE118:AE122)</f>
        <v>0</v>
      </c>
      <c r="AF123" s="49"/>
      <c r="AK123" s="724">
        <f t="shared" ref="AK123:AP123" si="26">SUM(AK118:AK122)</f>
        <v>0</v>
      </c>
      <c r="AL123" s="725">
        <f t="shared" si="26"/>
        <v>0</v>
      </c>
      <c r="AM123" s="725">
        <f t="shared" si="26"/>
        <v>0</v>
      </c>
      <c r="AN123" s="725">
        <f t="shared" si="26"/>
        <v>0</v>
      </c>
      <c r="AO123" s="727">
        <f t="shared" si="26"/>
        <v>0</v>
      </c>
      <c r="AP123" s="750">
        <f t="shared" si="26"/>
        <v>0</v>
      </c>
      <c r="AQ123" s="602"/>
      <c r="AR123" s="602"/>
      <c r="AS123" s="602"/>
      <c r="AT123" s="602"/>
      <c r="AU123" s="602"/>
      <c r="AV123" s="602"/>
    </row>
    <row r="124" spans="1:48" s="40" customFormat="1" ht="12.75" customHeight="1" outlineLevel="1" x14ac:dyDescent="0.2">
      <c r="W124" s="49"/>
      <c r="AB124" s="49"/>
      <c r="AF124" s="49"/>
      <c r="AK124" s="602"/>
      <c r="AL124" s="602"/>
      <c r="AM124" s="602"/>
      <c r="AN124" s="602"/>
      <c r="AO124" s="602"/>
      <c r="AP124" s="602"/>
      <c r="AQ124" s="602"/>
      <c r="AR124" s="602"/>
      <c r="AS124" s="602"/>
      <c r="AT124" s="602"/>
      <c r="AU124" s="602"/>
      <c r="AV124" s="602"/>
    </row>
    <row r="125" spans="1:48" s="40" customFormat="1" ht="12.75" customHeight="1" outlineLevel="1" x14ac:dyDescent="0.2">
      <c r="W125" s="49"/>
      <c r="AB125" s="49"/>
      <c r="AF125" s="49"/>
      <c r="AK125" s="602"/>
      <c r="AL125" s="602"/>
      <c r="AM125" s="602"/>
      <c r="AN125" s="602"/>
      <c r="AO125" s="602"/>
      <c r="AP125" s="602"/>
      <c r="AQ125" s="602"/>
      <c r="AR125" s="602"/>
      <c r="AS125" s="602"/>
      <c r="AT125" s="602"/>
      <c r="AU125" s="602"/>
      <c r="AV125" s="602"/>
    </row>
    <row r="126" spans="1:48" s="40" customFormat="1" ht="12.75" customHeight="1" outlineLevel="1" x14ac:dyDescent="0.2">
      <c r="B126" s="195" t="s">
        <v>2817</v>
      </c>
      <c r="C126" s="58"/>
      <c r="D126" s="197"/>
      <c r="E126" s="197"/>
      <c r="F126" s="60"/>
      <c r="G126" s="60"/>
      <c r="H126" s="60"/>
      <c r="I126" s="92"/>
      <c r="V126" s="1746" t="s">
        <v>723</v>
      </c>
      <c r="W126" s="1747"/>
      <c r="X126" s="1748"/>
      <c r="AB126" s="1746" t="s">
        <v>2066</v>
      </c>
      <c r="AC126" s="1747"/>
      <c r="AD126" s="1747"/>
      <c r="AE126" s="1748"/>
      <c r="AF126" s="49"/>
      <c r="AK126" s="1755" t="s">
        <v>2073</v>
      </c>
      <c r="AL126" s="1756"/>
      <c r="AM126" s="1756"/>
      <c r="AN126" s="1756"/>
      <c r="AO126" s="1756"/>
      <c r="AP126" s="1757"/>
      <c r="AQ126" s="602"/>
      <c r="AR126" s="602"/>
      <c r="AS126" s="602"/>
      <c r="AT126" s="602"/>
      <c r="AU126" s="602"/>
      <c r="AV126" s="602"/>
    </row>
    <row r="127" spans="1:48" s="40" customFormat="1" ht="12.75" customHeight="1" outlineLevel="1" x14ac:dyDescent="0.2">
      <c r="B127" s="62"/>
      <c r="C127" s="63"/>
      <c r="D127" s="206"/>
      <c r="E127" s="206"/>
      <c r="F127" s="63"/>
      <c r="G127" s="63"/>
      <c r="H127" s="63"/>
      <c r="I127" s="87"/>
      <c r="V127" s="66"/>
      <c r="W127" s="1164"/>
      <c r="X127" s="65"/>
      <c r="AB127" s="1171"/>
      <c r="AC127" s="64"/>
      <c r="AD127" s="64"/>
      <c r="AE127" s="65"/>
      <c r="AF127" s="49"/>
      <c r="AK127" s="737"/>
      <c r="AL127" s="738"/>
      <c r="AM127" s="738"/>
      <c r="AN127" s="738"/>
      <c r="AO127" s="739"/>
      <c r="AP127" s="740"/>
      <c r="AQ127" s="602"/>
      <c r="AR127" s="602"/>
      <c r="AS127" s="602"/>
      <c r="AT127" s="602"/>
      <c r="AU127" s="602"/>
      <c r="AV127" s="602"/>
    </row>
    <row r="128" spans="1:48" s="40" customFormat="1" ht="12.75" customHeight="1" outlineLevel="1" x14ac:dyDescent="0.2">
      <c r="B128" s="66"/>
      <c r="C128" s="64"/>
      <c r="D128" s="202" t="s">
        <v>56</v>
      </c>
      <c r="E128" s="202" t="s">
        <v>56</v>
      </c>
      <c r="F128" s="67" t="s">
        <v>2052</v>
      </c>
      <c r="G128" s="67" t="s">
        <v>2052</v>
      </c>
      <c r="H128" s="1604" t="s">
        <v>849</v>
      </c>
      <c r="I128" s="69" t="s">
        <v>61</v>
      </c>
      <c r="S128" s="32"/>
      <c r="T128" s="32"/>
      <c r="V128" s="1382"/>
      <c r="W128" s="1164" t="s">
        <v>2064</v>
      </c>
      <c r="X128" s="69" t="s">
        <v>61</v>
      </c>
      <c r="AB128" s="1171" t="s">
        <v>2065</v>
      </c>
      <c r="AC128" s="138" t="s">
        <v>61</v>
      </c>
      <c r="AD128" s="64" t="s">
        <v>2067</v>
      </c>
      <c r="AE128" s="69" t="s">
        <v>61</v>
      </c>
      <c r="AF128" s="49"/>
      <c r="AK128" s="1739" t="s">
        <v>61</v>
      </c>
      <c r="AL128" s="1740"/>
      <c r="AM128" s="1740"/>
      <c r="AN128" s="1740"/>
      <c r="AO128" s="741" t="s">
        <v>61</v>
      </c>
      <c r="AP128" s="742"/>
      <c r="AQ128" s="602"/>
      <c r="AR128" s="602"/>
      <c r="AS128" s="602"/>
      <c r="AT128" s="602"/>
      <c r="AU128" s="602"/>
      <c r="AV128" s="602"/>
    </row>
    <row r="129" spans="1:49" s="32" customFormat="1" ht="12.75" customHeight="1" outlineLevel="1" x14ac:dyDescent="0.2">
      <c r="A129" s="40"/>
      <c r="B129" s="66"/>
      <c r="C129" s="64"/>
      <c r="D129" s="202" t="s">
        <v>61</v>
      </c>
      <c r="E129" s="202" t="s">
        <v>63</v>
      </c>
      <c r="F129" s="70" t="s">
        <v>2551</v>
      </c>
      <c r="G129" s="70" t="s">
        <v>61</v>
      </c>
      <c r="H129" s="1604" t="s">
        <v>2488</v>
      </c>
      <c r="I129" s="69"/>
      <c r="U129" s="40"/>
      <c r="V129" s="1382"/>
      <c r="W129" s="1164"/>
      <c r="X129" s="69"/>
      <c r="AB129" s="1171"/>
      <c r="AC129" s="138"/>
      <c r="AD129" s="64"/>
      <c r="AE129" s="69"/>
      <c r="AF129" s="1175"/>
      <c r="AK129" s="744" t="s">
        <v>14</v>
      </c>
      <c r="AL129" s="745" t="s">
        <v>60</v>
      </c>
      <c r="AM129" s="745" t="s">
        <v>27</v>
      </c>
      <c r="AN129" s="745" t="s">
        <v>2074</v>
      </c>
      <c r="AO129" s="746" t="s">
        <v>41</v>
      </c>
      <c r="AP129" s="747" t="s">
        <v>85</v>
      </c>
      <c r="AQ129" s="743"/>
      <c r="AR129" s="743"/>
      <c r="AS129" s="743"/>
      <c r="AT129" s="602"/>
      <c r="AU129" s="602"/>
      <c r="AV129" s="743"/>
    </row>
    <row r="130" spans="1:49" s="32" customFormat="1" ht="12.75" customHeight="1" outlineLevel="1" x14ac:dyDescent="0.2">
      <c r="A130" s="40"/>
      <c r="B130" s="62" t="s">
        <v>2487</v>
      </c>
      <c r="C130" s="64"/>
      <c r="D130" s="140">
        <f>I130</f>
        <v>18.319466666666667</v>
      </c>
      <c r="E130" s="143">
        <f>D130*12/44</f>
        <v>4.9962181818181817</v>
      </c>
      <c r="F130" s="94">
        <f>SUM(G73:G76)+SUM(G84:G87)+SUM(G95:G99)+SUMPRODUCT(J107:J110,H107:H110)+SUMPRODUCT(J118:J121,H118:H121)</f>
        <v>1000</v>
      </c>
      <c r="G130" s="94">
        <f>J78+K78+I101+I89+L112+L123</f>
        <v>196.28</v>
      </c>
      <c r="H130" s="1543">
        <f>'Emissions factors'!$C$993</f>
        <v>9.3333333333333338E-2</v>
      </c>
      <c r="I130" s="72">
        <f>(G130)*H130</f>
        <v>18.319466666666667</v>
      </c>
      <c r="S130" s="40"/>
      <c r="T130" s="40"/>
      <c r="U130" s="40"/>
      <c r="V130" s="1382"/>
      <c r="W130" s="479">
        <f>(SQRT(X89^2+X101^2+X112^2+X123^2+Z78^2))/(D123+D112+D101+D89+D78)</f>
        <v>0</v>
      </c>
      <c r="X130" s="72">
        <f>IF(ISNUMBER(W130),I130*W130,0)</f>
        <v>0</v>
      </c>
      <c r="AB130" s="1174">
        <f>IF(D147=0,0,K145/D147)</f>
        <v>0</v>
      </c>
      <c r="AC130" s="71">
        <f>I130*AB130</f>
        <v>0</v>
      </c>
      <c r="AD130" s="95">
        <f>IF(D147=0,0,L147/D147)</f>
        <v>0</v>
      </c>
      <c r="AE130" s="72">
        <f>I130*AD130</f>
        <v>0</v>
      </c>
      <c r="AF130" s="1175"/>
      <c r="AK130" s="717"/>
      <c r="AL130" s="718"/>
      <c r="AM130" s="718"/>
      <c r="AN130" s="718"/>
      <c r="AO130" s="720">
        <f>I130</f>
        <v>18.319466666666667</v>
      </c>
      <c r="AP130" s="748"/>
      <c r="AQ130" s="743"/>
      <c r="AR130" s="743"/>
      <c r="AS130" s="743"/>
      <c r="AT130" s="743"/>
      <c r="AU130" s="743"/>
      <c r="AV130" s="743"/>
    </row>
    <row r="131" spans="1:49" s="40" customFormat="1" ht="12" customHeight="1" outlineLevel="1" x14ac:dyDescent="0.2">
      <c r="B131" s="62"/>
      <c r="C131" s="63"/>
      <c r="D131" s="141"/>
      <c r="E131" s="144"/>
      <c r="F131" s="63"/>
      <c r="G131" s="63"/>
      <c r="H131" s="63"/>
      <c r="I131" s="72"/>
      <c r="V131" s="62"/>
      <c r="W131" s="1168"/>
      <c r="X131" s="84"/>
      <c r="AB131" s="1172"/>
      <c r="AC131" s="64"/>
      <c r="AD131" s="63"/>
      <c r="AE131" s="84"/>
      <c r="AF131" s="49"/>
      <c r="AK131" s="717"/>
      <c r="AL131" s="718"/>
      <c r="AM131" s="718"/>
      <c r="AN131" s="718"/>
      <c r="AO131" s="720"/>
      <c r="AP131" s="749"/>
      <c r="AQ131" s="602"/>
      <c r="AR131" s="602"/>
      <c r="AS131" s="602"/>
      <c r="AT131" s="743"/>
      <c r="AU131" s="743"/>
      <c r="AV131" s="602"/>
    </row>
    <row r="132" spans="1:49" s="40" customFormat="1" ht="12.75" customHeight="1" outlineLevel="1" x14ac:dyDescent="0.2">
      <c r="B132" s="110" t="s">
        <v>44</v>
      </c>
      <c r="C132" s="111"/>
      <c r="D132" s="142">
        <f>SUM(D130:D131)</f>
        <v>18.319466666666667</v>
      </c>
      <c r="E132" s="145">
        <f>SUM(E130:E131)</f>
        <v>4.9962181818181817</v>
      </c>
      <c r="F132" s="113"/>
      <c r="G132" s="113"/>
      <c r="H132" s="113"/>
      <c r="I132" s="114">
        <f>SUM(I130:I131)</f>
        <v>18.319466666666667</v>
      </c>
      <c r="V132" s="115"/>
      <c r="W132" s="1166"/>
      <c r="X132" s="114">
        <f>SQRT(SUMSQ(X130:X131))</f>
        <v>0</v>
      </c>
      <c r="AB132" s="1173"/>
      <c r="AC132" s="116">
        <f>SUM(AC130:AC131)</f>
        <v>0</v>
      </c>
      <c r="AD132" s="113"/>
      <c r="AE132" s="114">
        <f>SUM(AE130:AE131)</f>
        <v>0</v>
      </c>
      <c r="AF132" s="49"/>
      <c r="AK132" s="724">
        <f t="shared" ref="AK132:AP132" si="27">SUM(AK130:AK131)</f>
        <v>0</v>
      </c>
      <c r="AL132" s="725">
        <f t="shared" si="27"/>
        <v>0</v>
      </c>
      <c r="AM132" s="725">
        <f t="shared" si="27"/>
        <v>0</v>
      </c>
      <c r="AN132" s="725">
        <f t="shared" si="27"/>
        <v>0</v>
      </c>
      <c r="AO132" s="727">
        <f t="shared" si="27"/>
        <v>18.319466666666667</v>
      </c>
      <c r="AP132" s="750">
        <f t="shared" si="27"/>
        <v>0</v>
      </c>
      <c r="AQ132" s="602"/>
      <c r="AR132" s="602"/>
      <c r="AS132" s="602"/>
      <c r="AT132" s="602"/>
      <c r="AU132" s="602"/>
      <c r="AV132" s="602"/>
    </row>
    <row r="133" spans="1:49" s="40" customFormat="1" ht="12.75" customHeight="1" outlineLevel="1" x14ac:dyDescent="0.2">
      <c r="W133" s="49"/>
      <c r="AB133" s="49"/>
      <c r="AF133" s="49"/>
      <c r="AK133" s="602"/>
      <c r="AL133" s="602"/>
      <c r="AM133" s="602"/>
      <c r="AN133" s="602"/>
      <c r="AO133" s="602"/>
      <c r="AP133" s="602"/>
      <c r="AQ133" s="602"/>
      <c r="AR133" s="602"/>
      <c r="AS133" s="602"/>
      <c r="AT133" s="602"/>
      <c r="AU133" s="602"/>
      <c r="AV133" s="602"/>
    </row>
    <row r="134" spans="1:49" s="40" customFormat="1" ht="13" x14ac:dyDescent="0.2">
      <c r="W134" s="49"/>
      <c r="AB134" s="49"/>
      <c r="AF134" s="49"/>
      <c r="AK134" s="602"/>
      <c r="AL134" s="743"/>
      <c r="AM134" s="743"/>
      <c r="AN134" s="743"/>
      <c r="AO134" s="743"/>
      <c r="AP134" s="729"/>
      <c r="AQ134" s="602"/>
      <c r="AR134" s="602"/>
      <c r="AS134" s="602"/>
      <c r="AT134" s="602"/>
      <c r="AU134" s="602"/>
      <c r="AV134" s="602"/>
    </row>
    <row r="135" spans="1:49" s="40" customFormat="1" ht="13" x14ac:dyDescent="0.2">
      <c r="W135" s="49"/>
      <c r="AB135" s="49"/>
      <c r="AF135" s="49"/>
      <c r="AK135" s="602"/>
      <c r="AL135" s="743"/>
      <c r="AM135" s="743"/>
      <c r="AN135" s="743"/>
      <c r="AO135" s="743"/>
      <c r="AP135" s="729"/>
      <c r="AQ135" s="602"/>
      <c r="AR135" s="602"/>
      <c r="AS135" s="602"/>
      <c r="AT135" s="602"/>
      <c r="AU135" s="602"/>
      <c r="AV135" s="602"/>
    </row>
    <row r="136" spans="1:49" s="40" customFormat="1" ht="13" x14ac:dyDescent="0.2">
      <c r="W136" s="49"/>
      <c r="AB136" s="49"/>
      <c r="AF136" s="49"/>
      <c r="AK136" s="602"/>
      <c r="AL136" s="743"/>
      <c r="AM136" s="743"/>
      <c r="AN136" s="743"/>
      <c r="AO136" s="743"/>
      <c r="AP136" s="729"/>
      <c r="AQ136" s="602"/>
      <c r="AR136" s="602"/>
      <c r="AS136" s="602"/>
      <c r="AT136" s="602"/>
      <c r="AU136" s="602"/>
      <c r="AV136" s="602"/>
    </row>
    <row r="137" spans="1:49" ht="20" customHeight="1" x14ac:dyDescent="0.2">
      <c r="B137" s="1780" t="s">
        <v>2832</v>
      </c>
      <c r="C137" s="1780"/>
      <c r="D137" s="1780"/>
      <c r="E137" s="1780"/>
      <c r="F137" s="1780"/>
      <c r="G137" s="1780"/>
      <c r="H137" s="1780"/>
      <c r="I137" s="1780"/>
      <c r="J137" s="1780"/>
      <c r="K137" s="1780"/>
      <c r="L137" s="1780"/>
      <c r="M137" s="1780"/>
      <c r="N137" s="1780"/>
      <c r="O137" s="1780"/>
      <c r="AK137" s="602"/>
      <c r="AL137" s="743"/>
      <c r="AM137" s="743"/>
      <c r="AN137" s="743"/>
      <c r="AO137" s="743"/>
      <c r="AP137" s="602"/>
      <c r="AU137" s="602"/>
      <c r="AV137" s="602"/>
    </row>
    <row r="138" spans="1:49" s="40" customFormat="1" ht="13" x14ac:dyDescent="0.2">
      <c r="B138" s="51"/>
      <c r="C138" s="51"/>
      <c r="D138" s="51"/>
      <c r="E138" s="51"/>
      <c r="F138" s="51"/>
      <c r="G138" s="51"/>
      <c r="H138" s="51"/>
      <c r="I138" s="51"/>
      <c r="J138" s="51"/>
      <c r="K138" s="51"/>
      <c r="L138" s="51"/>
      <c r="M138" s="51"/>
      <c r="N138" s="51"/>
      <c r="O138" s="51"/>
      <c r="W138" s="49"/>
      <c r="AB138" s="49"/>
      <c r="AF138" s="49"/>
      <c r="AK138" s="602"/>
      <c r="AL138" s="602"/>
      <c r="AM138" s="602"/>
      <c r="AN138" s="602"/>
      <c r="AO138" s="602"/>
      <c r="AP138" s="602"/>
      <c r="AQ138" s="602"/>
      <c r="AR138" s="602"/>
      <c r="AS138" s="602"/>
      <c r="AT138" s="602"/>
      <c r="AU138" s="602"/>
      <c r="AV138" s="729"/>
      <c r="AW138" s="39"/>
    </row>
    <row r="139" spans="1:49" s="40" customFormat="1" ht="13" x14ac:dyDescent="0.2">
      <c r="B139" s="1781" t="str">
        <f>Description!C16</f>
        <v>Energia</v>
      </c>
      <c r="C139" s="1782"/>
      <c r="D139" s="1794" t="s">
        <v>56</v>
      </c>
      <c r="E139" s="1794"/>
      <c r="F139" s="1794"/>
      <c r="G139" s="52"/>
      <c r="H139" s="1794" t="s">
        <v>723</v>
      </c>
      <c r="I139" s="1794"/>
      <c r="J139" s="89"/>
      <c r="K139" s="1792" t="s">
        <v>2489</v>
      </c>
      <c r="L139" s="1793"/>
      <c r="M139" s="89"/>
      <c r="N139" s="194" t="s">
        <v>2491</v>
      </c>
      <c r="O139" s="194" t="s">
        <v>2492</v>
      </c>
      <c r="P139" s="90"/>
      <c r="Q139" s="1785" t="s">
        <v>2493</v>
      </c>
      <c r="R139" s="1786"/>
      <c r="S139" s="1786"/>
      <c r="T139" s="1787"/>
      <c r="W139" s="49"/>
      <c r="AB139" s="49"/>
      <c r="AF139" s="49"/>
      <c r="AK139" s="743"/>
      <c r="AL139" s="602"/>
      <c r="AM139" s="602"/>
      <c r="AN139" s="602"/>
      <c r="AO139" s="602"/>
      <c r="AP139" s="602"/>
      <c r="AQ139" s="602"/>
      <c r="AR139" s="602"/>
      <c r="AS139" s="602"/>
      <c r="AT139" s="602"/>
      <c r="AU139" s="602"/>
      <c r="AV139" s="602"/>
    </row>
    <row r="140" spans="1:49" s="40" customFormat="1" ht="13" x14ac:dyDescent="0.2">
      <c r="B140" s="1783"/>
      <c r="C140" s="1784"/>
      <c r="D140" s="54" t="s">
        <v>61</v>
      </c>
      <c r="E140" s="56" t="s">
        <v>66</v>
      </c>
      <c r="F140" s="54" t="s">
        <v>73</v>
      </c>
      <c r="G140" s="52"/>
      <c r="H140" s="54" t="s">
        <v>61</v>
      </c>
      <c r="I140" s="54" t="s">
        <v>47</v>
      </c>
      <c r="J140" s="89"/>
      <c r="K140" s="1605" t="s">
        <v>2490</v>
      </c>
      <c r="L140" s="1605" t="s">
        <v>2067</v>
      </c>
      <c r="M140" s="89"/>
      <c r="N140" s="230" t="s">
        <v>66</v>
      </c>
      <c r="O140" s="230" t="s">
        <v>66</v>
      </c>
      <c r="P140" s="90"/>
      <c r="Q140" s="1606" t="s">
        <v>2494</v>
      </c>
      <c r="R140" s="1606" t="s">
        <v>72</v>
      </c>
      <c r="S140" s="1606" t="s">
        <v>72</v>
      </c>
      <c r="T140" s="1606" t="s">
        <v>2495</v>
      </c>
      <c r="W140" s="49"/>
      <c r="AB140" s="49"/>
      <c r="AF140" s="49"/>
      <c r="AK140" s="743"/>
      <c r="AL140" s="602"/>
      <c r="AM140" s="602"/>
      <c r="AN140" s="602"/>
      <c r="AO140" s="602"/>
      <c r="AP140" s="602"/>
      <c r="AQ140" s="602"/>
      <c r="AR140" s="602"/>
      <c r="AS140" s="602"/>
      <c r="AT140" s="602"/>
      <c r="AU140" s="602"/>
      <c r="AV140" s="602"/>
    </row>
    <row r="141" spans="1:49" s="40" customFormat="1" ht="13" x14ac:dyDescent="0.2">
      <c r="B141" s="1788" t="str">
        <f>+B7</f>
        <v>Consumi da combustione diretta di carburante</v>
      </c>
      <c r="C141" s="1789"/>
      <c r="D141" s="99">
        <f>D20+D30</f>
        <v>0</v>
      </c>
      <c r="E141" s="100">
        <f>D141/1000</f>
        <v>0</v>
      </c>
      <c r="F141" s="101">
        <f t="shared" ref="F141:F146" si="28">IF($D$146=0,"",D141/$D$146)</f>
        <v>0</v>
      </c>
      <c r="G141" s="51"/>
      <c r="H141" s="55">
        <f>SQRT(Z20^2+Z30^2)</f>
        <v>0</v>
      </c>
      <c r="I141" s="101" t="str">
        <f t="shared" ref="I141:I146" si="29">IF(D141=0,"",H141/D141)</f>
        <v/>
      </c>
      <c r="J141" s="90"/>
      <c r="K141" s="55">
        <f>AE20+AE30</f>
        <v>0</v>
      </c>
      <c r="L141" s="55">
        <f>AI20+AI30</f>
        <v>0</v>
      </c>
      <c r="M141" s="90"/>
      <c r="N141" s="55">
        <f>L141/1000</f>
        <v>0</v>
      </c>
      <c r="O141" s="91">
        <f>E141-N141</f>
        <v>0</v>
      </c>
      <c r="P141" s="90"/>
      <c r="Q141" s="103">
        <f t="shared" ref="Q141:Q146" si="30">(D141-H141)/1000</f>
        <v>0</v>
      </c>
      <c r="R141" s="103">
        <f t="shared" ref="R141:R146" si="31">E141</f>
        <v>0</v>
      </c>
      <c r="S141" s="103">
        <f t="shared" ref="S141:S146" si="32">E141</f>
        <v>0</v>
      </c>
      <c r="T141" s="103">
        <f t="shared" ref="T141:T146" si="33">(D141+H141)/1000</f>
        <v>0</v>
      </c>
      <c r="W141" s="49"/>
      <c r="AB141" s="49"/>
      <c r="AF141" s="49"/>
      <c r="AK141" s="602"/>
      <c r="AL141" s="602"/>
      <c r="AM141" s="602"/>
      <c r="AN141" s="602"/>
      <c r="AO141" s="602"/>
      <c r="AP141" s="602"/>
      <c r="AQ141" s="602"/>
      <c r="AR141" s="602"/>
      <c r="AS141" s="602"/>
      <c r="AT141" s="602"/>
      <c r="AU141" s="602"/>
      <c r="AV141" s="602"/>
    </row>
    <row r="142" spans="1:49" s="40" customFormat="1" ht="13" x14ac:dyDescent="0.2">
      <c r="B142" s="1788" t="s">
        <v>3047</v>
      </c>
      <c r="C142" s="1789"/>
      <c r="D142" s="55">
        <f>D41</f>
        <v>0</v>
      </c>
      <c r="E142" s="102">
        <f>D142/1000</f>
        <v>0</v>
      </c>
      <c r="F142" s="243">
        <f t="shared" si="28"/>
        <v>0</v>
      </c>
      <c r="G142" s="51"/>
      <c r="H142" s="55">
        <f>Z41</f>
        <v>0</v>
      </c>
      <c r="I142" s="101" t="str">
        <f t="shared" si="29"/>
        <v/>
      </c>
      <c r="J142" s="90"/>
      <c r="K142" s="55">
        <f>AE41</f>
        <v>0</v>
      </c>
      <c r="L142" s="55">
        <f>AI41</f>
        <v>0</v>
      </c>
      <c r="M142" s="90"/>
      <c r="N142" s="55">
        <f>L142/1000</f>
        <v>0</v>
      </c>
      <c r="O142" s="91">
        <f>E142-N142</f>
        <v>0</v>
      </c>
      <c r="P142" s="90"/>
      <c r="Q142" s="103">
        <f t="shared" si="30"/>
        <v>0</v>
      </c>
      <c r="R142" s="103">
        <f t="shared" si="31"/>
        <v>0</v>
      </c>
      <c r="S142" s="103">
        <f t="shared" si="32"/>
        <v>0</v>
      </c>
      <c r="T142" s="103">
        <f t="shared" si="33"/>
        <v>0</v>
      </c>
      <c r="W142" s="49"/>
      <c r="AB142" s="49"/>
      <c r="AF142" s="49"/>
      <c r="AK142" s="729"/>
      <c r="AL142" s="729"/>
      <c r="AM142" s="729"/>
      <c r="AN142" s="729"/>
      <c r="AO142" s="729"/>
      <c r="AP142" s="602"/>
      <c r="AQ142" s="602"/>
      <c r="AR142" s="602"/>
      <c r="AS142" s="602"/>
      <c r="AT142" s="602"/>
      <c r="AU142" s="602"/>
      <c r="AV142" s="602"/>
    </row>
    <row r="143" spans="1:49" s="40" customFormat="1" ht="13" x14ac:dyDescent="0.2">
      <c r="B143" s="1788" t="s">
        <v>3046</v>
      </c>
      <c r="C143" s="1789"/>
      <c r="D143" s="55">
        <f>D54</f>
        <v>0</v>
      </c>
      <c r="E143" s="102">
        <f>D143/1000</f>
        <v>0</v>
      </c>
      <c r="F143" s="243">
        <f t="shared" si="28"/>
        <v>0</v>
      </c>
      <c r="G143" s="51"/>
      <c r="H143" s="55">
        <f>X54</f>
        <v>0</v>
      </c>
      <c r="I143" s="101" t="str">
        <f t="shared" si="29"/>
        <v/>
      </c>
      <c r="J143" s="90"/>
      <c r="K143" s="55">
        <f>AC54</f>
        <v>0</v>
      </c>
      <c r="L143" s="55">
        <f>AE54</f>
        <v>0</v>
      </c>
      <c r="M143" s="90"/>
      <c r="N143" s="55">
        <f>L143/1000</f>
        <v>0</v>
      </c>
      <c r="O143" s="91">
        <f>E143-N143</f>
        <v>0</v>
      </c>
      <c r="P143" s="90"/>
      <c r="Q143" s="103">
        <f t="shared" si="30"/>
        <v>0</v>
      </c>
      <c r="R143" s="103">
        <f t="shared" si="31"/>
        <v>0</v>
      </c>
      <c r="S143" s="103">
        <f t="shared" si="32"/>
        <v>0</v>
      </c>
      <c r="T143" s="103">
        <f t="shared" si="33"/>
        <v>0</v>
      </c>
      <c r="W143" s="49"/>
      <c r="AB143" s="49"/>
      <c r="AF143" s="49"/>
      <c r="AK143" s="602"/>
      <c r="AL143" s="602"/>
      <c r="AM143" s="602"/>
      <c r="AN143" s="602"/>
      <c r="AO143" s="602"/>
      <c r="AP143" s="602"/>
      <c r="AQ143" s="602"/>
      <c r="AR143" s="602"/>
      <c r="AS143" s="602"/>
      <c r="AT143" s="602"/>
      <c r="AU143" s="602"/>
      <c r="AV143" s="602"/>
    </row>
    <row r="144" spans="1:49" s="40" customFormat="1" ht="13" x14ac:dyDescent="0.2">
      <c r="B144" s="1788" t="s">
        <v>2818</v>
      </c>
      <c r="C144" s="1789"/>
      <c r="D144" s="55">
        <f>D64</f>
        <v>0</v>
      </c>
      <c r="E144" s="102">
        <f>D144/1000</f>
        <v>0</v>
      </c>
      <c r="F144" s="243">
        <f t="shared" si="28"/>
        <v>0</v>
      </c>
      <c r="G144" s="51"/>
      <c r="H144" s="55">
        <f>X64</f>
        <v>0</v>
      </c>
      <c r="I144" s="101" t="str">
        <f t="shared" si="29"/>
        <v/>
      </c>
      <c r="J144" s="90"/>
      <c r="K144" s="55">
        <f>AC64</f>
        <v>0</v>
      </c>
      <c r="L144" s="55">
        <f>AE64</f>
        <v>0</v>
      </c>
      <c r="M144" s="90"/>
      <c r="N144" s="55">
        <f>L144/1000</f>
        <v>0</v>
      </c>
      <c r="O144" s="91">
        <f>E144-N144</f>
        <v>0</v>
      </c>
      <c r="P144" s="90"/>
      <c r="Q144" s="103">
        <f t="shared" si="30"/>
        <v>0</v>
      </c>
      <c r="R144" s="103">
        <f t="shared" si="31"/>
        <v>0</v>
      </c>
      <c r="S144" s="103">
        <f t="shared" si="32"/>
        <v>0</v>
      </c>
      <c r="T144" s="103">
        <f t="shared" si="33"/>
        <v>0</v>
      </c>
      <c r="W144" s="49"/>
      <c r="AB144" s="49"/>
      <c r="AF144" s="49"/>
      <c r="AK144" s="602"/>
      <c r="AL144" s="602"/>
      <c r="AM144" s="602"/>
      <c r="AN144" s="602"/>
      <c r="AO144" s="602"/>
      <c r="AP144" s="602"/>
      <c r="AQ144" s="602"/>
      <c r="AR144" s="602"/>
      <c r="AS144" s="602"/>
      <c r="AT144" s="602"/>
      <c r="AU144" s="602"/>
      <c r="AV144" s="602"/>
    </row>
    <row r="145" spans="2:51" s="40" customFormat="1" ht="16" x14ac:dyDescent="0.2">
      <c r="B145" s="1788" t="s">
        <v>2819</v>
      </c>
      <c r="C145" s="1789"/>
      <c r="D145" s="55">
        <f>D89+D101+D112+D123+D132+D78</f>
        <v>214.59946666666667</v>
      </c>
      <c r="E145" s="102">
        <f>D145/1000</f>
        <v>0.21459946666666668</v>
      </c>
      <c r="F145" s="243">
        <f t="shared" si="28"/>
        <v>1</v>
      </c>
      <c r="G145" s="51"/>
      <c r="H145" s="55">
        <f>SQRT(X89^2+X101^2+X112^2+X123^2+X132^2+Z78^2)</f>
        <v>0</v>
      </c>
      <c r="I145" s="101">
        <f t="shared" si="29"/>
        <v>0</v>
      </c>
      <c r="J145" s="90"/>
      <c r="K145" s="55">
        <f>AC89+AC101+AC112+AC123+AE78</f>
        <v>0</v>
      </c>
      <c r="L145" s="55">
        <f>AE89+AE101+AE112+AE123+AI78</f>
        <v>0</v>
      </c>
      <c r="M145" s="90"/>
      <c r="N145" s="55">
        <f>L145/1000</f>
        <v>0</v>
      </c>
      <c r="O145" s="91">
        <f>E145-N145</f>
        <v>0.21459946666666668</v>
      </c>
      <c r="P145" s="90"/>
      <c r="Q145" s="103">
        <f t="shared" si="30"/>
        <v>0.21459946666666668</v>
      </c>
      <c r="R145" s="103">
        <f t="shared" si="31"/>
        <v>0.21459946666666668</v>
      </c>
      <c r="S145" s="103">
        <f t="shared" si="32"/>
        <v>0.21459946666666668</v>
      </c>
      <c r="T145" s="103">
        <f t="shared" si="33"/>
        <v>0.21459946666666668</v>
      </c>
      <c r="W145" s="49"/>
      <c r="AB145" s="49"/>
      <c r="AF145" s="49"/>
      <c r="AK145" s="602"/>
      <c r="AL145" s="602"/>
      <c r="AM145" s="602"/>
      <c r="AN145" s="602"/>
      <c r="AO145" s="602"/>
      <c r="AP145" s="751"/>
      <c r="AQ145" s="602"/>
      <c r="AR145" s="602"/>
      <c r="AS145" s="602"/>
      <c r="AT145" s="602"/>
      <c r="AU145" s="602"/>
      <c r="AV145" s="602"/>
    </row>
    <row r="146" spans="2:51" ht="16" x14ac:dyDescent="0.2">
      <c r="B146" s="1790" t="s">
        <v>44</v>
      </c>
      <c r="C146" s="1791"/>
      <c r="D146" s="246">
        <f>SUM(D141:D145)</f>
        <v>214.59946666666667</v>
      </c>
      <c r="E146" s="247">
        <f>SUM(E141:E145)</f>
        <v>0.21459946666666668</v>
      </c>
      <c r="F146" s="248">
        <f t="shared" si="28"/>
        <v>1</v>
      </c>
      <c r="G146" s="249"/>
      <c r="H146" s="246">
        <f>SQRT(SUMSQ(H141:H145))</f>
        <v>0</v>
      </c>
      <c r="I146" s="248">
        <f t="shared" si="29"/>
        <v>0</v>
      </c>
      <c r="J146" s="229"/>
      <c r="K146" s="246">
        <f>SUM(K141:K145)</f>
        <v>0</v>
      </c>
      <c r="L146" s="246">
        <f>SUM(L141:L145)</f>
        <v>0</v>
      </c>
      <c r="M146" s="250"/>
      <c r="N146" s="246">
        <f>SUM(N141:N145)</f>
        <v>0</v>
      </c>
      <c r="O146" s="251">
        <f>SUM(O141:O145)</f>
        <v>0.21459946666666668</v>
      </c>
      <c r="P146" s="252"/>
      <c r="Q146" s="245">
        <f t="shared" si="30"/>
        <v>0.21459946666666668</v>
      </c>
      <c r="R146" s="245">
        <f t="shared" si="31"/>
        <v>0.21459946666666668</v>
      </c>
      <c r="S146" s="245">
        <f t="shared" si="32"/>
        <v>0.21459946666666668</v>
      </c>
      <c r="T146" s="245">
        <f t="shared" si="33"/>
        <v>0.21459946666666668</v>
      </c>
      <c r="U146" s="191"/>
      <c r="V146" s="191"/>
      <c r="W146" s="1169"/>
      <c r="X146" s="191"/>
      <c r="Y146" s="191"/>
      <c r="Z146" s="191"/>
      <c r="AA146" s="191"/>
      <c r="AB146" s="1169"/>
      <c r="AC146" s="191"/>
      <c r="AD146" s="191"/>
      <c r="AE146" s="191"/>
      <c r="AF146" s="1169"/>
      <c r="AG146" s="191"/>
      <c r="AH146" s="191"/>
      <c r="AI146" s="191"/>
      <c r="AK146" s="751"/>
      <c r="AL146" s="751"/>
      <c r="AM146" s="751"/>
      <c r="AN146" s="751"/>
      <c r="AO146" s="751"/>
      <c r="AP146" s="751"/>
    </row>
    <row r="147" spans="2:51" ht="13" x14ac:dyDescent="0.2">
      <c r="B147" s="192"/>
      <c r="C147" s="192"/>
      <c r="D147" s="1648">
        <f>D145-D132</f>
        <v>196.28</v>
      </c>
      <c r="E147" s="192"/>
      <c r="F147" s="192"/>
      <c r="G147" s="192"/>
      <c r="H147" s="231"/>
      <c r="I147" s="231"/>
      <c r="J147" s="287" t="s">
        <v>2496</v>
      </c>
      <c r="K147" s="288">
        <f>IF($D146=0,"",K146/$D146)</f>
        <v>0</v>
      </c>
      <c r="L147" s="288">
        <f>IF($D146=0,"",L146/$D146)</f>
        <v>0</v>
      </c>
      <c r="M147" s="231"/>
      <c r="N147" s="231"/>
      <c r="O147" s="231"/>
      <c r="P147" s="232"/>
      <c r="Q147" s="232"/>
      <c r="R147" s="232"/>
      <c r="S147" s="232"/>
      <c r="T147" s="232"/>
    </row>
    <row r="148" spans="2:51" x14ac:dyDescent="0.2"/>
    <row r="149" spans="2:51" s="53" customFormat="1" x14ac:dyDescent="0.2">
      <c r="B149" s="39"/>
      <c r="C149" s="39"/>
      <c r="D149" s="39"/>
      <c r="E149" s="39"/>
      <c r="F149" s="39"/>
      <c r="G149" s="39"/>
      <c r="H149" s="39"/>
      <c r="I149" s="39"/>
      <c r="J149" s="39"/>
      <c r="K149" s="39"/>
      <c r="L149" s="39"/>
      <c r="M149" s="39"/>
      <c r="N149" s="39"/>
      <c r="O149" s="39"/>
      <c r="P149" s="39"/>
      <c r="Q149" s="39"/>
      <c r="R149" s="39"/>
      <c r="S149" s="39"/>
      <c r="T149" s="39"/>
      <c r="U149" s="39"/>
      <c r="V149" s="39"/>
      <c r="W149" s="1162"/>
      <c r="X149" s="39"/>
      <c r="Y149" s="39"/>
      <c r="Z149" s="39"/>
      <c r="AA149" s="39"/>
      <c r="AB149" s="1162"/>
      <c r="AC149" s="39"/>
      <c r="AD149" s="39"/>
      <c r="AE149" s="39"/>
      <c r="AF149" s="1162"/>
      <c r="AG149" s="39"/>
      <c r="AH149" s="39"/>
      <c r="AI149" s="39"/>
      <c r="AK149" s="729"/>
      <c r="AL149" s="729"/>
      <c r="AM149" s="729"/>
      <c r="AN149" s="729"/>
      <c r="AO149" s="729"/>
      <c r="AP149" s="729"/>
      <c r="AQ149" s="752"/>
      <c r="AR149" s="752"/>
      <c r="AS149" s="752"/>
      <c r="AT149" s="752"/>
      <c r="AU149" s="752"/>
      <c r="AV149" s="752"/>
    </row>
    <row r="150" spans="2:51" ht="16" x14ac:dyDescent="0.2">
      <c r="B150" s="1774" t="s">
        <v>3039</v>
      </c>
      <c r="C150" s="1775"/>
      <c r="D150" s="1775"/>
      <c r="E150" s="1775"/>
      <c r="F150" s="1775"/>
      <c r="G150" s="1775"/>
      <c r="H150" s="1775"/>
      <c r="I150" s="1775"/>
      <c r="J150" s="1775"/>
      <c r="K150" s="1775"/>
      <c r="L150" s="1775"/>
      <c r="M150" s="1775"/>
      <c r="N150" s="1775"/>
      <c r="O150" s="1776"/>
    </row>
    <row r="151" spans="2:51" outlineLevel="1" x14ac:dyDescent="0.2">
      <c r="Q151" s="1317"/>
      <c r="R151" s="1317"/>
    </row>
    <row r="152" spans="2:51" ht="28" outlineLevel="1" x14ac:dyDescent="0.2">
      <c r="B152" s="118"/>
      <c r="C152" s="118"/>
      <c r="D152" s="118"/>
      <c r="E152" s="1777" t="s">
        <v>3040</v>
      </c>
      <c r="F152" s="1779"/>
      <c r="G152" s="1779"/>
      <c r="H152" s="1779"/>
      <c r="I152" s="1779"/>
      <c r="J152" s="1779"/>
      <c r="K152" s="1779"/>
      <c r="L152" s="1779"/>
      <c r="M152" s="1779"/>
      <c r="N152" s="1778"/>
      <c r="O152" s="1381" t="s">
        <v>3042</v>
      </c>
      <c r="Q152" s="1317"/>
      <c r="R152" s="1317"/>
    </row>
    <row r="153" spans="2:51" ht="28" outlineLevel="1" x14ac:dyDescent="0.2">
      <c r="B153" s="1777" t="s">
        <v>2833</v>
      </c>
      <c r="C153" s="1778"/>
      <c r="D153" s="1251" t="s">
        <v>2500</v>
      </c>
      <c r="E153" s="1250" t="s">
        <v>666</v>
      </c>
      <c r="F153" s="1250" t="s">
        <v>667</v>
      </c>
      <c r="G153" s="1250" t="s">
        <v>668</v>
      </c>
      <c r="H153" s="1250" t="s">
        <v>670</v>
      </c>
      <c r="I153" s="1250" t="s">
        <v>671</v>
      </c>
      <c r="J153" s="1250" t="s">
        <v>672</v>
      </c>
      <c r="K153" s="1250" t="s">
        <v>2499</v>
      </c>
      <c r="L153" s="1251" t="s">
        <v>69</v>
      </c>
      <c r="M153" s="1250" t="s">
        <v>669</v>
      </c>
      <c r="N153" s="1250" t="s">
        <v>3041</v>
      </c>
      <c r="O153" s="1251" t="s">
        <v>69</v>
      </c>
      <c r="Q153" s="1317"/>
      <c r="R153" s="1317"/>
      <c r="W153" s="39"/>
      <c r="Z153" s="1162"/>
      <c r="AB153" s="39"/>
      <c r="AE153" s="1162"/>
      <c r="AF153" s="39"/>
      <c r="AI153" s="1162"/>
      <c r="AK153" s="39"/>
      <c r="AL153" s="39"/>
      <c r="AM153" s="39"/>
      <c r="AW153" s="729"/>
      <c r="AX153" s="729"/>
      <c r="AY153" s="729"/>
    </row>
    <row r="154" spans="2:51" ht="14" outlineLevel="1" x14ac:dyDescent="0.2">
      <c r="B154" s="1749" t="s">
        <v>2971</v>
      </c>
      <c r="C154" s="1749"/>
      <c r="D154" s="1245" t="s">
        <v>99</v>
      </c>
      <c r="E154" s="1239">
        <f>SUMIF($F$9:$F$30,'Info utili'!$C$532,AL9:AL30)+SUMIF($F$9:$F$30,'Info utili'!$C$537,AL9:AL30)</f>
        <v>0</v>
      </c>
      <c r="F154" s="1239">
        <f>SUMIF($F$9:$F$30,'Info utili'!$C$532,AN9:AN30)+SUMIF($F$9:$F$30,'Info utili'!$C$537,AN9:AN30)</f>
        <v>0</v>
      </c>
      <c r="G154" s="1239">
        <f>SUMIF($F$9:$F$30,'Info utili'!$C$532,AP9:AP30)+SUMIF($F$9:$F$30,'Info utili'!$C$537,AP9:AP30)</f>
        <v>0</v>
      </c>
      <c r="H154" s="1239">
        <v>0</v>
      </c>
      <c r="I154" s="1239">
        <v>0</v>
      </c>
      <c r="J154" s="1239">
        <v>0</v>
      </c>
      <c r="K154" s="1239">
        <v>0</v>
      </c>
      <c r="L154" s="1248">
        <f>SUMIF($F$9:$F$30,'Info utili'!$C$532,AT9:AT30)+SUMIF($F$9:$F$30,'Info utili'!$C$537,AT9:AT30)</f>
        <v>0</v>
      </c>
      <c r="M154" s="1237">
        <f>SUMIF($F$9:$F$30,'Info utili'!$C$532,AV9:AV30)+SUMIF($F$9:$F$30,'Info utili'!$C$537,AV9:AV30)</f>
        <v>0</v>
      </c>
      <c r="N154" s="1242">
        <f>SQRT(SUMPRODUCT(($F$9:$F$30='Info utili'!$C$532)*1,Y9:Y30,Y9:Y30)+SUMPRODUCT(($F$9:$F$30='Info utili'!$C$537)*1,Y9:Y30,Y9:Y30))</f>
        <v>0</v>
      </c>
      <c r="O154" s="1241"/>
      <c r="W154" s="39"/>
      <c r="Z154" s="1162"/>
      <c r="AB154" s="39"/>
      <c r="AE154" s="1162"/>
      <c r="AF154" s="39"/>
      <c r="AI154" s="1162"/>
      <c r="AK154" s="39"/>
      <c r="AL154" s="39"/>
      <c r="AM154" s="39"/>
      <c r="AW154" s="729"/>
      <c r="AX154" s="729"/>
      <c r="AY154" s="729"/>
    </row>
    <row r="155" spans="2:51" ht="14" outlineLevel="1" x14ac:dyDescent="0.2">
      <c r="B155" s="1749" t="s">
        <v>2972</v>
      </c>
      <c r="C155" s="1749"/>
      <c r="D155" s="1246" t="s">
        <v>100</v>
      </c>
      <c r="E155" s="1239"/>
      <c r="F155" s="1239"/>
      <c r="G155" s="1239"/>
      <c r="H155" s="1239"/>
      <c r="I155" s="1239"/>
      <c r="J155" s="1239"/>
      <c r="K155" s="1239"/>
      <c r="L155" s="1248"/>
      <c r="M155" s="1237"/>
      <c r="N155" s="1242"/>
      <c r="O155" s="1241"/>
      <c r="W155" s="39"/>
      <c r="Z155" s="1162"/>
      <c r="AB155" s="39"/>
      <c r="AE155" s="1162"/>
      <c r="AF155" s="39"/>
      <c r="AI155" s="1162"/>
      <c r="AK155" s="39"/>
      <c r="AL155" s="39"/>
      <c r="AM155" s="39"/>
      <c r="AW155" s="729"/>
      <c r="AX155" s="729"/>
      <c r="AY155" s="729"/>
    </row>
    <row r="156" spans="2:51" ht="14" outlineLevel="1" x14ac:dyDescent="0.2">
      <c r="B156" s="1749" t="s">
        <v>2973</v>
      </c>
      <c r="C156" s="1749"/>
      <c r="D156" s="1246" t="s">
        <v>101</v>
      </c>
      <c r="E156" s="1239"/>
      <c r="F156" s="1239"/>
      <c r="G156" s="1239"/>
      <c r="H156" s="1239"/>
      <c r="I156" s="1239"/>
      <c r="J156" s="1239"/>
      <c r="K156" s="1239"/>
      <c r="L156" s="1248"/>
      <c r="M156" s="1237"/>
      <c r="N156" s="1242"/>
      <c r="O156" s="1241"/>
      <c r="P156" s="729"/>
      <c r="W156" s="39"/>
      <c r="Z156" s="1162"/>
      <c r="AB156" s="39"/>
      <c r="AE156" s="1162"/>
      <c r="AF156" s="39"/>
      <c r="AI156" s="1162"/>
      <c r="AK156" s="39"/>
      <c r="AL156" s="39"/>
      <c r="AM156" s="39"/>
      <c r="AW156" s="729"/>
      <c r="AX156" s="729"/>
      <c r="AY156" s="729"/>
    </row>
    <row r="157" spans="2:51" ht="14" outlineLevel="1" x14ac:dyDescent="0.2">
      <c r="B157" s="1749" t="s">
        <v>2974</v>
      </c>
      <c r="C157" s="1749"/>
      <c r="D157" s="1246" t="s">
        <v>102</v>
      </c>
      <c r="E157" s="1239"/>
      <c r="F157" s="1239"/>
      <c r="G157" s="1239"/>
      <c r="H157" s="1239"/>
      <c r="I157" s="1239"/>
      <c r="J157" s="1239"/>
      <c r="K157" s="1239"/>
      <c r="L157" s="1248"/>
      <c r="M157" s="1237"/>
      <c r="N157" s="1242"/>
      <c r="O157" s="1241"/>
      <c r="W157" s="39"/>
      <c r="Z157" s="1162"/>
      <c r="AB157" s="39"/>
      <c r="AE157" s="1162"/>
      <c r="AF157" s="39"/>
      <c r="AI157" s="1162"/>
      <c r="AK157" s="39"/>
      <c r="AL157" s="39"/>
      <c r="AM157" s="39"/>
      <c r="AW157" s="729"/>
      <c r="AX157" s="729"/>
      <c r="AY157" s="729"/>
    </row>
    <row r="158" spans="2:51" ht="13" outlineLevel="1" x14ac:dyDescent="0.2">
      <c r="B158" s="1766" t="s">
        <v>98</v>
      </c>
      <c r="C158" s="1767"/>
      <c r="D158" s="1768"/>
      <c r="E158" s="1236">
        <f t="shared" ref="E158:O158" si="34">SUM(E154:E157)</f>
        <v>0</v>
      </c>
      <c r="F158" s="1236">
        <f t="shared" si="34"/>
        <v>0</v>
      </c>
      <c r="G158" s="1236">
        <f t="shared" si="34"/>
        <v>0</v>
      </c>
      <c r="H158" s="1236">
        <f t="shared" si="34"/>
        <v>0</v>
      </c>
      <c r="I158" s="1236">
        <f t="shared" si="34"/>
        <v>0</v>
      </c>
      <c r="J158" s="1236">
        <f t="shared" si="34"/>
        <v>0</v>
      </c>
      <c r="K158" s="1236">
        <f t="shared" si="34"/>
        <v>0</v>
      </c>
      <c r="L158" s="1236">
        <f t="shared" si="34"/>
        <v>0</v>
      </c>
      <c r="M158" s="1247">
        <f t="shared" si="34"/>
        <v>0</v>
      </c>
      <c r="N158" s="1243">
        <f>SQRT(SUMSQ(N154:N157))</f>
        <v>0</v>
      </c>
      <c r="O158" s="1244">
        <f t="shared" si="34"/>
        <v>0</v>
      </c>
      <c r="W158" s="39"/>
      <c r="Z158" s="1162"/>
      <c r="AB158" s="39"/>
      <c r="AE158" s="1162"/>
      <c r="AF158" s="39"/>
      <c r="AI158" s="1162"/>
      <c r="AK158" s="39"/>
      <c r="AL158" s="39"/>
      <c r="AM158" s="39"/>
      <c r="AW158" s="729"/>
      <c r="AX158" s="729"/>
      <c r="AY158" s="729"/>
    </row>
    <row r="159" spans="2:51" ht="14" outlineLevel="1" x14ac:dyDescent="0.2">
      <c r="B159" s="1749" t="s">
        <v>2987</v>
      </c>
      <c r="C159" s="1749"/>
      <c r="D159" s="1246" t="s">
        <v>103</v>
      </c>
      <c r="E159" s="1239">
        <f>SUMIF($F$69:$F$78,'Info utili'!$C$532,AL69:AL78)+SUMIF($F$69:$F$78,'Info utili'!$C$537,AL69:AL78)+SUMIF($F$80:$F$123,'Info utili'!$C$532,AK80:AK123)+SUMIF($F$80:$F$123,'Info utili'!$C$537,AK80:AK123)</f>
        <v>0</v>
      </c>
      <c r="F159" s="1239">
        <f>SUMIF($F$69:$F$78,'Info utili'!$C$532,AN69:AN78)+SUMIF($F$69:$F$78,'Info utili'!$C$537,AN69:AN78)+SUMIF($F$80:$F$123,'Info utili'!$C$532,AL80:AL123)+SUMIF($F$80:$F$123,'Info utili'!$C$537,AL80:AL123)</f>
        <v>0</v>
      </c>
      <c r="G159" s="1239">
        <f>SUMIF($F$69:$F$78,'Info utili'!$C$532,AP69:AP78)+SUMIF($F$69:$F$78,'Info utili'!$C$537,AP69:AP78)+SUMIF($F$80:$F$123,'Info utili'!$C$532,AM80:AM123)+SUMIF($F$80:$F$123,'Info utili'!$C$537,AM80:AM123)</f>
        <v>0</v>
      </c>
      <c r="H159" s="1239">
        <v>0</v>
      </c>
      <c r="I159" s="1239">
        <v>0</v>
      </c>
      <c r="J159" s="1239">
        <v>0</v>
      </c>
      <c r="K159" s="1239">
        <v>0</v>
      </c>
      <c r="L159" s="1248">
        <f>SUMIF($F$69:$F$78,'Info utili'!$C$532,AT69:AT78)+SUMIF($F$69:$F$78,'Info utili'!$C$537,AT69:AT78)+SUMIF($F$80:$F$123,'Info utili'!$C$532,AO80:AO123)+SUMIF($F$80:$F$123,'Info utili'!$C$537,AO80:AO123)</f>
        <v>182.4</v>
      </c>
      <c r="M159" s="1237">
        <f>SUMIF($F$69:$F$78,'Info utili'!$C$532,AV69:AV78)+SUMIF($F$69:$F$78,'Info utili'!$C$537,AV69:AV78)+SUMIF($F$80:$F$123,'Info utili'!$C$532,AP80:AP123)+SUMIF($F$80:$F$123,'Info utili'!$C$537,AP80:AP123)</f>
        <v>0</v>
      </c>
      <c r="N159" s="1242">
        <f>SQRT(SUMPRODUCT(($F$69:$F$78='Info utili'!$C$532)*1,Y69:Y78,Y69:Y78)+SUMPRODUCT(($F$69:$F$78='Info utili'!$C$537)*1,Y69:Y78,Y69:Y78)+SUMPRODUCT(($F$80:$F$123='Info utili'!$C$532)*1,X80:X123,X80:X123)+SUMPRODUCT(($F$80:$F$123='Info utili'!$C$537)*1,X80:X123,X80:X123))</f>
        <v>0</v>
      </c>
      <c r="O159" s="1240"/>
      <c r="W159" s="39"/>
      <c r="Z159" s="1162"/>
      <c r="AB159" s="39"/>
      <c r="AE159" s="1162"/>
      <c r="AF159" s="39"/>
      <c r="AI159" s="1162"/>
      <c r="AK159" s="39"/>
      <c r="AL159" s="39"/>
      <c r="AM159" s="39"/>
      <c r="AW159" s="729"/>
      <c r="AX159" s="729"/>
      <c r="AY159" s="729"/>
    </row>
    <row r="160" spans="2:51" ht="12.75" customHeight="1" outlineLevel="1" x14ac:dyDescent="0.2">
      <c r="B160" s="1750" t="s">
        <v>2988</v>
      </c>
      <c r="C160" s="1751"/>
      <c r="D160" s="1246" t="s">
        <v>104</v>
      </c>
      <c r="E160" s="1239">
        <f>(1/(1+10%))*SUMIF($F$46:$F$64,'Info utili'!$C$532,AK46:AK64)+(1/(1+10%))*SUMIF($F$46:$F$64,'Info utili'!$C$537,AK46:AK64)</f>
        <v>0</v>
      </c>
      <c r="F160" s="1239">
        <f>(1/(1+10%))*SUMIF($F$46:$F$64,'Info utili'!$C$532,AL46:AL64)+(1/(1+10%))*SUMIF($F$46:$F$64,'Info utili'!$C$537,AL46:AL64)</f>
        <v>0</v>
      </c>
      <c r="G160" s="1239">
        <f>(1/(1+10%))*SUMIF($F$46:$F$64,'Info utili'!$C$532,AM46:AM64)+(1/(1+10%))*SUMIF($F$46:$F$64,'Info utili'!$C$537,AM46:AM64)</f>
        <v>0</v>
      </c>
      <c r="H160" s="1239">
        <v>0</v>
      </c>
      <c r="I160" s="1239">
        <v>0</v>
      </c>
      <c r="J160" s="1239">
        <v>0</v>
      </c>
      <c r="K160" s="1239">
        <v>0</v>
      </c>
      <c r="L160" s="1248">
        <f>(1/(1+10%))*SUMIF($F$46:$F$64,'Info utili'!$C$532,AO46:AO64)+(1/(1+10%))*SUMIF($F$46:$F$64,'Info utili'!$C$537,AO46:AO64)</f>
        <v>0</v>
      </c>
      <c r="M160" s="1237">
        <f>(1/(1+10%))*SUMIF($F$46:$F$64,'Info utili'!$C$532,AP46:AP64)+(1/(1+10%))*SUMIF($F$46:$F$64,'Info utili'!$C$537,AP46:AP64)</f>
        <v>0</v>
      </c>
      <c r="N160" s="1242">
        <f>(1/SQRT((1+10%^2)))*SQRT(SUMPRODUCT(($F$46:$F$54='Info utili'!$C$532)*1,X46:X54,X46:X54)+SUMPRODUCT(($F$46:$F$54='Info utili'!$C$537)*1,X46:X54,X46:X54)+SUMPRODUCT(($F$56:$F$64='Info utili'!$C$532)*1,X56:X64,X56:X64)+SUMPRODUCT(($F$56:$F$64='Info utili'!$C$537)*1,X56:X64,X56:X64))</f>
        <v>0</v>
      </c>
      <c r="O160" s="1240"/>
      <c r="P160" s="1162"/>
      <c r="W160" s="39"/>
      <c r="Z160" s="1162"/>
      <c r="AB160" s="39"/>
      <c r="AE160" s="1162"/>
      <c r="AF160" s="39"/>
      <c r="AI160" s="1162"/>
      <c r="AK160" s="39"/>
      <c r="AL160" s="39"/>
      <c r="AM160" s="39"/>
      <c r="AW160" s="729"/>
      <c r="AX160" s="729"/>
      <c r="AY160" s="729"/>
    </row>
    <row r="161" spans="2:51" ht="13" outlineLevel="1" x14ac:dyDescent="0.2">
      <c r="B161" s="1766" t="s">
        <v>97</v>
      </c>
      <c r="C161" s="1767"/>
      <c r="D161" s="1768"/>
      <c r="E161" s="1236">
        <f t="shared" ref="E161:K161" si="35">SUM(E159:E160)</f>
        <v>0</v>
      </c>
      <c r="F161" s="1236">
        <f t="shared" si="35"/>
        <v>0</v>
      </c>
      <c r="G161" s="1236">
        <f t="shared" si="35"/>
        <v>0</v>
      </c>
      <c r="H161" s="1236">
        <f t="shared" si="35"/>
        <v>0</v>
      </c>
      <c r="I161" s="1236">
        <f t="shared" si="35"/>
        <v>0</v>
      </c>
      <c r="J161" s="1236">
        <f t="shared" si="35"/>
        <v>0</v>
      </c>
      <c r="K161" s="1236">
        <f t="shared" si="35"/>
        <v>0</v>
      </c>
      <c r="L161" s="1236">
        <f>SUM(L159:L160)</f>
        <v>182.4</v>
      </c>
      <c r="M161" s="1247">
        <f>SUM(M159:M160)</f>
        <v>0</v>
      </c>
      <c r="N161" s="1243">
        <f>SQRT(SUMSQ(N159:N160))</f>
        <v>0</v>
      </c>
      <c r="O161" s="1244">
        <f>SUM(O159:O160)</f>
        <v>0</v>
      </c>
      <c r="P161" s="1162"/>
      <c r="W161" s="39"/>
      <c r="Z161" s="1162"/>
      <c r="AB161" s="39"/>
      <c r="AE161" s="1162"/>
      <c r="AF161" s="39"/>
      <c r="AI161" s="1162"/>
      <c r="AK161" s="39"/>
      <c r="AL161" s="39"/>
      <c r="AM161" s="39"/>
      <c r="AW161" s="729"/>
      <c r="AX161" s="729"/>
      <c r="AY161" s="729"/>
    </row>
    <row r="162" spans="2:51" ht="13" outlineLevel="1" x14ac:dyDescent="0.2">
      <c r="B162" s="1771" t="s">
        <v>2527</v>
      </c>
      <c r="C162" s="1772"/>
      <c r="D162" s="1772"/>
      <c r="E162" s="1772"/>
      <c r="F162" s="1772"/>
      <c r="G162" s="1772"/>
      <c r="H162" s="1772"/>
      <c r="I162" s="1772"/>
      <c r="J162" s="1772"/>
      <c r="K162" s="1772"/>
      <c r="L162" s="1772"/>
      <c r="M162" s="1772"/>
      <c r="N162" s="1772"/>
      <c r="O162" s="1773"/>
      <c r="P162" s="1162"/>
      <c r="W162" s="39"/>
      <c r="Z162" s="1162"/>
      <c r="AB162" s="39"/>
      <c r="AE162" s="1162"/>
      <c r="AF162" s="39"/>
      <c r="AI162" s="1162"/>
      <c r="AK162" s="39"/>
      <c r="AL162" s="39"/>
      <c r="AM162" s="39"/>
      <c r="AW162" s="729"/>
      <c r="AX162" s="729"/>
      <c r="AY162" s="729"/>
    </row>
    <row r="163" spans="2:51" ht="14" outlineLevel="1" x14ac:dyDescent="0.2">
      <c r="B163" s="1749" t="s">
        <v>2975</v>
      </c>
      <c r="C163" s="1749"/>
      <c r="D163" s="1246" t="s">
        <v>106</v>
      </c>
      <c r="E163" s="1239"/>
      <c r="F163" s="1239"/>
      <c r="G163" s="1239"/>
      <c r="H163" s="1239"/>
      <c r="I163" s="1239"/>
      <c r="J163" s="1239"/>
      <c r="K163" s="1239"/>
      <c r="L163" s="1248"/>
      <c r="M163" s="1237"/>
      <c r="N163" s="1242"/>
      <c r="O163" s="1240"/>
      <c r="P163" s="1162"/>
      <c r="Q163" s="348"/>
      <c r="R163" s="1385"/>
      <c r="S163" s="1385"/>
      <c r="W163" s="39"/>
      <c r="Z163" s="1162"/>
      <c r="AB163" s="39"/>
      <c r="AE163" s="1162"/>
      <c r="AF163" s="39"/>
      <c r="AI163" s="1162"/>
      <c r="AK163" s="39"/>
      <c r="AL163" s="39"/>
      <c r="AM163" s="39"/>
      <c r="AW163" s="729"/>
      <c r="AX163" s="729"/>
      <c r="AY163" s="729"/>
    </row>
    <row r="164" spans="2:51" ht="14" outlineLevel="1" x14ac:dyDescent="0.2">
      <c r="B164" s="1749" t="s">
        <v>2976</v>
      </c>
      <c r="C164" s="1749"/>
      <c r="D164" s="1246" t="s">
        <v>107</v>
      </c>
      <c r="E164" s="1239"/>
      <c r="F164" s="1239"/>
      <c r="G164" s="1239"/>
      <c r="H164" s="1239"/>
      <c r="I164" s="1239"/>
      <c r="J164" s="1239"/>
      <c r="K164" s="1239"/>
      <c r="L164" s="1248"/>
      <c r="M164" s="1237"/>
      <c r="N164" s="1242"/>
      <c r="O164" s="1240"/>
      <c r="P164" s="1162"/>
      <c r="Q164" s="1386"/>
      <c r="R164" s="1387"/>
      <c r="S164" s="1387"/>
      <c r="T164" s="1162"/>
      <c r="W164" s="39"/>
      <c r="Z164" s="1162"/>
      <c r="AB164" s="39"/>
      <c r="AE164" s="1162"/>
      <c r="AF164" s="39"/>
      <c r="AI164" s="1162"/>
      <c r="AK164" s="39"/>
      <c r="AL164" s="39"/>
      <c r="AM164" s="39"/>
      <c r="AW164" s="729"/>
      <c r="AX164" s="729"/>
      <c r="AY164" s="729"/>
    </row>
    <row r="165" spans="2:51" ht="14" outlineLevel="1" x14ac:dyDescent="0.2">
      <c r="B165" s="1750" t="s">
        <v>2977</v>
      </c>
      <c r="C165" s="1751"/>
      <c r="D165" s="1246" t="s">
        <v>108</v>
      </c>
      <c r="E165" s="1239">
        <f>SUMIF($F$9:$F$30,'Info utili'!$C$532,AK9:AK30)+SUMIF($F$9:$F$30,'Info utili'!$C$537,AK9:AK30)+(1+$H130)*SUMIF($F$69:$F$78,'Info utili'!$C$532,AK69:AK78)+(1+$H130)*SUMIF($F$69:$F$78,'Info utili'!$C$537,AK69:AK78)+$H130*SUMIF($F$69:$F$78,'Info utili'!$C$532,AL69:AL78)+$H130*SUMIF($F$69:$F$78,'Info utili'!$C$537,AL69:AL78)+$H130*SUMIF($F$80:$F$123,'Info utili'!$C$532,AK80:AK123)+$H130*SUMIF($F$80:$F$123,'Info utili'!$C$537,AK80:AK123)
+(10%/(1+10%))*SUMIF($F$46:$F$64,'Info utili'!$C$532,AK46:AK64)+(10%/(1+10%))*SUMIF($F$46:$F$64,'Info utili'!$C$537,AK46:AK64)</f>
        <v>0</v>
      </c>
      <c r="F165" s="1239">
        <f>SUMIF($F$9:$F$30,'Info utili'!$C$532,AM9:AM30)+SUMIF($F$9:$F$30,'Info utili'!$C$537,AM9:AM30)+(1+$H130)*SUMIF($F$69:$F$78,'Info utili'!$C$532,AM69:AM78)+(1+$H130)*SUMIF($F$69:$F$78,'Info utili'!$C$537,AM69:AM78)+$H130*SUMIF($F$69:$F$78,'Info utili'!$C$532,AN69:AN78)+$H130*SUMIF($F$69:$F$78,'Info utili'!$C$537,AN69:AN78)+$H130*SUMIF($F$80:$F$123,'Info utili'!$C$532,AL80:AL123)+$H130*SUMIF($F$80:$F$123,'Info utili'!$C$537,AL80:AL123)
+(10%/(1+10%))*SUMIF($F$46:$F$64,'Info utili'!$C$532,AL46:AL64)+(10%/(1+10%))*SUMIF($F$46:$F$64,'Info utili'!$C$537,AL46:AL64)</f>
        <v>0</v>
      </c>
      <c r="G165" s="1239">
        <f>SUMIF($F$9:$F$30,'Info utili'!$C$532,AO9:AO30)+SUMIF($F$9:$F$30,'Info utili'!$C$537,AO9:AO30)+(1+$H130)*SUMIF($F$69:$F$78,'Info utili'!$C$532,AO69:AO78)+(1+$H130)*SUMIF($F$69:$F$78,'Info utili'!$C$537,AO69:AO78)+$H130*SUMIF($F$69:$F$78,'Info utili'!$C$532,AP69:AP78)+$H130*SUMIF($F$69:$F$78,'Info utili'!$C$537,AP69:AP78)+$H130*SUMIF($F$80:$F$123,'Info utili'!$C$532,AM80:AM123)+$H130*SUMIF($F$80:$F$123,'Info utili'!$C$537,AM80:AM123)
+(10%/(1+10%))*SUMIF($F$46:$F$64,'Info utili'!$C$532,AM46:AM64)+(10%/(1+10%))*SUMIF($F$46:$F$64,'Info utili'!$C$537,AM46:AM64)</f>
        <v>0</v>
      </c>
      <c r="H165" s="1239">
        <v>0</v>
      </c>
      <c r="I165" s="1239">
        <v>0</v>
      </c>
      <c r="J165" s="1239">
        <v>0</v>
      </c>
      <c r="K165" s="1239">
        <v>0</v>
      </c>
      <c r="L165" s="1248">
        <f>SUMIF($F$9:$F$30,'Info utili'!$C$532,AS9:AS30)+SUMIF($F$9:$F$30,'Info utili'!$C$537,AS9:AS30)
+(1+$H130)*SUMIF($F$69:$F$78,'Info utili'!$C$532,AS69:AS78)+(1+$H130)*SUMIF($F$69:$F$78,'Info utili'!$C$537,AS69:AS78)+$H130*SUMIF($F$69:$F$78,'Info utili'!$C$532,AT69:AT78)+$H130*SUMIF($F$69:$F$78,'Info utili'!$C$537,AT69:AT78)+$H130*SUMIF($F$80:$F$123,'Info utili'!$C$532,AO80:AO123)+$H130*SUMIF($F$80:$F$123,'Info utili'!$C$537,AO80:AO123)
+(10%/(1+10%))*SUMIF($F$46:$F$64,'Info utili'!$C$532,AO46:AO64)+(10%/(1+10%))*SUMIF($F$46:$F$64,'Info utili'!$C$537,AO46:AO64)</f>
        <v>32.199466666666666</v>
      </c>
      <c r="M165" s="1237">
        <f>SUMIF($F$9:$F$30,'Info utili'!$C$532,AU9:AU30)+SUMIF($F$9:$F$30,'Info utili'!$C$537,AU9:AU30)+(1+$H130)*SUMIF($F$69:$F$78,'Info utili'!$C$532,AU69:AU78)+(1+$H130)*SUMIF($F$69:$F$78,'Info utili'!$C$537,AU69:AU78)+$H130*SUMIF($F$69:$F$78,'Info utili'!$C$532,AV69:AV78)+$H130*SUMIF($F$69:$F$78,'Info utili'!$C$537,AV69:AV78)+$H130*SUMIF($F$80:$F$123,'Info utili'!$C$532,AP80:AP123)+$H130*SUMIF($F$80:$F$123,'Info utili'!$C$537,AP80:AP123)
+(10%/(1+10%))*SUMIF($F$46:$F$64,'Info utili'!$C$532,AP46:AP64)+(10%/(1+10%))*SUMIF($F$46:$F$64,'Info utili'!$C$537,AP46:AP64)</f>
        <v>0</v>
      </c>
      <c r="N165" s="1242">
        <f>SQRT(SUMPRODUCT(($F$9:$F$30='Info utili'!$C$532)*1,X9:X30,X9:X30)+SUMPRODUCT(($F$9:$F$30='Info utili'!$C$537)*1,X9:X30,X9:X30)
+SUMPRODUCT(($F$46:$F$54='Info utili'!$C$532)*1,X46:X54,X46:X54)+SUMPRODUCT(($F$46:$F$54='Info utili'!$C$537)*1,X46:X54,X46:X54)+SUMPRODUCT(($F$56:$F$64='Info utili'!$C$532)*1,X56:X64,X56:X64)+SUMPRODUCT(($F$56:$F$64='Info utili'!$C$537)*1,X56:X64,X56:X64)-N160^2
+(1+$H130^2)*(SUMPRODUCT(($F$69:$F$78='Info utili'!$C$532)*1,X69:X78,X69:X78)+SUMPRODUCT(($F$69:$F$78='Info utili'!$C$537)*1,X69:X78,X69:X78))
+$H130^2*(SUMPRODUCT(($F$69:$F$78='Info utili'!$C$532)*1,Y69:Y78,Y69:Y78)+SUMPRODUCT(($F$69:$F$78='Info utili'!$C$537)*1,Y69:Y78,Y69:Y78)+SUMPRODUCT(($F$80:$F$123='Info utili'!$C$532)*1,X80:X123,X80:X123)+SUMPRODUCT(($F$80:$F$123='Info utili'!$C$537)*1,X80:X123,X80:X123)))</f>
        <v>0</v>
      </c>
      <c r="O165" s="1240"/>
      <c r="P165" s="1162"/>
      <c r="Q165" s="1388"/>
      <c r="R165" s="1387"/>
      <c r="S165" s="1387"/>
      <c r="T165" s="1162"/>
      <c r="W165" s="39"/>
      <c r="Z165" s="1162"/>
      <c r="AB165" s="39"/>
      <c r="AE165" s="1162"/>
      <c r="AF165" s="39"/>
      <c r="AI165" s="1162"/>
      <c r="AK165" s="39"/>
      <c r="AL165" s="39"/>
      <c r="AM165" s="39"/>
      <c r="AW165" s="729"/>
      <c r="AX165" s="729"/>
      <c r="AY165" s="729"/>
    </row>
    <row r="166" spans="2:51" ht="14" outlineLevel="1" x14ac:dyDescent="0.2">
      <c r="B166" s="1749" t="s">
        <v>2993</v>
      </c>
      <c r="C166" s="1749"/>
      <c r="D166" s="1246" t="s">
        <v>109</v>
      </c>
      <c r="E166" s="1239"/>
      <c r="F166" s="1239"/>
      <c r="G166" s="1239"/>
      <c r="H166" s="1239"/>
      <c r="I166" s="1239"/>
      <c r="J166" s="1239"/>
      <c r="K166" s="1239"/>
      <c r="L166" s="1248"/>
      <c r="M166" s="1237"/>
      <c r="N166" s="1242"/>
      <c r="O166" s="1240"/>
      <c r="Q166" s="1386"/>
      <c r="R166" s="1387"/>
      <c r="S166" s="1387"/>
      <c r="T166" s="1162"/>
      <c r="W166" s="39"/>
      <c r="Z166" s="1162"/>
      <c r="AB166" s="39"/>
      <c r="AE166" s="1162"/>
      <c r="AF166" s="39"/>
      <c r="AI166" s="1162"/>
      <c r="AK166" s="39"/>
      <c r="AL166" s="39"/>
      <c r="AM166" s="39"/>
      <c r="AW166" s="729"/>
      <c r="AX166" s="729"/>
      <c r="AY166" s="729"/>
    </row>
    <row r="167" spans="2:51" ht="14" outlineLevel="1" x14ac:dyDescent="0.2">
      <c r="B167" s="1749" t="s">
        <v>2978</v>
      </c>
      <c r="C167" s="1749"/>
      <c r="D167" s="1246" t="s">
        <v>110</v>
      </c>
      <c r="E167" s="1239"/>
      <c r="F167" s="1239"/>
      <c r="G167" s="1239"/>
      <c r="H167" s="1239"/>
      <c r="I167" s="1239"/>
      <c r="J167" s="1239"/>
      <c r="K167" s="1239"/>
      <c r="L167" s="1248"/>
      <c r="M167" s="1237"/>
      <c r="N167" s="1242"/>
      <c r="O167" s="1240"/>
      <c r="P167" s="1384"/>
      <c r="W167" s="39"/>
      <c r="Z167" s="1162"/>
      <c r="AB167" s="39"/>
      <c r="AE167" s="1162"/>
      <c r="AF167" s="39"/>
      <c r="AI167" s="1162"/>
      <c r="AK167" s="39"/>
      <c r="AL167" s="39"/>
      <c r="AM167" s="39"/>
      <c r="AW167" s="729"/>
      <c r="AX167" s="729"/>
      <c r="AY167" s="729"/>
    </row>
    <row r="168" spans="2:51" ht="14" outlineLevel="1" x14ac:dyDescent="0.2">
      <c r="B168" s="1749" t="s">
        <v>2979</v>
      </c>
      <c r="C168" s="1749"/>
      <c r="D168" s="1246" t="s">
        <v>111</v>
      </c>
      <c r="E168" s="1239"/>
      <c r="F168" s="1239"/>
      <c r="G168" s="1239"/>
      <c r="H168" s="1239"/>
      <c r="I168" s="1239"/>
      <c r="J168" s="1239"/>
      <c r="K168" s="1239"/>
      <c r="L168" s="1248"/>
      <c r="M168" s="1237"/>
      <c r="N168" s="1242"/>
      <c r="O168" s="1240"/>
      <c r="Q168" s="295"/>
      <c r="W168" s="39"/>
      <c r="Z168" s="1162"/>
      <c r="AB168" s="39"/>
      <c r="AE168" s="1162"/>
      <c r="AF168" s="39"/>
      <c r="AI168" s="1162"/>
      <c r="AK168" s="39"/>
      <c r="AL168" s="39"/>
      <c r="AM168" s="39"/>
      <c r="AW168" s="729"/>
      <c r="AX168" s="729"/>
      <c r="AY168" s="729"/>
    </row>
    <row r="169" spans="2:51" ht="14" outlineLevel="1" x14ac:dyDescent="0.2">
      <c r="B169" s="1749" t="s">
        <v>2938</v>
      </c>
      <c r="C169" s="1749"/>
      <c r="D169" s="1246" t="s">
        <v>112</v>
      </c>
      <c r="E169" s="1239"/>
      <c r="F169" s="1239"/>
      <c r="G169" s="1239"/>
      <c r="H169" s="1239"/>
      <c r="I169" s="1239"/>
      <c r="J169" s="1239"/>
      <c r="K169" s="1239"/>
      <c r="L169" s="1248"/>
      <c r="M169" s="1237"/>
      <c r="N169" s="1242"/>
      <c r="O169" s="1240"/>
      <c r="W169" s="39"/>
      <c r="Z169" s="1162"/>
      <c r="AB169" s="39"/>
      <c r="AE169" s="1162"/>
      <c r="AF169" s="39"/>
      <c r="AI169" s="1162"/>
      <c r="AK169" s="39"/>
      <c r="AL169" s="39"/>
      <c r="AM169" s="39"/>
      <c r="AW169" s="729"/>
      <c r="AX169" s="729"/>
      <c r="AY169" s="729"/>
    </row>
    <row r="170" spans="2:51" ht="14" outlineLevel="1" x14ac:dyDescent="0.2">
      <c r="B170" s="1769" t="s">
        <v>2508</v>
      </c>
      <c r="C170" s="1770"/>
      <c r="D170" s="1246" t="s">
        <v>113</v>
      </c>
      <c r="E170" s="1239">
        <f>SUMIF($F$9:$F$41,'Info utili'!$C$533,AK9:AK41)+SUMIF($F$9:$F$41,'Info utili'!$C$533,AL9:AL41)+SUMIF($F$46:$F$64,'Info utili'!$C$533,AK46:AK64)+(1+$H130)*SUMIF($F$69:$F$78,'Info utili'!$C$533,AK69:AK78)+(1+$H130)*SUMIF($F$69:$F$78,'Info utili'!$C$533,AL69:AL78)+(1+$H130)*SUMIF($F$80:$F$123,'Info utili'!$C$533,AK80:AK123)</f>
        <v>0</v>
      </c>
      <c r="F170" s="1239">
        <f>SUMIF($F$9:$F$41,'Info utili'!$C$533,AM9:AM41)+SUMIF($F$9:$F$41,'Info utili'!$C$533,AN9:AN41)+SUMIF($F$46:$F$64,'Info utili'!$C$533,AL46:AL64)+(1+$H130)*SUMIF($F$69:$F$78,'Info utili'!$C$533,AM69:AM78)+(1+$H130)*SUMIF($F$69:$F$78,'Info utili'!$C$533,AN69:AN78)+(1+$H130)*SUMIF($F$80:$F$123,'Info utili'!$C$533,AL80:AL123)</f>
        <v>0</v>
      </c>
      <c r="G170" s="1239">
        <f>SUMIF($F$9:$F$41,'Info utili'!$C$533,AO9:AO41)+SUMIF($F$9:$F$41,'Info utili'!$C$533,AP9:AP41)+SUMIF($F$46:$F$64,'Info utili'!$C$533,AM46:AM64)+(1+$H130)*SUMIF($F$69:$F$78,'Info utili'!$C$533,AO69:AO78)+(1+$H130)*SUMIF($F$69:$F$78,'Info utili'!$C$533,AP69:AP78)+(1+$H130)*SUMIF($F$80:$F$123,'Info utili'!$C$533,AM80:AM123)</f>
        <v>0</v>
      </c>
      <c r="H170" s="1239">
        <v>0</v>
      </c>
      <c r="I170" s="1239">
        <v>0</v>
      </c>
      <c r="J170" s="1239">
        <v>0</v>
      </c>
      <c r="K170" s="1239">
        <v>0</v>
      </c>
      <c r="L170" s="1248">
        <f>SUMIF($F$9:$F$41,'Info utili'!$C$533,AS9:AS41)+SUMIF($F$9:$F$41,'Info utili'!$C$533,AT9:AT41)+SUMIF($F$46:$F$64,'Info utili'!$C$533,AO46:AO64)+(1+$H130)*SUMIF($F$69:$F$78,'Info utili'!$C$533,AS69:AS78)+(1+$H130)*SUMIF($F$69:$F$78,'Info utili'!$C$533,AT69:AT78)+(1+$H130)*SUMIF($F$80:$F$123,'Info utili'!$C$533,AO80:AO123)</f>
        <v>0</v>
      </c>
      <c r="M170" s="1237">
        <f>SUMIF($F$9:$F$41,'Info utili'!$C$533,AU9:AU41)+SUMIF($F$9:$F$41,'Info utili'!$C$533,AV9:AV41)+SUMIF($F$46:$F$64,'Info utili'!$C$533,AP46:AP64)+(1+$H130)*SUMIF($F$69:$F$78,'Info utili'!$C$533,AU69:AU78)+(1+$H130)*SUMIF($F$69:$F$78,'Info utili'!$C$533,AV69:AV78)+(1+$H130)*SUMIF($F$80:$F$123,'Info utili'!$C$533,AP80:AP123)</f>
        <v>0</v>
      </c>
      <c r="N170" s="1242">
        <f>SQRT(SUMPRODUCT(($F$9:$F$41='Info utili'!$C$533)*1,X9:X41,X9:X41)+SUMPRODUCT(($F$9:$F$41='Info utili'!$C$533)*1,Y9:Y41,Y9:Y41)+SUMPRODUCT(($F$46:$F$64='Info utili'!$C$533)*1,X46:X64,X46:X64)
+(1+$H130^2)*(SUMPRODUCT(($F$69:$F$78='Info utili'!$C$533)*1,X69:X78,X69:X78)
+SUMPRODUCT(($F$69:$F$78='Info utili'!$C$533)*1,Y69:Y78,Y69:Y78)
+SUMPRODUCT(($F$80:$F$123='Info utili'!$C$533)*1,X80:X123,X80:X123)))</f>
        <v>0</v>
      </c>
      <c r="O170" s="1240"/>
      <c r="W170" s="39"/>
      <c r="Z170" s="1162"/>
      <c r="AB170" s="39"/>
      <c r="AE170" s="1162"/>
      <c r="AF170" s="39"/>
      <c r="AI170" s="1162"/>
      <c r="AK170" s="39"/>
      <c r="AL170" s="39"/>
      <c r="AM170" s="39"/>
      <c r="AW170" s="729"/>
      <c r="AX170" s="729"/>
      <c r="AY170" s="729"/>
    </row>
    <row r="171" spans="2:51" ht="13" outlineLevel="1" x14ac:dyDescent="0.2">
      <c r="B171" s="1749" t="s">
        <v>2980</v>
      </c>
      <c r="C171" s="1749"/>
      <c r="D171" s="1238"/>
      <c r="E171" s="1239">
        <f>SUMIF($F$9:$F$41,'Info utili'!$C$534,AK9:AK41)+SUMIF($F$9:$F$41,'Info utili'!$C$534,AL9:AL41)+SUMIF($F$9:$F$41,'Info utili'!$C$538,AK9:AK41)+SUMIF($F$9:$F$41,'Info utili'!$C$538,AL9:AL41)+SUMIF($F$46:$F$64,'Info utili'!$C$534,AK46:AK64)+SUMIF($F$46:$F$64,'Info utili'!$C$538,AK46:AK64)+(1+$H130)*SUMIF($F$69:$F$78,'Info utili'!$C$534,AK69:AK78)+(1+$H130)*SUMIF($F$69:$F$78,'Info utili'!$C$538,AK69:AK78)+(1+$H130)*SUMIF($F$69:$F$78,'Info utili'!$C$534,AL69:AL78)+(1+$H130)*SUMIF($F$69:$F$78,'Info utili'!$C$538,AL69:AL78)+(1+$H130)*SUMIF($F$80:$F$123,'Info utili'!$C$534,AK80:AK123)+(1+$H130)*SUMIF($F$80:$F$123,'Info utili'!$C$538,AK80:AK123)</f>
        <v>0</v>
      </c>
      <c r="F171" s="1239">
        <f>SUMIF($F$9:$F$41,'Info utili'!$C$534,AM9:AM41)+SUMIF($F$9:$F$41,'Info utili'!$C$534,AN9:AN41)+SUMIF($F$9:$F$41,'Info utili'!$C$538,AM9:AM41)+SUMIF($F$9:$F$41,'Info utili'!$C$538,AN9:AN41)+SUMIF($F$46:$F$64,'Info utili'!$C$534,AL46:AL64)+SUMIF($F$46:$F$64,'Info utili'!$C$538,AL46:AL64)+(1+$H130)*SUMIF($F$69:$F$78,'Info utili'!$C$534,AM69:AM78)+(1+$H130)*SUMIF($F$69:$F$78,'Info utili'!$C$538,AM69:AM78)+(1+$H130)*SUMIF($F$69:$F$78,'Info utili'!$C$534,AN69:AN78)+(1+$H130)*SUMIF($F$69:$F$78,'Info utili'!$C$538,AN69:AN78)+(1+$H130)*SUMIF($F$80:$F$123,'Info utili'!$C$534,AL80:AL123)+(1+$H130)*SUMIF($F$80:$F$123,'Info utili'!$C$538,AL80:AL123)</f>
        <v>0</v>
      </c>
      <c r="G171" s="1239">
        <f>SUMIF($F$9:$F$41,'Info utili'!$C$534,AO9:AO41)+SUMIF($F$9:$F$41,'Info utili'!$C$534,AP9:AP41)+SUMIF($F$9:$F$41,'Info utili'!$C$538,AO9:AO41)+SUMIF($F$9:$F$41,'Info utili'!$C$538,AP9:AP41)+SUMIF($F$46:$F$64,'Info utili'!$C$534,AM46:AM64)+SUMIF($F$46:$F$64,'Info utili'!$C$538,AM46:AM64)+(1+$H130)*SUMIF($F$69:$F$78,'Info utili'!$C$534,AO69:AO78)+(1+$H130)*SUMIF($F$69:$F$78,'Info utili'!$C$538,AO69:AO78)+(1+$H130)*SUMIF($F$69:$F$78,'Info utili'!$C$534,AP69:AP78)+(1+$H130)*SUMIF($F$69:$F$78,'Info utili'!$C$538,AP69:AP78)+(1+$H130)*SUMIF($F$80:$F$123,'Info utili'!$C$534,AM80:AM123)+(1+$H130)*SUMIF($F$80:$F$123,'Info utili'!$C$538,AM80:AM123)</f>
        <v>0</v>
      </c>
      <c r="H171" s="1239">
        <v>0</v>
      </c>
      <c r="I171" s="1239">
        <v>0</v>
      </c>
      <c r="J171" s="1239">
        <v>0</v>
      </c>
      <c r="K171" s="1239">
        <v>0</v>
      </c>
      <c r="L171" s="1248">
        <f>SUMIF($F$9:$F$41,'Info utili'!$C$534,AS9:AS41)+SUMIF($F$9:$F$41,'Info utili'!$C$534,AT9:AT41)+SUMIF($F$9:$F$41,'Info utili'!$C$538,AS9:AS41)+SUMIF($F$9:$F$41,'Info utili'!$C$538,AT9:AT41)+SUMIF($F$46:$F$64,'Info utili'!$C$534,AO46:AO64)+SUMIF($F$46:$F$64,'Info utili'!$C$538,AO46:AO64)
+(1+$H130)*SUMIF($F$69:$F$78,'Info utili'!$C$534,AS69:AS78)+(1+$H130)*SUMIF($F$69:$F$78,'Info utili'!$C$538,AS69:AS78)
+(1+$H130)*SUMIF($F$69:$F$78,'Info utili'!$C$534,AT69:AT78)+(1+$H130)*SUMIF($F$69:$F$78,'Info utili'!$C$538,AT69:AT78)
+(1+$H130)*SUMIF($F$80:$F$123,'Info utili'!$C$534,AO80:AO123)+(1+$H130)*SUMIF($F$80:$F$123,'Info utili'!$C$538,AO80:AO123)</f>
        <v>0</v>
      </c>
      <c r="M171" s="1237">
        <f>SUMIF($F$9:$F$41,'Info utili'!$C$534,AU9:AU41)+SUMIF($F$9:$F$41,'Info utili'!$C$534,AV9:AV41)+SUMIF($F$9:$F$41,'Info utili'!$C$538,AU9:AU41)+SUMIF($F$9:$F$41,'Info utili'!$C$538,AV9:AV41)+SUMIF($F$46:$F$64,'Info utili'!$C$534,AP46:AP64)+SUMIF($F$46:$F$64,'Info utili'!$C$538,AP46:AP64)+(1+$H130)*SUMIF($F$69:$F$78,'Info utili'!$C$534,AU69:AU78)+(1+$H130)*SUMIF($F$69:$F$78,'Info utili'!$C$538,AU69:AU78)+(1+$H130)*SUMIF($F$69:$F$78,'Info utili'!$C$534,AV69:AV78)+(1+$H130)*SUMIF($F$69:$F$78,'Info utili'!$C$538,AV69:AV78)+(1+$H130)*SUMIF($F$80:$F$123,'Info utili'!$C$534,AP80:AP123)+(1+$H130)*SUMIF($F$80:$F$123,'Info utili'!$C$538,AP80:AP123)</f>
        <v>0</v>
      </c>
      <c r="N171" s="1242">
        <f>SQRT(SUMPRODUCT(($F$9:$F$41='Info utili'!$C$534)*1,X9:X41,X9:X41)+SUMPRODUCT(($F$9:$F$41='Info utili'!$C$534)*1,Y9:Y41,Y9:Y41)+SUMPRODUCT(($F$9:$F$41='Info utili'!$C$538)*1,X9:X41,X9:X41)+SUMPRODUCT(($F$9:$F$41='Info utili'!$C$538)*1,Y9:Y41,Y9:Y41)+SUMPRODUCT(($F$46:$F$64='Info utili'!$C$534)*1,X46:X64,X46:X64)+SUMPRODUCT(($F$46:$F$64='Info utili'!$C$538)*1,X46:X64,X46:X64)
+(1+$H130^2)*(SUMPRODUCT(($F$69:$F$78='Info utili'!$C$534)*1,X69:X78,X69:X78)+SUMPRODUCT(($F$69:$F$78='Info utili'!$C$538)*1,X69:X78,X69:X78)+SUMPRODUCT(($F$69:$F$78='Info utili'!$C$534)*1,Y69:Y78,Y69:Y78)+SUMPRODUCT(($F$69:$F$78='Info utili'!$C$538)*1,Y69:Y78,Y69:Y78)
+SUMPRODUCT(($F$80:$F$123='Info utili'!$C$534)*1,X80:X123,X80:X123)+SUMPRODUCT(($F$80:$F$123='Info utili'!$C$538)*1,X80:X123,X80:X123)))</f>
        <v>0</v>
      </c>
      <c r="O171" s="1240"/>
      <c r="W171" s="39"/>
      <c r="Z171" s="1162"/>
      <c r="AB171" s="39"/>
      <c r="AE171" s="1162"/>
      <c r="AF171" s="39"/>
      <c r="AI171" s="1162"/>
      <c r="AK171" s="39"/>
      <c r="AL171" s="39"/>
      <c r="AM171" s="39"/>
      <c r="AW171" s="729"/>
      <c r="AX171" s="729"/>
      <c r="AY171" s="729"/>
    </row>
    <row r="172" spans="2:51" ht="13" outlineLevel="1" x14ac:dyDescent="0.2">
      <c r="B172" s="1771" t="s">
        <v>2527</v>
      </c>
      <c r="C172" s="1772"/>
      <c r="D172" s="1772"/>
      <c r="E172" s="1772"/>
      <c r="F172" s="1772"/>
      <c r="G172" s="1772"/>
      <c r="H172" s="1772"/>
      <c r="I172" s="1772"/>
      <c r="J172" s="1772"/>
      <c r="K172" s="1772"/>
      <c r="L172" s="1772"/>
      <c r="M172" s="1772"/>
      <c r="N172" s="1772"/>
      <c r="O172" s="1773"/>
      <c r="W172" s="39"/>
      <c r="Z172" s="1162"/>
      <c r="AB172" s="39"/>
      <c r="AE172" s="1162"/>
      <c r="AF172" s="39"/>
      <c r="AI172" s="1162"/>
      <c r="AK172" s="39"/>
      <c r="AL172" s="39"/>
      <c r="AM172" s="39"/>
      <c r="AW172" s="729"/>
      <c r="AX172" s="729"/>
      <c r="AY172" s="729"/>
    </row>
    <row r="173" spans="2:51" ht="14" outlineLevel="1" x14ac:dyDescent="0.2">
      <c r="B173" s="1749" t="s">
        <v>2984</v>
      </c>
      <c r="C173" s="1749"/>
      <c r="D173" s="1246" t="s">
        <v>114</v>
      </c>
      <c r="E173" s="1239"/>
      <c r="F173" s="1239"/>
      <c r="G173" s="1239"/>
      <c r="H173" s="1239"/>
      <c r="I173" s="1239"/>
      <c r="J173" s="1239"/>
      <c r="K173" s="1239"/>
      <c r="L173" s="1248"/>
      <c r="M173" s="1237"/>
      <c r="N173" s="1242"/>
      <c r="O173" s="1240"/>
      <c r="W173" s="39"/>
      <c r="Z173" s="1162"/>
      <c r="AB173" s="39"/>
      <c r="AE173" s="1162"/>
      <c r="AF173" s="39"/>
      <c r="AI173" s="1162"/>
      <c r="AK173" s="39"/>
      <c r="AL173" s="39"/>
      <c r="AM173" s="39"/>
      <c r="AW173" s="729"/>
      <c r="AX173" s="729"/>
      <c r="AY173" s="729"/>
    </row>
    <row r="174" spans="2:51" ht="14" outlineLevel="1" x14ac:dyDescent="0.2">
      <c r="B174" s="1749" t="s">
        <v>2996</v>
      </c>
      <c r="C174" s="1749"/>
      <c r="D174" s="1246" t="s">
        <v>115</v>
      </c>
      <c r="E174" s="1239"/>
      <c r="F174" s="1239"/>
      <c r="G174" s="1239"/>
      <c r="H174" s="1239"/>
      <c r="I174" s="1239"/>
      <c r="J174" s="1239"/>
      <c r="K174" s="1239"/>
      <c r="L174" s="1248"/>
      <c r="M174" s="1237"/>
      <c r="N174" s="1242"/>
      <c r="O174" s="1240"/>
      <c r="W174" s="39"/>
      <c r="Z174" s="1162"/>
      <c r="AB174" s="39"/>
      <c r="AE174" s="1162"/>
      <c r="AF174" s="39"/>
      <c r="AI174" s="1162"/>
      <c r="AK174" s="39"/>
      <c r="AL174" s="39"/>
      <c r="AM174" s="39"/>
      <c r="AW174" s="729"/>
      <c r="AX174" s="729"/>
      <c r="AY174" s="729"/>
    </row>
    <row r="175" spans="2:51" ht="14" outlineLevel="1" x14ac:dyDescent="0.2">
      <c r="B175" s="1749" t="s">
        <v>2981</v>
      </c>
      <c r="C175" s="1749"/>
      <c r="D175" s="1246" t="s">
        <v>116</v>
      </c>
      <c r="E175" s="1239"/>
      <c r="F175" s="1239"/>
      <c r="G175" s="1239"/>
      <c r="H175" s="1239"/>
      <c r="I175" s="1239"/>
      <c r="J175" s="1239"/>
      <c r="K175" s="1239"/>
      <c r="L175" s="1248"/>
      <c r="M175" s="1237"/>
      <c r="N175" s="1242"/>
      <c r="O175" s="1240"/>
      <c r="W175" s="39"/>
      <c r="Z175" s="1162"/>
      <c r="AB175" s="39"/>
      <c r="AE175" s="1162"/>
      <c r="AF175" s="39"/>
      <c r="AI175" s="1162"/>
      <c r="AK175" s="39"/>
      <c r="AL175" s="39"/>
      <c r="AM175" s="39"/>
      <c r="AW175" s="729"/>
      <c r="AX175" s="729"/>
      <c r="AY175" s="729"/>
    </row>
    <row r="176" spans="2:51" ht="14" outlineLevel="1" x14ac:dyDescent="0.2">
      <c r="B176" s="1749" t="s">
        <v>2982</v>
      </c>
      <c r="C176" s="1749"/>
      <c r="D176" s="1246" t="s">
        <v>117</v>
      </c>
      <c r="E176" s="1239"/>
      <c r="F176" s="1239"/>
      <c r="G176" s="1239"/>
      <c r="H176" s="1239"/>
      <c r="I176" s="1239"/>
      <c r="J176" s="1239"/>
      <c r="K176" s="1239"/>
      <c r="L176" s="1248"/>
      <c r="M176" s="1237"/>
      <c r="N176" s="1242"/>
      <c r="O176" s="1240"/>
      <c r="W176" s="39"/>
      <c r="Z176" s="1162"/>
      <c r="AB176" s="39"/>
      <c r="AE176" s="1162"/>
      <c r="AF176" s="39"/>
      <c r="AI176" s="1162"/>
      <c r="AK176" s="39"/>
      <c r="AL176" s="39"/>
      <c r="AM176" s="39"/>
      <c r="AW176" s="729"/>
      <c r="AX176" s="729"/>
      <c r="AY176" s="729"/>
    </row>
    <row r="177" spans="2:51" ht="14" outlineLevel="1" x14ac:dyDescent="0.2">
      <c r="B177" s="1749" t="s">
        <v>2514</v>
      </c>
      <c r="C177" s="1749"/>
      <c r="D177" s="1246" t="s">
        <v>118</v>
      </c>
      <c r="E177" s="1239"/>
      <c r="F177" s="1239"/>
      <c r="G177" s="1239"/>
      <c r="H177" s="1239"/>
      <c r="I177" s="1239"/>
      <c r="J177" s="1239"/>
      <c r="K177" s="1239"/>
      <c r="L177" s="1248"/>
      <c r="M177" s="1237"/>
      <c r="N177" s="1242"/>
      <c r="O177" s="1240"/>
      <c r="W177" s="39"/>
      <c r="Z177" s="1162"/>
      <c r="AB177" s="39"/>
      <c r="AE177" s="1162"/>
      <c r="AF177" s="39"/>
      <c r="AI177" s="1162"/>
      <c r="AK177" s="39"/>
      <c r="AL177" s="39"/>
      <c r="AM177" s="39"/>
      <c r="AW177" s="729"/>
      <c r="AX177" s="729"/>
      <c r="AY177" s="729"/>
    </row>
    <row r="178" spans="2:51" ht="14" outlineLevel="1" x14ac:dyDescent="0.2">
      <c r="B178" s="1749" t="s">
        <v>105</v>
      </c>
      <c r="C178" s="1749"/>
      <c r="D178" s="1246" t="s">
        <v>119</v>
      </c>
      <c r="E178" s="1239"/>
      <c r="F178" s="1239"/>
      <c r="G178" s="1239"/>
      <c r="H178" s="1239"/>
      <c r="I178" s="1239"/>
      <c r="J178" s="1239"/>
      <c r="K178" s="1239"/>
      <c r="L178" s="1248"/>
      <c r="M178" s="1237"/>
      <c r="N178" s="1242"/>
      <c r="O178" s="1240"/>
      <c r="W178" s="39"/>
      <c r="Z178" s="1162"/>
      <c r="AB178" s="39"/>
      <c r="AE178" s="1162"/>
      <c r="AF178" s="39"/>
      <c r="AI178" s="1162"/>
      <c r="AK178" s="39"/>
      <c r="AL178" s="39"/>
      <c r="AM178" s="39"/>
      <c r="AW178" s="729"/>
      <c r="AX178" s="729"/>
      <c r="AY178" s="729"/>
    </row>
    <row r="179" spans="2:51" ht="14" outlineLevel="1" x14ac:dyDescent="0.2">
      <c r="B179" s="1749" t="s">
        <v>2983</v>
      </c>
      <c r="C179" s="1749"/>
      <c r="D179" s="1246" t="s">
        <v>120</v>
      </c>
      <c r="E179" s="1239"/>
      <c r="F179" s="1239"/>
      <c r="G179" s="1239"/>
      <c r="H179" s="1239"/>
      <c r="I179" s="1239"/>
      <c r="J179" s="1239"/>
      <c r="K179" s="1239"/>
      <c r="L179" s="1248"/>
      <c r="M179" s="1237"/>
      <c r="N179" s="1242"/>
      <c r="O179" s="1240"/>
      <c r="W179" s="39"/>
      <c r="Z179" s="1162"/>
      <c r="AB179" s="39"/>
      <c r="AE179" s="1162"/>
      <c r="AF179" s="39"/>
      <c r="AI179" s="1162"/>
      <c r="AK179" s="39"/>
      <c r="AL179" s="39"/>
      <c r="AM179" s="39"/>
      <c r="AW179" s="729"/>
      <c r="AX179" s="729"/>
      <c r="AY179" s="729"/>
    </row>
    <row r="180" spans="2:51" ht="13" outlineLevel="1" x14ac:dyDescent="0.2">
      <c r="B180" s="1749" t="s">
        <v>2985</v>
      </c>
      <c r="C180" s="1749"/>
      <c r="D180" s="1238"/>
      <c r="E180" s="1239"/>
      <c r="F180" s="1239"/>
      <c r="G180" s="1239"/>
      <c r="H180" s="1239"/>
      <c r="I180" s="1239"/>
      <c r="J180" s="1239"/>
      <c r="K180" s="1239"/>
      <c r="L180" s="1248"/>
      <c r="M180" s="1237"/>
      <c r="N180" s="1242"/>
      <c r="O180" s="1240"/>
      <c r="W180" s="39"/>
      <c r="Z180" s="1162"/>
      <c r="AB180" s="39"/>
      <c r="AE180" s="1162"/>
      <c r="AF180" s="39"/>
      <c r="AI180" s="1162"/>
      <c r="AK180" s="39"/>
      <c r="AL180" s="39"/>
      <c r="AM180" s="39"/>
      <c r="AW180" s="729"/>
      <c r="AX180" s="729"/>
      <c r="AY180" s="729"/>
    </row>
    <row r="181" spans="2:51" ht="13" outlineLevel="1" x14ac:dyDescent="0.2">
      <c r="B181" s="1766" t="s">
        <v>96</v>
      </c>
      <c r="C181" s="1767"/>
      <c r="D181" s="1768"/>
      <c r="E181" s="1236">
        <f t="shared" ref="E181:O181" si="36">SUM(E163:E180)</f>
        <v>0</v>
      </c>
      <c r="F181" s="1236">
        <f t="shared" si="36"/>
        <v>0</v>
      </c>
      <c r="G181" s="1236">
        <f t="shared" si="36"/>
        <v>0</v>
      </c>
      <c r="H181" s="1236">
        <f t="shared" si="36"/>
        <v>0</v>
      </c>
      <c r="I181" s="1236">
        <f t="shared" si="36"/>
        <v>0</v>
      </c>
      <c r="J181" s="1236">
        <f t="shared" si="36"/>
        <v>0</v>
      </c>
      <c r="K181" s="1236">
        <f t="shared" si="36"/>
        <v>0</v>
      </c>
      <c r="L181" s="1236">
        <f t="shared" si="36"/>
        <v>32.199466666666666</v>
      </c>
      <c r="M181" s="1247">
        <f t="shared" si="36"/>
        <v>0</v>
      </c>
      <c r="N181" s="1243">
        <f>SQRT(SUMSQ(N163:N180))</f>
        <v>0</v>
      </c>
      <c r="O181" s="1244">
        <f t="shared" si="36"/>
        <v>0</v>
      </c>
      <c r="W181" s="39"/>
      <c r="Z181" s="1162"/>
      <c r="AB181" s="39"/>
      <c r="AE181" s="1162"/>
      <c r="AF181" s="39"/>
      <c r="AI181" s="1162"/>
      <c r="AK181" s="39"/>
      <c r="AL181" s="39"/>
      <c r="AM181" s="39"/>
      <c r="AW181" s="729"/>
      <c r="AX181" s="729"/>
      <c r="AY181" s="729"/>
    </row>
    <row r="182" spans="2:51" outlineLevel="1" x14ac:dyDescent="0.2"/>
    <row r="183" spans="2:51" x14ac:dyDescent="0.2"/>
    <row r="184" spans="2:51" ht="15.75" customHeight="1" x14ac:dyDescent="0.2">
      <c r="B184" s="1741" t="s">
        <v>2836</v>
      </c>
      <c r="C184" s="1742"/>
      <c r="D184" s="1742"/>
      <c r="E184" s="1742"/>
      <c r="F184" s="1742"/>
      <c r="G184" s="1742"/>
      <c r="H184" s="1742"/>
      <c r="I184" s="1742"/>
      <c r="J184" s="1742"/>
      <c r="K184" s="1742"/>
      <c r="L184" s="1742"/>
      <c r="M184" s="1742"/>
      <c r="N184" s="1742"/>
      <c r="O184" s="1743"/>
    </row>
    <row r="185" spans="2:51" outlineLevel="1" x14ac:dyDescent="0.2">
      <c r="Q185" s="1317"/>
      <c r="R185" s="1317"/>
    </row>
    <row r="186" spans="2:51" ht="28" outlineLevel="1" x14ac:dyDescent="0.2">
      <c r="B186" s="118"/>
      <c r="C186" s="118"/>
      <c r="D186" s="118"/>
      <c r="E186" s="1735" t="s">
        <v>3040</v>
      </c>
      <c r="F186" s="1737"/>
      <c r="G186" s="1737"/>
      <c r="H186" s="1737"/>
      <c r="I186" s="1737"/>
      <c r="J186" s="1737"/>
      <c r="K186" s="1737"/>
      <c r="L186" s="1737"/>
      <c r="M186" s="1736"/>
      <c r="N186" s="1433" t="s">
        <v>3043</v>
      </c>
      <c r="O186" s="1617" t="s">
        <v>3042</v>
      </c>
      <c r="Q186" s="1317"/>
      <c r="R186" s="1317"/>
    </row>
    <row r="187" spans="2:51" ht="42" outlineLevel="1" x14ac:dyDescent="0.2">
      <c r="B187" s="1735" t="str">
        <f>+B153</f>
        <v>Sorgenti di emissione</v>
      </c>
      <c r="C187" s="1736"/>
      <c r="D187" s="1432" t="s">
        <v>2500</v>
      </c>
      <c r="E187" s="1431" t="s">
        <v>666</v>
      </c>
      <c r="F187" s="1431" t="s">
        <v>667</v>
      </c>
      <c r="G187" s="1431" t="s">
        <v>668</v>
      </c>
      <c r="H187" s="1431" t="s">
        <v>2582</v>
      </c>
      <c r="I187" s="1431" t="s">
        <v>2499</v>
      </c>
      <c r="J187" s="1432" t="s">
        <v>69</v>
      </c>
      <c r="K187" s="1431" t="s">
        <v>3044</v>
      </c>
      <c r="L187" s="1431" t="s">
        <v>3045</v>
      </c>
      <c r="M187" s="1431" t="s">
        <v>3041</v>
      </c>
      <c r="N187" s="1434" t="s">
        <v>669</v>
      </c>
      <c r="O187" s="1436" t="s">
        <v>69</v>
      </c>
      <c r="Q187" s="1317"/>
      <c r="R187" s="1317"/>
    </row>
    <row r="188" spans="2:51" ht="13" outlineLevel="1" x14ac:dyDescent="0.2">
      <c r="B188" s="1733" t="str">
        <f>+B154</f>
        <v xml:space="preserve">Emissioni dirette da sorgenti di combustione stazionarie </v>
      </c>
      <c r="C188" s="1734"/>
      <c r="D188" s="1435">
        <v>1</v>
      </c>
      <c r="E188" s="1441">
        <f>SUMIF($F$9:$F$30,'Info utili'!$C$532,AL9:AL30)+SUMIF($F$9:$F$30,'Info utili'!$C$537,AL9:AL30)</f>
        <v>0</v>
      </c>
      <c r="F188" s="1441">
        <f>SUMIF($F$9:$F$30,'Info utili'!$C$532,AN9:AN30)+SUMIF($F$9:$F$30,'Info utili'!$C$537,AN9:AN30)</f>
        <v>0</v>
      </c>
      <c r="G188" s="1441">
        <f>SUMIF($F$9:$F$30,'Info utili'!$C$532,AP9:AP30)+SUMIF($F$9:$F$30,'Info utili'!$C$537,AP9:AP30)</f>
        <v>0</v>
      </c>
      <c r="H188" s="1441">
        <v>0</v>
      </c>
      <c r="I188" s="1441">
        <v>0</v>
      </c>
      <c r="J188" s="1442">
        <f>SUMIF($F$9:$F$30,'Info utili'!$C$532,AT9:AT30)+SUMIF($F$9:$F$30,'Info utili'!$C$537,AT9:AT30)</f>
        <v>0</v>
      </c>
      <c r="K188" s="1443">
        <f>SUMIF($F$9:$F$30,'Info utili'!$C$532,AV9:AV30)+SUMIF($F$9:$F$30,'Info utili'!$C$537,AV9:AV30)</f>
        <v>0</v>
      </c>
      <c r="L188" s="1443">
        <v>0</v>
      </c>
      <c r="M188" s="1444">
        <f>SQRT(SUMPRODUCT(($F$9:$F$30='Info utili'!$C$532)*1,Y9:Y30,Y9:Y30)+SUMPRODUCT(($F$9:$F$30='Info utili'!$C$537)*1,Y9:Y30,Y9:Y30))</f>
        <v>0</v>
      </c>
      <c r="N188" s="1445"/>
      <c r="O188" s="1730" t="s">
        <v>2518</v>
      </c>
      <c r="Q188" s="1317"/>
      <c r="R188" s="1317"/>
    </row>
    <row r="189" spans="2:51" ht="13" outlineLevel="1" x14ac:dyDescent="0.2">
      <c r="B189" s="1733" t="str">
        <f t="shared" ref="B189:B191" si="37">+B155</f>
        <v>Emissioni dirette da sorgenti di combustione mobili</v>
      </c>
      <c r="C189" s="1734"/>
      <c r="D189" s="1435">
        <v>2</v>
      </c>
      <c r="E189" s="1441"/>
      <c r="F189" s="1441"/>
      <c r="G189" s="1441"/>
      <c r="H189" s="1441"/>
      <c r="I189" s="1441"/>
      <c r="J189" s="1442"/>
      <c r="K189" s="1443"/>
      <c r="L189" s="1443"/>
      <c r="M189" s="1444"/>
      <c r="N189" s="1445"/>
      <c r="O189" s="1731"/>
      <c r="Q189" s="1317"/>
      <c r="R189" s="1317"/>
    </row>
    <row r="190" spans="2:51" ht="13" outlineLevel="1" x14ac:dyDescent="0.2">
      <c r="B190" s="1733" t="str">
        <f t="shared" si="37"/>
        <v>Emissioni dirette da  processi</v>
      </c>
      <c r="C190" s="1734"/>
      <c r="D190" s="1435">
        <v>3</v>
      </c>
      <c r="E190" s="1441"/>
      <c r="F190" s="1441"/>
      <c r="G190" s="1441"/>
      <c r="H190" s="1441"/>
      <c r="I190" s="1441"/>
      <c r="J190" s="1442"/>
      <c r="K190" s="1443"/>
      <c r="L190" s="1443"/>
      <c r="M190" s="1444"/>
      <c r="N190" s="1445"/>
      <c r="O190" s="1731"/>
      <c r="Q190" s="1317"/>
      <c r="R190" s="1317"/>
    </row>
    <row r="191" spans="2:51" ht="13" outlineLevel="1" x14ac:dyDescent="0.2">
      <c r="B191" s="1733" t="str">
        <f t="shared" si="37"/>
        <v>Emissioni dirette da  fonti fugitive</v>
      </c>
      <c r="C191" s="1734"/>
      <c r="D191" s="1435">
        <v>4</v>
      </c>
      <c r="E191" s="1441"/>
      <c r="F191" s="1441"/>
      <c r="G191" s="1441"/>
      <c r="H191" s="1441"/>
      <c r="I191" s="1441"/>
      <c r="J191" s="1442"/>
      <c r="K191" s="1443"/>
      <c r="L191" s="1443"/>
      <c r="M191" s="1444"/>
      <c r="N191" s="1445"/>
      <c r="O191" s="1731"/>
      <c r="Q191" s="1317"/>
      <c r="R191" s="1317"/>
    </row>
    <row r="192" spans="2:51" ht="13" outlineLevel="1" x14ac:dyDescent="0.2">
      <c r="B192" s="1733" t="s">
        <v>2986</v>
      </c>
      <c r="C192" s="1734"/>
      <c r="D192" s="1435">
        <v>5</v>
      </c>
      <c r="E192" s="1441"/>
      <c r="F192" s="1441"/>
      <c r="G192" s="1441"/>
      <c r="H192" s="1441"/>
      <c r="I192" s="1441"/>
      <c r="J192" s="1442"/>
      <c r="K192" s="1443"/>
      <c r="L192" s="1443"/>
      <c r="M192" s="1444"/>
      <c r="N192" s="1446"/>
      <c r="O192" s="1731"/>
      <c r="Q192" s="1317"/>
      <c r="R192" s="1317"/>
    </row>
    <row r="193" spans="2:18" ht="13" outlineLevel="1" x14ac:dyDescent="0.2">
      <c r="B193" s="1738" t="s">
        <v>98</v>
      </c>
      <c r="C193" s="1738"/>
      <c r="D193" s="1738"/>
      <c r="E193" s="1447">
        <f>SUM(E188:E192)</f>
        <v>0</v>
      </c>
      <c r="F193" s="1447">
        <f t="shared" ref="F193:N193" si="38">SUM(F188:F192)</f>
        <v>0</v>
      </c>
      <c r="G193" s="1447">
        <f t="shared" si="38"/>
        <v>0</v>
      </c>
      <c r="H193" s="1447">
        <f t="shared" si="38"/>
        <v>0</v>
      </c>
      <c r="I193" s="1447">
        <f t="shared" si="38"/>
        <v>0</v>
      </c>
      <c r="J193" s="1447">
        <f t="shared" si="38"/>
        <v>0</v>
      </c>
      <c r="K193" s="1448">
        <f t="shared" si="38"/>
        <v>0</v>
      </c>
      <c r="L193" s="1448">
        <f t="shared" si="38"/>
        <v>0</v>
      </c>
      <c r="M193" s="1449">
        <f>SQRT(SUMSQ(M188:M192))</f>
        <v>0</v>
      </c>
      <c r="N193" s="1450">
        <f t="shared" si="38"/>
        <v>0</v>
      </c>
      <c r="O193" s="1732"/>
      <c r="Q193" s="1317"/>
      <c r="R193" s="1317"/>
    </row>
    <row r="194" spans="2:18" ht="13" outlineLevel="1" x14ac:dyDescent="0.2">
      <c r="B194" s="1733" t="str">
        <f>+B159</f>
        <v xml:space="preserve">Emissioni indirette da consumo di elettricità </v>
      </c>
      <c r="C194" s="1734"/>
      <c r="D194" s="1435">
        <v>6</v>
      </c>
      <c r="E194" s="1441">
        <f>SUMIF($F$69:$F$78,'Info utili'!$C$532,AL69:AL78)+SUMIF($F$69:$F$78,'Info utili'!$C$537,AL69:AL78)+SUMIF($F$80:$F$123,'Info utili'!$C$532,AK80:AK123)+SUMIF($F$80:$F$123,'Info utili'!$C$537,AK80:AK123)</f>
        <v>0</v>
      </c>
      <c r="F194" s="1441">
        <f>SUMIF($F$69:$F$78,'Info utili'!$C$532,AN69:AN78)+SUMIF($F$69:$F$78,'Info utili'!$C$537,AN69:AN78)+SUMIF($F$80:$F$123,'Info utili'!$C$532,AL80:AL123)+SUMIF($F$80:$F$123,'Info utili'!$C$537,AL80:AL123)</f>
        <v>0</v>
      </c>
      <c r="G194" s="1441">
        <f>SUMIF($F$69:$F$78,'Info utili'!$C$532,AP69:AP78)+SUMIF($F$69:$F$78,'Info utili'!$C$537,AP69:AP78)+SUMIF($F$80:$F$123,'Info utili'!$C$532,AM80:AM123)+SUMIF($F$80:$F$123,'Info utili'!$C$537,AM80:AM123)</f>
        <v>0</v>
      </c>
      <c r="H194" s="1441">
        <v>0</v>
      </c>
      <c r="I194" s="1441">
        <v>0</v>
      </c>
      <c r="J194" s="1442">
        <f>SUMIF($F$69:$F$78,'Info utili'!$C$532,AT69:AT78)+SUMIF($F$69:$F$78,'Info utili'!$C$537,AT69:AT78)+SUMIF($F$80:$F$123,'Info utili'!$C$532,AO80:AO123)+SUMIF($F$80:$F$123,'Info utili'!$C$537,AO80:AO123)</f>
        <v>182.4</v>
      </c>
      <c r="K194" s="1443">
        <f>SUMIF($F$69:$F$78,'Info utili'!$C$532,AV69:AV78)+SUMIF($F$69:$F$78,'Info utili'!$C$537,AV69:AV78)+SUMIF($F$80:$F$123,'Info utili'!$C$532,AP80:AP123)+SUMIF($F$80:$F$123,'Info utili'!$C$537,AP80:AP123)</f>
        <v>0</v>
      </c>
      <c r="L194" s="1443">
        <v>0</v>
      </c>
      <c r="M194" s="1444">
        <f>SQRT(SUMPRODUCT(($F$69:$F$78='Info utili'!$C$532)*1,Y69:Y78,Y69:Y78)+SUMPRODUCT(($F$69:$F$78='Info utili'!$C$537)*1,Y69:Y78,Y69:Y78)+SUMPRODUCT(($F$80:$F$123='Info utili'!$C$532)*1,X80:X123,X80:X123)+SUMPRODUCT(($F$80:$F$123='Info utili'!$C$537)*1,X80:X123,X80:X123))</f>
        <v>0</v>
      </c>
      <c r="N194" s="1445"/>
      <c r="O194" s="1451"/>
      <c r="Q194" s="1317"/>
      <c r="R194" s="1317"/>
    </row>
    <row r="195" spans="2:18" ht="13" outlineLevel="1" x14ac:dyDescent="0.2">
      <c r="B195" s="1733" t="s">
        <v>2989</v>
      </c>
      <c r="C195" s="1734"/>
      <c r="D195" s="1435">
        <v>7</v>
      </c>
      <c r="E195" s="1441">
        <f>(1/(1+10%))*SUMIF($F$46:$F$64,'Info utili'!$C$532,AK46:AK64)+(1/(1+10%))*SUMIF($F$46:$F$64,'Info utili'!$C$537,AK46:AK64)</f>
        <v>0</v>
      </c>
      <c r="F195" s="1441">
        <f>(1/(1+10%))*SUMIF($F$46:$F$64,'Info utili'!$C$532,AL46:AL64)+(1/(1+10%))*SUMIF($F$46:$F$64,'Info utili'!$C$537,AL46:AL64)</f>
        <v>0</v>
      </c>
      <c r="G195" s="1441">
        <f>(1/(1+10%))*SUMIF($F$46:$F$64,'Info utili'!$C$532,AM46:AM64)+(1/(1+10%))*SUMIF($F$46:$F$64,'Info utili'!$C$537,AM46:AM64)</f>
        <v>0</v>
      </c>
      <c r="H195" s="1441">
        <v>0</v>
      </c>
      <c r="I195" s="1441">
        <v>0</v>
      </c>
      <c r="J195" s="1442">
        <f>(1/(1+10%))*SUMIF($F$46:$F$64,'Info utili'!$C$532,AO46:AO64)+(1/(1+10%))*SUMIF($F$46:$F$64,'Info utili'!$C$537,AO46:AO64)</f>
        <v>0</v>
      </c>
      <c r="K195" s="1443">
        <f>(1/(1+10%))*SUMIF($F$46:$F$64,'Info utili'!$C$532,AP46:AP64)+(1/(1+10%))*SUMIF($F$46:$F$64,'Info utili'!$C$537,AP46:AP64)</f>
        <v>0</v>
      </c>
      <c r="L195" s="1443">
        <v>0</v>
      </c>
      <c r="M195" s="1444">
        <f>(1/SQRT((1+10%^2)))*SQRT(SUMPRODUCT(($F$46:$F$54='Info utili'!$C$532)*1,X46:X54,X46:X54)+SUMPRODUCT(($F$46:$F$54='Info utili'!$C$537)*1,X46:X54,X46:X54)+SUMPRODUCT(($F$56:$F$64='Info utili'!$C$532)*1,X56:X64,X56:X64)+SUMPRODUCT(($F$56:$F$64='Info utili'!$C$537)*1,X56:X64,X56:X64))</f>
        <v>0</v>
      </c>
      <c r="N195" s="1445"/>
      <c r="O195" s="1445"/>
      <c r="Q195" s="1317"/>
      <c r="R195" s="1317"/>
    </row>
    <row r="196" spans="2:18" ht="13" outlineLevel="1" x14ac:dyDescent="0.2">
      <c r="B196" s="1738" t="s">
        <v>97</v>
      </c>
      <c r="C196" s="1738"/>
      <c r="D196" s="1738"/>
      <c r="E196" s="1447">
        <f>SUM(E194:E195)</f>
        <v>0</v>
      </c>
      <c r="F196" s="1447">
        <f t="shared" ref="F196:O196" si="39">SUM(F194:F195)</f>
        <v>0</v>
      </c>
      <c r="G196" s="1447">
        <f t="shared" si="39"/>
        <v>0</v>
      </c>
      <c r="H196" s="1447">
        <f t="shared" si="39"/>
        <v>0</v>
      </c>
      <c r="I196" s="1447">
        <f t="shared" si="39"/>
        <v>0</v>
      </c>
      <c r="J196" s="1447">
        <f t="shared" si="39"/>
        <v>182.4</v>
      </c>
      <c r="K196" s="1448">
        <f t="shared" si="39"/>
        <v>0</v>
      </c>
      <c r="L196" s="1448">
        <f t="shared" si="39"/>
        <v>0</v>
      </c>
      <c r="M196" s="1449">
        <f>SQRT(SUMSQ(M194:M195))</f>
        <v>0</v>
      </c>
      <c r="N196" s="1450">
        <f t="shared" si="39"/>
        <v>0</v>
      </c>
      <c r="O196" s="1450">
        <f t="shared" si="39"/>
        <v>0</v>
      </c>
      <c r="Q196" s="1317"/>
      <c r="R196" s="1317"/>
    </row>
    <row r="197" spans="2:18" ht="13" outlineLevel="1" x14ac:dyDescent="0.2">
      <c r="B197" s="1733" t="s">
        <v>2990</v>
      </c>
      <c r="C197" s="1734"/>
      <c r="D197" s="1435">
        <v>8</v>
      </c>
      <c r="E197" s="1441">
        <f>SUMIF($F$9:$F$30,'Info utili'!$C$532,AK9:AK30)+SUMIF($F$9:$F$30,'Info utili'!$C$537,AK9:AK30)+(1+$H130)*SUMIF($F$69:$F$78,'Info utili'!$C$532,AK69:AK78)+(1+$H130)*SUMIF($F$69:$F$78,'Info utili'!$C$537,AK69:AK78)+$H130*SUMIF($F$69:$F$78,'Info utili'!$C$532,AL69:AL78)+$H130*SUMIF($F$69:$F$78,'Info utili'!$C$537,AL69:AL78)+$H130*SUMIF($F$80:$F$123,'Info utili'!$C$532,AK80:AK123)+$H130*SUMIF($F$80:$F$123,'Info utili'!$C$537,AK80:AK123)
+(10%/(1+10%))*SUMIF($F$46:$F$64,'Info utili'!$C$532,AK46:AK64)+(10%/(1+10%))*SUMIF($F$46:$F$64,'Info utili'!$C$537,AK46:AK64)</f>
        <v>0</v>
      </c>
      <c r="F197" s="1441">
        <f>SUMIF($F$9:$F$30,'Info utili'!$C$532,AM9:AM30)+SUMIF($F$9:$F$30,'Info utili'!$C$537,AM9:AM30)+(1+$H130)*SUMIF($F$69:$F$78,'Info utili'!$C$532,AM69:AM78)+(1+$H130)*SUMIF($F$69:$F$78,'Info utili'!$C$537,AM69:AM78)+$H130*SUMIF($F$69:$F$78,'Info utili'!$C$532,AN69:AN78)+$H130*SUMIF($F$69:$F$78,'Info utili'!$C$537,AN69:AN78)+$H130*SUMIF($F$80:$F$123,'Info utili'!$C$532,AL80:AL123)+$H130*SUMIF($F$80:$F$123,'Info utili'!$C$537,AL80:AL123)
+(10%/(1+10%))*SUMIF($F$46:$F$64,'Info utili'!$C$532,AL46:AL64)+(10%/(1+10%))*SUMIF($F$46:$F$64,'Info utili'!$C$537,AL46:AL64)</f>
        <v>0</v>
      </c>
      <c r="G197" s="1441">
        <f>SUMIF($F$9:$F$30,'Info utili'!$C$532,AO9:AO30)+SUMIF($F$9:$F$30,'Info utili'!$C$537,AO9:AO30)+(1+$H130)*SUMIF($F$69:$F$78,'Info utili'!$C$532,AO69:AO78)+(1+$H130)*SUMIF($F$69:$F$78,'Info utili'!$C$537,AO69:AO78)+$H130*SUMIF($F$69:$F$78,'Info utili'!$C$532,AP69:AP78)+$H130*SUMIF($F$69:$F$78,'Info utili'!$C$537,AP69:AP78)+$H130*SUMIF($F$80:$F$123,'Info utili'!$C$532,AM80:AM123)+$H130*SUMIF($F$80:$F$123,'Info utili'!$C$537,AM80:AM123)
+(10%/(1+10%))*SUMIF($F$46:$F$64,'Info utili'!$C$532,AM46:AM64)+(10%/(1+10%))*SUMIF($F$46:$F$64,'Info utili'!$C$537,AM46:AM64)</f>
        <v>0</v>
      </c>
      <c r="H197" s="1441">
        <v>0</v>
      </c>
      <c r="I197" s="1441">
        <v>0</v>
      </c>
      <c r="J197" s="1442">
        <f>SUMIF($F$9:$F$30,'Info utili'!$C$532,AS9:AS30)+SUMIF($F$9:$F$30,'Info utili'!$C$537,AS9:AS30)
+(1+$H130)*SUMIF($F$69:$F$78,'Info utili'!$C$532,AS69:AS78)+(1+$H130)*SUMIF($F$69:$F$78,'Info utili'!$C$537,AS69:AS78)+$H130*SUMIF($F$69:$F$78,'Info utili'!$C$532,AT69:AT78)+$H130*SUMIF($F$69:$F$78,'Info utili'!$C$537,AT69:AT78)+$H130*SUMIF($F$80:$F$123,'Info utili'!$C$532,AO80:AO123)+$H130*SUMIF($F$80:$F$123,'Info utili'!$C$537,AO80:AO123)
+(10%/(1+10%))*SUMIF($F$46:$F$64,'Info utili'!$C$532,AO46:AO64)+(10%/(1+10%))*SUMIF($F$46:$F$64,'Info utili'!$C$537,AO46:AO64)</f>
        <v>32.199466666666666</v>
      </c>
      <c r="K197" s="1443">
        <f>SUMIF($F$9:$F$30,'Info utili'!$C$532,AU9:AU30)+SUMIF($F$9:$F$30,'Info utili'!$C$537,AU9:AU30)+(1+$H130)*SUMIF($F$69:$F$78,'Info utili'!$C$532,AU69:AU78)+(1+$H130)*SUMIF($F$69:$F$78,'Info utili'!$C$537,AU69:AU78)+$H130*SUMIF($F$69:$F$78,'Info utili'!$C$532,AV69:AV78)+$H130*SUMIF($F$69:$F$78,'Info utili'!$C$537,AV69:AV78)+$H130*SUMIF($F$80:$F$123,'Info utili'!$C$532,AP80:AP123)+$H130*SUMIF($F$80:$F$123,'Info utili'!$C$537,AP80:AP123)
+(10%/(1+10%))*SUMIF($F$46:$F$64,'Info utili'!$C$532,AP46:AP64)+(10%/(1+10%))*SUMIF($F$46:$F$64,'Info utili'!$C$537,AP46:AP64)</f>
        <v>0</v>
      </c>
      <c r="L197" s="1443">
        <v>0</v>
      </c>
      <c r="M197" s="1444">
        <f>SQRT(SUMPRODUCT(($F$9:$F$30='Info utili'!$C$532)*1,X9:X30,X9:X30)+SUMPRODUCT(($F$9:$F$30='Info utili'!$C$537)*1,X9:X30,X9:X30)
+SUMPRODUCT(($F$46:$F$54='Info utili'!$C$532)*1,X46:X54,X46:X54)+SUMPRODUCT(($F$46:$F$54='Info utili'!$C$537)*1,X46:X54,X46:X54)+SUMPRODUCT(($F$56:$F$64='Info utili'!$C$532)*1,X56:X64,X56:X64)+SUMPRODUCT(($F$56:$F$64='Info utili'!$C$537)*1,X56:X64,X56:X64)-M195^2
+(1+$H130^2)*(SUMPRODUCT(($F$69:$F$78='Info utili'!$C$532)*1,X69:X78,X69:X78)+SUMPRODUCT(($F$69:$F$78='Info utili'!$C$537)*1,X69:X78,X69:X78))
+$H130^2*(SUMPRODUCT(($F$69:$F$78='Info utili'!$C$532)*1,Y69:Y78,Y69:Y78)+SUMPRODUCT(($F$69:$F$78='Info utili'!$C$537)*1,Y69:Y78,Y69:Y78)+SUMPRODUCT(($F$80:$F$123='Info utili'!$C$532)*1,X80:X123,X80:X123)+SUMPRODUCT(($F$80:$F$123='Info utili'!$C$537)*1,X80:X123,X80:X123)))</f>
        <v>0</v>
      </c>
      <c r="N197" s="1445"/>
      <c r="O197" s="1445"/>
      <c r="Q197" s="1317"/>
      <c r="R197" s="1317"/>
    </row>
    <row r="198" spans="2:18" ht="13" outlineLevel="1" x14ac:dyDescent="0.2">
      <c r="B198" s="1733" t="s">
        <v>2991</v>
      </c>
      <c r="C198" s="1734"/>
      <c r="D198" s="1435">
        <v>9</v>
      </c>
      <c r="E198" s="1441"/>
      <c r="F198" s="1441"/>
      <c r="G198" s="1441"/>
      <c r="H198" s="1441"/>
      <c r="I198" s="1441"/>
      <c r="J198" s="1442"/>
      <c r="K198" s="1443"/>
      <c r="L198" s="1443"/>
      <c r="M198" s="1444"/>
      <c r="N198" s="1445"/>
      <c r="O198" s="1445"/>
      <c r="Q198" s="1317"/>
      <c r="R198" s="1317"/>
    </row>
    <row r="199" spans="2:18" ht="13" outlineLevel="1" x14ac:dyDescent="0.2">
      <c r="B199" s="1733" t="s">
        <v>2799</v>
      </c>
      <c r="C199" s="1734"/>
      <c r="D199" s="1435">
        <v>10</v>
      </c>
      <c r="E199" s="1441"/>
      <c r="F199" s="1441"/>
      <c r="G199" s="1441"/>
      <c r="H199" s="1441"/>
      <c r="I199" s="1441"/>
      <c r="J199" s="1442"/>
      <c r="K199" s="1443"/>
      <c r="L199" s="1443"/>
      <c r="M199" s="1444"/>
      <c r="N199" s="1445"/>
      <c r="O199" s="1445"/>
      <c r="Q199" s="1317"/>
      <c r="R199" s="1317"/>
    </row>
    <row r="200" spans="2:18" ht="13" outlineLevel="1" x14ac:dyDescent="0.2">
      <c r="B200" s="1733" t="s">
        <v>2992</v>
      </c>
      <c r="C200" s="1734"/>
      <c r="D200" s="1435">
        <v>11</v>
      </c>
      <c r="E200" s="1441"/>
      <c r="F200" s="1441"/>
      <c r="G200" s="1441"/>
      <c r="H200" s="1441"/>
      <c r="I200" s="1441"/>
      <c r="J200" s="1442"/>
      <c r="K200" s="1443"/>
      <c r="L200" s="1443"/>
      <c r="M200" s="1444"/>
      <c r="N200" s="1445"/>
      <c r="O200" s="1445"/>
      <c r="Q200" s="1317"/>
      <c r="R200" s="1317"/>
    </row>
    <row r="201" spans="2:18" ht="13" outlineLevel="1" x14ac:dyDescent="0.2">
      <c r="B201" s="1733" t="str">
        <f>+B166</f>
        <v>Trasporto e distribuzione premanifattura</v>
      </c>
      <c r="C201" s="1734"/>
      <c r="D201" s="1435">
        <v>12</v>
      </c>
      <c r="E201" s="1441"/>
      <c r="F201" s="1441"/>
      <c r="G201" s="1441"/>
      <c r="H201" s="1441"/>
      <c r="I201" s="1441"/>
      <c r="J201" s="1442"/>
      <c r="K201" s="1443"/>
      <c r="L201" s="1443"/>
      <c r="M201" s="1444"/>
      <c r="N201" s="1445"/>
      <c r="O201" s="1445"/>
      <c r="Q201" s="1317"/>
      <c r="R201" s="1317"/>
    </row>
    <row r="202" spans="2:18" ht="13" outlineLevel="1" x14ac:dyDescent="0.2">
      <c r="B202" s="1733" t="str">
        <f>+B168</f>
        <v>Viaggi di lavoro</v>
      </c>
      <c r="C202" s="1734"/>
      <c r="D202" s="1435">
        <v>13</v>
      </c>
      <c r="E202" s="1441"/>
      <c r="F202" s="1441"/>
      <c r="G202" s="1441"/>
      <c r="H202" s="1441"/>
      <c r="I202" s="1441"/>
      <c r="J202" s="1442"/>
      <c r="K202" s="1443"/>
      <c r="L202" s="1443"/>
      <c r="M202" s="1444"/>
      <c r="N202" s="1445"/>
      <c r="O202" s="1445"/>
      <c r="Q202" s="1317"/>
      <c r="R202" s="1317"/>
    </row>
    <row r="203" spans="2:18" ht="13" outlineLevel="1" x14ac:dyDescent="0.2">
      <c r="B203" s="1733" t="s">
        <v>2508</v>
      </c>
      <c r="C203" s="1734"/>
      <c r="D203" s="1435">
        <v>14</v>
      </c>
      <c r="E203" s="1441">
        <f>SUMIF($F$9:$F$41,'Info utili'!$C$533,AK9:AK41)+SUMIF($F$9:$F$41,'Info utili'!$C$533,AL9:AL41)+SUMIF($F$46:$F$64,'Info utili'!$C$533,AK46:AK64)+(1+$H130)*SUMIF($F$69:$F$78,'Info utili'!$C$533,AK69:AK78)+(1+$H130)*SUMIF($F$69:$F$78,'Info utili'!$C$533,AL69:AL78)+(1+$H130)*SUMIF($F$80:$F$123,'Info utili'!$C$533,AK80:AK123)</f>
        <v>0</v>
      </c>
      <c r="F203" s="1441">
        <f>SUMIF($F$9:$F$41,'Info utili'!$C$533,AM9:AM41)+SUMIF($F$9:$F$41,'Info utili'!$C$533,AN9:AN41)+SUMIF($F$46:$F$64,'Info utili'!$C$533,AL46:AL64)+(1+$H130)*SUMIF($F$69:$F$78,'Info utili'!$C$533,AM69:AM78)+(1+$H130)*SUMIF($F$69:$F$78,'Info utili'!$C$533,AN69:AN78)+(1+$H130)*SUMIF($F$80:$F$123,'Info utili'!$C$533,AL80:AL123)</f>
        <v>0</v>
      </c>
      <c r="G203" s="1441">
        <f>SUMIF($F$9:$F$41,'Info utili'!$C$533,AO9:AO41)+SUMIF($F$9:$F$41,'Info utili'!$C$533,AP9:AP41)+SUMIF($F$46:$F$64,'Info utili'!$C$533,AM46:AM64)+(1+$H130)*SUMIF($F$69:$F$78,'Info utili'!$C$533,AO69:AO78)+(1+$H130)*SUMIF($F$69:$F$78,'Info utili'!$C$533,AP69:AP78)+(1+$H130)*SUMIF($F$80:$F$123,'Info utili'!$C$533,AM80:AM123)</f>
        <v>0</v>
      </c>
      <c r="H203" s="1441">
        <v>0</v>
      </c>
      <c r="I203" s="1441">
        <v>0</v>
      </c>
      <c r="J203" s="1442">
        <f>SUMIF($F$9:$F$41,'Info utili'!$C$533,AS9:AS41)+SUMIF($F$9:$F$41,'Info utili'!$C$533,AT9:AT41)+SUMIF($F$46:$F$64,'Info utili'!$C$533,AO46:AO64)+(1+$H130)*SUMIF($F$69:$F$78,'Info utili'!$C$533,AS69:AS78)+(1+$H130)*SUMIF($F$69:$F$78,'Info utili'!$C$533,AT69:AT78)+(1+$H130)*SUMIF($F$80:$F$123,'Info utili'!$C$533,AO80:AO123)</f>
        <v>0</v>
      </c>
      <c r="K203" s="1443">
        <f>SUMIF($F$9:$F$41,'Info utili'!$C$533,AU9:AU41)+SUMIF($F$9:$F$41,'Info utili'!$C$533,AV9:AV41)+SUMIF($F$46:$F$64,'Info utili'!$C$533,AP46:AP64)+(1+$H130)*SUMIF($F$69:$F$78,'Info utili'!$C$533,AU69:AU78)+(1+$H130)*SUMIF($F$69:$F$78,'Info utili'!$C$533,AV69:AV78)+(1+$H130)*SUMIF($F$80:$F$123,'Info utili'!$C$533,AP80:AP123)</f>
        <v>0</v>
      </c>
      <c r="L203" s="1443">
        <v>0</v>
      </c>
      <c r="M203" s="1444">
        <f>SQRT(SUMPRODUCT(($F$9:$F$41='Info utili'!$C$533)*1,X9:X41,X9:X41)+SUMPRODUCT(($F$9:$F$41='Info utili'!$C$533)*1,Y9:Y41,Y9:Y41)+SUMPRODUCT(($F$46:$F$64='Info utili'!$C$533)*1,X46:X64,X46:X64)
+(1+$H130^2)*(SUMPRODUCT(($F$69:$F$78='Info utili'!$C$533)*1,X69:X78,X69:X78)
+SUMPRODUCT(($F$69:$F$78='Info utili'!$C$533)*1,Y69:Y78,Y69:Y78)
+SUMPRODUCT(($F$80:$F$123='Info utili'!$C$533)*1,X80:X123,X80:X123)))</f>
        <v>0</v>
      </c>
      <c r="N203" s="1445"/>
      <c r="O203" s="1445"/>
      <c r="Q203" s="1317"/>
      <c r="R203" s="1317"/>
    </row>
    <row r="204" spans="2:18" ht="13" outlineLevel="1" x14ac:dyDescent="0.2">
      <c r="B204" s="1733" t="str">
        <f>+B179</f>
        <v>Investimenti</v>
      </c>
      <c r="C204" s="1734"/>
      <c r="D204" s="1435">
        <v>15</v>
      </c>
      <c r="E204" s="1441"/>
      <c r="F204" s="1441"/>
      <c r="G204" s="1441"/>
      <c r="H204" s="1441"/>
      <c r="I204" s="1441"/>
      <c r="J204" s="1442"/>
      <c r="K204" s="1443"/>
      <c r="L204" s="1443"/>
      <c r="M204" s="1444"/>
      <c r="N204" s="1445"/>
      <c r="O204" s="1445"/>
      <c r="Q204" s="1317"/>
      <c r="R204" s="1317"/>
    </row>
    <row r="205" spans="2:18" ht="13" outlineLevel="1" x14ac:dyDescent="0.2">
      <c r="B205" s="1733" t="s">
        <v>2994</v>
      </c>
      <c r="C205" s="1734"/>
      <c r="D205" s="1435">
        <v>16</v>
      </c>
      <c r="E205" s="1441"/>
      <c r="F205" s="1441"/>
      <c r="G205" s="1441"/>
      <c r="H205" s="1441"/>
      <c r="I205" s="1441"/>
      <c r="J205" s="1442"/>
      <c r="K205" s="1443"/>
      <c r="L205" s="1443"/>
      <c r="M205" s="1444"/>
      <c r="N205" s="1445"/>
      <c r="O205" s="1445"/>
      <c r="Q205" s="1317"/>
      <c r="R205" s="1317"/>
    </row>
    <row r="206" spans="2:18" ht="13" outlineLevel="1" x14ac:dyDescent="0.2">
      <c r="B206" s="1733" t="str">
        <f>+B173</f>
        <v>Trasporto di merci e distribuzione in fase d’uso e fine vita</v>
      </c>
      <c r="C206" s="1734"/>
      <c r="D206" s="1435">
        <v>17</v>
      </c>
      <c r="E206" s="1441"/>
      <c r="F206" s="1441"/>
      <c r="G206" s="1441"/>
      <c r="H206" s="1441"/>
      <c r="I206" s="1441"/>
      <c r="J206" s="1442"/>
      <c r="K206" s="1443"/>
      <c r="L206" s="1443"/>
      <c r="M206" s="1444"/>
      <c r="N206" s="1445"/>
      <c r="O206" s="1445"/>
      <c r="Q206" s="1317"/>
      <c r="R206" s="1317"/>
    </row>
    <row r="207" spans="2:18" ht="13" outlineLevel="1" x14ac:dyDescent="0.2">
      <c r="B207" s="1733" t="str">
        <f>+B175</f>
        <v xml:space="preserve">Uso dei prodotto venduti  </v>
      </c>
      <c r="C207" s="1734"/>
      <c r="D207" s="1435">
        <v>18</v>
      </c>
      <c r="E207" s="1441"/>
      <c r="F207" s="1441"/>
      <c r="G207" s="1441"/>
      <c r="H207" s="1441"/>
      <c r="I207" s="1441"/>
      <c r="J207" s="1442"/>
      <c r="K207" s="1443"/>
      <c r="L207" s="1443"/>
      <c r="M207" s="1444"/>
      <c r="N207" s="1445"/>
      <c r="O207" s="1445"/>
      <c r="Q207" s="1317"/>
      <c r="R207" s="1317"/>
    </row>
    <row r="208" spans="2:18" ht="13" outlineLevel="1" x14ac:dyDescent="0.2">
      <c r="B208" s="1733" t="str">
        <f>+B176</f>
        <v>Fine vita dei prodotti venduti</v>
      </c>
      <c r="C208" s="1734"/>
      <c r="D208" s="1435">
        <v>19</v>
      </c>
      <c r="E208" s="1441"/>
      <c r="F208" s="1441"/>
      <c r="G208" s="1441"/>
      <c r="H208" s="1441"/>
      <c r="I208" s="1441"/>
      <c r="J208" s="1442"/>
      <c r="K208" s="1443"/>
      <c r="L208" s="1443"/>
      <c r="M208" s="1444"/>
      <c r="N208" s="1445"/>
      <c r="O208" s="1445"/>
      <c r="Q208" s="1317"/>
      <c r="R208" s="1317"/>
    </row>
    <row r="209" spans="2:48" ht="13" outlineLevel="1" x14ac:dyDescent="0.2">
      <c r="B209" s="1733" t="s">
        <v>2513</v>
      </c>
      <c r="C209" s="1734"/>
      <c r="D209" s="1435">
        <v>20</v>
      </c>
      <c r="E209" s="1441"/>
      <c r="F209" s="1441"/>
      <c r="G209" s="1441"/>
      <c r="H209" s="1441"/>
      <c r="I209" s="1441"/>
      <c r="J209" s="1442"/>
      <c r="K209" s="1443"/>
      <c r="L209" s="1443"/>
      <c r="M209" s="1444"/>
      <c r="N209" s="1445"/>
      <c r="O209" s="1445"/>
      <c r="Q209" s="1317"/>
      <c r="R209" s="1317"/>
    </row>
    <row r="210" spans="2:48" ht="13" outlineLevel="1" x14ac:dyDescent="0.2">
      <c r="B210" s="1733" t="s">
        <v>2514</v>
      </c>
      <c r="C210" s="1734"/>
      <c r="D210" s="1435">
        <v>21</v>
      </c>
      <c r="E210" s="1441"/>
      <c r="F210" s="1441"/>
      <c r="G210" s="1441"/>
      <c r="H210" s="1441"/>
      <c r="I210" s="1441"/>
      <c r="J210" s="1442"/>
      <c r="K210" s="1443"/>
      <c r="L210" s="1443"/>
      <c r="M210" s="1444"/>
      <c r="N210" s="1445"/>
      <c r="O210" s="1445"/>
      <c r="Q210" s="1317"/>
      <c r="R210" s="1317"/>
    </row>
    <row r="211" spans="2:48" ht="13" outlineLevel="1" x14ac:dyDescent="0.2">
      <c r="B211" s="1733" t="str">
        <f>+B169</f>
        <v>Impiegati pendolari</v>
      </c>
      <c r="C211" s="1734"/>
      <c r="D211" s="1435">
        <v>22</v>
      </c>
      <c r="E211" s="1441"/>
      <c r="F211" s="1441"/>
      <c r="G211" s="1441"/>
      <c r="H211" s="1441"/>
      <c r="I211" s="1441"/>
      <c r="J211" s="1442"/>
      <c r="K211" s="1443"/>
      <c r="L211" s="1443"/>
      <c r="M211" s="1444"/>
      <c r="N211" s="1445"/>
      <c r="O211" s="1445"/>
      <c r="Q211" s="1317"/>
      <c r="R211" s="1317"/>
    </row>
    <row r="212" spans="2:48" ht="13" outlineLevel="1" x14ac:dyDescent="0.2">
      <c r="B212" s="1733" t="s">
        <v>2995</v>
      </c>
      <c r="C212" s="1734"/>
      <c r="D212" s="1435">
        <v>23</v>
      </c>
      <c r="E212" s="1441">
        <f>SUMIF($F$9:$F$41,'Info utili'!$C$534,AK9:AK41)+SUMIF($F$9:$F$41,'Info utili'!$C$534,AL9:AL41)+SUMIF($F$9:$F$41,'Info utili'!$C$538,AK9:AK41)+SUMIF($F$9:$F$41,'Info utili'!$C$538,AL9:AL41)+SUMIF($F$46:$F$64,'Info utili'!$C$534,AK46:AK64)+SUMIF($F$46:$F$64,'Info utili'!$C$538,AK46:AK64)+(1+$H130)*SUMIF($F$69:$F$78,'Info utili'!$C$534,AK69:AK78)+(1+$H130)*SUMIF($F$69:$F$78,'Info utili'!$C$538,AK69:AK78)+(1+$H130)*SUMIF($F$69:$F$78,'Info utili'!$C$534,AL69:AL78)+(1+$H130)*SUMIF($F$69:$F$78,'Info utili'!$C$538,AL69:AL78)+(1+$H130)*SUMIF($F$80:$F$123,'Info utili'!$C$534,AK80:AK123)+(1+$H130)*SUMIF($F$80:$F$123,'Info utili'!$C$538,AK80:AK123)</f>
        <v>0</v>
      </c>
      <c r="F212" s="1441">
        <f>SUMIF($F$9:$F$41,'Info utili'!$C$534,AM9:AM41)+SUMIF($F$9:$F$41,'Info utili'!$C$534,AN9:AN41)+SUMIF($F$9:$F$41,'Info utili'!$C$538,AM9:AM41)+SUMIF($F$9:$F$41,'Info utili'!$C$538,AN9:AN41)+SUMIF($F$46:$F$64,'Info utili'!$C$534,AL46:AL64)+SUMIF($F$46:$F$64,'Info utili'!$C$538,AL46:AL64)+(1+$H130)*SUMIF($F$69:$F$78,'Info utili'!$C$534,AM69:AM78)+(1+$H130)*SUMIF($F$69:$F$78,'Info utili'!$C$538,AM69:AM78)+(1+$H130)*SUMIF($F$69:$F$78,'Info utili'!$C$534,AN69:AN78)+(1+$H130)*SUMIF($F$69:$F$78,'Info utili'!$C$538,AN69:AN78)+(1+$H130)*SUMIF($F$80:$F$123,'Info utili'!$C$534,AL80:AL123)+(1+$H130)*SUMIF($F$80:$F$123,'Info utili'!$C$538,AL80:AL123)</f>
        <v>0</v>
      </c>
      <c r="G212" s="1441">
        <f>SUMIF($F$9:$F$41,'Info utili'!$C$534,AO9:AO41)+SUMIF($F$9:$F$41,'Info utili'!$C$534,AP9:AP41)+SUMIF($F$9:$F$41,'Info utili'!$C$538,AO9:AO41)+SUMIF($F$9:$F$41,'Info utili'!$C$538,AP9:AP41)+SUMIF($F$46:$F$64,'Info utili'!$C$534,AM46:AM64)+SUMIF($F$46:$F$64,'Info utili'!$C$538,AM46:AM64)+(1+$H130)*SUMIF($F$69:$F$78,'Info utili'!$C$534,AO69:AO78)+(1+$H130)*SUMIF($F$69:$F$78,'Info utili'!$C$538,AO69:AO78)+(1+$H130)*SUMIF($F$69:$F$78,'Info utili'!$C$534,AP69:AP78)+(1+$H130)*SUMIF($F$69:$F$78,'Info utili'!$C$538,AP69:AP78)+(1+$H130)*SUMIF($F$80:$F$123,'Info utili'!$C$534,AM80:AM123)+(1+$H130)*SUMIF($F$80:$F$123,'Info utili'!$C$538,AM80:AM123)</f>
        <v>0</v>
      </c>
      <c r="H212" s="1441">
        <v>0</v>
      </c>
      <c r="I212" s="1441">
        <v>0</v>
      </c>
      <c r="J212" s="1442">
        <f>SUMIF($F$9:$F$41,'Info utili'!$C$534,AS9:AS41)+SUMIF($F$9:$F$41,'Info utili'!$C$534,AT9:AT41)+SUMIF($F$9:$F$41,'Info utili'!$C$538,AS9:AS41)+SUMIF($F$9:$F$41,'Info utili'!$C$538,AT9:AT41)+SUMIF($F$46:$F$64,'Info utili'!$C$534,AO46:AO64)+SUMIF($F$46:$F$64,'Info utili'!$C$538,AO46:AO64)
+(1+$H130)*SUMIF($F$69:$F$78,'Info utili'!$C$534,AS69:AS78)+(1+$H130)*SUMIF($F$69:$F$78,'Info utili'!$C$538,AS69:AS78)
+(1+$H130)*SUMIF($F$69:$F$78,'Info utili'!$C$534,AT69:AT78)+(1+$H130)*SUMIF($F$69:$F$78,'Info utili'!$C$538,AT69:AT78)
+(1+$H130)*SUMIF($F$80:$F$123,'Info utili'!$C$534,AO80:AO123)+(1+$H130)*SUMIF($F$80:$F$123,'Info utili'!$C$538,AO80:AO123)</f>
        <v>0</v>
      </c>
      <c r="K212" s="1443">
        <f>SUMIF($F$9:$F$41,'Info utili'!$C$534,AU9:AU41)+SUMIF($F$9:$F$41,'Info utili'!$C$534,AV9:AV41)+SUMIF($F$9:$F$41,'Info utili'!$C$538,AU9:AU41)+SUMIF($F$9:$F$41,'Info utili'!$C$538,AV9:AV41)+SUMIF($F$46:$F$64,'Info utili'!$C$534,AP46:AP64)+SUMIF($F$46:$F$64,'Info utili'!$C$538,AP46:AP64)+(1+$H130)*SUMIF($F$69:$F$78,'Info utili'!$C$534,AU69:AU78)+(1+$H130)*SUMIF($F$69:$F$78,'Info utili'!$C$538,AU69:AU78)+(1+$H130)*SUMIF($F$69:$F$78,'Info utili'!$C$534,AV69:AV78)+(1+$H130)*SUMIF($F$69:$F$78,'Info utili'!$C$538,AV69:AV78)+(1+$H130)*SUMIF($F$80:$F$123,'Info utili'!$C$534,AP80:AP123)+(1+$H130)*SUMIF($F$80:$F$123,'Info utili'!$C$538,AP80:AP123)</f>
        <v>0</v>
      </c>
      <c r="L212" s="1443">
        <v>0</v>
      </c>
      <c r="M212" s="1444">
        <f>SQRT(SUMPRODUCT(($F$9:$F$41='Info utili'!$C$534)*1,X9:X41,X9:X41)+SUMPRODUCT(($F$9:$F$41='Info utili'!$C$534)*1,Y9:Y41,Y9:Y41)+SUMPRODUCT(($F$9:$F$41='Info utili'!$C$538)*1,X9:X41,X9:X41)+SUMPRODUCT(($F$9:$F$41='Info utili'!$C$538)*1,Y9:Y41,Y9:Y41)+SUMPRODUCT(($F$46:$F$64='Info utili'!$C$534)*1,X46:X64,X46:X64)+SUMPRODUCT(($F$46:$F$64='Info utili'!$C$538)*1,X46:X64,X46:X64)
+(1+$H130^2)*(SUMPRODUCT(($F$69:$F$78='Info utili'!$C$534)*1,X69:X78,X69:X78)+SUMPRODUCT(($F$69:$F$78='Info utili'!$C$538)*1,X69:X78,X69:X78)+SUMPRODUCT(($F$69:$F$78='Info utili'!$C$534)*1,Y69:Y78,Y69:Y78)+SUMPRODUCT(($F$69:$F$78='Info utili'!$C$538)*1,Y69:Y78,Y69:Y78)
+SUMPRODUCT(($F$80:$F$123='Info utili'!$C$534)*1,X80:X123,X80:X123)+SUMPRODUCT(($F$80:$F$123='Info utili'!$C$538)*1,X80:X123,X80:X123)))</f>
        <v>0</v>
      </c>
      <c r="N212" s="1445"/>
      <c r="O212" s="1445"/>
      <c r="Q212" s="1317"/>
      <c r="R212" s="1317"/>
    </row>
    <row r="213" spans="2:48" ht="13" outlineLevel="1" x14ac:dyDescent="0.2">
      <c r="B213" s="1738" t="s">
        <v>96</v>
      </c>
      <c r="C213" s="1738"/>
      <c r="D213" s="1738"/>
      <c r="E213" s="1447">
        <f>SUM(E197:E212)</f>
        <v>0</v>
      </c>
      <c r="F213" s="1447">
        <f t="shared" ref="F213:O213" si="40">SUM(F197:F212)</f>
        <v>0</v>
      </c>
      <c r="G213" s="1447">
        <f t="shared" si="40"/>
        <v>0</v>
      </c>
      <c r="H213" s="1447">
        <f t="shared" si="40"/>
        <v>0</v>
      </c>
      <c r="I213" s="1447">
        <f t="shared" si="40"/>
        <v>0</v>
      </c>
      <c r="J213" s="1447">
        <f t="shared" si="40"/>
        <v>32.199466666666666</v>
      </c>
      <c r="K213" s="1448">
        <f t="shared" si="40"/>
        <v>0</v>
      </c>
      <c r="L213" s="1448">
        <f t="shared" si="40"/>
        <v>0</v>
      </c>
      <c r="M213" s="1449">
        <f>SQRT(SUMSQ(M197:M212))</f>
        <v>0</v>
      </c>
      <c r="N213" s="1450">
        <f t="shared" si="40"/>
        <v>0</v>
      </c>
      <c r="O213" s="1450">
        <f t="shared" si="40"/>
        <v>0</v>
      </c>
      <c r="Q213" s="1317"/>
      <c r="R213" s="1317"/>
    </row>
    <row r="214" spans="2:48" outlineLevel="1" x14ac:dyDescent="0.2">
      <c r="Q214" s="1317"/>
      <c r="R214" s="1317"/>
    </row>
    <row r="215" spans="2:48" x14ac:dyDescent="0.2">
      <c r="W215" s="39"/>
      <c r="AB215" s="39"/>
      <c r="AF215" s="39"/>
      <c r="AK215" s="39"/>
      <c r="AL215" s="39"/>
      <c r="AM215" s="39"/>
      <c r="AN215" s="39"/>
      <c r="AO215" s="39"/>
      <c r="AP215" s="39"/>
      <c r="AQ215" s="39"/>
      <c r="AR215" s="39"/>
      <c r="AS215" s="39"/>
      <c r="AT215" s="39"/>
      <c r="AU215" s="39"/>
      <c r="AV215" s="39"/>
    </row>
    <row r="216" spans="2:48" x14ac:dyDescent="0.2">
      <c r="W216" s="39"/>
      <c r="AB216" s="39"/>
      <c r="AF216" s="39"/>
      <c r="AK216" s="39"/>
      <c r="AL216" s="39"/>
      <c r="AM216" s="39"/>
      <c r="AN216" s="39"/>
      <c r="AO216" s="39"/>
      <c r="AP216" s="39"/>
      <c r="AQ216" s="39"/>
      <c r="AR216" s="39"/>
      <c r="AS216" s="39"/>
      <c r="AT216" s="39"/>
      <c r="AU216" s="39"/>
      <c r="AV216" s="39"/>
    </row>
    <row r="217" spans="2:48" ht="17" x14ac:dyDescent="0.2">
      <c r="B217" s="1649" t="s">
        <v>2768</v>
      </c>
      <c r="W217" s="39"/>
      <c r="AB217" s="39"/>
      <c r="AF217" s="39"/>
      <c r="AK217" s="39"/>
      <c r="AL217" s="39"/>
      <c r="AM217" s="39"/>
      <c r="AN217" s="39"/>
      <c r="AO217" s="39"/>
      <c r="AP217" s="39"/>
      <c r="AQ217" s="39"/>
      <c r="AR217" s="39"/>
      <c r="AS217" s="39"/>
      <c r="AT217" s="39"/>
      <c r="AU217" s="39"/>
      <c r="AV217" s="39"/>
    </row>
    <row r="218" spans="2:48" ht="17" x14ac:dyDescent="0.2">
      <c r="B218" s="1649" t="s">
        <v>2769</v>
      </c>
      <c r="W218" s="39"/>
      <c r="AB218" s="39"/>
      <c r="AF218" s="39"/>
      <c r="AK218" s="39"/>
      <c r="AL218" s="39"/>
      <c r="AM218" s="39"/>
      <c r="AN218" s="39"/>
      <c r="AO218" s="39"/>
      <c r="AP218" s="39"/>
      <c r="AQ218" s="39"/>
      <c r="AR218" s="39"/>
      <c r="AS218" s="39"/>
      <c r="AT218" s="39"/>
      <c r="AU218" s="39"/>
      <c r="AV218" s="39"/>
    </row>
    <row r="219" spans="2:48" ht="17" x14ac:dyDescent="0.2">
      <c r="B219" s="1650" t="s">
        <v>2770</v>
      </c>
      <c r="W219" s="39"/>
      <c r="AB219" s="39"/>
      <c r="AF219" s="39"/>
      <c r="AK219" s="39"/>
      <c r="AL219" s="39"/>
      <c r="AM219" s="39"/>
      <c r="AN219" s="39"/>
      <c r="AO219" s="39"/>
      <c r="AP219" s="39"/>
      <c r="AQ219" s="39"/>
      <c r="AR219" s="39"/>
      <c r="AS219" s="39"/>
      <c r="AT219" s="39"/>
      <c r="AU219" s="39"/>
      <c r="AV219" s="39"/>
    </row>
    <row r="220" spans="2:48" ht="16" x14ac:dyDescent="0.2">
      <c r="B220" s="1651" t="s">
        <v>2771</v>
      </c>
      <c r="W220" s="39"/>
      <c r="AB220" s="39"/>
      <c r="AF220" s="39"/>
      <c r="AK220" s="39"/>
      <c r="AL220" s="39"/>
      <c r="AM220" s="39"/>
      <c r="AN220" s="39"/>
      <c r="AO220" s="39"/>
      <c r="AP220" s="39"/>
      <c r="AQ220" s="39"/>
      <c r="AR220" s="39"/>
      <c r="AS220" s="39"/>
      <c r="AT220" s="39"/>
      <c r="AU220" s="39"/>
      <c r="AV220" s="39"/>
    </row>
    <row r="221" spans="2:48" ht="17" x14ac:dyDescent="0.2">
      <c r="B221" s="1649" t="s">
        <v>2772</v>
      </c>
      <c r="W221" s="39"/>
      <c r="AB221" s="39"/>
      <c r="AF221" s="39"/>
      <c r="AK221" s="39"/>
      <c r="AL221" s="39"/>
      <c r="AM221" s="39"/>
      <c r="AN221" s="39"/>
      <c r="AO221" s="39"/>
      <c r="AP221" s="39"/>
      <c r="AQ221" s="39"/>
      <c r="AR221" s="39"/>
      <c r="AS221" s="39"/>
      <c r="AT221" s="39"/>
      <c r="AU221" s="39"/>
      <c r="AV221" s="39"/>
    </row>
    <row r="222" spans="2:48" x14ac:dyDescent="0.2">
      <c r="W222" s="39"/>
      <c r="AB222" s="39"/>
      <c r="AF222" s="39"/>
      <c r="AK222" s="39"/>
      <c r="AL222" s="39"/>
      <c r="AM222" s="39"/>
      <c r="AN222" s="39"/>
      <c r="AO222" s="39"/>
      <c r="AP222" s="39"/>
      <c r="AQ222" s="39"/>
      <c r="AR222" s="39"/>
      <c r="AS222" s="39"/>
      <c r="AT222" s="39"/>
      <c r="AU222" s="39"/>
      <c r="AV222" s="39"/>
    </row>
    <row r="223" spans="2:48" x14ac:dyDescent="0.2">
      <c r="W223" s="39"/>
      <c r="AB223" s="39"/>
      <c r="AF223" s="39"/>
      <c r="AK223" s="39"/>
      <c r="AL223" s="39"/>
      <c r="AM223" s="39"/>
      <c r="AN223" s="39"/>
      <c r="AO223" s="39"/>
      <c r="AP223" s="39"/>
      <c r="AQ223" s="39"/>
      <c r="AR223" s="39"/>
      <c r="AS223" s="39"/>
      <c r="AT223" s="39"/>
      <c r="AU223" s="39"/>
      <c r="AV223" s="39"/>
    </row>
    <row r="224" spans="2:48" x14ac:dyDescent="0.2">
      <c r="W224" s="39"/>
      <c r="AB224" s="39"/>
      <c r="AF224" s="39"/>
      <c r="AK224" s="39"/>
      <c r="AL224" s="39"/>
      <c r="AM224" s="39"/>
      <c r="AN224" s="39"/>
      <c r="AO224" s="39"/>
      <c r="AP224" s="39"/>
      <c r="AQ224" s="39"/>
      <c r="AR224" s="39"/>
      <c r="AS224" s="39"/>
      <c r="AT224" s="39"/>
      <c r="AU224" s="39"/>
      <c r="AV224" s="39"/>
    </row>
    <row r="225" spans="23:48" x14ac:dyDescent="0.2">
      <c r="W225" s="39"/>
      <c r="AB225" s="39"/>
      <c r="AF225" s="39"/>
      <c r="AK225" s="39"/>
      <c r="AL225" s="39"/>
      <c r="AM225" s="39"/>
      <c r="AN225" s="39"/>
      <c r="AO225" s="39"/>
      <c r="AP225" s="39"/>
      <c r="AQ225" s="39"/>
      <c r="AR225" s="39"/>
      <c r="AS225" s="39"/>
      <c r="AT225" s="39"/>
      <c r="AU225" s="39"/>
      <c r="AV225" s="39"/>
    </row>
    <row r="226" spans="23:48" x14ac:dyDescent="0.2">
      <c r="W226" s="39"/>
      <c r="AB226" s="39"/>
      <c r="AF226" s="39"/>
      <c r="AK226" s="39"/>
      <c r="AL226" s="39"/>
      <c r="AM226" s="39"/>
      <c r="AN226" s="39"/>
      <c r="AO226" s="39"/>
      <c r="AP226" s="39"/>
      <c r="AQ226" s="39"/>
      <c r="AR226" s="39"/>
      <c r="AS226" s="39"/>
      <c r="AT226" s="39"/>
      <c r="AU226" s="39"/>
      <c r="AV226" s="39"/>
    </row>
    <row r="227" spans="23:48" x14ac:dyDescent="0.2">
      <c r="W227" s="39"/>
      <c r="AB227" s="39"/>
      <c r="AF227" s="39"/>
      <c r="AK227" s="39"/>
      <c r="AL227" s="39"/>
      <c r="AM227" s="39"/>
      <c r="AN227" s="39"/>
      <c r="AO227" s="39"/>
      <c r="AP227" s="39"/>
      <c r="AQ227" s="39"/>
      <c r="AR227" s="39"/>
      <c r="AS227" s="39"/>
      <c r="AT227" s="39"/>
      <c r="AU227" s="39"/>
      <c r="AV227" s="39"/>
    </row>
    <row r="228" spans="23:48" x14ac:dyDescent="0.2">
      <c r="W228" s="39"/>
      <c r="AB228" s="39"/>
      <c r="AF228" s="39"/>
      <c r="AK228" s="39"/>
      <c r="AL228" s="39"/>
      <c r="AM228" s="39"/>
      <c r="AN228" s="39"/>
      <c r="AO228" s="39"/>
      <c r="AP228" s="39"/>
      <c r="AQ228" s="39"/>
      <c r="AR228" s="39"/>
      <c r="AS228" s="39"/>
      <c r="AT228" s="39"/>
      <c r="AU228" s="39"/>
      <c r="AV228" s="39"/>
    </row>
    <row r="229" spans="23:48" x14ac:dyDescent="0.2">
      <c r="W229" s="39"/>
      <c r="AB229" s="39"/>
      <c r="AF229" s="39"/>
      <c r="AK229" s="39"/>
      <c r="AL229" s="39"/>
      <c r="AM229" s="39"/>
      <c r="AN229" s="39"/>
      <c r="AO229" s="39"/>
      <c r="AP229" s="39"/>
      <c r="AQ229" s="39"/>
      <c r="AR229" s="39"/>
      <c r="AS229" s="39"/>
      <c r="AT229" s="39"/>
      <c r="AU229" s="39"/>
      <c r="AV229" s="39"/>
    </row>
    <row r="230" spans="23:48" x14ac:dyDescent="0.2">
      <c r="W230" s="39"/>
      <c r="AB230" s="39"/>
      <c r="AF230" s="39"/>
      <c r="AK230" s="39"/>
      <c r="AL230" s="39"/>
      <c r="AM230" s="39"/>
      <c r="AN230" s="39"/>
      <c r="AO230" s="39"/>
      <c r="AP230" s="39"/>
      <c r="AQ230" s="39"/>
      <c r="AR230" s="39"/>
      <c r="AS230" s="39"/>
      <c r="AT230" s="39"/>
      <c r="AU230" s="39"/>
      <c r="AV230" s="39"/>
    </row>
    <row r="231" spans="23:48" x14ac:dyDescent="0.2">
      <c r="W231" s="39"/>
      <c r="AB231" s="39"/>
      <c r="AF231" s="39"/>
      <c r="AK231" s="39"/>
      <c r="AL231" s="39"/>
      <c r="AM231" s="39"/>
      <c r="AN231" s="39"/>
      <c r="AO231" s="39"/>
      <c r="AP231" s="39"/>
      <c r="AQ231" s="39"/>
      <c r="AR231" s="39"/>
      <c r="AS231" s="39"/>
      <c r="AT231" s="39"/>
      <c r="AU231" s="39"/>
      <c r="AV231" s="39"/>
    </row>
    <row r="232" spans="23:48" x14ac:dyDescent="0.2">
      <c r="W232" s="39"/>
      <c r="AB232" s="39"/>
      <c r="AF232" s="39"/>
      <c r="AK232" s="39"/>
      <c r="AL232" s="39"/>
      <c r="AM232" s="39"/>
      <c r="AN232" s="39"/>
      <c r="AO232" s="39"/>
      <c r="AP232" s="39"/>
      <c r="AQ232" s="39"/>
      <c r="AR232" s="39"/>
      <c r="AS232" s="39"/>
      <c r="AT232" s="39"/>
      <c r="AU232" s="39"/>
      <c r="AV232" s="39"/>
    </row>
    <row r="233" spans="23:48" x14ac:dyDescent="0.2">
      <c r="W233" s="39"/>
      <c r="AB233" s="39"/>
      <c r="AF233" s="39"/>
      <c r="AK233" s="39"/>
      <c r="AL233" s="39"/>
      <c r="AM233" s="39"/>
      <c r="AN233" s="39"/>
      <c r="AO233" s="39"/>
      <c r="AP233" s="39"/>
      <c r="AQ233" s="39"/>
      <c r="AR233" s="39"/>
      <c r="AS233" s="39"/>
      <c r="AT233" s="39"/>
      <c r="AU233" s="39"/>
      <c r="AV233" s="39"/>
    </row>
    <row r="234" spans="23:48" x14ac:dyDescent="0.2">
      <c r="W234" s="39"/>
      <c r="AB234" s="39"/>
      <c r="AF234" s="39"/>
      <c r="AK234" s="39"/>
      <c r="AL234" s="39"/>
      <c r="AM234" s="39"/>
      <c r="AN234" s="39"/>
      <c r="AO234" s="39"/>
      <c r="AP234" s="39"/>
      <c r="AQ234" s="39"/>
      <c r="AR234" s="39"/>
      <c r="AS234" s="39"/>
      <c r="AT234" s="39"/>
      <c r="AU234" s="39"/>
      <c r="AV234" s="39"/>
    </row>
    <row r="235" spans="23:48" x14ac:dyDescent="0.2">
      <c r="W235" s="39"/>
      <c r="AB235" s="39"/>
      <c r="AF235" s="39"/>
      <c r="AK235" s="39"/>
      <c r="AL235" s="39"/>
      <c r="AM235" s="39"/>
      <c r="AN235" s="39"/>
      <c r="AO235" s="39"/>
      <c r="AP235" s="39"/>
      <c r="AQ235" s="39"/>
      <c r="AR235" s="39"/>
      <c r="AS235" s="39"/>
      <c r="AT235" s="39"/>
      <c r="AU235" s="39"/>
      <c r="AV235" s="39"/>
    </row>
    <row r="236" spans="23:48" x14ac:dyDescent="0.2">
      <c r="W236" s="39"/>
      <c r="AB236" s="39"/>
      <c r="AF236" s="39"/>
      <c r="AK236" s="39"/>
      <c r="AL236" s="39"/>
      <c r="AM236" s="39"/>
      <c r="AN236" s="39"/>
      <c r="AO236" s="39"/>
      <c r="AP236" s="39"/>
      <c r="AQ236" s="39"/>
      <c r="AR236" s="39"/>
      <c r="AS236" s="39"/>
      <c r="AT236" s="39"/>
      <c r="AU236" s="39"/>
      <c r="AV236" s="39"/>
    </row>
    <row r="237" spans="23:48" x14ac:dyDescent="0.2">
      <c r="W237" s="39"/>
      <c r="AB237" s="39"/>
      <c r="AF237" s="39"/>
      <c r="AK237" s="39"/>
      <c r="AL237" s="39"/>
      <c r="AM237" s="39"/>
      <c r="AN237" s="39"/>
      <c r="AO237" s="39"/>
      <c r="AP237" s="39"/>
      <c r="AQ237" s="39"/>
      <c r="AR237" s="39"/>
      <c r="AS237" s="39"/>
      <c r="AT237" s="39"/>
      <c r="AU237" s="39"/>
      <c r="AV237" s="39"/>
    </row>
    <row r="238" spans="23:48" x14ac:dyDescent="0.2">
      <c r="W238" s="39"/>
      <c r="AB238" s="39"/>
      <c r="AF238" s="39"/>
      <c r="AK238" s="39"/>
      <c r="AL238" s="39"/>
      <c r="AM238" s="39"/>
      <c r="AN238" s="39"/>
      <c r="AO238" s="39"/>
      <c r="AP238" s="39"/>
      <c r="AQ238" s="39"/>
      <c r="AR238" s="39"/>
      <c r="AS238" s="39"/>
      <c r="AT238" s="39"/>
      <c r="AU238" s="39"/>
      <c r="AV238" s="39"/>
    </row>
    <row r="239" spans="23:48" x14ac:dyDescent="0.2">
      <c r="W239" s="39"/>
      <c r="AB239" s="39"/>
      <c r="AF239" s="39"/>
      <c r="AK239" s="39"/>
      <c r="AL239" s="39"/>
      <c r="AM239" s="39"/>
      <c r="AN239" s="39"/>
      <c r="AO239" s="39"/>
      <c r="AP239" s="39"/>
      <c r="AQ239" s="39"/>
      <c r="AR239" s="39"/>
      <c r="AS239" s="39"/>
      <c r="AT239" s="39"/>
      <c r="AU239" s="39"/>
      <c r="AV239" s="39"/>
    </row>
    <row r="240" spans="23:48" x14ac:dyDescent="0.2">
      <c r="W240" s="39"/>
      <c r="AB240" s="39"/>
      <c r="AF240" s="39"/>
      <c r="AK240" s="39"/>
      <c r="AL240" s="39"/>
      <c r="AM240" s="39"/>
      <c r="AN240" s="39"/>
      <c r="AO240" s="39"/>
      <c r="AP240" s="39"/>
      <c r="AQ240" s="39"/>
      <c r="AR240" s="39"/>
      <c r="AS240" s="39"/>
      <c r="AT240" s="39"/>
      <c r="AU240" s="39"/>
      <c r="AV240" s="39"/>
    </row>
    <row r="241" spans="23:48" x14ac:dyDescent="0.2">
      <c r="W241" s="39"/>
      <c r="AB241" s="39"/>
      <c r="AF241" s="39"/>
      <c r="AK241" s="39"/>
      <c r="AL241" s="39"/>
      <c r="AM241" s="39"/>
      <c r="AN241" s="39"/>
      <c r="AO241" s="39"/>
      <c r="AP241" s="39"/>
      <c r="AQ241" s="39"/>
      <c r="AR241" s="39"/>
      <c r="AS241" s="39"/>
      <c r="AT241" s="39"/>
      <c r="AU241" s="39"/>
      <c r="AV241" s="39"/>
    </row>
    <row r="242" spans="23:48" x14ac:dyDescent="0.2">
      <c r="W242" s="39"/>
      <c r="AB242" s="39"/>
      <c r="AF242" s="39"/>
      <c r="AK242" s="39"/>
      <c r="AL242" s="39"/>
      <c r="AM242" s="39"/>
      <c r="AN242" s="39"/>
      <c r="AO242" s="39"/>
      <c r="AP242" s="39"/>
      <c r="AQ242" s="39"/>
      <c r="AR242" s="39"/>
      <c r="AS242" s="39"/>
      <c r="AT242" s="39"/>
      <c r="AU242" s="39"/>
      <c r="AV242" s="39"/>
    </row>
    <row r="243" spans="23:48" x14ac:dyDescent="0.2">
      <c r="W243" s="39"/>
      <c r="AB243" s="39"/>
      <c r="AF243" s="39"/>
      <c r="AK243" s="39"/>
      <c r="AL243" s="39"/>
      <c r="AM243" s="39"/>
      <c r="AN243" s="39"/>
      <c r="AO243" s="39"/>
      <c r="AP243" s="39"/>
      <c r="AQ243" s="39"/>
      <c r="AR243" s="39"/>
      <c r="AS243" s="39"/>
      <c r="AT243" s="39"/>
      <c r="AU243" s="39"/>
      <c r="AV243" s="39"/>
    </row>
    <row r="244" spans="23:48" x14ac:dyDescent="0.2">
      <c r="W244" s="39"/>
      <c r="AB244" s="39"/>
      <c r="AF244" s="39"/>
      <c r="AK244" s="39"/>
      <c r="AL244" s="39"/>
      <c r="AM244" s="39"/>
      <c r="AN244" s="39"/>
      <c r="AO244" s="39"/>
      <c r="AP244" s="39"/>
      <c r="AQ244" s="39"/>
      <c r="AR244" s="39"/>
      <c r="AS244" s="39"/>
      <c r="AT244" s="39"/>
      <c r="AU244" s="39"/>
      <c r="AV244" s="39"/>
    </row>
    <row r="245" spans="23:48" x14ac:dyDescent="0.2">
      <c r="W245" s="39"/>
      <c r="AB245" s="39"/>
      <c r="AF245" s="39"/>
      <c r="AK245" s="39"/>
      <c r="AL245" s="39"/>
      <c r="AM245" s="39"/>
      <c r="AN245" s="39"/>
      <c r="AO245" s="39"/>
      <c r="AP245" s="39"/>
      <c r="AQ245" s="39"/>
      <c r="AR245" s="39"/>
      <c r="AS245" s="39"/>
      <c r="AT245" s="39"/>
      <c r="AU245" s="39"/>
      <c r="AV245" s="39"/>
    </row>
    <row r="246" spans="23:48" x14ac:dyDescent="0.2">
      <c r="W246" s="39"/>
      <c r="AB246" s="39"/>
      <c r="AF246" s="39"/>
      <c r="AK246" s="39"/>
      <c r="AL246" s="39"/>
      <c r="AM246" s="39"/>
      <c r="AN246" s="39"/>
      <c r="AO246" s="39"/>
      <c r="AP246" s="39"/>
      <c r="AQ246" s="39"/>
      <c r="AR246" s="39"/>
      <c r="AS246" s="39"/>
      <c r="AT246" s="39"/>
      <c r="AU246" s="39"/>
      <c r="AV246" s="39"/>
    </row>
    <row r="247" spans="23:48" x14ac:dyDescent="0.2">
      <c r="W247" s="39"/>
      <c r="AB247" s="39"/>
      <c r="AF247" s="39"/>
      <c r="AK247" s="39"/>
      <c r="AL247" s="39"/>
      <c r="AM247" s="39"/>
      <c r="AN247" s="39"/>
      <c r="AO247" s="39"/>
      <c r="AP247" s="39"/>
      <c r="AQ247" s="39"/>
      <c r="AR247" s="39"/>
      <c r="AS247" s="39"/>
      <c r="AT247" s="39"/>
      <c r="AU247" s="39"/>
      <c r="AV247" s="39"/>
    </row>
    <row r="248" spans="23:48" x14ac:dyDescent="0.2">
      <c r="W248" s="39"/>
      <c r="AB248" s="39"/>
      <c r="AF248" s="39"/>
      <c r="AK248" s="39"/>
      <c r="AL248" s="39"/>
      <c r="AM248" s="39"/>
      <c r="AN248" s="39"/>
      <c r="AO248" s="39"/>
      <c r="AP248" s="39"/>
      <c r="AQ248" s="39"/>
      <c r="AR248" s="39"/>
      <c r="AS248" s="39"/>
      <c r="AT248" s="39"/>
      <c r="AU248" s="39"/>
      <c r="AV248" s="39"/>
    </row>
    <row r="249" spans="23:48" x14ac:dyDescent="0.2">
      <c r="W249" s="39"/>
      <c r="AB249" s="39"/>
      <c r="AF249" s="39"/>
      <c r="AK249" s="39"/>
      <c r="AL249" s="39"/>
      <c r="AM249" s="39"/>
      <c r="AN249" s="39"/>
      <c r="AO249" s="39"/>
      <c r="AP249" s="39"/>
      <c r="AQ249" s="39"/>
      <c r="AR249" s="39"/>
      <c r="AS249" s="39"/>
      <c r="AT249" s="39"/>
      <c r="AU249" s="39"/>
      <c r="AV249" s="39"/>
    </row>
    <row r="250" spans="23:48" x14ac:dyDescent="0.2">
      <c r="W250" s="39"/>
      <c r="AB250" s="39"/>
      <c r="AF250" s="39"/>
      <c r="AK250" s="39"/>
      <c r="AL250" s="39"/>
      <c r="AM250" s="39"/>
      <c r="AN250" s="39"/>
      <c r="AO250" s="39"/>
      <c r="AP250" s="39"/>
      <c r="AQ250" s="39"/>
      <c r="AR250" s="39"/>
      <c r="AS250" s="39"/>
      <c r="AT250" s="39"/>
      <c r="AU250" s="39"/>
      <c r="AV250" s="39"/>
    </row>
    <row r="251" spans="23:48" x14ac:dyDescent="0.2">
      <c r="W251" s="39"/>
      <c r="AB251" s="39"/>
      <c r="AF251" s="39"/>
      <c r="AK251" s="39"/>
      <c r="AL251" s="39"/>
      <c r="AM251" s="39"/>
      <c r="AN251" s="39"/>
      <c r="AO251" s="39"/>
      <c r="AP251" s="39"/>
      <c r="AQ251" s="39"/>
      <c r="AR251" s="39"/>
      <c r="AS251" s="39"/>
      <c r="AT251" s="39"/>
      <c r="AU251" s="39"/>
      <c r="AV251" s="39"/>
    </row>
    <row r="252" spans="23:48" x14ac:dyDescent="0.2">
      <c r="W252" s="39"/>
      <c r="AB252" s="39"/>
      <c r="AF252" s="39"/>
      <c r="AK252" s="39"/>
      <c r="AL252" s="39"/>
      <c r="AM252" s="39"/>
      <c r="AN252" s="39"/>
      <c r="AO252" s="39"/>
      <c r="AP252" s="39"/>
      <c r="AQ252" s="39"/>
      <c r="AR252" s="39"/>
      <c r="AS252" s="39"/>
      <c r="AT252" s="39"/>
      <c r="AU252" s="39"/>
      <c r="AV252" s="39"/>
    </row>
    <row r="253" spans="23:48" x14ac:dyDescent="0.2">
      <c r="W253" s="39"/>
      <c r="AB253" s="39"/>
      <c r="AF253" s="39"/>
      <c r="AK253" s="39"/>
      <c r="AL253" s="39"/>
      <c r="AM253" s="39"/>
      <c r="AN253" s="39"/>
      <c r="AO253" s="39"/>
      <c r="AP253" s="39"/>
      <c r="AQ253" s="39"/>
      <c r="AR253" s="39"/>
      <c r="AS253" s="39"/>
      <c r="AT253" s="39"/>
      <c r="AU253" s="39"/>
      <c r="AV253" s="39"/>
    </row>
    <row r="254" spans="23:48" x14ac:dyDescent="0.2">
      <c r="W254" s="39"/>
      <c r="AB254" s="39"/>
      <c r="AF254" s="39"/>
      <c r="AK254" s="39"/>
      <c r="AL254" s="39"/>
      <c r="AM254" s="39"/>
      <c r="AN254" s="39"/>
      <c r="AO254" s="39"/>
      <c r="AP254" s="39"/>
      <c r="AQ254" s="39"/>
      <c r="AR254" s="39"/>
      <c r="AS254" s="39"/>
      <c r="AT254" s="39"/>
      <c r="AU254" s="39"/>
      <c r="AV254" s="39"/>
    </row>
    <row r="255" spans="23:48" x14ac:dyDescent="0.2">
      <c r="W255" s="39"/>
      <c r="AB255" s="39"/>
      <c r="AF255" s="39"/>
      <c r="AK255" s="39"/>
      <c r="AL255" s="39"/>
      <c r="AM255" s="39"/>
      <c r="AN255" s="39"/>
      <c r="AO255" s="39"/>
      <c r="AP255" s="39"/>
      <c r="AQ255" s="39"/>
      <c r="AR255" s="39"/>
      <c r="AS255" s="39"/>
      <c r="AT255" s="39"/>
      <c r="AU255" s="39"/>
      <c r="AV255" s="39"/>
    </row>
    <row r="256" spans="23:48" x14ac:dyDescent="0.2">
      <c r="W256" s="39"/>
      <c r="AB256" s="39"/>
      <c r="AF256" s="39"/>
      <c r="AK256" s="39"/>
      <c r="AL256" s="39"/>
      <c r="AM256" s="39"/>
      <c r="AN256" s="39"/>
      <c r="AO256" s="39"/>
      <c r="AP256" s="39"/>
      <c r="AQ256" s="39"/>
      <c r="AR256" s="39"/>
      <c r="AS256" s="39"/>
      <c r="AT256" s="39"/>
      <c r="AU256" s="39"/>
      <c r="AV256" s="39"/>
    </row>
    <row r="257" spans="23:48" x14ac:dyDescent="0.2">
      <c r="W257" s="39"/>
      <c r="AB257" s="39"/>
      <c r="AF257" s="39"/>
      <c r="AK257" s="39"/>
      <c r="AL257" s="39"/>
      <c r="AM257" s="39"/>
      <c r="AN257" s="39"/>
      <c r="AO257" s="39"/>
      <c r="AP257" s="39"/>
      <c r="AQ257" s="39"/>
      <c r="AR257" s="39"/>
      <c r="AS257" s="39"/>
      <c r="AT257" s="39"/>
      <c r="AU257" s="39"/>
      <c r="AV257" s="39"/>
    </row>
    <row r="258" spans="23:48" x14ac:dyDescent="0.2">
      <c r="W258" s="39"/>
      <c r="AB258" s="39"/>
      <c r="AF258" s="39"/>
      <c r="AK258" s="39"/>
      <c r="AL258" s="39"/>
      <c r="AM258" s="39"/>
      <c r="AN258" s="39"/>
      <c r="AO258" s="39"/>
      <c r="AP258" s="39"/>
      <c r="AQ258" s="39"/>
      <c r="AR258" s="39"/>
      <c r="AS258" s="39"/>
      <c r="AT258" s="39"/>
      <c r="AU258" s="39"/>
      <c r="AV258" s="39"/>
    </row>
    <row r="259" spans="23:48" x14ac:dyDescent="0.2">
      <c r="W259" s="39"/>
      <c r="AB259" s="39"/>
      <c r="AF259" s="39"/>
      <c r="AK259" s="39"/>
      <c r="AL259" s="39"/>
      <c r="AM259" s="39"/>
      <c r="AN259" s="39"/>
      <c r="AO259" s="39"/>
      <c r="AP259" s="39"/>
      <c r="AQ259" s="39"/>
      <c r="AR259" s="39"/>
      <c r="AS259" s="39"/>
      <c r="AT259" s="39"/>
      <c r="AU259" s="39"/>
      <c r="AV259" s="39"/>
    </row>
    <row r="260" spans="23:48" x14ac:dyDescent="0.2">
      <c r="W260" s="39"/>
      <c r="AB260" s="39"/>
      <c r="AF260" s="39"/>
      <c r="AK260" s="39"/>
      <c r="AL260" s="39"/>
      <c r="AM260" s="39"/>
      <c r="AN260" s="39"/>
      <c r="AO260" s="39"/>
      <c r="AP260" s="39"/>
      <c r="AQ260" s="39"/>
      <c r="AR260" s="39"/>
      <c r="AS260" s="39"/>
      <c r="AT260" s="39"/>
      <c r="AU260" s="39"/>
      <c r="AV260" s="39"/>
    </row>
    <row r="261" spans="23:48" x14ac:dyDescent="0.2">
      <c r="W261" s="39"/>
      <c r="AB261" s="39"/>
      <c r="AF261" s="39"/>
      <c r="AK261" s="39"/>
      <c r="AL261" s="39"/>
      <c r="AM261" s="39"/>
      <c r="AN261" s="39"/>
      <c r="AO261" s="39"/>
      <c r="AP261" s="39"/>
      <c r="AQ261" s="39"/>
      <c r="AR261" s="39"/>
      <c r="AS261" s="39"/>
      <c r="AT261" s="39"/>
      <c r="AU261" s="39"/>
      <c r="AV261" s="39"/>
    </row>
    <row r="262" spans="23:48" x14ac:dyDescent="0.2">
      <c r="W262" s="39"/>
      <c r="AB262" s="39"/>
      <c r="AF262" s="39"/>
      <c r="AK262" s="39"/>
      <c r="AL262" s="39"/>
      <c r="AM262" s="39"/>
      <c r="AN262" s="39"/>
      <c r="AO262" s="39"/>
      <c r="AP262" s="39"/>
      <c r="AQ262" s="39"/>
      <c r="AR262" s="39"/>
      <c r="AS262" s="39"/>
      <c r="AT262" s="39"/>
      <c r="AU262" s="39"/>
      <c r="AV262" s="39"/>
    </row>
    <row r="263" spans="23:48" x14ac:dyDescent="0.2">
      <c r="W263" s="39"/>
      <c r="AB263" s="39"/>
      <c r="AF263" s="39"/>
      <c r="AK263" s="39"/>
      <c r="AL263" s="39"/>
      <c r="AM263" s="39"/>
      <c r="AN263" s="39"/>
      <c r="AO263" s="39"/>
      <c r="AP263" s="39"/>
      <c r="AQ263" s="39"/>
      <c r="AR263" s="39"/>
      <c r="AS263" s="39"/>
      <c r="AT263" s="39"/>
      <c r="AU263" s="39"/>
      <c r="AV263" s="39"/>
    </row>
    <row r="264" spans="23:48" x14ac:dyDescent="0.2">
      <c r="W264" s="39"/>
      <c r="AB264" s="39"/>
      <c r="AF264" s="39"/>
      <c r="AK264" s="39"/>
      <c r="AL264" s="39"/>
      <c r="AM264" s="39"/>
      <c r="AN264" s="39"/>
      <c r="AO264" s="39"/>
      <c r="AP264" s="39"/>
      <c r="AQ264" s="39"/>
      <c r="AR264" s="39"/>
      <c r="AS264" s="39"/>
      <c r="AT264" s="39"/>
      <c r="AU264" s="39"/>
      <c r="AV264" s="39"/>
    </row>
    <row r="265" spans="23:48" x14ac:dyDescent="0.2">
      <c r="W265" s="39"/>
      <c r="AB265" s="39"/>
      <c r="AF265" s="39"/>
      <c r="AK265" s="39"/>
      <c r="AL265" s="39"/>
      <c r="AM265" s="39"/>
      <c r="AN265" s="39"/>
      <c r="AO265" s="39"/>
      <c r="AP265" s="39"/>
      <c r="AQ265" s="39"/>
      <c r="AR265" s="39"/>
      <c r="AS265" s="39"/>
      <c r="AT265" s="39"/>
      <c r="AU265" s="39"/>
      <c r="AV265" s="39"/>
    </row>
    <row r="266" spans="23:48" x14ac:dyDescent="0.2">
      <c r="W266" s="39"/>
      <c r="AB266" s="39"/>
      <c r="AF266" s="39"/>
      <c r="AK266" s="39"/>
      <c r="AL266" s="39"/>
      <c r="AM266" s="39"/>
      <c r="AN266" s="39"/>
      <c r="AO266" s="39"/>
      <c r="AP266" s="39"/>
      <c r="AQ266" s="39"/>
      <c r="AR266" s="39"/>
      <c r="AS266" s="39"/>
      <c r="AT266" s="39"/>
      <c r="AU266" s="39"/>
      <c r="AV266" s="39"/>
    </row>
    <row r="267" spans="23:48" x14ac:dyDescent="0.2">
      <c r="W267" s="39"/>
      <c r="AB267" s="39"/>
      <c r="AF267" s="39"/>
      <c r="AK267" s="39"/>
      <c r="AL267" s="39"/>
      <c r="AM267" s="39"/>
      <c r="AN267" s="39"/>
      <c r="AO267" s="39"/>
      <c r="AP267" s="39"/>
      <c r="AQ267" s="39"/>
      <c r="AR267" s="39"/>
      <c r="AS267" s="39"/>
      <c r="AT267" s="39"/>
      <c r="AU267" s="39"/>
      <c r="AV267" s="39"/>
    </row>
    <row r="268" spans="23:48" x14ac:dyDescent="0.2">
      <c r="W268" s="39"/>
      <c r="AB268" s="39"/>
      <c r="AF268" s="39"/>
      <c r="AK268" s="39"/>
      <c r="AL268" s="39"/>
      <c r="AM268" s="39"/>
      <c r="AN268" s="39"/>
      <c r="AO268" s="39"/>
      <c r="AP268" s="39"/>
      <c r="AQ268" s="39"/>
      <c r="AR268" s="39"/>
      <c r="AS268" s="39"/>
      <c r="AT268" s="39"/>
      <c r="AU268" s="39"/>
      <c r="AV268" s="39"/>
    </row>
    <row r="269" spans="23:48" x14ac:dyDescent="0.2">
      <c r="W269" s="39"/>
      <c r="AB269" s="39"/>
      <c r="AF269" s="39"/>
      <c r="AK269" s="39"/>
      <c r="AL269" s="39"/>
      <c r="AM269" s="39"/>
      <c r="AN269" s="39"/>
      <c r="AO269" s="39"/>
      <c r="AP269" s="39"/>
      <c r="AQ269" s="39"/>
      <c r="AR269" s="39"/>
      <c r="AS269" s="39"/>
      <c r="AT269" s="39"/>
      <c r="AU269" s="39"/>
      <c r="AV269" s="39"/>
    </row>
    <row r="270" spans="23:48" x14ac:dyDescent="0.2">
      <c r="W270" s="39"/>
      <c r="AB270" s="39"/>
      <c r="AF270" s="39"/>
      <c r="AK270" s="39"/>
      <c r="AL270" s="39"/>
      <c r="AM270" s="39"/>
      <c r="AN270" s="39"/>
      <c r="AO270" s="39"/>
      <c r="AP270" s="39"/>
      <c r="AQ270" s="39"/>
      <c r="AR270" s="39"/>
      <c r="AS270" s="39"/>
      <c r="AT270" s="39"/>
      <c r="AU270" s="39"/>
      <c r="AV270" s="39"/>
    </row>
    <row r="271" spans="23:48" x14ac:dyDescent="0.2">
      <c r="W271" s="39"/>
      <c r="AB271" s="39"/>
      <c r="AF271" s="39"/>
      <c r="AK271" s="39"/>
      <c r="AL271" s="39"/>
      <c r="AM271" s="39"/>
      <c r="AN271" s="39"/>
      <c r="AO271" s="39"/>
      <c r="AP271" s="39"/>
      <c r="AQ271" s="39"/>
      <c r="AR271" s="39"/>
      <c r="AS271" s="39"/>
      <c r="AT271" s="39"/>
      <c r="AU271" s="39"/>
      <c r="AV271" s="39"/>
    </row>
    <row r="272" spans="23:48" x14ac:dyDescent="0.2">
      <c r="W272" s="39"/>
      <c r="AB272" s="39"/>
      <c r="AF272" s="39"/>
      <c r="AK272" s="39"/>
      <c r="AL272" s="39"/>
      <c r="AM272" s="39"/>
      <c r="AN272" s="39"/>
      <c r="AO272" s="39"/>
      <c r="AP272" s="39"/>
      <c r="AQ272" s="39"/>
      <c r="AR272" s="39"/>
      <c r="AS272" s="39"/>
      <c r="AT272" s="39"/>
      <c r="AU272" s="39"/>
      <c r="AV272" s="39"/>
    </row>
    <row r="273" spans="23:48" x14ac:dyDescent="0.2">
      <c r="W273" s="39"/>
      <c r="AB273" s="39"/>
      <c r="AF273" s="39"/>
      <c r="AK273" s="39"/>
      <c r="AL273" s="39"/>
      <c r="AM273" s="39"/>
      <c r="AN273" s="39"/>
      <c r="AO273" s="39"/>
      <c r="AP273" s="39"/>
      <c r="AQ273" s="39"/>
      <c r="AR273" s="39"/>
      <c r="AS273" s="39"/>
      <c r="AT273" s="39"/>
      <c r="AU273" s="39"/>
      <c r="AV273" s="39"/>
    </row>
    <row r="274" spans="23:48" x14ac:dyDescent="0.2">
      <c r="W274" s="39"/>
      <c r="AB274" s="39"/>
      <c r="AF274" s="39"/>
      <c r="AK274" s="39"/>
      <c r="AL274" s="39"/>
      <c r="AM274" s="39"/>
      <c r="AN274" s="39"/>
      <c r="AO274" s="39"/>
      <c r="AP274" s="39"/>
      <c r="AQ274" s="39"/>
      <c r="AR274" s="39"/>
      <c r="AS274" s="39"/>
      <c r="AT274" s="39"/>
      <c r="AU274" s="39"/>
      <c r="AV274" s="39"/>
    </row>
    <row r="275" spans="23:48" x14ac:dyDescent="0.2">
      <c r="W275" s="39"/>
      <c r="AB275" s="39"/>
      <c r="AF275" s="39"/>
      <c r="AK275" s="39"/>
      <c r="AL275" s="39"/>
      <c r="AM275" s="39"/>
      <c r="AN275" s="39"/>
      <c r="AO275" s="39"/>
      <c r="AP275" s="39"/>
      <c r="AQ275" s="39"/>
      <c r="AR275" s="39"/>
      <c r="AS275" s="39"/>
      <c r="AT275" s="39"/>
      <c r="AU275" s="39"/>
      <c r="AV275" s="39"/>
    </row>
    <row r="276" spans="23:48" x14ac:dyDescent="0.2">
      <c r="W276" s="39"/>
      <c r="AB276" s="39"/>
      <c r="AF276" s="39"/>
      <c r="AK276" s="39"/>
      <c r="AL276" s="39"/>
      <c r="AM276" s="39"/>
      <c r="AN276" s="39"/>
      <c r="AO276" s="39"/>
      <c r="AP276" s="39"/>
      <c r="AQ276" s="39"/>
      <c r="AR276" s="39"/>
      <c r="AS276" s="39"/>
      <c r="AT276" s="39"/>
      <c r="AU276" s="39"/>
      <c r="AV276" s="39"/>
    </row>
    <row r="277" spans="23:48" x14ac:dyDescent="0.2">
      <c r="W277" s="39"/>
      <c r="AB277" s="39"/>
      <c r="AF277" s="39"/>
      <c r="AK277" s="39"/>
      <c r="AL277" s="39"/>
      <c r="AM277" s="39"/>
      <c r="AN277" s="39"/>
      <c r="AO277" s="39"/>
      <c r="AP277" s="39"/>
      <c r="AQ277" s="39"/>
      <c r="AR277" s="39"/>
      <c r="AS277" s="39"/>
      <c r="AT277" s="39"/>
      <c r="AU277" s="39"/>
      <c r="AV277" s="39"/>
    </row>
    <row r="278" spans="23:48" x14ac:dyDescent="0.2">
      <c r="W278" s="39"/>
      <c r="AB278" s="39"/>
      <c r="AF278" s="39"/>
      <c r="AK278" s="39"/>
      <c r="AL278" s="39"/>
      <c r="AM278" s="39"/>
      <c r="AN278" s="39"/>
      <c r="AO278" s="39"/>
      <c r="AP278" s="39"/>
      <c r="AQ278" s="39"/>
      <c r="AR278" s="39"/>
      <c r="AS278" s="39"/>
      <c r="AT278" s="39"/>
      <c r="AU278" s="39"/>
      <c r="AV278" s="39"/>
    </row>
    <row r="279" spans="23:48" x14ac:dyDescent="0.2">
      <c r="W279" s="39"/>
      <c r="AB279" s="39"/>
      <c r="AF279" s="39"/>
      <c r="AK279" s="39"/>
      <c r="AL279" s="39"/>
      <c r="AM279" s="39"/>
      <c r="AN279" s="39"/>
      <c r="AO279" s="39"/>
      <c r="AP279" s="39"/>
      <c r="AQ279" s="39"/>
      <c r="AR279" s="39"/>
      <c r="AS279" s="39"/>
      <c r="AT279" s="39"/>
      <c r="AU279" s="39"/>
      <c r="AV279" s="39"/>
    </row>
    <row r="280" spans="23:48" x14ac:dyDescent="0.2">
      <c r="W280" s="39"/>
      <c r="AB280" s="39"/>
      <c r="AF280" s="39"/>
      <c r="AK280" s="39"/>
      <c r="AL280" s="39"/>
      <c r="AM280" s="39"/>
      <c r="AN280" s="39"/>
      <c r="AO280" s="39"/>
      <c r="AP280" s="39"/>
      <c r="AQ280" s="39"/>
      <c r="AR280" s="39"/>
      <c r="AS280" s="39"/>
      <c r="AT280" s="39"/>
      <c r="AU280" s="39"/>
      <c r="AV280" s="39"/>
    </row>
    <row r="281" spans="23:48" x14ac:dyDescent="0.2">
      <c r="W281" s="39"/>
      <c r="AB281" s="39"/>
      <c r="AF281" s="39"/>
      <c r="AK281" s="39"/>
      <c r="AL281" s="39"/>
      <c r="AM281" s="39"/>
      <c r="AN281" s="39"/>
      <c r="AO281" s="39"/>
      <c r="AP281" s="39"/>
      <c r="AQ281" s="39"/>
      <c r="AR281" s="39"/>
      <c r="AS281" s="39"/>
      <c r="AT281" s="39"/>
      <c r="AU281" s="39"/>
      <c r="AV281" s="39"/>
    </row>
    <row r="282" spans="23:48" x14ac:dyDescent="0.2">
      <c r="W282" s="39"/>
      <c r="AB282" s="39"/>
      <c r="AF282" s="39"/>
      <c r="AK282" s="39"/>
      <c r="AL282" s="39"/>
      <c r="AM282" s="39"/>
      <c r="AN282" s="39"/>
      <c r="AO282" s="39"/>
      <c r="AP282" s="39"/>
      <c r="AQ282" s="39"/>
      <c r="AR282" s="39"/>
      <c r="AS282" s="39"/>
      <c r="AT282" s="39"/>
      <c r="AU282" s="39"/>
      <c r="AV282" s="39"/>
    </row>
    <row r="283" spans="23:48" x14ac:dyDescent="0.2">
      <c r="W283" s="39"/>
      <c r="AB283" s="39"/>
      <c r="AF283" s="39"/>
      <c r="AK283" s="39"/>
      <c r="AL283" s="39"/>
      <c r="AM283" s="39"/>
      <c r="AN283" s="39"/>
      <c r="AO283" s="39"/>
      <c r="AP283" s="39"/>
      <c r="AQ283" s="39"/>
      <c r="AR283" s="39"/>
      <c r="AS283" s="39"/>
      <c r="AT283" s="39"/>
      <c r="AU283" s="39"/>
      <c r="AV283" s="39"/>
    </row>
    <row r="284" spans="23:48" x14ac:dyDescent="0.2">
      <c r="W284" s="39"/>
      <c r="AB284" s="39"/>
      <c r="AF284" s="39"/>
      <c r="AK284" s="39"/>
      <c r="AL284" s="39"/>
      <c r="AM284" s="39"/>
      <c r="AN284" s="39"/>
      <c r="AO284" s="39"/>
      <c r="AP284" s="39"/>
      <c r="AQ284" s="39"/>
      <c r="AR284" s="39"/>
      <c r="AS284" s="39"/>
      <c r="AT284" s="39"/>
      <c r="AU284" s="39"/>
      <c r="AV284" s="39"/>
    </row>
    <row r="285" spans="23:48" x14ac:dyDescent="0.2">
      <c r="W285" s="39"/>
      <c r="AB285" s="39"/>
      <c r="AF285" s="39"/>
      <c r="AK285" s="39"/>
      <c r="AL285" s="39"/>
      <c r="AM285" s="39"/>
      <c r="AN285" s="39"/>
      <c r="AO285" s="39"/>
      <c r="AP285" s="39"/>
      <c r="AQ285" s="39"/>
      <c r="AR285" s="39"/>
      <c r="AS285" s="39"/>
      <c r="AT285" s="39"/>
      <c r="AU285" s="39"/>
      <c r="AV285" s="39"/>
    </row>
    <row r="286" spans="23:48" x14ac:dyDescent="0.2">
      <c r="W286" s="39"/>
      <c r="AB286" s="39"/>
      <c r="AF286" s="39"/>
      <c r="AK286" s="39"/>
      <c r="AL286" s="39"/>
      <c r="AM286" s="39"/>
      <c r="AN286" s="39"/>
      <c r="AO286" s="39"/>
      <c r="AP286" s="39"/>
      <c r="AQ286" s="39"/>
      <c r="AR286" s="39"/>
      <c r="AS286" s="39"/>
      <c r="AT286" s="39"/>
      <c r="AU286" s="39"/>
      <c r="AV286" s="39"/>
    </row>
    <row r="287" spans="23:48" x14ac:dyDescent="0.2">
      <c r="W287" s="39"/>
      <c r="AB287" s="39"/>
      <c r="AF287" s="39"/>
      <c r="AK287" s="39"/>
      <c r="AL287" s="39"/>
      <c r="AM287" s="39"/>
      <c r="AN287" s="39"/>
      <c r="AO287" s="39"/>
      <c r="AP287" s="39"/>
      <c r="AQ287" s="39"/>
      <c r="AR287" s="39"/>
      <c r="AS287" s="39"/>
      <c r="AT287" s="39"/>
      <c r="AU287" s="39"/>
      <c r="AV287" s="39"/>
    </row>
    <row r="288" spans="23:48" x14ac:dyDescent="0.2">
      <c r="W288" s="39"/>
      <c r="AB288" s="39"/>
      <c r="AF288" s="39"/>
      <c r="AK288" s="39"/>
      <c r="AL288" s="39"/>
      <c r="AM288" s="39"/>
      <c r="AN288" s="39"/>
      <c r="AO288" s="39"/>
      <c r="AP288" s="39"/>
      <c r="AQ288" s="39"/>
      <c r="AR288" s="39"/>
      <c r="AS288" s="39"/>
      <c r="AT288" s="39"/>
      <c r="AU288" s="39"/>
      <c r="AV288" s="39"/>
    </row>
    <row r="289" spans="23:48" x14ac:dyDescent="0.2">
      <c r="W289" s="39"/>
      <c r="AB289" s="39"/>
      <c r="AF289" s="39"/>
      <c r="AK289" s="39"/>
      <c r="AL289" s="39"/>
      <c r="AM289" s="39"/>
      <c r="AN289" s="39"/>
      <c r="AO289" s="39"/>
      <c r="AP289" s="39"/>
      <c r="AQ289" s="39"/>
      <c r="AR289" s="39"/>
      <c r="AS289" s="39"/>
      <c r="AT289" s="39"/>
      <c r="AU289" s="39"/>
      <c r="AV289" s="39"/>
    </row>
    <row r="290" spans="23:48" x14ac:dyDescent="0.2">
      <c r="W290" s="39"/>
      <c r="AB290" s="39"/>
      <c r="AF290" s="39"/>
      <c r="AK290" s="39"/>
      <c r="AL290" s="39"/>
      <c r="AM290" s="39"/>
      <c r="AN290" s="39"/>
      <c r="AO290" s="39"/>
      <c r="AP290" s="39"/>
      <c r="AQ290" s="39"/>
      <c r="AR290" s="39"/>
      <c r="AS290" s="39"/>
      <c r="AT290" s="39"/>
      <c r="AU290" s="39"/>
      <c r="AV290" s="39"/>
    </row>
    <row r="291" spans="23:48" x14ac:dyDescent="0.2">
      <c r="W291" s="39"/>
      <c r="AB291" s="39"/>
      <c r="AF291" s="39"/>
      <c r="AK291" s="39"/>
      <c r="AL291" s="39"/>
      <c r="AM291" s="39"/>
      <c r="AN291" s="39"/>
      <c r="AO291" s="39"/>
      <c r="AP291" s="39"/>
      <c r="AQ291" s="39"/>
      <c r="AR291" s="39"/>
      <c r="AS291" s="39"/>
      <c r="AT291" s="39"/>
      <c r="AU291" s="39"/>
      <c r="AV291" s="39"/>
    </row>
    <row r="292" spans="23:48" x14ac:dyDescent="0.2">
      <c r="W292" s="39"/>
      <c r="AB292" s="39"/>
      <c r="AF292" s="39"/>
      <c r="AK292" s="39"/>
      <c r="AL292" s="39"/>
      <c r="AM292" s="39"/>
      <c r="AN292" s="39"/>
      <c r="AO292" s="39"/>
      <c r="AP292" s="39"/>
      <c r="AQ292" s="39"/>
      <c r="AR292" s="39"/>
      <c r="AS292" s="39"/>
      <c r="AT292" s="39"/>
      <c r="AU292" s="39"/>
      <c r="AV292" s="39"/>
    </row>
    <row r="293" spans="23:48" x14ac:dyDescent="0.2">
      <c r="W293" s="39"/>
      <c r="AB293" s="39"/>
      <c r="AF293" s="39"/>
      <c r="AK293" s="39"/>
      <c r="AL293" s="39"/>
      <c r="AM293" s="39"/>
      <c r="AN293" s="39"/>
      <c r="AO293" s="39"/>
      <c r="AP293" s="39"/>
      <c r="AQ293" s="39"/>
      <c r="AR293" s="39"/>
      <c r="AS293" s="39"/>
      <c r="AT293" s="39"/>
      <c r="AU293" s="39"/>
      <c r="AV293" s="39"/>
    </row>
    <row r="294" spans="23:48" x14ac:dyDescent="0.2">
      <c r="W294" s="39"/>
      <c r="AB294" s="39"/>
      <c r="AF294" s="39"/>
      <c r="AK294" s="39"/>
      <c r="AL294" s="39"/>
      <c r="AM294" s="39"/>
      <c r="AN294" s="39"/>
      <c r="AO294" s="39"/>
      <c r="AP294" s="39"/>
      <c r="AQ294" s="39"/>
      <c r="AR294" s="39"/>
      <c r="AS294" s="39"/>
      <c r="AT294" s="39"/>
      <c r="AU294" s="39"/>
      <c r="AV294" s="39"/>
    </row>
    <row r="295" spans="23:48" x14ac:dyDescent="0.2">
      <c r="W295" s="39"/>
      <c r="AB295" s="39"/>
      <c r="AF295" s="39"/>
      <c r="AK295" s="39"/>
      <c r="AL295" s="39"/>
      <c r="AM295" s="39"/>
      <c r="AN295" s="39"/>
      <c r="AO295" s="39"/>
      <c r="AP295" s="39"/>
      <c r="AQ295" s="39"/>
      <c r="AR295" s="39"/>
      <c r="AS295" s="39"/>
      <c r="AT295" s="39"/>
      <c r="AU295" s="39"/>
      <c r="AV295" s="39"/>
    </row>
    <row r="296" spans="23:48" x14ac:dyDescent="0.2">
      <c r="W296" s="39"/>
      <c r="AB296" s="39"/>
      <c r="AF296" s="39"/>
      <c r="AK296" s="39"/>
      <c r="AL296" s="39"/>
      <c r="AM296" s="39"/>
      <c r="AN296" s="39"/>
      <c r="AO296" s="39"/>
      <c r="AP296" s="39"/>
      <c r="AQ296" s="39"/>
      <c r="AR296" s="39"/>
      <c r="AS296" s="39"/>
      <c r="AT296" s="39"/>
      <c r="AU296" s="39"/>
      <c r="AV296" s="39"/>
    </row>
    <row r="297" spans="23:48" x14ac:dyDescent="0.2">
      <c r="W297" s="39"/>
      <c r="AB297" s="39"/>
      <c r="AF297" s="39"/>
      <c r="AK297" s="39"/>
      <c r="AL297" s="39"/>
      <c r="AM297" s="39"/>
      <c r="AN297" s="39"/>
      <c r="AO297" s="39"/>
      <c r="AP297" s="39"/>
      <c r="AQ297" s="39"/>
      <c r="AR297" s="39"/>
      <c r="AS297" s="39"/>
      <c r="AT297" s="39"/>
      <c r="AU297" s="39"/>
      <c r="AV297" s="39"/>
    </row>
    <row r="298" spans="23:48" x14ac:dyDescent="0.2">
      <c r="W298" s="39"/>
      <c r="AB298" s="39"/>
      <c r="AF298" s="39"/>
      <c r="AK298" s="39"/>
      <c r="AL298" s="39"/>
      <c r="AM298" s="39"/>
      <c r="AN298" s="39"/>
      <c r="AO298" s="39"/>
      <c r="AP298" s="39"/>
      <c r="AQ298" s="39"/>
      <c r="AR298" s="39"/>
      <c r="AS298" s="39"/>
      <c r="AT298" s="39"/>
      <c r="AU298" s="39"/>
      <c r="AV298" s="39"/>
    </row>
    <row r="299" spans="23:48" x14ac:dyDescent="0.2">
      <c r="W299" s="39"/>
      <c r="AB299" s="39"/>
      <c r="AF299" s="39"/>
      <c r="AK299" s="39"/>
      <c r="AL299" s="39"/>
      <c r="AM299" s="39"/>
      <c r="AN299" s="39"/>
      <c r="AO299" s="39"/>
      <c r="AP299" s="39"/>
      <c r="AQ299" s="39"/>
      <c r="AR299" s="39"/>
      <c r="AS299" s="39"/>
      <c r="AT299" s="39"/>
      <c r="AU299" s="39"/>
      <c r="AV299" s="39"/>
    </row>
    <row r="300" spans="23:48" x14ac:dyDescent="0.2">
      <c r="W300" s="39"/>
      <c r="AB300" s="39"/>
      <c r="AF300" s="39"/>
      <c r="AK300" s="39"/>
      <c r="AL300" s="39"/>
      <c r="AM300" s="39"/>
      <c r="AN300" s="39"/>
      <c r="AO300" s="39"/>
      <c r="AP300" s="39"/>
      <c r="AQ300" s="39"/>
      <c r="AR300" s="39"/>
      <c r="AS300" s="39"/>
      <c r="AT300" s="39"/>
      <c r="AU300" s="39"/>
      <c r="AV300" s="39"/>
    </row>
    <row r="301" spans="23:48" x14ac:dyDescent="0.2">
      <c r="W301" s="39"/>
      <c r="AB301" s="39"/>
      <c r="AF301" s="39"/>
      <c r="AK301" s="39"/>
      <c r="AL301" s="39"/>
      <c r="AM301" s="39"/>
      <c r="AN301" s="39"/>
      <c r="AO301" s="39"/>
      <c r="AP301" s="39"/>
      <c r="AQ301" s="39"/>
      <c r="AR301" s="39"/>
      <c r="AS301" s="39"/>
      <c r="AT301" s="39"/>
      <c r="AU301" s="39"/>
      <c r="AV301" s="39"/>
    </row>
    <row r="302" spans="23:48" x14ac:dyDescent="0.2">
      <c r="W302" s="39"/>
      <c r="AB302" s="39"/>
      <c r="AF302" s="39"/>
      <c r="AK302" s="39"/>
      <c r="AL302" s="39"/>
      <c r="AM302" s="39"/>
      <c r="AN302" s="39"/>
      <c r="AO302" s="39"/>
      <c r="AP302" s="39"/>
      <c r="AQ302" s="39"/>
      <c r="AR302" s="39"/>
      <c r="AS302" s="39"/>
      <c r="AT302" s="39"/>
      <c r="AU302" s="39"/>
      <c r="AV302" s="39"/>
    </row>
    <row r="303" spans="23:48" x14ac:dyDescent="0.2">
      <c r="W303" s="39"/>
      <c r="AB303" s="39"/>
      <c r="AF303" s="39"/>
      <c r="AK303" s="39"/>
      <c r="AL303" s="39"/>
      <c r="AM303" s="39"/>
      <c r="AN303" s="39"/>
      <c r="AO303" s="39"/>
      <c r="AP303" s="39"/>
      <c r="AQ303" s="39"/>
      <c r="AR303" s="39"/>
      <c r="AS303" s="39"/>
      <c r="AT303" s="39"/>
      <c r="AU303" s="39"/>
      <c r="AV303" s="39"/>
    </row>
    <row r="304" spans="23:48" x14ac:dyDescent="0.2">
      <c r="W304" s="39"/>
      <c r="AB304" s="39"/>
      <c r="AF304" s="39"/>
      <c r="AK304" s="39"/>
      <c r="AL304" s="39"/>
      <c r="AM304" s="39"/>
      <c r="AN304" s="39"/>
      <c r="AO304" s="39"/>
      <c r="AP304" s="39"/>
      <c r="AQ304" s="39"/>
      <c r="AR304" s="39"/>
      <c r="AS304" s="39"/>
      <c r="AT304" s="39"/>
      <c r="AU304" s="39"/>
      <c r="AV304" s="39"/>
    </row>
    <row r="305" spans="23:48" x14ac:dyDescent="0.2">
      <c r="W305" s="39"/>
      <c r="AB305" s="39"/>
      <c r="AF305" s="39"/>
      <c r="AK305" s="39"/>
      <c r="AL305" s="39"/>
      <c r="AM305" s="39"/>
      <c r="AN305" s="39"/>
      <c r="AO305" s="39"/>
      <c r="AP305" s="39"/>
      <c r="AQ305" s="39"/>
      <c r="AR305" s="39"/>
      <c r="AS305" s="39"/>
      <c r="AT305" s="39"/>
      <c r="AU305" s="39"/>
      <c r="AV305" s="39"/>
    </row>
    <row r="306" spans="23:48" x14ac:dyDescent="0.2">
      <c r="W306" s="39"/>
      <c r="AB306" s="39"/>
      <c r="AF306" s="39"/>
      <c r="AK306" s="39"/>
      <c r="AL306" s="39"/>
      <c r="AM306" s="39"/>
      <c r="AN306" s="39"/>
      <c r="AO306" s="39"/>
      <c r="AP306" s="39"/>
      <c r="AQ306" s="39"/>
      <c r="AR306" s="39"/>
      <c r="AS306" s="39"/>
      <c r="AT306" s="39"/>
      <c r="AU306" s="39"/>
      <c r="AV306" s="39"/>
    </row>
    <row r="307" spans="23:48" x14ac:dyDescent="0.2">
      <c r="W307" s="39"/>
      <c r="AB307" s="39"/>
      <c r="AF307" s="39"/>
      <c r="AK307" s="39"/>
      <c r="AL307" s="39"/>
      <c r="AM307" s="39"/>
      <c r="AN307" s="39"/>
      <c r="AO307" s="39"/>
      <c r="AP307" s="39"/>
      <c r="AQ307" s="39"/>
      <c r="AR307" s="39"/>
      <c r="AS307" s="39"/>
      <c r="AT307" s="39"/>
      <c r="AU307" s="39"/>
      <c r="AV307" s="39"/>
    </row>
    <row r="308" spans="23:48" x14ac:dyDescent="0.2">
      <c r="W308" s="39"/>
      <c r="AB308" s="39"/>
      <c r="AF308" s="39"/>
      <c r="AK308" s="39"/>
      <c r="AL308" s="39"/>
      <c r="AM308" s="39"/>
      <c r="AN308" s="39"/>
      <c r="AO308" s="39"/>
      <c r="AP308" s="39"/>
      <c r="AQ308" s="39"/>
      <c r="AR308" s="39"/>
      <c r="AS308" s="39"/>
      <c r="AT308" s="39"/>
      <c r="AU308" s="39"/>
      <c r="AV308" s="39"/>
    </row>
    <row r="309" spans="23:48" x14ac:dyDescent="0.2">
      <c r="W309" s="39"/>
      <c r="AB309" s="39"/>
      <c r="AF309" s="39"/>
      <c r="AK309" s="39"/>
      <c r="AL309" s="39"/>
      <c r="AM309" s="39"/>
      <c r="AN309" s="39"/>
      <c r="AO309" s="39"/>
      <c r="AP309" s="39"/>
      <c r="AQ309" s="39"/>
      <c r="AR309" s="39"/>
      <c r="AS309" s="39"/>
      <c r="AT309" s="39"/>
      <c r="AU309" s="39"/>
      <c r="AV309" s="39"/>
    </row>
    <row r="310" spans="23:48" x14ac:dyDescent="0.2">
      <c r="W310" s="39"/>
      <c r="AB310" s="39"/>
      <c r="AF310" s="39"/>
      <c r="AK310" s="39"/>
      <c r="AL310" s="39"/>
      <c r="AM310" s="39"/>
      <c r="AN310" s="39"/>
      <c r="AO310" s="39"/>
      <c r="AP310" s="39"/>
      <c r="AQ310" s="39"/>
      <c r="AR310" s="39"/>
      <c r="AS310" s="39"/>
      <c r="AT310" s="39"/>
      <c r="AU310" s="39"/>
      <c r="AV310" s="39"/>
    </row>
    <row r="311" spans="23:48" x14ac:dyDescent="0.2">
      <c r="W311" s="39"/>
      <c r="AB311" s="39"/>
      <c r="AF311" s="39"/>
      <c r="AK311" s="39"/>
      <c r="AL311" s="39"/>
      <c r="AM311" s="39"/>
      <c r="AN311" s="39"/>
      <c r="AO311" s="39"/>
      <c r="AP311" s="39"/>
      <c r="AQ311" s="39"/>
      <c r="AR311" s="39"/>
      <c r="AS311" s="39"/>
      <c r="AT311" s="39"/>
      <c r="AU311" s="39"/>
      <c r="AV311" s="39"/>
    </row>
    <row r="312" spans="23:48" x14ac:dyDescent="0.2">
      <c r="W312" s="39"/>
      <c r="AB312" s="39"/>
      <c r="AF312" s="39"/>
      <c r="AK312" s="39"/>
      <c r="AL312" s="39"/>
      <c r="AM312" s="39"/>
      <c r="AN312" s="39"/>
      <c r="AO312" s="39"/>
      <c r="AP312" s="39"/>
      <c r="AQ312" s="39"/>
      <c r="AR312" s="39"/>
      <c r="AS312" s="39"/>
      <c r="AT312" s="39"/>
      <c r="AU312" s="39"/>
      <c r="AV312" s="39"/>
    </row>
    <row r="313" spans="23:48" x14ac:dyDescent="0.2">
      <c r="W313" s="39"/>
      <c r="AB313" s="39"/>
      <c r="AF313" s="39"/>
      <c r="AK313" s="39"/>
      <c r="AL313" s="39"/>
      <c r="AM313" s="39"/>
      <c r="AN313" s="39"/>
      <c r="AO313" s="39"/>
      <c r="AP313" s="39"/>
      <c r="AQ313" s="39"/>
      <c r="AR313" s="39"/>
      <c r="AS313" s="39"/>
      <c r="AT313" s="39"/>
      <c r="AU313" s="39"/>
      <c r="AV313" s="39"/>
    </row>
    <row r="314" spans="23:48" x14ac:dyDescent="0.2">
      <c r="W314" s="39"/>
      <c r="AB314" s="39"/>
      <c r="AF314" s="39"/>
      <c r="AK314" s="39"/>
      <c r="AL314" s="39"/>
      <c r="AM314" s="39"/>
      <c r="AN314" s="39"/>
      <c r="AO314" s="39"/>
      <c r="AP314" s="39"/>
      <c r="AQ314" s="39"/>
      <c r="AR314" s="39"/>
      <c r="AS314" s="39"/>
      <c r="AT314" s="39"/>
      <c r="AU314" s="39"/>
      <c r="AV314" s="39"/>
    </row>
    <row r="315" spans="23:48" x14ac:dyDescent="0.2">
      <c r="W315" s="39"/>
      <c r="AB315" s="39"/>
      <c r="AF315" s="39"/>
      <c r="AK315" s="39"/>
      <c r="AL315" s="39"/>
      <c r="AM315" s="39"/>
      <c r="AN315" s="39"/>
      <c r="AO315" s="39"/>
      <c r="AP315" s="39"/>
      <c r="AQ315" s="39"/>
      <c r="AR315" s="39"/>
      <c r="AS315" s="39"/>
      <c r="AT315" s="39"/>
      <c r="AU315" s="39"/>
      <c r="AV315" s="39"/>
    </row>
    <row r="316" spans="23:48" x14ac:dyDescent="0.2">
      <c r="W316" s="39"/>
      <c r="AB316" s="39"/>
      <c r="AF316" s="39"/>
      <c r="AK316" s="39"/>
      <c r="AL316" s="39"/>
      <c r="AM316" s="39"/>
      <c r="AN316" s="39"/>
      <c r="AO316" s="39"/>
      <c r="AP316" s="39"/>
      <c r="AQ316" s="39"/>
      <c r="AR316" s="39"/>
      <c r="AS316" s="39"/>
      <c r="AT316" s="39"/>
      <c r="AU316" s="39"/>
      <c r="AV316" s="39"/>
    </row>
    <row r="317" spans="23:48" x14ac:dyDescent="0.2">
      <c r="W317" s="39"/>
      <c r="AB317" s="39"/>
      <c r="AF317" s="39"/>
      <c r="AK317" s="39"/>
      <c r="AL317" s="39"/>
      <c r="AM317" s="39"/>
      <c r="AN317" s="39"/>
      <c r="AO317" s="39"/>
      <c r="AP317" s="39"/>
      <c r="AQ317" s="39"/>
      <c r="AR317" s="39"/>
      <c r="AS317" s="39"/>
      <c r="AT317" s="39"/>
      <c r="AU317" s="39"/>
      <c r="AV317" s="39"/>
    </row>
    <row r="318" spans="23:48" x14ac:dyDescent="0.2">
      <c r="W318" s="39"/>
      <c r="AB318" s="39"/>
      <c r="AF318" s="39"/>
      <c r="AK318" s="39"/>
      <c r="AL318" s="39"/>
      <c r="AM318" s="39"/>
      <c r="AN318" s="39"/>
      <c r="AO318" s="39"/>
      <c r="AP318" s="39"/>
      <c r="AQ318" s="39"/>
      <c r="AR318" s="39"/>
      <c r="AS318" s="39"/>
      <c r="AT318" s="39"/>
      <c r="AU318" s="39"/>
      <c r="AV318" s="39"/>
    </row>
    <row r="319" spans="23:48" x14ac:dyDescent="0.2">
      <c r="W319" s="39"/>
      <c r="AB319" s="39"/>
      <c r="AF319" s="39"/>
      <c r="AK319" s="39"/>
      <c r="AL319" s="39"/>
      <c r="AM319" s="39"/>
      <c r="AN319" s="39"/>
      <c r="AO319" s="39"/>
      <c r="AP319" s="39"/>
      <c r="AQ319" s="39"/>
      <c r="AR319" s="39"/>
      <c r="AS319" s="39"/>
      <c r="AT319" s="39"/>
      <c r="AU319" s="39"/>
      <c r="AV319" s="39"/>
    </row>
    <row r="320" spans="23:48" x14ac:dyDescent="0.2">
      <c r="W320" s="39"/>
      <c r="AB320" s="39"/>
      <c r="AF320" s="39"/>
      <c r="AK320" s="39"/>
      <c r="AL320" s="39"/>
      <c r="AM320" s="39"/>
      <c r="AN320" s="39"/>
      <c r="AO320" s="39"/>
      <c r="AP320" s="39"/>
      <c r="AQ320" s="39"/>
      <c r="AR320" s="39"/>
      <c r="AS320" s="39"/>
      <c r="AT320" s="39"/>
      <c r="AU320" s="39"/>
      <c r="AV320" s="39"/>
    </row>
    <row r="321" spans="23:48" x14ac:dyDescent="0.2">
      <c r="W321" s="39"/>
      <c r="AB321" s="39"/>
      <c r="AF321" s="39"/>
      <c r="AK321" s="39"/>
      <c r="AL321" s="39"/>
      <c r="AM321" s="39"/>
      <c r="AN321" s="39"/>
      <c r="AO321" s="39"/>
      <c r="AP321" s="39"/>
      <c r="AQ321" s="39"/>
      <c r="AR321" s="39"/>
      <c r="AS321" s="39"/>
      <c r="AT321" s="39"/>
      <c r="AU321" s="39"/>
      <c r="AV321" s="39"/>
    </row>
    <row r="322" spans="23:48" x14ac:dyDescent="0.2">
      <c r="W322" s="39"/>
      <c r="AB322" s="39"/>
      <c r="AF322" s="39"/>
      <c r="AK322" s="39"/>
      <c r="AL322" s="39"/>
      <c r="AM322" s="39"/>
      <c r="AN322" s="39"/>
      <c r="AO322" s="39"/>
      <c r="AP322" s="39"/>
      <c r="AQ322" s="39"/>
      <c r="AR322" s="39"/>
      <c r="AS322" s="39"/>
      <c r="AT322" s="39"/>
      <c r="AU322" s="39"/>
      <c r="AV322" s="39"/>
    </row>
    <row r="323" spans="23:48" x14ac:dyDescent="0.2">
      <c r="W323" s="39"/>
      <c r="AB323" s="39"/>
      <c r="AF323" s="39"/>
      <c r="AK323" s="39"/>
      <c r="AL323" s="39"/>
      <c r="AM323" s="39"/>
      <c r="AN323" s="39"/>
      <c r="AO323" s="39"/>
      <c r="AP323" s="39"/>
      <c r="AQ323" s="39"/>
      <c r="AR323" s="39"/>
      <c r="AS323" s="39"/>
      <c r="AT323" s="39"/>
      <c r="AU323" s="39"/>
      <c r="AV323" s="39"/>
    </row>
    <row r="324" spans="23:48" x14ac:dyDescent="0.2">
      <c r="W324" s="39"/>
      <c r="AB324" s="39"/>
      <c r="AF324" s="39"/>
      <c r="AK324" s="39"/>
      <c r="AL324" s="39"/>
      <c r="AM324" s="39"/>
      <c r="AN324" s="39"/>
      <c r="AO324" s="39"/>
      <c r="AP324" s="39"/>
      <c r="AQ324" s="39"/>
      <c r="AR324" s="39"/>
      <c r="AS324" s="39"/>
      <c r="AT324" s="39"/>
      <c r="AU324" s="39"/>
      <c r="AV324" s="39"/>
    </row>
    <row r="325" spans="23:48" x14ac:dyDescent="0.2">
      <c r="W325" s="39"/>
      <c r="AB325" s="39"/>
      <c r="AF325" s="39"/>
      <c r="AK325" s="39"/>
      <c r="AL325" s="39"/>
      <c r="AM325" s="39"/>
      <c r="AN325" s="39"/>
      <c r="AO325" s="39"/>
      <c r="AP325" s="39"/>
      <c r="AQ325" s="39"/>
      <c r="AR325" s="39"/>
      <c r="AS325" s="39"/>
      <c r="AT325" s="39"/>
      <c r="AU325" s="39"/>
      <c r="AV325" s="39"/>
    </row>
    <row r="326" spans="23:48" x14ac:dyDescent="0.2">
      <c r="W326" s="39"/>
      <c r="AB326" s="39"/>
      <c r="AF326" s="39"/>
      <c r="AK326" s="39"/>
      <c r="AL326" s="39"/>
      <c r="AM326" s="39"/>
      <c r="AN326" s="39"/>
      <c r="AO326" s="39"/>
      <c r="AP326" s="39"/>
      <c r="AQ326" s="39"/>
      <c r="AR326" s="39"/>
      <c r="AS326" s="39"/>
      <c r="AT326" s="39"/>
      <c r="AU326" s="39"/>
      <c r="AV326" s="39"/>
    </row>
    <row r="327" spans="23:48" x14ac:dyDescent="0.2">
      <c r="W327" s="39"/>
      <c r="AB327" s="39"/>
      <c r="AF327" s="39"/>
      <c r="AK327" s="39"/>
      <c r="AL327" s="39"/>
      <c r="AM327" s="39"/>
      <c r="AN327" s="39"/>
      <c r="AO327" s="39"/>
      <c r="AP327" s="39"/>
      <c r="AQ327" s="39"/>
      <c r="AR327" s="39"/>
      <c r="AS327" s="39"/>
      <c r="AT327" s="39"/>
      <c r="AU327" s="39"/>
      <c r="AV327" s="39"/>
    </row>
    <row r="328" spans="23:48" x14ac:dyDescent="0.2">
      <c r="W328" s="39"/>
      <c r="AB328" s="39"/>
      <c r="AF328" s="39"/>
      <c r="AK328" s="39"/>
      <c r="AL328" s="39"/>
      <c r="AM328" s="39"/>
      <c r="AN328" s="39"/>
      <c r="AO328" s="39"/>
      <c r="AP328" s="39"/>
      <c r="AQ328" s="39"/>
      <c r="AR328" s="39"/>
      <c r="AS328" s="39"/>
      <c r="AT328" s="39"/>
      <c r="AU328" s="39"/>
      <c r="AV328" s="39"/>
    </row>
    <row r="329" spans="23:48" x14ac:dyDescent="0.2">
      <c r="W329" s="39"/>
      <c r="AB329" s="39"/>
      <c r="AF329" s="39"/>
      <c r="AK329" s="39"/>
      <c r="AL329" s="39"/>
      <c r="AM329" s="39"/>
      <c r="AN329" s="39"/>
      <c r="AO329" s="39"/>
      <c r="AP329" s="39"/>
      <c r="AQ329" s="39"/>
      <c r="AR329" s="39"/>
      <c r="AS329" s="39"/>
      <c r="AT329" s="39"/>
      <c r="AU329" s="39"/>
      <c r="AV329" s="39"/>
    </row>
    <row r="330" spans="23:48" x14ac:dyDescent="0.2">
      <c r="W330" s="39"/>
      <c r="AB330" s="39"/>
      <c r="AF330" s="39"/>
      <c r="AK330" s="39"/>
      <c r="AL330" s="39"/>
      <c r="AM330" s="39"/>
      <c r="AN330" s="39"/>
      <c r="AO330" s="39"/>
      <c r="AP330" s="39"/>
      <c r="AQ330" s="39"/>
      <c r="AR330" s="39"/>
      <c r="AS330" s="39"/>
      <c r="AT330" s="39"/>
      <c r="AU330" s="39"/>
      <c r="AV330" s="39"/>
    </row>
    <row r="331" spans="23:48" x14ac:dyDescent="0.2">
      <c r="W331" s="39"/>
      <c r="AB331" s="39"/>
      <c r="AF331" s="39"/>
      <c r="AK331" s="39"/>
      <c r="AL331" s="39"/>
      <c r="AM331" s="39"/>
      <c r="AN331" s="39"/>
      <c r="AO331" s="39"/>
      <c r="AP331" s="39"/>
      <c r="AQ331" s="39"/>
      <c r="AR331" s="39"/>
      <c r="AS331" s="39"/>
      <c r="AT331" s="39"/>
      <c r="AU331" s="39"/>
      <c r="AV331" s="39"/>
    </row>
    <row r="332" spans="23:48" x14ac:dyDescent="0.2">
      <c r="W332" s="39"/>
      <c r="AB332" s="39"/>
      <c r="AF332" s="39"/>
      <c r="AK332" s="39"/>
      <c r="AL332" s="39"/>
      <c r="AM332" s="39"/>
      <c r="AN332" s="39"/>
      <c r="AO332" s="39"/>
      <c r="AP332" s="39"/>
      <c r="AQ332" s="39"/>
      <c r="AR332" s="39"/>
      <c r="AS332" s="39"/>
      <c r="AT332" s="39"/>
      <c r="AU332" s="39"/>
      <c r="AV332" s="39"/>
    </row>
    <row r="333" spans="23:48" x14ac:dyDescent="0.2">
      <c r="W333" s="39"/>
      <c r="AB333" s="39"/>
      <c r="AF333" s="39"/>
      <c r="AK333" s="39"/>
      <c r="AL333" s="39"/>
      <c r="AM333" s="39"/>
      <c r="AN333" s="39"/>
      <c r="AO333" s="39"/>
      <c r="AP333" s="39"/>
      <c r="AQ333" s="39"/>
      <c r="AR333" s="39"/>
      <c r="AS333" s="39"/>
      <c r="AT333" s="39"/>
      <c r="AU333" s="39"/>
      <c r="AV333" s="39"/>
    </row>
    <row r="334" spans="23:48" x14ac:dyDescent="0.2">
      <c r="W334" s="39"/>
      <c r="AB334" s="39"/>
      <c r="AF334" s="39"/>
      <c r="AK334" s="39"/>
      <c r="AL334" s="39"/>
      <c r="AM334" s="39"/>
      <c r="AN334" s="39"/>
      <c r="AO334" s="39"/>
      <c r="AP334" s="39"/>
      <c r="AQ334" s="39"/>
      <c r="AR334" s="39"/>
      <c r="AS334" s="39"/>
      <c r="AT334" s="39"/>
      <c r="AU334" s="39"/>
      <c r="AV334" s="39"/>
    </row>
    <row r="335" spans="23:48" x14ac:dyDescent="0.2">
      <c r="W335" s="39"/>
      <c r="AB335" s="39"/>
      <c r="AF335" s="39"/>
      <c r="AK335" s="39"/>
      <c r="AL335" s="39"/>
      <c r="AM335" s="39"/>
      <c r="AN335" s="39"/>
      <c r="AO335" s="39"/>
      <c r="AP335" s="39"/>
      <c r="AQ335" s="39"/>
      <c r="AR335" s="39"/>
      <c r="AS335" s="39"/>
      <c r="AT335" s="39"/>
      <c r="AU335" s="39"/>
      <c r="AV335" s="39"/>
    </row>
    <row r="336" spans="23:48" x14ac:dyDescent="0.2">
      <c r="W336" s="39"/>
      <c r="AB336" s="39"/>
      <c r="AF336" s="39"/>
      <c r="AK336" s="39"/>
      <c r="AL336" s="39"/>
      <c r="AM336" s="39"/>
      <c r="AN336" s="39"/>
      <c r="AO336" s="39"/>
      <c r="AP336" s="39"/>
      <c r="AQ336" s="39"/>
      <c r="AR336" s="39"/>
      <c r="AS336" s="39"/>
      <c r="AT336" s="39"/>
      <c r="AU336" s="39"/>
      <c r="AV336" s="39"/>
    </row>
    <row r="337" spans="23:48" x14ac:dyDescent="0.2">
      <c r="W337" s="39"/>
      <c r="AB337" s="39"/>
      <c r="AF337" s="39"/>
      <c r="AK337" s="39"/>
      <c r="AL337" s="39"/>
      <c r="AM337" s="39"/>
      <c r="AN337" s="39"/>
      <c r="AO337" s="39"/>
      <c r="AP337" s="39"/>
      <c r="AQ337" s="39"/>
      <c r="AR337" s="39"/>
      <c r="AS337" s="39"/>
      <c r="AT337" s="39"/>
      <c r="AU337" s="39"/>
      <c r="AV337" s="39"/>
    </row>
    <row r="338" spans="23:48" x14ac:dyDescent="0.2">
      <c r="W338" s="39"/>
      <c r="AB338" s="39"/>
      <c r="AF338" s="39"/>
      <c r="AK338" s="39"/>
      <c r="AL338" s="39"/>
      <c r="AM338" s="39"/>
      <c r="AN338" s="39"/>
      <c r="AO338" s="39"/>
      <c r="AP338" s="39"/>
      <c r="AQ338" s="39"/>
      <c r="AR338" s="39"/>
      <c r="AS338" s="39"/>
      <c r="AT338" s="39"/>
      <c r="AU338" s="39"/>
      <c r="AV338" s="39"/>
    </row>
    <row r="339" spans="23:48" x14ac:dyDescent="0.2">
      <c r="W339" s="39"/>
      <c r="AB339" s="39"/>
      <c r="AF339" s="39"/>
      <c r="AK339" s="39"/>
      <c r="AL339" s="39"/>
      <c r="AM339" s="39"/>
      <c r="AN339" s="39"/>
      <c r="AO339" s="39"/>
      <c r="AP339" s="39"/>
      <c r="AQ339" s="39"/>
      <c r="AR339" s="39"/>
      <c r="AS339" s="39"/>
      <c r="AT339" s="39"/>
      <c r="AU339" s="39"/>
      <c r="AV339" s="39"/>
    </row>
    <row r="340" spans="23:48" x14ac:dyDescent="0.2">
      <c r="W340" s="39"/>
      <c r="AB340" s="39"/>
      <c r="AF340" s="39"/>
      <c r="AK340" s="39"/>
      <c r="AL340" s="39"/>
      <c r="AM340" s="39"/>
      <c r="AN340" s="39"/>
      <c r="AO340" s="39"/>
      <c r="AP340" s="39"/>
      <c r="AQ340" s="39"/>
      <c r="AR340" s="39"/>
      <c r="AS340" s="39"/>
      <c r="AT340" s="39"/>
      <c r="AU340" s="39"/>
      <c r="AV340" s="39"/>
    </row>
    <row r="341" spans="23:48" x14ac:dyDescent="0.2">
      <c r="W341" s="39"/>
      <c r="AB341" s="39"/>
      <c r="AF341" s="39"/>
      <c r="AK341" s="39"/>
      <c r="AL341" s="39"/>
      <c r="AM341" s="39"/>
      <c r="AN341" s="39"/>
      <c r="AO341" s="39"/>
      <c r="AP341" s="39"/>
      <c r="AQ341" s="39"/>
      <c r="AR341" s="39"/>
      <c r="AS341" s="39"/>
      <c r="AT341" s="39"/>
      <c r="AU341" s="39"/>
      <c r="AV341" s="39"/>
    </row>
    <row r="342" spans="23:48" x14ac:dyDescent="0.2">
      <c r="W342" s="39"/>
      <c r="AB342" s="39"/>
      <c r="AF342" s="39"/>
      <c r="AK342" s="39"/>
      <c r="AL342" s="39"/>
      <c r="AM342" s="39"/>
      <c r="AN342" s="39"/>
      <c r="AO342" s="39"/>
      <c r="AP342" s="39"/>
      <c r="AQ342" s="39"/>
      <c r="AR342" s="39"/>
      <c r="AS342" s="39"/>
      <c r="AT342" s="39"/>
      <c r="AU342" s="39"/>
      <c r="AV342" s="39"/>
    </row>
    <row r="343" spans="23:48" x14ac:dyDescent="0.2">
      <c r="W343" s="39"/>
      <c r="AB343" s="39"/>
      <c r="AF343" s="39"/>
      <c r="AK343" s="39"/>
      <c r="AL343" s="39"/>
      <c r="AM343" s="39"/>
      <c r="AN343" s="39"/>
      <c r="AO343" s="39"/>
      <c r="AP343" s="39"/>
      <c r="AQ343" s="39"/>
      <c r="AR343" s="39"/>
      <c r="AS343" s="39"/>
      <c r="AT343" s="39"/>
      <c r="AU343" s="39"/>
      <c r="AV343" s="39"/>
    </row>
    <row r="344" spans="23:48" x14ac:dyDescent="0.2">
      <c r="W344" s="39"/>
      <c r="AB344" s="39"/>
      <c r="AF344" s="39"/>
      <c r="AK344" s="39"/>
      <c r="AL344" s="39"/>
      <c r="AM344" s="39"/>
      <c r="AN344" s="39"/>
      <c r="AO344" s="39"/>
      <c r="AP344" s="39"/>
      <c r="AQ344" s="39"/>
      <c r="AR344" s="39"/>
      <c r="AS344" s="39"/>
      <c r="AT344" s="39"/>
      <c r="AU344" s="39"/>
      <c r="AV344" s="39"/>
    </row>
    <row r="345" spans="23:48" x14ac:dyDescent="0.2">
      <c r="W345" s="39"/>
      <c r="AB345" s="39"/>
      <c r="AF345" s="39"/>
      <c r="AK345" s="39"/>
      <c r="AL345" s="39"/>
      <c r="AM345" s="39"/>
      <c r="AN345" s="39"/>
      <c r="AO345" s="39"/>
      <c r="AP345" s="39"/>
      <c r="AQ345" s="39"/>
      <c r="AR345" s="39"/>
      <c r="AS345" s="39"/>
      <c r="AT345" s="39"/>
      <c r="AU345" s="39"/>
      <c r="AV345" s="39"/>
    </row>
    <row r="346" spans="23:48" x14ac:dyDescent="0.2">
      <c r="W346" s="39"/>
      <c r="AB346" s="39"/>
      <c r="AF346" s="39"/>
      <c r="AK346" s="39"/>
      <c r="AL346" s="39"/>
      <c r="AM346" s="39"/>
      <c r="AN346" s="39"/>
      <c r="AO346" s="39"/>
      <c r="AP346" s="39"/>
      <c r="AQ346" s="39"/>
      <c r="AR346" s="39"/>
      <c r="AS346" s="39"/>
      <c r="AT346" s="39"/>
      <c r="AU346" s="39"/>
      <c r="AV346" s="39"/>
    </row>
    <row r="347" spans="23:48" x14ac:dyDescent="0.2">
      <c r="W347" s="39"/>
      <c r="AB347" s="39"/>
      <c r="AF347" s="39"/>
      <c r="AK347" s="39"/>
      <c r="AL347" s="39"/>
      <c r="AM347" s="39"/>
      <c r="AN347" s="39"/>
      <c r="AO347" s="39"/>
      <c r="AP347" s="39"/>
      <c r="AQ347" s="39"/>
      <c r="AR347" s="39"/>
      <c r="AS347" s="39"/>
      <c r="AT347" s="39"/>
      <c r="AU347" s="39"/>
      <c r="AV347" s="39"/>
    </row>
    <row r="348" spans="23:48" x14ac:dyDescent="0.2">
      <c r="W348" s="39"/>
      <c r="AB348" s="39"/>
      <c r="AF348" s="39"/>
      <c r="AK348" s="39"/>
      <c r="AL348" s="39"/>
      <c r="AM348" s="39"/>
      <c r="AN348" s="39"/>
      <c r="AO348" s="39"/>
      <c r="AP348" s="39"/>
      <c r="AQ348" s="39"/>
      <c r="AR348" s="39"/>
      <c r="AS348" s="39"/>
      <c r="AT348" s="39"/>
      <c r="AU348" s="39"/>
      <c r="AV348" s="39"/>
    </row>
    <row r="349" spans="23:48" x14ac:dyDescent="0.2">
      <c r="W349" s="39"/>
      <c r="AB349" s="39"/>
      <c r="AF349" s="39"/>
      <c r="AK349" s="39"/>
      <c r="AL349" s="39"/>
      <c r="AM349" s="39"/>
      <c r="AN349" s="39"/>
      <c r="AO349" s="39"/>
      <c r="AP349" s="39"/>
      <c r="AQ349" s="39"/>
      <c r="AR349" s="39"/>
      <c r="AS349" s="39"/>
      <c r="AT349" s="39"/>
      <c r="AU349" s="39"/>
      <c r="AV349" s="39"/>
    </row>
    <row r="350" spans="23:48" x14ac:dyDescent="0.2">
      <c r="W350" s="39"/>
      <c r="AB350" s="39"/>
      <c r="AF350" s="39"/>
      <c r="AK350" s="39"/>
      <c r="AL350" s="39"/>
      <c r="AM350" s="39"/>
      <c r="AN350" s="39"/>
      <c r="AO350" s="39"/>
      <c r="AP350" s="39"/>
      <c r="AQ350" s="39"/>
      <c r="AR350" s="39"/>
      <c r="AS350" s="39"/>
      <c r="AT350" s="39"/>
      <c r="AU350" s="39"/>
      <c r="AV350" s="39"/>
    </row>
    <row r="351" spans="23:48" x14ac:dyDescent="0.2">
      <c r="W351" s="39"/>
      <c r="AB351" s="39"/>
      <c r="AF351" s="39"/>
      <c r="AK351" s="39"/>
      <c r="AL351" s="39"/>
      <c r="AM351" s="39"/>
      <c r="AN351" s="39"/>
      <c r="AO351" s="39"/>
      <c r="AP351" s="39"/>
      <c r="AQ351" s="39"/>
      <c r="AR351" s="39"/>
      <c r="AS351" s="39"/>
      <c r="AT351" s="39"/>
      <c r="AU351" s="39"/>
      <c r="AV351" s="39"/>
    </row>
    <row r="352" spans="23:48" x14ac:dyDescent="0.2">
      <c r="W352" s="39"/>
      <c r="AB352" s="39"/>
      <c r="AF352" s="39"/>
      <c r="AK352" s="39"/>
      <c r="AL352" s="39"/>
      <c r="AM352" s="39"/>
      <c r="AN352" s="39"/>
      <c r="AO352" s="39"/>
      <c r="AP352" s="39"/>
      <c r="AQ352" s="39"/>
      <c r="AR352" s="39"/>
      <c r="AS352" s="39"/>
      <c r="AT352" s="39"/>
      <c r="AU352" s="39"/>
      <c r="AV352" s="39"/>
    </row>
    <row r="353" spans="23:48" x14ac:dyDescent="0.2">
      <c r="W353" s="39"/>
      <c r="AB353" s="39"/>
      <c r="AF353" s="39"/>
      <c r="AK353" s="39"/>
      <c r="AL353" s="39"/>
      <c r="AM353" s="39"/>
      <c r="AN353" s="39"/>
      <c r="AO353" s="39"/>
      <c r="AP353" s="39"/>
      <c r="AQ353" s="39"/>
      <c r="AR353" s="39"/>
      <c r="AS353" s="39"/>
      <c r="AT353" s="39"/>
      <c r="AU353" s="39"/>
      <c r="AV353" s="39"/>
    </row>
    <row r="354" spans="23:48" x14ac:dyDescent="0.2">
      <c r="W354" s="39"/>
      <c r="AB354" s="39"/>
      <c r="AF354" s="39"/>
      <c r="AK354" s="39"/>
      <c r="AL354" s="39"/>
      <c r="AM354" s="39"/>
      <c r="AN354" s="39"/>
      <c r="AO354" s="39"/>
      <c r="AP354" s="39"/>
      <c r="AQ354" s="39"/>
      <c r="AR354" s="39"/>
      <c r="AS354" s="39"/>
      <c r="AT354" s="39"/>
      <c r="AU354" s="39"/>
      <c r="AV354" s="39"/>
    </row>
    <row r="355" spans="23:48" x14ac:dyDescent="0.2">
      <c r="W355" s="39"/>
      <c r="AB355" s="39"/>
      <c r="AF355" s="39"/>
      <c r="AK355" s="39"/>
      <c r="AL355" s="39"/>
      <c r="AM355" s="39"/>
      <c r="AN355" s="39"/>
      <c r="AO355" s="39"/>
      <c r="AP355" s="39"/>
      <c r="AQ355" s="39"/>
      <c r="AR355" s="39"/>
      <c r="AS355" s="39"/>
      <c r="AT355" s="39"/>
      <c r="AU355" s="39"/>
      <c r="AV355" s="39"/>
    </row>
    <row r="356" spans="23:48" x14ac:dyDescent="0.2">
      <c r="W356" s="39"/>
      <c r="AB356" s="39"/>
      <c r="AF356" s="39"/>
      <c r="AK356" s="39"/>
      <c r="AL356" s="39"/>
      <c r="AM356" s="39"/>
      <c r="AN356" s="39"/>
      <c r="AO356" s="39"/>
      <c r="AP356" s="39"/>
      <c r="AQ356" s="39"/>
      <c r="AR356" s="39"/>
      <c r="AS356" s="39"/>
      <c r="AT356" s="39"/>
      <c r="AU356" s="39"/>
      <c r="AV356" s="39"/>
    </row>
    <row r="357" spans="23:48" x14ac:dyDescent="0.2">
      <c r="W357" s="39"/>
      <c r="AB357" s="39"/>
      <c r="AF357" s="39"/>
      <c r="AK357" s="39"/>
      <c r="AL357" s="39"/>
      <c r="AM357" s="39"/>
      <c r="AN357" s="39"/>
      <c r="AO357" s="39"/>
      <c r="AP357" s="39"/>
      <c r="AQ357" s="39"/>
      <c r="AR357" s="39"/>
      <c r="AS357" s="39"/>
      <c r="AT357" s="39"/>
      <c r="AU357" s="39"/>
      <c r="AV357" s="39"/>
    </row>
    <row r="358" spans="23:48" x14ac:dyDescent="0.2">
      <c r="W358" s="39"/>
      <c r="AB358" s="39"/>
      <c r="AF358" s="39"/>
      <c r="AK358" s="39"/>
      <c r="AL358" s="39"/>
      <c r="AM358" s="39"/>
      <c r="AN358" s="39"/>
      <c r="AO358" s="39"/>
      <c r="AP358" s="39"/>
      <c r="AQ358" s="39"/>
      <c r="AR358" s="39"/>
      <c r="AS358" s="39"/>
      <c r="AT358" s="39"/>
      <c r="AU358" s="39"/>
      <c r="AV358" s="39"/>
    </row>
    <row r="359" spans="23:48" x14ac:dyDescent="0.2">
      <c r="W359" s="39"/>
      <c r="AB359" s="39"/>
      <c r="AF359" s="39"/>
      <c r="AK359" s="39"/>
      <c r="AL359" s="39"/>
      <c r="AM359" s="39"/>
      <c r="AN359" s="39"/>
      <c r="AO359" s="39"/>
      <c r="AP359" s="39"/>
      <c r="AQ359" s="39"/>
      <c r="AR359" s="39"/>
      <c r="AS359" s="39"/>
      <c r="AT359" s="39"/>
      <c r="AU359" s="39"/>
      <c r="AV359" s="39"/>
    </row>
    <row r="360" spans="23:48" x14ac:dyDescent="0.2">
      <c r="W360" s="39"/>
      <c r="AB360" s="39"/>
      <c r="AF360" s="39"/>
      <c r="AK360" s="39"/>
      <c r="AL360" s="39"/>
      <c r="AM360" s="39"/>
      <c r="AN360" s="39"/>
      <c r="AO360" s="39"/>
      <c r="AP360" s="39"/>
      <c r="AQ360" s="39"/>
      <c r="AR360" s="39"/>
      <c r="AS360" s="39"/>
      <c r="AT360" s="39"/>
      <c r="AU360" s="39"/>
      <c r="AV360" s="39"/>
    </row>
    <row r="361" spans="23:48" x14ac:dyDescent="0.2">
      <c r="W361" s="39"/>
      <c r="AB361" s="39"/>
      <c r="AF361" s="39"/>
      <c r="AK361" s="39"/>
      <c r="AL361" s="39"/>
      <c r="AM361" s="39"/>
      <c r="AN361" s="39"/>
      <c r="AO361" s="39"/>
      <c r="AP361" s="39"/>
      <c r="AQ361" s="39"/>
      <c r="AR361" s="39"/>
      <c r="AS361" s="39"/>
      <c r="AT361" s="39"/>
      <c r="AU361" s="39"/>
      <c r="AV361" s="39"/>
    </row>
    <row r="362" spans="23:48" x14ac:dyDescent="0.2">
      <c r="W362" s="39"/>
      <c r="AB362" s="39"/>
      <c r="AF362" s="39"/>
      <c r="AK362" s="39"/>
      <c r="AL362" s="39"/>
      <c r="AM362" s="39"/>
      <c r="AN362" s="39"/>
      <c r="AO362" s="39"/>
      <c r="AP362" s="39"/>
      <c r="AQ362" s="39"/>
      <c r="AR362" s="39"/>
      <c r="AS362" s="39"/>
      <c r="AT362" s="39"/>
      <c r="AU362" s="39"/>
      <c r="AV362" s="39"/>
    </row>
    <row r="363" spans="23:48" x14ac:dyDescent="0.2">
      <c r="W363" s="39"/>
      <c r="AB363" s="39"/>
      <c r="AF363" s="39"/>
      <c r="AK363" s="39"/>
      <c r="AL363" s="39"/>
      <c r="AM363" s="39"/>
      <c r="AN363" s="39"/>
      <c r="AO363" s="39"/>
      <c r="AP363" s="39"/>
      <c r="AQ363" s="39"/>
      <c r="AR363" s="39"/>
      <c r="AS363" s="39"/>
      <c r="AT363" s="39"/>
      <c r="AU363" s="39"/>
      <c r="AV363" s="39"/>
    </row>
    <row r="364" spans="23:48" x14ac:dyDescent="0.2">
      <c r="W364" s="39"/>
      <c r="AB364" s="39"/>
      <c r="AF364" s="39"/>
      <c r="AK364" s="39"/>
      <c r="AL364" s="39"/>
      <c r="AM364" s="39"/>
      <c r="AN364" s="39"/>
      <c r="AO364" s="39"/>
      <c r="AP364" s="39"/>
      <c r="AQ364" s="39"/>
      <c r="AR364" s="39"/>
      <c r="AS364" s="39"/>
      <c r="AT364" s="39"/>
      <c r="AU364" s="39"/>
      <c r="AV364" s="39"/>
    </row>
    <row r="365" spans="23:48" x14ac:dyDescent="0.2">
      <c r="W365" s="39"/>
      <c r="AB365" s="39"/>
      <c r="AF365" s="39"/>
      <c r="AK365" s="39"/>
      <c r="AL365" s="39"/>
      <c r="AM365" s="39"/>
      <c r="AN365" s="39"/>
      <c r="AO365" s="39"/>
      <c r="AP365" s="39"/>
      <c r="AQ365" s="39"/>
      <c r="AR365" s="39"/>
      <c r="AS365" s="39"/>
      <c r="AT365" s="39"/>
      <c r="AU365" s="39"/>
      <c r="AV365" s="39"/>
    </row>
    <row r="366" spans="23:48" x14ac:dyDescent="0.2">
      <c r="W366" s="39"/>
      <c r="AB366" s="39"/>
      <c r="AF366" s="39"/>
      <c r="AK366" s="39"/>
      <c r="AL366" s="39"/>
      <c r="AM366" s="39"/>
      <c r="AN366" s="39"/>
      <c r="AO366" s="39"/>
      <c r="AP366" s="39"/>
      <c r="AQ366" s="39"/>
      <c r="AR366" s="39"/>
      <c r="AS366" s="39"/>
      <c r="AT366" s="39"/>
      <c r="AU366" s="39"/>
      <c r="AV366" s="39"/>
    </row>
    <row r="367" spans="23:48" x14ac:dyDescent="0.2">
      <c r="W367" s="39"/>
      <c r="AB367" s="39"/>
      <c r="AF367" s="39"/>
      <c r="AK367" s="39"/>
      <c r="AL367" s="39"/>
      <c r="AM367" s="39"/>
      <c r="AN367" s="39"/>
      <c r="AO367" s="39"/>
      <c r="AP367" s="39"/>
      <c r="AQ367" s="39"/>
      <c r="AR367" s="39"/>
      <c r="AS367" s="39"/>
      <c r="AT367" s="39"/>
      <c r="AU367" s="39"/>
      <c r="AV367" s="39"/>
    </row>
    <row r="368" spans="23:48" x14ac:dyDescent="0.2">
      <c r="W368" s="39"/>
      <c r="AB368" s="39"/>
      <c r="AF368" s="39"/>
      <c r="AK368" s="39"/>
      <c r="AL368" s="39"/>
      <c r="AM368" s="39"/>
      <c r="AN368" s="39"/>
      <c r="AO368" s="39"/>
      <c r="AP368" s="39"/>
      <c r="AQ368" s="39"/>
      <c r="AR368" s="39"/>
      <c r="AS368" s="39"/>
      <c r="AT368" s="39"/>
      <c r="AU368" s="39"/>
      <c r="AV368" s="39"/>
    </row>
    <row r="369" spans="23:48" x14ac:dyDescent="0.2">
      <c r="W369" s="39"/>
      <c r="AB369" s="39"/>
      <c r="AF369" s="39"/>
      <c r="AK369" s="39"/>
      <c r="AL369" s="39"/>
      <c r="AM369" s="39"/>
      <c r="AN369" s="39"/>
      <c r="AO369" s="39"/>
      <c r="AP369" s="39"/>
      <c r="AQ369" s="39"/>
      <c r="AR369" s="39"/>
      <c r="AS369" s="39"/>
      <c r="AT369" s="39"/>
      <c r="AU369" s="39"/>
      <c r="AV369" s="39"/>
    </row>
    <row r="370" spans="23:48" x14ac:dyDescent="0.2">
      <c r="W370" s="39"/>
      <c r="AB370" s="39"/>
      <c r="AF370" s="39"/>
      <c r="AK370" s="39"/>
      <c r="AL370" s="39"/>
      <c r="AM370" s="39"/>
      <c r="AN370" s="39"/>
      <c r="AO370" s="39"/>
      <c r="AP370" s="39"/>
      <c r="AQ370" s="39"/>
      <c r="AR370" s="39"/>
      <c r="AS370" s="39"/>
      <c r="AT370" s="39"/>
      <c r="AU370" s="39"/>
      <c r="AV370" s="39"/>
    </row>
    <row r="371" spans="23:48" x14ac:dyDescent="0.2">
      <c r="W371" s="39"/>
      <c r="AB371" s="39"/>
      <c r="AF371" s="39"/>
      <c r="AK371" s="39"/>
      <c r="AL371" s="39"/>
      <c r="AM371" s="39"/>
      <c r="AN371" s="39"/>
      <c r="AO371" s="39"/>
      <c r="AP371" s="39"/>
      <c r="AQ371" s="39"/>
      <c r="AR371" s="39"/>
      <c r="AS371" s="39"/>
      <c r="AT371" s="39"/>
      <c r="AU371" s="39"/>
      <c r="AV371" s="39"/>
    </row>
    <row r="372" spans="23:48" x14ac:dyDescent="0.2">
      <c r="W372" s="39"/>
      <c r="AB372" s="39"/>
      <c r="AF372" s="39"/>
      <c r="AK372" s="39"/>
      <c r="AL372" s="39"/>
      <c r="AM372" s="39"/>
      <c r="AN372" s="39"/>
      <c r="AO372" s="39"/>
      <c r="AP372" s="39"/>
      <c r="AQ372" s="39"/>
      <c r="AR372" s="39"/>
      <c r="AS372" s="39"/>
      <c r="AT372" s="39"/>
      <c r="AU372" s="39"/>
      <c r="AV372" s="39"/>
    </row>
    <row r="373" spans="23:48" x14ac:dyDescent="0.2">
      <c r="W373" s="39"/>
      <c r="AB373" s="39"/>
      <c r="AF373" s="39"/>
      <c r="AK373" s="39"/>
      <c r="AL373" s="39"/>
      <c r="AM373" s="39"/>
      <c r="AN373" s="39"/>
      <c r="AO373" s="39"/>
      <c r="AP373" s="39"/>
      <c r="AQ373" s="39"/>
      <c r="AR373" s="39"/>
      <c r="AS373" s="39"/>
      <c r="AT373" s="39"/>
      <c r="AU373" s="39"/>
      <c r="AV373" s="39"/>
    </row>
    <row r="374" spans="23:48" x14ac:dyDescent="0.2">
      <c r="W374" s="39"/>
      <c r="AB374" s="39"/>
      <c r="AF374" s="39"/>
      <c r="AK374" s="39"/>
      <c r="AL374" s="39"/>
      <c r="AM374" s="39"/>
      <c r="AN374" s="39"/>
      <c r="AO374" s="39"/>
      <c r="AP374" s="39"/>
      <c r="AQ374" s="39"/>
      <c r="AR374" s="39"/>
      <c r="AS374" s="39"/>
      <c r="AT374" s="39"/>
      <c r="AU374" s="39"/>
      <c r="AV374" s="39"/>
    </row>
    <row r="375" spans="23:48" x14ac:dyDescent="0.2">
      <c r="W375" s="39"/>
      <c r="AB375" s="39"/>
      <c r="AF375" s="39"/>
      <c r="AK375" s="39"/>
      <c r="AL375" s="39"/>
      <c r="AM375" s="39"/>
      <c r="AN375" s="39"/>
      <c r="AO375" s="39"/>
      <c r="AP375" s="39"/>
      <c r="AQ375" s="39"/>
      <c r="AR375" s="39"/>
      <c r="AS375" s="39"/>
      <c r="AT375" s="39"/>
      <c r="AU375" s="39"/>
      <c r="AV375" s="39"/>
    </row>
    <row r="376" spans="23:48" x14ac:dyDescent="0.2">
      <c r="W376" s="39"/>
      <c r="AB376" s="39"/>
      <c r="AF376" s="39"/>
      <c r="AK376" s="39"/>
      <c r="AL376" s="39"/>
      <c r="AM376" s="39"/>
      <c r="AN376" s="39"/>
      <c r="AO376" s="39"/>
      <c r="AP376" s="39"/>
      <c r="AQ376" s="39"/>
      <c r="AR376" s="39"/>
      <c r="AS376" s="39"/>
      <c r="AT376" s="39"/>
      <c r="AU376" s="39"/>
      <c r="AV376" s="39"/>
    </row>
    <row r="377" spans="23:48" x14ac:dyDescent="0.2">
      <c r="W377" s="39"/>
      <c r="AB377" s="39"/>
      <c r="AF377" s="39"/>
      <c r="AK377" s="39"/>
      <c r="AL377" s="39"/>
      <c r="AM377" s="39"/>
      <c r="AN377" s="39"/>
      <c r="AO377" s="39"/>
      <c r="AP377" s="39"/>
      <c r="AQ377" s="39"/>
      <c r="AR377" s="39"/>
      <c r="AS377" s="39"/>
      <c r="AT377" s="39"/>
      <c r="AU377" s="39"/>
      <c r="AV377" s="39"/>
    </row>
    <row r="378" spans="23:48" x14ac:dyDescent="0.2">
      <c r="W378" s="39"/>
      <c r="AB378" s="39"/>
      <c r="AF378" s="39"/>
      <c r="AK378" s="39"/>
      <c r="AL378" s="39"/>
      <c r="AM378" s="39"/>
      <c r="AN378" s="39"/>
      <c r="AO378" s="39"/>
      <c r="AP378" s="39"/>
      <c r="AQ378" s="39"/>
      <c r="AR378" s="39"/>
      <c r="AS378" s="39"/>
      <c r="AT378" s="39"/>
      <c r="AU378" s="39"/>
      <c r="AV378" s="39"/>
    </row>
    <row r="379" spans="23:48" x14ac:dyDescent="0.2">
      <c r="W379" s="39"/>
      <c r="AB379" s="39"/>
      <c r="AF379" s="39"/>
      <c r="AK379" s="39"/>
      <c r="AL379" s="39"/>
      <c r="AM379" s="39"/>
      <c r="AN379" s="39"/>
      <c r="AO379" s="39"/>
      <c r="AP379" s="39"/>
      <c r="AQ379" s="39"/>
      <c r="AR379" s="39"/>
      <c r="AS379" s="39"/>
      <c r="AT379" s="39"/>
      <c r="AU379" s="39"/>
      <c r="AV379" s="39"/>
    </row>
    <row r="380" spans="23:48" x14ac:dyDescent="0.2">
      <c r="W380" s="39"/>
      <c r="AB380" s="39"/>
      <c r="AF380" s="39"/>
      <c r="AK380" s="39"/>
      <c r="AL380" s="39"/>
      <c r="AM380" s="39"/>
      <c r="AN380" s="39"/>
      <c r="AO380" s="39"/>
      <c r="AP380" s="39"/>
      <c r="AQ380" s="39"/>
      <c r="AR380" s="39"/>
      <c r="AS380" s="39"/>
      <c r="AT380" s="39"/>
      <c r="AU380" s="39"/>
      <c r="AV380" s="39"/>
    </row>
    <row r="381" spans="23:48" x14ac:dyDescent="0.2">
      <c r="W381" s="39"/>
      <c r="AB381" s="39"/>
      <c r="AF381" s="39"/>
      <c r="AK381" s="39"/>
      <c r="AL381" s="39"/>
      <c r="AM381" s="39"/>
      <c r="AN381" s="39"/>
      <c r="AO381" s="39"/>
      <c r="AP381" s="39"/>
      <c r="AQ381" s="39"/>
      <c r="AR381" s="39"/>
      <c r="AS381" s="39"/>
      <c r="AT381" s="39"/>
      <c r="AU381" s="39"/>
      <c r="AV381" s="39"/>
    </row>
    <row r="382" spans="23:48" x14ac:dyDescent="0.2">
      <c r="W382" s="39"/>
      <c r="AB382" s="39"/>
      <c r="AF382" s="39"/>
      <c r="AK382" s="39"/>
      <c r="AL382" s="39"/>
      <c r="AM382" s="39"/>
      <c r="AN382" s="39"/>
      <c r="AO382" s="39"/>
      <c r="AP382" s="39"/>
      <c r="AQ382" s="39"/>
      <c r="AR382" s="39"/>
      <c r="AS382" s="39"/>
      <c r="AT382" s="39"/>
      <c r="AU382" s="39"/>
      <c r="AV382" s="39"/>
    </row>
    <row r="383" spans="23:48" x14ac:dyDescent="0.2">
      <c r="W383" s="39"/>
      <c r="AB383" s="39"/>
      <c r="AF383" s="39"/>
      <c r="AK383" s="39"/>
      <c r="AL383" s="39"/>
      <c r="AM383" s="39"/>
      <c r="AN383" s="39"/>
      <c r="AO383" s="39"/>
      <c r="AP383" s="39"/>
      <c r="AQ383" s="39"/>
      <c r="AR383" s="39"/>
      <c r="AS383" s="39"/>
      <c r="AT383" s="39"/>
      <c r="AU383" s="39"/>
      <c r="AV383" s="39"/>
    </row>
    <row r="384" spans="23:48" x14ac:dyDescent="0.2">
      <c r="W384" s="39"/>
      <c r="AB384" s="39"/>
      <c r="AF384" s="39"/>
      <c r="AK384" s="39"/>
      <c r="AL384" s="39"/>
      <c r="AM384" s="39"/>
      <c r="AN384" s="39"/>
      <c r="AO384" s="39"/>
      <c r="AP384" s="39"/>
      <c r="AQ384" s="39"/>
      <c r="AR384" s="39"/>
      <c r="AS384" s="39"/>
      <c r="AT384" s="39"/>
      <c r="AU384" s="39"/>
      <c r="AV384" s="39"/>
    </row>
    <row r="385" spans="23:48" x14ac:dyDescent="0.2">
      <c r="W385" s="39"/>
      <c r="AB385" s="39"/>
      <c r="AF385" s="39"/>
      <c r="AK385" s="39"/>
      <c r="AL385" s="39"/>
      <c r="AM385" s="39"/>
      <c r="AN385" s="39"/>
      <c r="AO385" s="39"/>
      <c r="AP385" s="39"/>
      <c r="AQ385" s="39"/>
      <c r="AR385" s="39"/>
      <c r="AS385" s="39"/>
      <c r="AT385" s="39"/>
      <c r="AU385" s="39"/>
      <c r="AV385" s="39"/>
    </row>
    <row r="386" spans="23:48" x14ac:dyDescent="0.2">
      <c r="W386" s="39"/>
      <c r="AB386" s="39"/>
      <c r="AF386" s="39"/>
      <c r="AK386" s="39"/>
      <c r="AL386" s="39"/>
      <c r="AM386" s="39"/>
      <c r="AN386" s="39"/>
      <c r="AO386" s="39"/>
      <c r="AP386" s="39"/>
      <c r="AQ386" s="39"/>
      <c r="AR386" s="39"/>
      <c r="AS386" s="39"/>
      <c r="AT386" s="39"/>
      <c r="AU386" s="39"/>
      <c r="AV386" s="39"/>
    </row>
    <row r="387" spans="23:48" x14ac:dyDescent="0.2">
      <c r="W387" s="39"/>
      <c r="AB387" s="39"/>
      <c r="AF387" s="39"/>
      <c r="AK387" s="39"/>
      <c r="AL387" s="39"/>
      <c r="AM387" s="39"/>
      <c r="AN387" s="39"/>
      <c r="AO387" s="39"/>
      <c r="AP387" s="39"/>
      <c r="AQ387" s="39"/>
      <c r="AR387" s="39"/>
      <c r="AS387" s="39"/>
      <c r="AT387" s="39"/>
      <c r="AU387" s="39"/>
      <c r="AV387" s="39"/>
    </row>
    <row r="388" spans="23:48" x14ac:dyDescent="0.2">
      <c r="W388" s="39"/>
      <c r="AB388" s="39"/>
      <c r="AF388" s="39"/>
      <c r="AK388" s="39"/>
      <c r="AL388" s="39"/>
      <c r="AM388" s="39"/>
      <c r="AN388" s="39"/>
      <c r="AO388" s="39"/>
      <c r="AP388" s="39"/>
      <c r="AQ388" s="39"/>
      <c r="AR388" s="39"/>
      <c r="AS388" s="39"/>
      <c r="AT388" s="39"/>
      <c r="AU388" s="39"/>
      <c r="AV388" s="39"/>
    </row>
    <row r="389" spans="23:48" x14ac:dyDescent="0.2">
      <c r="W389" s="39"/>
      <c r="AB389" s="39"/>
      <c r="AF389" s="39"/>
      <c r="AK389" s="39"/>
      <c r="AL389" s="39"/>
      <c r="AM389" s="39"/>
      <c r="AN389" s="39"/>
      <c r="AO389" s="39"/>
      <c r="AP389" s="39"/>
      <c r="AQ389" s="39"/>
      <c r="AR389" s="39"/>
      <c r="AS389" s="39"/>
      <c r="AT389" s="39"/>
      <c r="AU389" s="39"/>
      <c r="AV389" s="39"/>
    </row>
    <row r="390" spans="23:48" x14ac:dyDescent="0.2">
      <c r="W390" s="39"/>
      <c r="AB390" s="39"/>
      <c r="AF390" s="39"/>
      <c r="AK390" s="39"/>
      <c r="AL390" s="39"/>
      <c r="AM390" s="39"/>
      <c r="AN390" s="39"/>
      <c r="AO390" s="39"/>
      <c r="AP390" s="39"/>
      <c r="AQ390" s="39"/>
      <c r="AR390" s="39"/>
      <c r="AS390" s="39"/>
      <c r="AT390" s="39"/>
      <c r="AU390" s="39"/>
      <c r="AV390" s="39"/>
    </row>
    <row r="391" spans="23:48" x14ac:dyDescent="0.2">
      <c r="W391" s="39"/>
      <c r="AB391" s="39"/>
      <c r="AF391" s="39"/>
      <c r="AK391" s="39"/>
      <c r="AL391" s="39"/>
      <c r="AM391" s="39"/>
      <c r="AN391" s="39"/>
      <c r="AO391" s="39"/>
      <c r="AP391" s="39"/>
      <c r="AQ391" s="39"/>
      <c r="AR391" s="39"/>
      <c r="AS391" s="39"/>
      <c r="AT391" s="39"/>
      <c r="AU391" s="39"/>
      <c r="AV391" s="39"/>
    </row>
    <row r="392" spans="23:48" x14ac:dyDescent="0.2">
      <c r="W392" s="39"/>
      <c r="AB392" s="39"/>
      <c r="AF392" s="39"/>
      <c r="AK392" s="39"/>
      <c r="AL392" s="39"/>
      <c r="AM392" s="39"/>
      <c r="AN392" s="39"/>
      <c r="AO392" s="39"/>
      <c r="AP392" s="39"/>
      <c r="AQ392" s="39"/>
      <c r="AR392" s="39"/>
      <c r="AS392" s="39"/>
      <c r="AT392" s="39"/>
      <c r="AU392" s="39"/>
      <c r="AV392" s="39"/>
    </row>
    <row r="393" spans="23:48" x14ac:dyDescent="0.2">
      <c r="W393" s="39"/>
      <c r="AB393" s="39"/>
      <c r="AF393" s="39"/>
      <c r="AK393" s="39"/>
      <c r="AL393" s="39"/>
      <c r="AM393" s="39"/>
      <c r="AN393" s="39"/>
      <c r="AO393" s="39"/>
      <c r="AP393" s="39"/>
      <c r="AQ393" s="39"/>
      <c r="AR393" s="39"/>
      <c r="AS393" s="39"/>
      <c r="AT393" s="39"/>
      <c r="AU393" s="39"/>
      <c r="AV393" s="39"/>
    </row>
    <row r="394" spans="23:48" x14ac:dyDescent="0.2">
      <c r="W394" s="39"/>
      <c r="AB394" s="39"/>
      <c r="AF394" s="39"/>
      <c r="AK394" s="39"/>
      <c r="AL394" s="39"/>
      <c r="AM394" s="39"/>
      <c r="AN394" s="39"/>
      <c r="AO394" s="39"/>
      <c r="AP394" s="39"/>
      <c r="AQ394" s="39"/>
      <c r="AR394" s="39"/>
      <c r="AS394" s="39"/>
      <c r="AT394" s="39"/>
      <c r="AU394" s="39"/>
      <c r="AV394" s="39"/>
    </row>
    <row r="395" spans="23:48" x14ac:dyDescent="0.2">
      <c r="W395" s="39"/>
      <c r="AB395" s="39"/>
      <c r="AF395" s="39"/>
      <c r="AK395" s="39"/>
      <c r="AL395" s="39"/>
      <c r="AM395" s="39"/>
      <c r="AN395" s="39"/>
      <c r="AO395" s="39"/>
      <c r="AP395" s="39"/>
      <c r="AQ395" s="39"/>
      <c r="AR395" s="39"/>
      <c r="AS395" s="39"/>
      <c r="AT395" s="39"/>
      <c r="AU395" s="39"/>
      <c r="AV395" s="39"/>
    </row>
    <row r="396" spans="23:48" x14ac:dyDescent="0.2">
      <c r="W396" s="39"/>
      <c r="AB396" s="39"/>
      <c r="AF396" s="39"/>
      <c r="AK396" s="39"/>
      <c r="AL396" s="39"/>
      <c r="AM396" s="39"/>
      <c r="AN396" s="39"/>
      <c r="AO396" s="39"/>
      <c r="AP396" s="39"/>
      <c r="AQ396" s="39"/>
      <c r="AR396" s="39"/>
      <c r="AS396" s="39"/>
      <c r="AT396" s="39"/>
      <c r="AU396" s="39"/>
      <c r="AV396" s="39"/>
    </row>
    <row r="397" spans="23:48" x14ac:dyDescent="0.2">
      <c r="W397" s="39"/>
      <c r="AB397" s="39"/>
      <c r="AF397" s="39"/>
      <c r="AK397" s="39"/>
      <c r="AL397" s="39"/>
      <c r="AM397" s="39"/>
      <c r="AN397" s="39"/>
      <c r="AO397" s="39"/>
      <c r="AP397" s="39"/>
      <c r="AQ397" s="39"/>
      <c r="AR397" s="39"/>
      <c r="AS397" s="39"/>
      <c r="AT397" s="39"/>
      <c r="AU397" s="39"/>
      <c r="AV397" s="39"/>
    </row>
    <row r="398" spans="23:48" x14ac:dyDescent="0.2">
      <c r="W398" s="39"/>
      <c r="AB398" s="39"/>
      <c r="AF398" s="39"/>
      <c r="AK398" s="39"/>
      <c r="AL398" s="39"/>
      <c r="AM398" s="39"/>
      <c r="AN398" s="39"/>
      <c r="AO398" s="39"/>
      <c r="AP398" s="39"/>
      <c r="AQ398" s="39"/>
      <c r="AR398" s="39"/>
      <c r="AS398" s="39"/>
      <c r="AT398" s="39"/>
      <c r="AU398" s="39"/>
      <c r="AV398" s="39"/>
    </row>
    <row r="399" spans="23:48" x14ac:dyDescent="0.2">
      <c r="W399" s="39"/>
      <c r="AB399" s="39"/>
      <c r="AF399" s="39"/>
      <c r="AK399" s="39"/>
      <c r="AL399" s="39"/>
      <c r="AM399" s="39"/>
      <c r="AN399" s="39"/>
      <c r="AO399" s="39"/>
      <c r="AP399" s="39"/>
      <c r="AQ399" s="39"/>
      <c r="AR399" s="39"/>
      <c r="AS399" s="39"/>
      <c r="AT399" s="39"/>
      <c r="AU399" s="39"/>
      <c r="AV399" s="39"/>
    </row>
    <row r="400" spans="23:48" x14ac:dyDescent="0.2">
      <c r="W400" s="39"/>
      <c r="AB400" s="39"/>
      <c r="AF400" s="39"/>
      <c r="AK400" s="39"/>
      <c r="AL400" s="39"/>
      <c r="AM400" s="39"/>
      <c r="AN400" s="39"/>
      <c r="AO400" s="39"/>
      <c r="AP400" s="39"/>
      <c r="AQ400" s="39"/>
      <c r="AR400" s="39"/>
      <c r="AS400" s="39"/>
      <c r="AT400" s="39"/>
      <c r="AU400" s="39"/>
      <c r="AV400" s="39"/>
    </row>
    <row r="401" spans="23:48" x14ac:dyDescent="0.2">
      <c r="W401" s="39"/>
      <c r="AB401" s="39"/>
      <c r="AF401" s="39"/>
      <c r="AK401" s="39"/>
      <c r="AL401" s="39"/>
      <c r="AM401" s="39"/>
      <c r="AN401" s="39"/>
      <c r="AO401" s="39"/>
      <c r="AP401" s="39"/>
      <c r="AQ401" s="39"/>
      <c r="AR401" s="39"/>
      <c r="AS401" s="39"/>
      <c r="AT401" s="39"/>
      <c r="AU401" s="39"/>
      <c r="AV401" s="39"/>
    </row>
    <row r="402" spans="23:48" x14ac:dyDescent="0.2">
      <c r="W402" s="39"/>
      <c r="AB402" s="39"/>
      <c r="AF402" s="39"/>
      <c r="AK402" s="39"/>
      <c r="AL402" s="39"/>
      <c r="AM402" s="39"/>
      <c r="AN402" s="39"/>
      <c r="AO402" s="39"/>
      <c r="AP402" s="39"/>
      <c r="AQ402" s="39"/>
      <c r="AR402" s="39"/>
      <c r="AS402" s="39"/>
      <c r="AT402" s="39"/>
      <c r="AU402" s="39"/>
      <c r="AV402" s="39"/>
    </row>
    <row r="403" spans="23:48" x14ac:dyDescent="0.2">
      <c r="W403" s="39"/>
      <c r="AB403" s="39"/>
      <c r="AF403" s="39"/>
      <c r="AK403" s="39"/>
      <c r="AL403" s="39"/>
      <c r="AM403" s="39"/>
      <c r="AN403" s="39"/>
      <c r="AO403" s="39"/>
      <c r="AP403" s="39"/>
      <c r="AQ403" s="39"/>
      <c r="AR403" s="39"/>
      <c r="AS403" s="39"/>
      <c r="AT403" s="39"/>
      <c r="AU403" s="39"/>
      <c r="AV403" s="39"/>
    </row>
    <row r="404" spans="23:48" x14ac:dyDescent="0.2">
      <c r="W404" s="39"/>
      <c r="AB404" s="39"/>
      <c r="AF404" s="39"/>
      <c r="AK404" s="39"/>
      <c r="AL404" s="39"/>
      <c r="AM404" s="39"/>
      <c r="AN404" s="39"/>
      <c r="AO404" s="39"/>
      <c r="AP404" s="39"/>
      <c r="AQ404" s="39"/>
      <c r="AR404" s="39"/>
      <c r="AS404" s="39"/>
      <c r="AT404" s="39"/>
      <c r="AU404" s="39"/>
      <c r="AV404" s="39"/>
    </row>
    <row r="405" spans="23:48" x14ac:dyDescent="0.2">
      <c r="W405" s="39"/>
      <c r="AB405" s="39"/>
      <c r="AF405" s="39"/>
      <c r="AK405" s="39"/>
      <c r="AL405" s="39"/>
      <c r="AM405" s="39"/>
      <c r="AN405" s="39"/>
      <c r="AO405" s="39"/>
      <c r="AP405" s="39"/>
      <c r="AQ405" s="39"/>
      <c r="AR405" s="39"/>
      <c r="AS405" s="39"/>
      <c r="AT405" s="39"/>
      <c r="AU405" s="39"/>
      <c r="AV405" s="39"/>
    </row>
    <row r="406" spans="23:48" x14ac:dyDescent="0.2">
      <c r="W406" s="39"/>
      <c r="AB406" s="39"/>
      <c r="AF406" s="39"/>
      <c r="AK406" s="39"/>
      <c r="AL406" s="39"/>
      <c r="AM406" s="39"/>
      <c r="AN406" s="39"/>
      <c r="AO406" s="39"/>
      <c r="AP406" s="39"/>
      <c r="AQ406" s="39"/>
      <c r="AR406" s="39"/>
      <c r="AS406" s="39"/>
      <c r="AT406" s="39"/>
      <c r="AU406" s="39"/>
      <c r="AV406" s="39"/>
    </row>
    <row r="407" spans="23:48" x14ac:dyDescent="0.2">
      <c r="W407" s="39"/>
      <c r="AB407" s="39"/>
      <c r="AF407" s="39"/>
      <c r="AK407" s="39"/>
      <c r="AL407" s="39"/>
      <c r="AM407" s="39"/>
      <c r="AN407" s="39"/>
      <c r="AO407" s="39"/>
      <c r="AP407" s="39"/>
      <c r="AQ407" s="39"/>
      <c r="AR407" s="39"/>
      <c r="AS407" s="39"/>
      <c r="AT407" s="39"/>
      <c r="AU407" s="39"/>
      <c r="AV407" s="39"/>
    </row>
    <row r="408" spans="23:48" x14ac:dyDescent="0.2">
      <c r="W408" s="39"/>
      <c r="AB408" s="39"/>
      <c r="AF408" s="39"/>
      <c r="AK408" s="39"/>
      <c r="AL408" s="39"/>
      <c r="AM408" s="39"/>
      <c r="AN408" s="39"/>
      <c r="AO408" s="39"/>
      <c r="AP408" s="39"/>
      <c r="AQ408" s="39"/>
      <c r="AR408" s="39"/>
      <c r="AS408" s="39"/>
      <c r="AT408" s="39"/>
      <c r="AU408" s="39"/>
      <c r="AV408" s="39"/>
    </row>
    <row r="409" spans="23:48" x14ac:dyDescent="0.2">
      <c r="W409" s="39"/>
      <c r="AB409" s="39"/>
      <c r="AF409" s="39"/>
      <c r="AK409" s="39"/>
      <c r="AL409" s="39"/>
      <c r="AM409" s="39"/>
      <c r="AN409" s="39"/>
      <c r="AO409" s="39"/>
      <c r="AP409" s="39"/>
      <c r="AQ409" s="39"/>
      <c r="AR409" s="39"/>
      <c r="AS409" s="39"/>
      <c r="AT409" s="39"/>
      <c r="AU409" s="39"/>
      <c r="AV409" s="39"/>
    </row>
    <row r="410" spans="23:48" x14ac:dyDescent="0.2"/>
    <row r="411" spans="23:48" x14ac:dyDescent="0.2"/>
    <row r="412" spans="23:48" x14ac:dyDescent="0.2"/>
    <row r="413" spans="23:48" x14ac:dyDescent="0.2"/>
    <row r="414" spans="23:48" x14ac:dyDescent="0.2"/>
    <row r="415" spans="23:48" x14ac:dyDescent="0.2"/>
    <row r="416" spans="23:48"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sheetData>
  <mergeCells count="166">
    <mergeCell ref="AU11:AV11"/>
    <mergeCell ref="AU34:AV34"/>
    <mergeCell ref="AM34:AN34"/>
    <mergeCell ref="AO34:AP34"/>
    <mergeCell ref="AQ34:AR34"/>
    <mergeCell ref="AM11:AN11"/>
    <mergeCell ref="AK56:AP56"/>
    <mergeCell ref="AS34:AT34"/>
    <mergeCell ref="AS11:AT11"/>
    <mergeCell ref="AK48:AN48"/>
    <mergeCell ref="AK24:AL24"/>
    <mergeCell ref="AU24:AV24"/>
    <mergeCell ref="AM24:AN24"/>
    <mergeCell ref="AK33:AR33"/>
    <mergeCell ref="AS33:AT33"/>
    <mergeCell ref="AK34:AL34"/>
    <mergeCell ref="AK126:AP126"/>
    <mergeCell ref="AK103:AP103"/>
    <mergeCell ref="AK114:AP114"/>
    <mergeCell ref="AK46:AP46"/>
    <mergeCell ref="AK80:AP80"/>
    <mergeCell ref="AK91:AP91"/>
    <mergeCell ref="AK82:AN82"/>
    <mergeCell ref="AK93:AN93"/>
    <mergeCell ref="AK105:AN105"/>
    <mergeCell ref="AK116:AN116"/>
    <mergeCell ref="AK71:AL71"/>
    <mergeCell ref="AM71:AN71"/>
    <mergeCell ref="AO71:AP71"/>
    <mergeCell ref="AK58:AN58"/>
    <mergeCell ref="Q24:R24"/>
    <mergeCell ref="H11:I11"/>
    <mergeCell ref="K11:L11"/>
    <mergeCell ref="N11:O11"/>
    <mergeCell ref="AB32:AI32"/>
    <mergeCell ref="AO11:AP11"/>
    <mergeCell ref="AK9:AV9"/>
    <mergeCell ref="AS10:AT10"/>
    <mergeCell ref="AK22:AV22"/>
    <mergeCell ref="Q11:R11"/>
    <mergeCell ref="AO24:AP24"/>
    <mergeCell ref="V32:Z32"/>
    <mergeCell ref="V9:Z9"/>
    <mergeCell ref="AS24:AT24"/>
    <mergeCell ref="AB9:AI9"/>
    <mergeCell ref="V22:Z22"/>
    <mergeCell ref="AB22:AI22"/>
    <mergeCell ref="AK10:AR10"/>
    <mergeCell ref="AK23:AR23"/>
    <mergeCell ref="AQ24:AR24"/>
    <mergeCell ref="AK32:AV32"/>
    <mergeCell ref="AS23:AT23"/>
    <mergeCell ref="AQ11:AR11"/>
    <mergeCell ref="AK11:AL11"/>
    <mergeCell ref="B2:O2"/>
    <mergeCell ref="B7:O7"/>
    <mergeCell ref="B44:O44"/>
    <mergeCell ref="H4:I4"/>
    <mergeCell ref="D4:E4"/>
    <mergeCell ref="D5:E5"/>
    <mergeCell ref="F4:G4"/>
    <mergeCell ref="F5:G5"/>
    <mergeCell ref="H5:I5"/>
    <mergeCell ref="I33:J33"/>
    <mergeCell ref="K33:L33"/>
    <mergeCell ref="H24:I24"/>
    <mergeCell ref="K24:L24"/>
    <mergeCell ref="N24:O24"/>
    <mergeCell ref="AB126:AE126"/>
    <mergeCell ref="Q139:T139"/>
    <mergeCell ref="B142:C142"/>
    <mergeCell ref="B141:C141"/>
    <mergeCell ref="B143:C143"/>
    <mergeCell ref="B144:C144"/>
    <mergeCell ref="B146:C146"/>
    <mergeCell ref="B145:C145"/>
    <mergeCell ref="AB46:AE46"/>
    <mergeCell ref="AB114:AE114"/>
    <mergeCell ref="AB56:AE56"/>
    <mergeCell ref="AB80:AE80"/>
    <mergeCell ref="AB91:AE91"/>
    <mergeCell ref="AB103:AE103"/>
    <mergeCell ref="V91:X91"/>
    <mergeCell ref="V103:X103"/>
    <mergeCell ref="V46:X46"/>
    <mergeCell ref="V56:X56"/>
    <mergeCell ref="V80:X80"/>
    <mergeCell ref="V114:X114"/>
    <mergeCell ref="K139:L139"/>
    <mergeCell ref="H139:I139"/>
    <mergeCell ref="D139:F139"/>
    <mergeCell ref="B67:O67"/>
    <mergeCell ref="B164:C164"/>
    <mergeCell ref="B150:O150"/>
    <mergeCell ref="B153:C153"/>
    <mergeCell ref="B154:C154"/>
    <mergeCell ref="E152:N152"/>
    <mergeCell ref="B162:O162"/>
    <mergeCell ref="B161:D161"/>
    <mergeCell ref="B158:D158"/>
    <mergeCell ref="V126:X126"/>
    <mergeCell ref="B137:O137"/>
    <mergeCell ref="B139:C140"/>
    <mergeCell ref="B178:C178"/>
    <mergeCell ref="B173:C173"/>
    <mergeCell ref="B175:C175"/>
    <mergeCell ref="B176:C176"/>
    <mergeCell ref="B180:C180"/>
    <mergeCell ref="B172:O172"/>
    <mergeCell ref="B177:C177"/>
    <mergeCell ref="B167:C167"/>
    <mergeCell ref="B166:C166"/>
    <mergeCell ref="B168:C168"/>
    <mergeCell ref="AK128:AN128"/>
    <mergeCell ref="B184:O184"/>
    <mergeCell ref="H71:I71"/>
    <mergeCell ref="V69:Z69"/>
    <mergeCell ref="B159:C159"/>
    <mergeCell ref="B160:C160"/>
    <mergeCell ref="B163:C163"/>
    <mergeCell ref="AB69:AI69"/>
    <mergeCell ref="AK69:AV69"/>
    <mergeCell ref="AK70:AR70"/>
    <mergeCell ref="AS70:AT70"/>
    <mergeCell ref="AQ71:AR71"/>
    <mergeCell ref="AS71:AT71"/>
    <mergeCell ref="AU71:AV71"/>
    <mergeCell ref="B155:C155"/>
    <mergeCell ref="B156:C156"/>
    <mergeCell ref="B157:C157"/>
    <mergeCell ref="B169:C169"/>
    <mergeCell ref="B181:D181"/>
    <mergeCell ref="B165:C165"/>
    <mergeCell ref="B170:C170"/>
    <mergeCell ref="B174:C174"/>
    <mergeCell ref="B179:C179"/>
    <mergeCell ref="B171:C171"/>
    <mergeCell ref="B213:D213"/>
    <mergeCell ref="B188:C188"/>
    <mergeCell ref="B189:C189"/>
    <mergeCell ref="B190:C190"/>
    <mergeCell ref="B191:C191"/>
    <mergeCell ref="B192:C192"/>
    <mergeCell ref="B195:C195"/>
    <mergeCell ref="B202:C202"/>
    <mergeCell ref="B206:C206"/>
    <mergeCell ref="B200:C200"/>
    <mergeCell ref="B208:C208"/>
    <mergeCell ref="B209:C209"/>
    <mergeCell ref="B210:C210"/>
    <mergeCell ref="B211:C211"/>
    <mergeCell ref="B194:C194"/>
    <mergeCell ref="B197:C197"/>
    <mergeCell ref="B198:C198"/>
    <mergeCell ref="B199:C199"/>
    <mergeCell ref="B201:C201"/>
    <mergeCell ref="O188:O193"/>
    <mergeCell ref="B212:C212"/>
    <mergeCell ref="B187:C187"/>
    <mergeCell ref="E186:M186"/>
    <mergeCell ref="B193:D193"/>
    <mergeCell ref="B196:D196"/>
    <mergeCell ref="B203:C203"/>
    <mergeCell ref="B204:C204"/>
    <mergeCell ref="B205:C205"/>
    <mergeCell ref="B207:C207"/>
  </mergeCells>
  <phoneticPr fontId="4"/>
  <dataValidations count="10">
    <dataValidation type="list" allowBlank="1" showInputMessage="1" showErrorMessage="1" sqref="B13:B18 B36:B39" xr:uid="{00000000-0002-0000-0100-000000000000}">
      <formula1>combustibles</formula1>
    </dataValidation>
    <dataValidation type="list" allowBlank="1" showInputMessage="1" showErrorMessage="1" sqref="B26:B28" xr:uid="{00000000-0002-0000-0100-000001000000}">
      <formula1>biocombustibles</formula1>
    </dataValidation>
    <dataValidation type="list" allowBlank="1" showInputMessage="1" showErrorMessage="1" sqref="B50:B52" xr:uid="{00000000-0002-0000-0100-000002000000}">
      <formula1>vapeur</formula1>
    </dataValidation>
    <dataValidation type="list" allowBlank="1" showInputMessage="1" showErrorMessage="1" sqref="B95:B99" xr:uid="{00000000-0002-0000-0100-000003000000}">
      <formula1>electricite_producteur</formula1>
    </dataValidation>
    <dataValidation type="list" allowBlank="1" showInputMessage="1" showErrorMessage="1" sqref="B118:B121 B107:B110" xr:uid="{00000000-0002-0000-0100-000004000000}">
      <formula1>tertiaire_electricite2</formula1>
    </dataValidation>
    <dataValidation type="list" allowBlank="1" showInputMessage="1" showErrorMessage="1" sqref="G118:G121 G107:G110 B84:B87" xr:uid="{00000000-0002-0000-0100-000005000000}">
      <formula1>electricite_monde</formula1>
    </dataValidation>
    <dataValidation type="list" allowBlank="1" showInputMessage="1" showErrorMessage="1" sqref="B60:B62" xr:uid="{00000000-0002-0000-0100-000006000000}">
      <formula1>froid</formula1>
    </dataValidation>
    <dataValidation type="list" allowBlank="1" showInputMessage="1" showErrorMessage="1" sqref="F26:F28 F73:F76 F50:F52 F118:F121 F95:F99 F60:F62 F84:F87 F107:F110 F13:F18" xr:uid="{00000000-0002-0000-0100-000007000000}">
      <formula1>Liste_Energie</formula1>
    </dataValidation>
    <dataValidation type="list" allowBlank="1" showInputMessage="1" showErrorMessage="1" sqref="F36:F39" xr:uid="{00000000-0002-0000-0100-000008000000}">
      <formula1>Liste_Energie_bis</formula1>
    </dataValidation>
    <dataValidation type="list" allowBlank="1" showInputMessage="1" showErrorMessage="1" sqref="B73:B76" xr:uid="{00000000-0002-0000-0100-000009000000}">
      <formula1>Electricite_France</formula1>
    </dataValidation>
  </dataValidations>
  <hyperlinks>
    <hyperlink ref="D4" location="energie1_combustibles" display="combustibles" xr:uid="{00000000-0004-0000-0100-000000000000}"/>
    <hyperlink ref="F4" location="energie1_vapeur" display="vapeur" xr:uid="{00000000-0004-0000-0100-000001000000}"/>
    <hyperlink ref="H4" location="energie1_électricité" display="électricité" xr:uid="{00000000-0004-0000-0100-000002000000}"/>
    <hyperlink ref="D5" location="energie1_total" display="total" xr:uid="{00000000-0004-0000-0100-000003000000}"/>
    <hyperlink ref="F5" location="energie1_GHGProtocol" display="GHG Protocol" xr:uid="{00000000-0004-0000-0100-000004000000}"/>
    <hyperlink ref="H5:I5" location="energie1_ISO14069" display="ISO 14069" xr:uid="{00000000-0004-0000-0100-000005000000}"/>
    <hyperlink ref="B220" r:id="rId1" xr:uid="{00000000-0004-0000-0100-000006000000}"/>
    <hyperlink ref="B219" r:id="rId2" xr:uid="{00000000-0004-0000-0100-000007000000}"/>
  </hyperlinks>
  <pageMargins left="0.39370078740157483" right="0.39370078740157483" top="0.59055118110236227" bottom="0.59055118110236227" header="0.51181102362204722" footer="0.51181102362204722"/>
  <pageSetup paperSize="9" orientation="landscape" horizontalDpi="4294967292" verticalDpi="4294967292"/>
  <headerFooter alignWithMargins="0">
    <oddFooter>&amp;LCalcul des émissions de gaz à effet de serre&amp;Rrubrique &amp;A, page &amp;P, édité le &amp;D</oddFooter>
  </headerFooter>
  <rowBreaks count="2" manualBreakCount="2">
    <brk id="31" min="1" max="10" man="1"/>
    <brk id="79" min="1" max="10" man="1"/>
  </rowBreaks>
  <drawing r:id="rId3"/>
  <legacyDrawing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5"/>
    <outlinePr summaryBelow="0"/>
  </sheetPr>
  <dimension ref="A1:AY187"/>
  <sheetViews>
    <sheetView showGridLines="0" workbookViewId="0">
      <pane xSplit="3" ySplit="6" topLeftCell="D14" activePane="bottomRight" state="frozenSplit"/>
      <selection activeCell="E9" sqref="E9"/>
      <selection pane="topRight" activeCell="E9" sqref="E9"/>
      <selection pane="bottomLeft" activeCell="E9" sqref="E9"/>
      <selection pane="bottomRight" activeCell="B45" sqref="B45"/>
    </sheetView>
  </sheetViews>
  <sheetFormatPr baseColWidth="10" defaultColWidth="10.83203125" defaultRowHeight="12" outlineLevelRow="1" x14ac:dyDescent="0.15"/>
  <cols>
    <col min="1" max="1" width="2.6640625" style="2" customWidth="1"/>
    <col min="2" max="2" width="52.6640625" style="2" customWidth="1"/>
    <col min="3" max="3" width="2.5" style="2" customWidth="1"/>
    <col min="4" max="6" width="12.33203125" style="2" customWidth="1"/>
    <col min="7" max="7" width="12.33203125" style="3" customWidth="1"/>
    <col min="8" max="12" width="12.33203125" style="2" customWidth="1"/>
    <col min="13" max="13" width="12.33203125" style="1184" customWidth="1"/>
    <col min="14" max="15" width="12.33203125" style="2" customWidth="1"/>
    <col min="16" max="16" width="12.33203125" style="1184" customWidth="1"/>
    <col min="17" max="20" width="12.33203125" style="2" customWidth="1"/>
    <col min="21" max="26" width="12.33203125" style="753" customWidth="1"/>
    <col min="27" max="50" width="12.33203125" style="2" customWidth="1"/>
    <col min="51" max="16384" width="10.83203125" style="2"/>
  </cols>
  <sheetData>
    <row r="1" spans="1:26" x14ac:dyDescent="0.15">
      <c r="A1" s="39"/>
      <c r="B1" s="39"/>
      <c r="C1" s="39"/>
      <c r="D1" s="39"/>
      <c r="E1" s="39"/>
      <c r="F1" s="39"/>
      <c r="G1" s="39"/>
      <c r="H1" s="39"/>
      <c r="I1" s="39"/>
      <c r="J1" s="39"/>
      <c r="K1" s="39"/>
      <c r="L1" s="39"/>
      <c r="M1" s="1162"/>
      <c r="N1" s="39"/>
      <c r="O1" s="39"/>
    </row>
    <row r="2" spans="1:26" ht="30" customHeight="1" x14ac:dyDescent="0.15">
      <c r="A2" s="39"/>
      <c r="B2" s="1726" t="str">
        <f>Description!C17</f>
        <v>Non-energetici</v>
      </c>
      <c r="C2" s="1726"/>
      <c r="D2" s="1726"/>
      <c r="E2" s="1726"/>
      <c r="F2" s="1726"/>
      <c r="G2" s="1726"/>
      <c r="H2" s="1726"/>
      <c r="I2" s="1726"/>
      <c r="J2" s="1726"/>
      <c r="K2" s="1726"/>
      <c r="L2" s="1726"/>
      <c r="M2" s="1726"/>
      <c r="N2" s="1726"/>
      <c r="O2" s="1726"/>
    </row>
    <row r="3" spans="1:26" s="4" customFormat="1" ht="13" x14ac:dyDescent="0.15">
      <c r="A3" s="40"/>
      <c r="B3" s="40"/>
      <c r="C3" s="40"/>
      <c r="D3" s="40"/>
      <c r="E3" s="40"/>
      <c r="F3" s="40"/>
      <c r="G3" s="40"/>
      <c r="H3" s="40"/>
      <c r="I3" s="40"/>
      <c r="J3" s="40"/>
      <c r="K3" s="40"/>
      <c r="L3" s="40"/>
      <c r="M3" s="49"/>
      <c r="N3" s="40"/>
      <c r="O3" s="40"/>
      <c r="P3" s="11"/>
      <c r="U3" s="754"/>
      <c r="V3" s="754"/>
      <c r="W3" s="754"/>
      <c r="X3" s="754"/>
      <c r="Y3" s="754"/>
      <c r="Z3" s="754"/>
    </row>
    <row r="4" spans="1:26" s="4" customFormat="1" ht="14" x14ac:dyDescent="0.15">
      <c r="A4" s="40"/>
      <c r="B4" s="119" t="s">
        <v>2531</v>
      </c>
      <c r="C4" s="120"/>
      <c r="D4" s="1797" t="s">
        <v>14</v>
      </c>
      <c r="E4" s="1797"/>
      <c r="F4" s="1797" t="s">
        <v>27</v>
      </c>
      <c r="G4" s="1797"/>
      <c r="H4" s="1797" t="s">
        <v>60</v>
      </c>
      <c r="I4" s="1797"/>
      <c r="J4" s="1797" t="s">
        <v>2559</v>
      </c>
      <c r="K4" s="1797"/>
      <c r="L4" s="1797" t="s">
        <v>2560</v>
      </c>
      <c r="M4" s="1797"/>
      <c r="N4" s="311"/>
      <c r="O4" s="312"/>
      <c r="P4" s="11"/>
      <c r="U4" s="754"/>
      <c r="V4" s="754"/>
      <c r="W4" s="754"/>
      <c r="X4" s="754"/>
      <c r="Y4" s="754"/>
      <c r="Z4" s="754"/>
    </row>
    <row r="5" spans="1:26" s="4" customFormat="1" ht="14" x14ac:dyDescent="0.15">
      <c r="A5" s="40"/>
      <c r="B5" s="106" t="s">
        <v>71</v>
      </c>
      <c r="C5" s="107"/>
      <c r="D5" s="1798" t="s">
        <v>44</v>
      </c>
      <c r="E5" s="1798"/>
      <c r="F5" s="1798"/>
      <c r="G5" s="1798"/>
      <c r="H5" s="1798" t="s">
        <v>121</v>
      </c>
      <c r="I5" s="1798"/>
      <c r="J5" s="1798" t="s">
        <v>132</v>
      </c>
      <c r="K5" s="1798"/>
      <c r="L5" s="296"/>
      <c r="M5" s="1176"/>
      <c r="N5" s="296"/>
      <c r="O5" s="310"/>
      <c r="P5" s="11"/>
      <c r="U5" s="754"/>
      <c r="V5" s="754"/>
      <c r="W5" s="754"/>
      <c r="X5" s="754"/>
      <c r="Y5" s="754"/>
      <c r="Z5" s="754"/>
    </row>
    <row r="6" spans="1:26" s="4" customFormat="1" ht="14" x14ac:dyDescent="0.15">
      <c r="A6" s="40"/>
      <c r="B6" s="41"/>
      <c r="C6" s="41"/>
      <c r="D6" s="41"/>
      <c r="E6" s="41"/>
      <c r="F6" s="41"/>
      <c r="G6" s="41"/>
      <c r="H6" s="32"/>
      <c r="I6" s="32"/>
      <c r="J6" s="32"/>
      <c r="K6" s="40"/>
      <c r="L6" s="40"/>
      <c r="M6" s="49"/>
      <c r="N6" s="40"/>
      <c r="O6" s="40"/>
      <c r="P6" s="11"/>
      <c r="U6" s="754"/>
      <c r="V6" s="754"/>
      <c r="W6" s="754"/>
      <c r="X6" s="754"/>
      <c r="Y6" s="754"/>
      <c r="Z6" s="754"/>
    </row>
    <row r="7" spans="1:26" s="4" customFormat="1" ht="16" x14ac:dyDescent="0.15">
      <c r="B7" s="1795" t="s">
        <v>2820</v>
      </c>
      <c r="C7" s="1795"/>
      <c r="D7" s="1795"/>
      <c r="E7" s="1795"/>
      <c r="F7" s="1795"/>
      <c r="G7" s="1795"/>
      <c r="H7" s="1795"/>
      <c r="I7" s="1795"/>
      <c r="J7" s="1795"/>
      <c r="K7" s="1795"/>
      <c r="L7" s="1795"/>
      <c r="M7" s="1795"/>
      <c r="N7" s="1795"/>
      <c r="O7" s="1795"/>
      <c r="P7" s="11"/>
      <c r="U7" s="754"/>
      <c r="V7" s="754"/>
      <c r="W7" s="754"/>
      <c r="X7" s="754"/>
      <c r="Y7" s="754"/>
      <c r="Z7" s="754"/>
    </row>
    <row r="8" spans="1:26" s="4" customFormat="1" ht="13" outlineLevel="1" x14ac:dyDescent="0.15">
      <c r="B8" s="16"/>
      <c r="C8" s="16"/>
      <c r="D8" s="16"/>
      <c r="E8" s="16"/>
      <c r="F8" s="16"/>
      <c r="G8" s="8"/>
      <c r="H8" s="5"/>
      <c r="M8" s="11"/>
      <c r="P8" s="11"/>
      <c r="U8" s="754"/>
      <c r="V8" s="754"/>
      <c r="W8" s="754"/>
      <c r="X8" s="754"/>
      <c r="Y8" s="754"/>
      <c r="Z8" s="754"/>
    </row>
    <row r="9" spans="1:26" s="4" customFormat="1" ht="13" outlineLevel="1" x14ac:dyDescent="0.15">
      <c r="B9" s="367" t="s">
        <v>2822</v>
      </c>
      <c r="C9" s="368"/>
      <c r="D9" s="350"/>
      <c r="E9" s="350"/>
      <c r="F9" s="369"/>
      <c r="G9" s="369"/>
      <c r="H9" s="369"/>
      <c r="I9" s="370"/>
      <c r="J9" s="8"/>
      <c r="K9" s="8"/>
      <c r="L9" s="1807" t="s">
        <v>723</v>
      </c>
      <c r="M9" s="1808"/>
      <c r="N9" s="1809"/>
      <c r="O9" s="8"/>
      <c r="P9" s="1807" t="s">
        <v>2066</v>
      </c>
      <c r="Q9" s="1808"/>
      <c r="R9" s="1808"/>
      <c r="S9" s="1809"/>
      <c r="U9" s="1813" t="s">
        <v>2073</v>
      </c>
      <c r="V9" s="1814"/>
      <c r="W9" s="1814"/>
      <c r="X9" s="1814"/>
      <c r="Y9" s="1814"/>
      <c r="Z9" s="1815"/>
    </row>
    <row r="10" spans="1:26" s="4" customFormat="1" ht="13" outlineLevel="1" x14ac:dyDescent="0.15">
      <c r="B10" s="371"/>
      <c r="C10" s="372"/>
      <c r="D10" s="352"/>
      <c r="E10" s="352"/>
      <c r="F10" s="372"/>
      <c r="G10" s="372"/>
      <c r="H10" s="372"/>
      <c r="I10" s="373"/>
      <c r="J10" s="8"/>
      <c r="K10" s="8"/>
      <c r="L10" s="371"/>
      <c r="M10" s="1177"/>
      <c r="N10" s="381"/>
      <c r="O10" s="8"/>
      <c r="P10" s="1185"/>
      <c r="Q10" s="382"/>
      <c r="R10" s="382"/>
      <c r="S10" s="375"/>
      <c r="U10" s="755"/>
      <c r="V10" s="756"/>
      <c r="W10" s="756"/>
      <c r="X10" s="756"/>
      <c r="Y10" s="757"/>
      <c r="Z10" s="758"/>
    </row>
    <row r="11" spans="1:26" s="4" customFormat="1" ht="13" outlineLevel="1" x14ac:dyDescent="0.15">
      <c r="B11" s="371"/>
      <c r="C11" s="372"/>
      <c r="D11" s="351" t="s">
        <v>56</v>
      </c>
      <c r="E11" s="351" t="s">
        <v>56</v>
      </c>
      <c r="F11" s="205" t="s">
        <v>2562</v>
      </c>
      <c r="G11" s="205" t="s">
        <v>2563</v>
      </c>
      <c r="H11" s="372" t="s">
        <v>2533</v>
      </c>
      <c r="I11" s="375" t="s">
        <v>61</v>
      </c>
      <c r="K11" s="8"/>
      <c r="L11" s="1621" t="s">
        <v>2557</v>
      </c>
      <c r="M11" s="1177" t="s">
        <v>2110</v>
      </c>
      <c r="N11" s="375" t="s">
        <v>61</v>
      </c>
      <c r="O11" s="8"/>
      <c r="P11" s="1186" t="s">
        <v>2065</v>
      </c>
      <c r="Q11" s="382" t="s">
        <v>61</v>
      </c>
      <c r="R11" s="372" t="s">
        <v>2558</v>
      </c>
      <c r="S11" s="375" t="s">
        <v>61</v>
      </c>
      <c r="U11" s="1810" t="s">
        <v>61</v>
      </c>
      <c r="V11" s="1811"/>
      <c r="W11" s="1811"/>
      <c r="X11" s="1811"/>
      <c r="Y11" s="759" t="s">
        <v>61</v>
      </c>
      <c r="Z11" s="760"/>
    </row>
    <row r="12" spans="1:26" s="4" customFormat="1" ht="13" outlineLevel="1" x14ac:dyDescent="0.15">
      <c r="B12" s="371"/>
      <c r="C12" s="372"/>
      <c r="D12" s="351" t="s">
        <v>61</v>
      </c>
      <c r="E12" s="351" t="s">
        <v>63</v>
      </c>
      <c r="F12" s="208" t="s">
        <v>2054</v>
      </c>
      <c r="G12" s="208" t="s">
        <v>20</v>
      </c>
      <c r="H12" s="372" t="s">
        <v>78</v>
      </c>
      <c r="I12" s="375"/>
      <c r="K12" s="8"/>
      <c r="L12" s="1621" t="s">
        <v>2109</v>
      </c>
      <c r="M12" s="1177"/>
      <c r="N12" s="375"/>
      <c r="P12" s="1186"/>
      <c r="Q12" s="382"/>
      <c r="R12" s="372"/>
      <c r="S12" s="380"/>
      <c r="U12" s="761" t="s">
        <v>14</v>
      </c>
      <c r="V12" s="762" t="s">
        <v>60</v>
      </c>
      <c r="W12" s="762" t="s">
        <v>27</v>
      </c>
      <c r="X12" s="762" t="s">
        <v>2074</v>
      </c>
      <c r="Y12" s="763" t="s">
        <v>41</v>
      </c>
      <c r="Z12" s="764" t="s">
        <v>85</v>
      </c>
    </row>
    <row r="13" spans="1:26" s="4" customFormat="1" ht="13" outlineLevel="1" x14ac:dyDescent="0.15">
      <c r="B13" s="377" t="s">
        <v>2561</v>
      </c>
      <c r="C13" s="378"/>
      <c r="D13" s="391">
        <f>I13</f>
        <v>10000000</v>
      </c>
      <c r="E13" s="398">
        <f>D13*12/44</f>
        <v>2727272.7272727271</v>
      </c>
      <c r="F13" s="1210" t="s">
        <v>2429</v>
      </c>
      <c r="G13" s="181">
        <v>10000</v>
      </c>
      <c r="H13" s="394">
        <v>1</v>
      </c>
      <c r="I13" s="379">
        <f>G13*H13*1000</f>
        <v>10000000</v>
      </c>
      <c r="L13" s="397">
        <f>'Emissions factors'!D11</f>
        <v>0</v>
      </c>
      <c r="M13" s="1161"/>
      <c r="N13" s="379">
        <f>I13*SQRT(L13^2+M13^2)</f>
        <v>0</v>
      </c>
      <c r="P13" s="1187"/>
      <c r="Q13" s="383">
        <f>I13*P13</f>
        <v>0</v>
      </c>
      <c r="R13" s="1187"/>
      <c r="S13" s="379">
        <f>I13*R13</f>
        <v>0</v>
      </c>
      <c r="U13" s="765">
        <f>I13</f>
        <v>10000000</v>
      </c>
      <c r="V13" s="766">
        <v>0</v>
      </c>
      <c r="W13" s="766">
        <v>0</v>
      </c>
      <c r="X13" s="766">
        <v>0</v>
      </c>
      <c r="Y13" s="767">
        <f>I13</f>
        <v>10000000</v>
      </c>
      <c r="Z13" s="768">
        <v>0</v>
      </c>
    </row>
    <row r="14" spans="1:26" s="4" customFormat="1" ht="13" outlineLevel="1" x14ac:dyDescent="0.15">
      <c r="B14" s="377"/>
      <c r="C14" s="378"/>
      <c r="D14" s="392"/>
      <c r="E14" s="399"/>
      <c r="F14" s="378"/>
      <c r="G14" s="372"/>
      <c r="H14" s="378"/>
      <c r="I14" s="380"/>
      <c r="L14" s="377"/>
      <c r="M14" s="1178"/>
      <c r="N14" s="379"/>
      <c r="P14" s="1188"/>
      <c r="Q14" s="382"/>
      <c r="R14" s="378"/>
      <c r="S14" s="379"/>
      <c r="U14" s="765"/>
      <c r="V14" s="766"/>
      <c r="W14" s="766"/>
      <c r="X14" s="766"/>
      <c r="Y14" s="767"/>
      <c r="Z14" s="769"/>
    </row>
    <row r="15" spans="1:26" s="4" customFormat="1" ht="13" outlineLevel="1" x14ac:dyDescent="0.15">
      <c r="B15" s="401" t="s">
        <v>2828</v>
      </c>
      <c r="C15" s="402"/>
      <c r="D15" s="403">
        <f>SUM(D13:D14)</f>
        <v>10000000</v>
      </c>
      <c r="E15" s="404">
        <f>SUM(E13:E14)</f>
        <v>2727272.7272727271</v>
      </c>
      <c r="F15" s="402"/>
      <c r="G15" s="405"/>
      <c r="H15" s="402"/>
      <c r="I15" s="406">
        <f>SUM(I13:I14)</f>
        <v>10000000</v>
      </c>
      <c r="L15" s="407"/>
      <c r="M15" s="1179"/>
      <c r="N15" s="406">
        <f>SQRT(SUMSQ(N13:N14))</f>
        <v>0</v>
      </c>
      <c r="P15" s="1189"/>
      <c r="Q15" s="409">
        <f>SUM(Q13:Q14)</f>
        <v>0</v>
      </c>
      <c r="R15" s="408"/>
      <c r="S15" s="406">
        <f>SUM(S13:S14)</f>
        <v>0</v>
      </c>
      <c r="U15" s="770">
        <f t="shared" ref="U15:Z15" si="0">SUM(U13:U14)</f>
        <v>10000000</v>
      </c>
      <c r="V15" s="771">
        <f t="shared" si="0"/>
        <v>0</v>
      </c>
      <c r="W15" s="771">
        <f t="shared" si="0"/>
        <v>0</v>
      </c>
      <c r="X15" s="771">
        <f t="shared" si="0"/>
        <v>0</v>
      </c>
      <c r="Y15" s="772">
        <f t="shared" si="0"/>
        <v>10000000</v>
      </c>
      <c r="Z15" s="773">
        <f t="shared" si="0"/>
        <v>0</v>
      </c>
    </row>
    <row r="16" spans="1:26" s="4" customFormat="1" ht="13" outlineLevel="1" x14ac:dyDescent="0.15">
      <c r="B16" s="16"/>
      <c r="C16" s="16"/>
      <c r="D16" s="16"/>
      <c r="E16" s="16"/>
      <c r="F16" s="16"/>
      <c r="G16" s="8"/>
      <c r="H16" s="5"/>
      <c r="M16" s="11"/>
      <c r="P16" s="11"/>
      <c r="U16" s="754"/>
      <c r="V16" s="754"/>
      <c r="W16" s="754"/>
      <c r="X16" s="754"/>
      <c r="Y16" s="754"/>
      <c r="Z16" s="754"/>
    </row>
    <row r="17" spans="2:26" s="4" customFormat="1" ht="13" x14ac:dyDescent="0.15">
      <c r="B17" s="16"/>
      <c r="C17" s="16"/>
      <c r="D17" s="16"/>
      <c r="E17" s="16"/>
      <c r="F17" s="16"/>
      <c r="G17" s="8"/>
      <c r="H17" s="5"/>
      <c r="M17" s="11"/>
      <c r="P17" s="11"/>
      <c r="U17" s="754"/>
      <c r="V17" s="754"/>
      <c r="W17" s="754"/>
      <c r="X17" s="754"/>
      <c r="Y17" s="754"/>
      <c r="Z17" s="754"/>
    </row>
    <row r="18" spans="2:26" s="4" customFormat="1" ht="16" x14ac:dyDescent="0.15">
      <c r="B18" s="1795" t="s">
        <v>2821</v>
      </c>
      <c r="C18" s="1795"/>
      <c r="D18" s="1795"/>
      <c r="E18" s="1795"/>
      <c r="F18" s="1795"/>
      <c r="G18" s="1795"/>
      <c r="H18" s="1795"/>
      <c r="I18" s="1795"/>
      <c r="J18" s="1795"/>
      <c r="K18" s="1795"/>
      <c r="L18" s="1795"/>
      <c r="M18" s="1795"/>
      <c r="N18" s="1795"/>
      <c r="O18" s="1795"/>
      <c r="P18" s="11"/>
      <c r="U18" s="754"/>
      <c r="V18" s="754"/>
      <c r="W18" s="754"/>
      <c r="X18" s="754"/>
      <c r="Y18" s="754"/>
      <c r="Z18" s="754"/>
    </row>
    <row r="19" spans="2:26" s="4" customFormat="1" ht="13" outlineLevel="1" x14ac:dyDescent="0.15">
      <c r="G19" s="8"/>
      <c r="M19" s="11"/>
      <c r="P19" s="11"/>
      <c r="U19" s="754"/>
      <c r="V19" s="754"/>
      <c r="W19" s="754"/>
      <c r="X19" s="754"/>
      <c r="Y19" s="754"/>
      <c r="Z19" s="754"/>
    </row>
    <row r="20" spans="2:26" s="4" customFormat="1" ht="13" outlineLevel="1" x14ac:dyDescent="0.15">
      <c r="B20" s="367" t="s">
        <v>2823</v>
      </c>
      <c r="C20" s="368"/>
      <c r="D20" s="350"/>
      <c r="E20" s="350"/>
      <c r="F20" s="369"/>
      <c r="G20" s="369"/>
      <c r="H20" s="369"/>
      <c r="I20" s="369"/>
      <c r="J20" s="370"/>
      <c r="K20" s="8"/>
      <c r="L20" s="1807" t="s">
        <v>723</v>
      </c>
      <c r="M20" s="1808"/>
      <c r="N20" s="1809"/>
      <c r="P20" s="1807" t="s">
        <v>2066</v>
      </c>
      <c r="Q20" s="1808"/>
      <c r="R20" s="1808"/>
      <c r="S20" s="1809"/>
      <c r="U20" s="1813" t="s">
        <v>2073</v>
      </c>
      <c r="V20" s="1814"/>
      <c r="W20" s="1814"/>
      <c r="X20" s="1814"/>
      <c r="Y20" s="1814"/>
      <c r="Z20" s="1815"/>
    </row>
    <row r="21" spans="2:26" s="4" customFormat="1" ht="13" outlineLevel="1" x14ac:dyDescent="0.15">
      <c r="B21" s="371"/>
      <c r="C21" s="372"/>
      <c r="D21" s="352"/>
      <c r="E21" s="352"/>
      <c r="F21" s="372"/>
      <c r="G21" s="372"/>
      <c r="H21" s="372" t="s">
        <v>2565</v>
      </c>
      <c r="I21" s="372"/>
      <c r="J21" s="373"/>
      <c r="K21" s="8"/>
      <c r="L21" s="371"/>
      <c r="M21" s="1177"/>
      <c r="N21" s="380"/>
      <c r="P21" s="1185"/>
      <c r="Q21" s="382"/>
      <c r="R21" s="382"/>
      <c r="S21" s="375"/>
      <c r="U21" s="755"/>
      <c r="V21" s="756"/>
      <c r="W21" s="756"/>
      <c r="X21" s="756"/>
      <c r="Y21" s="757"/>
      <c r="Z21" s="758"/>
    </row>
    <row r="22" spans="2:26" s="4" customFormat="1" ht="13" outlineLevel="1" x14ac:dyDescent="0.15">
      <c r="B22" s="371"/>
      <c r="C22" s="372"/>
      <c r="D22" s="351" t="s">
        <v>56</v>
      </c>
      <c r="E22" s="351" t="s">
        <v>56</v>
      </c>
      <c r="F22" s="205" t="s">
        <v>2562</v>
      </c>
      <c r="G22" s="374" t="s">
        <v>2570</v>
      </c>
      <c r="H22" s="372" t="s">
        <v>2566</v>
      </c>
      <c r="I22" s="372" t="s">
        <v>2533</v>
      </c>
      <c r="J22" s="375" t="s">
        <v>61</v>
      </c>
      <c r="L22" s="1621" t="s">
        <v>2557</v>
      </c>
      <c r="M22" s="1177" t="s">
        <v>2110</v>
      </c>
      <c r="N22" s="375" t="s">
        <v>61</v>
      </c>
      <c r="P22" s="1186" t="s">
        <v>2065</v>
      </c>
      <c r="Q22" s="382" t="s">
        <v>61</v>
      </c>
      <c r="R22" s="372" t="s">
        <v>2558</v>
      </c>
      <c r="S22" s="375" t="s">
        <v>61</v>
      </c>
      <c r="U22" s="1810" t="s">
        <v>61</v>
      </c>
      <c r="V22" s="1811"/>
      <c r="W22" s="1811"/>
      <c r="X22" s="1811"/>
      <c r="Y22" s="759" t="s">
        <v>61</v>
      </c>
      <c r="Z22" s="760"/>
    </row>
    <row r="23" spans="2:26" s="4" customFormat="1" ht="13" outlineLevel="1" x14ac:dyDescent="0.15">
      <c r="B23" s="371"/>
      <c r="C23" s="372"/>
      <c r="D23" s="351" t="s">
        <v>61</v>
      </c>
      <c r="E23" s="351" t="s">
        <v>63</v>
      </c>
      <c r="F23" s="208" t="s">
        <v>2054</v>
      </c>
      <c r="G23" s="376" t="s">
        <v>2775</v>
      </c>
      <c r="H23" s="372" t="s">
        <v>2567</v>
      </c>
      <c r="I23" s="372" t="s">
        <v>2568</v>
      </c>
      <c r="J23" s="375"/>
      <c r="L23" s="1621" t="s">
        <v>2109</v>
      </c>
      <c r="M23" s="1177"/>
      <c r="N23" s="375"/>
      <c r="P23" s="1186"/>
      <c r="Q23" s="382"/>
      <c r="R23" s="372"/>
      <c r="S23" s="380"/>
      <c r="U23" s="761" t="s">
        <v>14</v>
      </c>
      <c r="V23" s="762" t="s">
        <v>60</v>
      </c>
      <c r="W23" s="762" t="s">
        <v>27</v>
      </c>
      <c r="X23" s="762" t="s">
        <v>2074</v>
      </c>
      <c r="Y23" s="763" t="s">
        <v>41</v>
      </c>
      <c r="Z23" s="764" t="s">
        <v>85</v>
      </c>
    </row>
    <row r="24" spans="2:26" s="4" customFormat="1" ht="13" outlineLevel="1" x14ac:dyDescent="0.15">
      <c r="B24" s="377" t="s">
        <v>2564</v>
      </c>
      <c r="C24" s="378"/>
      <c r="D24" s="391">
        <f>J24</f>
        <v>0</v>
      </c>
      <c r="E24" s="398">
        <f>D24*12/44</f>
        <v>0</v>
      </c>
      <c r="F24" s="1210"/>
      <c r="G24" s="181"/>
      <c r="H24" s="395">
        <f>'Emissions factors'!$C$1004</f>
        <v>2.0900000000000002E-2</v>
      </c>
      <c r="I24" s="394">
        <f>'Emissions factors'!$C$12</f>
        <v>265</v>
      </c>
      <c r="J24" s="379">
        <f>G24*H24*I24*1000</f>
        <v>0</v>
      </c>
      <c r="L24" s="397">
        <v>0.7</v>
      </c>
      <c r="M24" s="1161"/>
      <c r="N24" s="379">
        <f>J24*SQRT(L24^2+M24^2)</f>
        <v>0</v>
      </c>
      <c r="P24" s="1187"/>
      <c r="Q24" s="383">
        <f>J24*P24</f>
        <v>0</v>
      </c>
      <c r="R24" s="1187"/>
      <c r="S24" s="379">
        <f>J24*R24</f>
        <v>0</v>
      </c>
      <c r="U24" s="765">
        <v>0</v>
      </c>
      <c r="V24" s="766">
        <v>0</v>
      </c>
      <c r="W24" s="766">
        <f>J24</f>
        <v>0</v>
      </c>
      <c r="X24" s="766">
        <v>0</v>
      </c>
      <c r="Y24" s="767">
        <f>J24</f>
        <v>0</v>
      </c>
      <c r="Z24" s="768">
        <v>0</v>
      </c>
    </row>
    <row r="25" spans="2:26" s="4" customFormat="1" ht="13" outlineLevel="1" x14ac:dyDescent="0.15">
      <c r="B25" s="377"/>
      <c r="C25" s="378"/>
      <c r="D25" s="392"/>
      <c r="E25" s="399"/>
      <c r="F25" s="378"/>
      <c r="G25" s="372"/>
      <c r="H25" s="378"/>
      <c r="I25" s="378"/>
      <c r="J25" s="380"/>
      <c r="L25" s="377"/>
      <c r="M25" s="1178"/>
      <c r="N25" s="379"/>
      <c r="P25" s="1188"/>
      <c r="Q25" s="382"/>
      <c r="R25" s="378"/>
      <c r="S25" s="379"/>
      <c r="U25" s="765"/>
      <c r="V25" s="766"/>
      <c r="W25" s="766"/>
      <c r="X25" s="766"/>
      <c r="Y25" s="767"/>
      <c r="Z25" s="769"/>
    </row>
    <row r="26" spans="2:26" s="4" customFormat="1" ht="13" outlineLevel="1" x14ac:dyDescent="0.15">
      <c r="B26" s="401" t="s">
        <v>2828</v>
      </c>
      <c r="C26" s="402"/>
      <c r="D26" s="403">
        <f>SUM(D24:D25)</f>
        <v>0</v>
      </c>
      <c r="E26" s="404">
        <f>SUM(E24:E25)</f>
        <v>0</v>
      </c>
      <c r="F26" s="402"/>
      <c r="G26" s="405"/>
      <c r="H26" s="402"/>
      <c r="I26" s="402"/>
      <c r="J26" s="406">
        <f>SUM(J24:J25)</f>
        <v>0</v>
      </c>
      <c r="L26" s="407"/>
      <c r="M26" s="1179"/>
      <c r="N26" s="406">
        <f>SQRT(SUMSQ(N24:N25))</f>
        <v>0</v>
      </c>
      <c r="P26" s="1189"/>
      <c r="Q26" s="409">
        <f>SUM(Q24:Q25)</f>
        <v>0</v>
      </c>
      <c r="R26" s="408"/>
      <c r="S26" s="406">
        <f>SUM(S24:S25)</f>
        <v>0</v>
      </c>
      <c r="U26" s="770">
        <f t="shared" ref="U26:Z26" si="1">SUM(U24:U25)</f>
        <v>0</v>
      </c>
      <c r="V26" s="771">
        <f t="shared" si="1"/>
        <v>0</v>
      </c>
      <c r="W26" s="771">
        <f t="shared" si="1"/>
        <v>0</v>
      </c>
      <c r="X26" s="771">
        <f t="shared" si="1"/>
        <v>0</v>
      </c>
      <c r="Y26" s="772">
        <f t="shared" si="1"/>
        <v>0</v>
      </c>
      <c r="Z26" s="773">
        <f t="shared" si="1"/>
        <v>0</v>
      </c>
    </row>
    <row r="27" spans="2:26" s="4" customFormat="1" ht="13" outlineLevel="1" x14ac:dyDescent="0.15">
      <c r="G27" s="8"/>
      <c r="M27" s="11"/>
      <c r="O27" s="13"/>
      <c r="P27" s="1190"/>
      <c r="Q27" s="13"/>
      <c r="R27" s="31"/>
      <c r="U27" s="754"/>
      <c r="V27" s="754"/>
      <c r="W27" s="754"/>
      <c r="X27" s="754"/>
      <c r="Y27" s="754"/>
      <c r="Z27" s="754"/>
    </row>
    <row r="28" spans="2:26" s="4" customFormat="1" ht="13" outlineLevel="1" x14ac:dyDescent="0.15">
      <c r="B28" s="367" t="s">
        <v>2824</v>
      </c>
      <c r="C28" s="368"/>
      <c r="D28" s="350"/>
      <c r="E28" s="350"/>
      <c r="F28" s="369"/>
      <c r="G28" s="369"/>
      <c r="H28" s="368"/>
      <c r="I28" s="370"/>
      <c r="L28" s="1807" t="s">
        <v>723</v>
      </c>
      <c r="M28" s="1808"/>
      <c r="N28" s="1809"/>
      <c r="P28" s="1807" t="s">
        <v>2066</v>
      </c>
      <c r="Q28" s="1808"/>
      <c r="R28" s="1808"/>
      <c r="S28" s="1809"/>
      <c r="U28" s="1813" t="s">
        <v>2073</v>
      </c>
      <c r="V28" s="1814"/>
      <c r="W28" s="1814"/>
      <c r="X28" s="1814"/>
      <c r="Y28" s="1814"/>
      <c r="Z28" s="1815"/>
    </row>
    <row r="29" spans="2:26" s="4" customFormat="1" ht="13" outlineLevel="1" x14ac:dyDescent="0.15">
      <c r="B29" s="371"/>
      <c r="C29" s="372"/>
      <c r="D29" s="352"/>
      <c r="E29" s="352"/>
      <c r="F29" s="372"/>
      <c r="G29" s="372"/>
      <c r="H29" s="372"/>
      <c r="I29" s="373"/>
      <c r="J29" s="9"/>
      <c r="L29" s="371"/>
      <c r="M29" s="1177"/>
      <c r="N29" s="380"/>
      <c r="P29" s="1185"/>
      <c r="Q29" s="382"/>
      <c r="R29" s="382"/>
      <c r="S29" s="375"/>
      <c r="U29" s="755"/>
      <c r="V29" s="756"/>
      <c r="W29" s="756"/>
      <c r="X29" s="756"/>
      <c r="Y29" s="757"/>
      <c r="Z29" s="758"/>
    </row>
    <row r="30" spans="2:26" s="4" customFormat="1" ht="13" outlineLevel="1" x14ac:dyDescent="0.15">
      <c r="B30" s="371"/>
      <c r="C30" s="372"/>
      <c r="D30" s="351" t="s">
        <v>56</v>
      </c>
      <c r="E30" s="351" t="s">
        <v>56</v>
      </c>
      <c r="F30" s="205" t="s">
        <v>2562</v>
      </c>
      <c r="G30" s="374" t="s">
        <v>1426</v>
      </c>
      <c r="H30" s="372" t="s">
        <v>61</v>
      </c>
      <c r="I30" s="375" t="s">
        <v>61</v>
      </c>
      <c r="J30" s="9"/>
      <c r="L30" s="1621" t="s">
        <v>2557</v>
      </c>
      <c r="M30" s="1177" t="s">
        <v>2110</v>
      </c>
      <c r="N30" s="375" t="s">
        <v>61</v>
      </c>
      <c r="P30" s="1186" t="s">
        <v>2065</v>
      </c>
      <c r="Q30" s="382" t="s">
        <v>61</v>
      </c>
      <c r="R30" s="372" t="s">
        <v>2558</v>
      </c>
      <c r="S30" s="375" t="s">
        <v>61</v>
      </c>
      <c r="U30" s="1810" t="s">
        <v>61</v>
      </c>
      <c r="V30" s="1811"/>
      <c r="W30" s="1811"/>
      <c r="X30" s="1811"/>
      <c r="Y30" s="759" t="s">
        <v>61</v>
      </c>
      <c r="Z30" s="760"/>
    </row>
    <row r="31" spans="2:26" s="4" customFormat="1" ht="13" outlineLevel="1" x14ac:dyDescent="0.15">
      <c r="B31" s="371"/>
      <c r="C31" s="372"/>
      <c r="D31" s="351" t="s">
        <v>61</v>
      </c>
      <c r="E31" s="351" t="s">
        <v>63</v>
      </c>
      <c r="F31" s="208" t="s">
        <v>2054</v>
      </c>
      <c r="G31" s="376" t="s">
        <v>2569</v>
      </c>
      <c r="H31" s="372" t="s">
        <v>2573</v>
      </c>
      <c r="I31" s="375"/>
      <c r="L31" s="1621" t="s">
        <v>2109</v>
      </c>
      <c r="M31" s="1177"/>
      <c r="N31" s="375"/>
      <c r="P31" s="1186"/>
      <c r="Q31" s="382"/>
      <c r="R31" s="372"/>
      <c r="S31" s="380"/>
      <c r="U31" s="761" t="s">
        <v>14</v>
      </c>
      <c r="V31" s="762" t="s">
        <v>60</v>
      </c>
      <c r="W31" s="762" t="s">
        <v>27</v>
      </c>
      <c r="X31" s="762" t="s">
        <v>2074</v>
      </c>
      <c r="Y31" s="763" t="s">
        <v>41</v>
      </c>
      <c r="Z31" s="764" t="s">
        <v>85</v>
      </c>
    </row>
    <row r="32" spans="2:26" s="4" customFormat="1" ht="13" outlineLevel="1" x14ac:dyDescent="0.15">
      <c r="B32" s="377" t="s">
        <v>3171</v>
      </c>
      <c r="C32" s="378"/>
      <c r="D32" s="391">
        <f t="shared" ref="D32:D37" si="2">I32</f>
        <v>0</v>
      </c>
      <c r="E32" s="398">
        <f t="shared" ref="E32:E37" si="3">D32*12/44</f>
        <v>0</v>
      </c>
      <c r="F32" s="182"/>
      <c r="G32" s="182"/>
      <c r="H32" s="396">
        <f>VLOOKUP($B32,'Emissions factors'!$B$1059:$H$1102,5,FALSE)</f>
        <v>0</v>
      </c>
      <c r="I32" s="379">
        <f t="shared" ref="I32:I37" si="4">H32*G32</f>
        <v>0</v>
      </c>
      <c r="L32" s="397">
        <f>VLOOKUP($B32,'Emissions factors'!$B$1059:$H$1102,7,FALSE)</f>
        <v>0</v>
      </c>
      <c r="M32" s="436"/>
      <c r="N32" s="379">
        <f t="shared" ref="N32:N37" si="5">I32*SQRT(L32^2+M32^2)</f>
        <v>0</v>
      </c>
      <c r="P32" s="436"/>
      <c r="Q32" s="383">
        <f t="shared" ref="Q32:Q37" si="6">I32*P32</f>
        <v>0</v>
      </c>
      <c r="R32" s="436"/>
      <c r="S32" s="379">
        <f t="shared" ref="S32:S37" si="7">I32*R32</f>
        <v>0</v>
      </c>
      <c r="U32" s="765">
        <v>0</v>
      </c>
      <c r="V32" s="766">
        <v>0</v>
      </c>
      <c r="W32" s="766">
        <f>G32*VLOOKUP($B32,'Emissions factors'!$B$1059:$L$1102,4,FALSE)</f>
        <v>0</v>
      </c>
      <c r="X32" s="766">
        <v>0</v>
      </c>
      <c r="Y32" s="767">
        <f t="shared" ref="Y32:Y37" si="8">I32</f>
        <v>0</v>
      </c>
      <c r="Z32" s="768">
        <v>0</v>
      </c>
    </row>
    <row r="33" spans="2:26" s="4" customFormat="1" ht="13" outlineLevel="1" x14ac:dyDescent="0.15">
      <c r="B33" s="377" t="s">
        <v>3180</v>
      </c>
      <c r="C33" s="378"/>
      <c r="D33" s="391">
        <f t="shared" si="2"/>
        <v>0</v>
      </c>
      <c r="E33" s="398">
        <f t="shared" si="3"/>
        <v>0</v>
      </c>
      <c r="F33" s="185"/>
      <c r="G33" s="185"/>
      <c r="H33" s="396">
        <f>VLOOKUP($B33,'Emissions factors'!$B$1059:$H$1102,5,FALSE)</f>
        <v>153.69999999999999</v>
      </c>
      <c r="I33" s="379">
        <f t="shared" si="4"/>
        <v>0</v>
      </c>
      <c r="L33" s="397">
        <f>VLOOKUP($B33,'Emissions factors'!$B$1059:$H$1102,7,FALSE)</f>
        <v>0</v>
      </c>
      <c r="M33" s="437"/>
      <c r="N33" s="379">
        <f t="shared" si="5"/>
        <v>0</v>
      </c>
      <c r="P33" s="437"/>
      <c r="Q33" s="383">
        <f t="shared" si="6"/>
        <v>0</v>
      </c>
      <c r="R33" s="437"/>
      <c r="S33" s="379">
        <f t="shared" si="7"/>
        <v>0</v>
      </c>
      <c r="U33" s="765">
        <v>0</v>
      </c>
      <c r="V33" s="766">
        <v>0</v>
      </c>
      <c r="W33" s="766">
        <f>G33*VLOOKUP($B33,'Emissions factors'!$B$1059:$L$1102,4,FALSE)</f>
        <v>0</v>
      </c>
      <c r="X33" s="766">
        <v>0</v>
      </c>
      <c r="Y33" s="767">
        <f t="shared" si="8"/>
        <v>0</v>
      </c>
      <c r="Z33" s="768">
        <v>0</v>
      </c>
    </row>
    <row r="34" spans="2:26" s="4" customFormat="1" ht="13" outlineLevel="1" x14ac:dyDescent="0.15">
      <c r="B34" s="377" t="s">
        <v>1171</v>
      </c>
      <c r="C34" s="378"/>
      <c r="D34" s="391">
        <f t="shared" si="2"/>
        <v>0</v>
      </c>
      <c r="E34" s="398">
        <f t="shared" si="3"/>
        <v>0</v>
      </c>
      <c r="F34" s="185"/>
      <c r="G34" s="185"/>
      <c r="H34" s="396">
        <f>VLOOKUP($B34,'Emissions factors'!$B$1059:$H$1102,5,FALSE)</f>
        <v>166.155</v>
      </c>
      <c r="I34" s="379">
        <f t="shared" si="4"/>
        <v>0</v>
      </c>
      <c r="L34" s="397">
        <f>VLOOKUP($B34,'Emissions factors'!$B$1059:$H$1102,7,FALSE)</f>
        <v>0.5</v>
      </c>
      <c r="M34" s="437"/>
      <c r="N34" s="379">
        <f t="shared" si="5"/>
        <v>0</v>
      </c>
      <c r="P34" s="437"/>
      <c r="Q34" s="383">
        <f t="shared" si="6"/>
        <v>0</v>
      </c>
      <c r="R34" s="437"/>
      <c r="S34" s="379">
        <f t="shared" si="7"/>
        <v>0</v>
      </c>
      <c r="U34" s="765">
        <v>0</v>
      </c>
      <c r="V34" s="766">
        <v>0</v>
      </c>
      <c r="W34" s="766">
        <f>G34*VLOOKUP($B34,'Emissions factors'!$B$1059:$L$1102,4,FALSE)</f>
        <v>0</v>
      </c>
      <c r="X34" s="766">
        <v>0</v>
      </c>
      <c r="Y34" s="767">
        <f t="shared" si="8"/>
        <v>0</v>
      </c>
      <c r="Z34" s="768">
        <v>0</v>
      </c>
    </row>
    <row r="35" spans="2:26" s="4" customFormat="1" ht="13" outlineLevel="1" x14ac:dyDescent="0.15">
      <c r="B35" s="377" t="s">
        <v>1173</v>
      </c>
      <c r="C35" s="378"/>
      <c r="D35" s="391">
        <f t="shared" si="2"/>
        <v>0</v>
      </c>
      <c r="E35" s="398">
        <f t="shared" si="3"/>
        <v>0</v>
      </c>
      <c r="F35" s="185"/>
      <c r="G35" s="185"/>
      <c r="H35" s="396">
        <f>VLOOKUP($B35,'Emissions factors'!$B$1059:$H$1102,5,FALSE)</f>
        <v>16.164999999999999</v>
      </c>
      <c r="I35" s="379">
        <f t="shared" si="4"/>
        <v>0</v>
      </c>
      <c r="L35" s="397">
        <f>VLOOKUP($B35,'Emissions factors'!$B$1059:$H$1102,7,FALSE)</f>
        <v>0.5</v>
      </c>
      <c r="M35" s="437"/>
      <c r="N35" s="379">
        <f t="shared" si="5"/>
        <v>0</v>
      </c>
      <c r="P35" s="437"/>
      <c r="Q35" s="383">
        <f t="shared" si="6"/>
        <v>0</v>
      </c>
      <c r="R35" s="437"/>
      <c r="S35" s="379">
        <f t="shared" si="7"/>
        <v>0</v>
      </c>
      <c r="U35" s="765">
        <v>0</v>
      </c>
      <c r="V35" s="766">
        <v>0</v>
      </c>
      <c r="W35" s="766">
        <f>G35*VLOOKUP($B35,'Emissions factors'!$B$1059:$L$1102,4,FALSE)</f>
        <v>0</v>
      </c>
      <c r="X35" s="766">
        <v>0</v>
      </c>
      <c r="Y35" s="767">
        <f t="shared" si="8"/>
        <v>0</v>
      </c>
      <c r="Z35" s="768">
        <v>0</v>
      </c>
    </row>
    <row r="36" spans="2:26" s="4" customFormat="1" ht="13" outlineLevel="1" x14ac:dyDescent="0.15">
      <c r="B36" s="377" t="s">
        <v>1178</v>
      </c>
      <c r="C36" s="378"/>
      <c r="D36" s="391">
        <f t="shared" si="2"/>
        <v>0</v>
      </c>
      <c r="E36" s="398">
        <f t="shared" si="3"/>
        <v>0</v>
      </c>
      <c r="F36" s="185"/>
      <c r="G36" s="185"/>
      <c r="H36" s="396">
        <f>VLOOKUP($B36,'Emissions factors'!$B$1059:$H$1102,5,FALSE)</f>
        <v>0</v>
      </c>
      <c r="I36" s="379">
        <f t="shared" si="4"/>
        <v>0</v>
      </c>
      <c r="L36" s="397">
        <f>VLOOKUP($B36,'Emissions factors'!$B$1059:$H$1102,7,FALSE)</f>
        <v>0.5</v>
      </c>
      <c r="M36" s="437"/>
      <c r="N36" s="379">
        <f t="shared" si="5"/>
        <v>0</v>
      </c>
      <c r="P36" s="437"/>
      <c r="Q36" s="383">
        <f t="shared" si="6"/>
        <v>0</v>
      </c>
      <c r="R36" s="437"/>
      <c r="S36" s="379">
        <f t="shared" si="7"/>
        <v>0</v>
      </c>
      <c r="U36" s="765">
        <v>0</v>
      </c>
      <c r="V36" s="766">
        <v>0</v>
      </c>
      <c r="W36" s="766">
        <f>G36*VLOOKUP($B36,'Emissions factors'!$B$1059:$L$1102,4,FALSE)</f>
        <v>0</v>
      </c>
      <c r="X36" s="766">
        <v>0</v>
      </c>
      <c r="Y36" s="767">
        <f t="shared" si="8"/>
        <v>0</v>
      </c>
      <c r="Z36" s="768">
        <v>0</v>
      </c>
    </row>
    <row r="37" spans="2:26" s="4" customFormat="1" ht="13" outlineLevel="1" x14ac:dyDescent="0.15">
      <c r="B37" s="377" t="s">
        <v>1184</v>
      </c>
      <c r="C37" s="378"/>
      <c r="D37" s="391">
        <f t="shared" si="2"/>
        <v>0</v>
      </c>
      <c r="E37" s="398">
        <f t="shared" si="3"/>
        <v>0</v>
      </c>
      <c r="F37" s="188"/>
      <c r="G37" s="188"/>
      <c r="H37" s="396">
        <f>VLOOKUP($B37,'Emissions factors'!$B$1059:$H$1102,5,FALSE)</f>
        <v>20.14</v>
      </c>
      <c r="I37" s="379">
        <f t="shared" si="4"/>
        <v>0</v>
      </c>
      <c r="L37" s="397">
        <f>VLOOKUP($B37,'Emissions factors'!$B$1059:$H$1102,7,FALSE)</f>
        <v>0.5</v>
      </c>
      <c r="M37" s="438"/>
      <c r="N37" s="379">
        <f t="shared" si="5"/>
        <v>0</v>
      </c>
      <c r="P37" s="438"/>
      <c r="Q37" s="383">
        <f t="shared" si="6"/>
        <v>0</v>
      </c>
      <c r="R37" s="438"/>
      <c r="S37" s="379">
        <f t="shared" si="7"/>
        <v>0</v>
      </c>
      <c r="U37" s="765">
        <v>0</v>
      </c>
      <c r="V37" s="766">
        <v>0</v>
      </c>
      <c r="W37" s="766">
        <f>G37*VLOOKUP($B37,'Emissions factors'!$B$1059:$L$1102,4,FALSE)</f>
        <v>0</v>
      </c>
      <c r="X37" s="766">
        <v>0</v>
      </c>
      <c r="Y37" s="767">
        <f t="shared" si="8"/>
        <v>0</v>
      </c>
      <c r="Z37" s="768">
        <v>0</v>
      </c>
    </row>
    <row r="38" spans="2:26" s="4" customFormat="1" ht="13" outlineLevel="1" x14ac:dyDescent="0.15">
      <c r="B38" s="384"/>
      <c r="C38" s="378"/>
      <c r="D38" s="393"/>
      <c r="E38" s="400"/>
      <c r="F38" s="385"/>
      <c r="G38" s="386"/>
      <c r="H38" s="385"/>
      <c r="I38" s="387"/>
      <c r="L38" s="377"/>
      <c r="M38" s="1178"/>
      <c r="N38" s="379"/>
      <c r="P38" s="1188"/>
      <c r="Q38" s="382"/>
      <c r="R38" s="378"/>
      <c r="S38" s="379"/>
      <c r="U38" s="765"/>
      <c r="V38" s="766"/>
      <c r="W38" s="766"/>
      <c r="X38" s="766"/>
      <c r="Y38" s="767"/>
      <c r="Z38" s="769"/>
    </row>
    <row r="39" spans="2:26" s="4" customFormat="1" ht="13" outlineLevel="1" x14ac:dyDescent="0.15">
      <c r="B39" s="401" t="s">
        <v>2828</v>
      </c>
      <c r="C39" s="402"/>
      <c r="D39" s="403">
        <f>SUM(D32:D38)</f>
        <v>0</v>
      </c>
      <c r="E39" s="404">
        <f>SUM(E32:E38)</f>
        <v>0</v>
      </c>
      <c r="F39" s="402"/>
      <c r="G39" s="405"/>
      <c r="H39" s="402"/>
      <c r="I39" s="406">
        <f>SUM(I32:I38)</f>
        <v>0</v>
      </c>
      <c r="L39" s="407"/>
      <c r="M39" s="1179"/>
      <c r="N39" s="406">
        <f>SQRT(SUMSQ(N32:N38))</f>
        <v>0</v>
      </c>
      <c r="P39" s="1189"/>
      <c r="Q39" s="409">
        <f>SUM(Q32:Q38)</f>
        <v>0</v>
      </c>
      <c r="R39" s="408"/>
      <c r="S39" s="406">
        <f>SUM(S32:S38)</f>
        <v>0</v>
      </c>
      <c r="U39" s="770">
        <f t="shared" ref="U39:Z39" si="9">SUM(U32:U38)</f>
        <v>0</v>
      </c>
      <c r="V39" s="771">
        <f t="shared" si="9"/>
        <v>0</v>
      </c>
      <c r="W39" s="771">
        <f t="shared" si="9"/>
        <v>0</v>
      </c>
      <c r="X39" s="771">
        <f t="shared" si="9"/>
        <v>0</v>
      </c>
      <c r="Y39" s="772">
        <f t="shared" si="9"/>
        <v>0</v>
      </c>
      <c r="Z39" s="773">
        <f t="shared" si="9"/>
        <v>0</v>
      </c>
    </row>
    <row r="40" spans="2:26" s="4" customFormat="1" ht="13" outlineLevel="1" x14ac:dyDescent="0.15">
      <c r="B40" s="5"/>
      <c r="C40" s="5"/>
      <c r="D40" s="5"/>
      <c r="E40" s="5"/>
      <c r="F40" s="5"/>
      <c r="G40" s="30"/>
      <c r="H40" s="5"/>
      <c r="M40" s="11"/>
      <c r="P40" s="11"/>
      <c r="U40" s="754"/>
      <c r="V40" s="754"/>
      <c r="W40" s="754"/>
      <c r="X40" s="754"/>
      <c r="Y40" s="754"/>
      <c r="Z40" s="754"/>
    </row>
    <row r="41" spans="2:26" s="4" customFormat="1" ht="13" outlineLevel="1" x14ac:dyDescent="0.15">
      <c r="B41" s="367" t="s">
        <v>2825</v>
      </c>
      <c r="C41" s="368"/>
      <c r="D41" s="350"/>
      <c r="E41" s="350"/>
      <c r="F41" s="369"/>
      <c r="G41" s="369"/>
      <c r="H41" s="369"/>
      <c r="I41" s="370"/>
      <c r="J41" s="8"/>
      <c r="K41" s="8"/>
      <c r="L41" s="1807" t="s">
        <v>723</v>
      </c>
      <c r="M41" s="1808"/>
      <c r="N41" s="1809"/>
      <c r="P41" s="1807" t="s">
        <v>2066</v>
      </c>
      <c r="Q41" s="1808"/>
      <c r="R41" s="1808"/>
      <c r="S41" s="1809"/>
      <c r="U41" s="1813" t="s">
        <v>2073</v>
      </c>
      <c r="V41" s="1814"/>
      <c r="W41" s="1814"/>
      <c r="X41" s="1814"/>
      <c r="Y41" s="1814"/>
      <c r="Z41" s="1815"/>
    </row>
    <row r="42" spans="2:26" s="4" customFormat="1" ht="13" outlineLevel="1" x14ac:dyDescent="0.15">
      <c r="B42" s="371"/>
      <c r="C42" s="372"/>
      <c r="D42" s="352"/>
      <c r="E42" s="352"/>
      <c r="F42" s="372"/>
      <c r="G42" s="372"/>
      <c r="H42" s="372"/>
      <c r="I42" s="373"/>
      <c r="J42" s="8"/>
      <c r="K42" s="8"/>
      <c r="L42" s="371"/>
      <c r="M42" s="1177"/>
      <c r="N42" s="380"/>
      <c r="P42" s="1185"/>
      <c r="Q42" s="382"/>
      <c r="R42" s="382"/>
      <c r="S42" s="375"/>
      <c r="U42" s="755"/>
      <c r="V42" s="756"/>
      <c r="W42" s="756"/>
      <c r="X42" s="756"/>
      <c r="Y42" s="757"/>
      <c r="Z42" s="758"/>
    </row>
    <row r="43" spans="2:26" s="4" customFormat="1" ht="13" outlineLevel="1" x14ac:dyDescent="0.15">
      <c r="B43" s="371"/>
      <c r="C43" s="372"/>
      <c r="D43" s="351" t="s">
        <v>56</v>
      </c>
      <c r="E43" s="351" t="s">
        <v>56</v>
      </c>
      <c r="F43" s="205" t="s">
        <v>2562</v>
      </c>
      <c r="G43" s="374" t="s">
        <v>2570</v>
      </c>
      <c r="H43" s="372" t="s">
        <v>2533</v>
      </c>
      <c r="I43" s="375" t="s">
        <v>61</v>
      </c>
      <c r="J43" s="8"/>
      <c r="K43" s="8"/>
      <c r="L43" s="1621" t="s">
        <v>2557</v>
      </c>
      <c r="M43" s="1177" t="s">
        <v>2110</v>
      </c>
      <c r="N43" s="375" t="s">
        <v>61</v>
      </c>
      <c r="P43" s="1186" t="s">
        <v>2065</v>
      </c>
      <c r="Q43" s="382" t="s">
        <v>61</v>
      </c>
      <c r="R43" s="372" t="s">
        <v>2558</v>
      </c>
      <c r="S43" s="375" t="s">
        <v>61</v>
      </c>
      <c r="U43" s="1810" t="s">
        <v>61</v>
      </c>
      <c r="V43" s="1811"/>
      <c r="W43" s="1811"/>
      <c r="X43" s="1811"/>
      <c r="Y43" s="759" t="s">
        <v>61</v>
      </c>
      <c r="Z43" s="760"/>
    </row>
    <row r="44" spans="2:26" s="4" customFormat="1" ht="13" outlineLevel="1" x14ac:dyDescent="0.15">
      <c r="B44" s="371"/>
      <c r="C44" s="372"/>
      <c r="D44" s="351" t="s">
        <v>61</v>
      </c>
      <c r="E44" s="351" t="s">
        <v>63</v>
      </c>
      <c r="F44" s="208" t="s">
        <v>2054</v>
      </c>
      <c r="G44" s="376" t="s">
        <v>2571</v>
      </c>
      <c r="H44" s="372" t="s">
        <v>2572</v>
      </c>
      <c r="I44" s="375"/>
      <c r="K44" s="8"/>
      <c r="L44" s="1621" t="s">
        <v>2109</v>
      </c>
      <c r="M44" s="1177"/>
      <c r="N44" s="375"/>
      <c r="P44" s="1186"/>
      <c r="Q44" s="382"/>
      <c r="R44" s="372"/>
      <c r="S44" s="380"/>
      <c r="U44" s="761" t="s">
        <v>14</v>
      </c>
      <c r="V44" s="762" t="s">
        <v>60</v>
      </c>
      <c r="W44" s="762" t="s">
        <v>27</v>
      </c>
      <c r="X44" s="762" t="s">
        <v>2074</v>
      </c>
      <c r="Y44" s="763" t="s">
        <v>41</v>
      </c>
      <c r="Z44" s="764" t="s">
        <v>85</v>
      </c>
    </row>
    <row r="45" spans="2:26" s="4" customFormat="1" ht="13" outlineLevel="1" x14ac:dyDescent="0.15">
      <c r="B45" s="377" t="s">
        <v>2564</v>
      </c>
      <c r="C45" s="378"/>
      <c r="D45" s="391">
        <f>I45</f>
        <v>265000000</v>
      </c>
      <c r="E45" s="398">
        <f>D45*12/44</f>
        <v>72272727.272727266</v>
      </c>
      <c r="F45" s="1210" t="s">
        <v>2429</v>
      </c>
      <c r="G45" s="181">
        <v>1000</v>
      </c>
      <c r="H45" s="394">
        <f>'Emissions factors'!$C$12</f>
        <v>265</v>
      </c>
      <c r="I45" s="379">
        <f>G45*H45*1000</f>
        <v>265000000</v>
      </c>
      <c r="L45" s="397">
        <f>'Emissions factors'!D12</f>
        <v>0.3</v>
      </c>
      <c r="M45" s="1161"/>
      <c r="N45" s="379">
        <f>I45*SQRT(L45^2+M45^2)</f>
        <v>79500000</v>
      </c>
      <c r="P45" s="1187"/>
      <c r="Q45" s="383">
        <f>I45*P45</f>
        <v>0</v>
      </c>
      <c r="R45" s="180"/>
      <c r="S45" s="379">
        <f>I45*R45</f>
        <v>0</v>
      </c>
      <c r="U45" s="765">
        <v>0</v>
      </c>
      <c r="V45" s="766">
        <v>0</v>
      </c>
      <c r="W45" s="766">
        <f>I45</f>
        <v>265000000</v>
      </c>
      <c r="X45" s="766">
        <v>0</v>
      </c>
      <c r="Y45" s="767">
        <f>I45</f>
        <v>265000000</v>
      </c>
      <c r="Z45" s="768">
        <v>0</v>
      </c>
    </row>
    <row r="46" spans="2:26" s="4" customFormat="1" ht="13" outlineLevel="1" x14ac:dyDescent="0.15">
      <c r="B46" s="377"/>
      <c r="C46" s="378"/>
      <c r="D46" s="392"/>
      <c r="E46" s="399"/>
      <c r="F46" s="378"/>
      <c r="G46" s="372"/>
      <c r="H46" s="378"/>
      <c r="I46" s="380"/>
      <c r="L46" s="377"/>
      <c r="M46" s="1178"/>
      <c r="N46" s="379"/>
      <c r="P46" s="1188"/>
      <c r="Q46" s="382"/>
      <c r="R46" s="378"/>
      <c r="S46" s="379"/>
      <c r="U46" s="765"/>
      <c r="V46" s="766"/>
      <c r="W46" s="766"/>
      <c r="X46" s="766"/>
      <c r="Y46" s="767"/>
      <c r="Z46" s="769"/>
    </row>
    <row r="47" spans="2:26" s="4" customFormat="1" ht="13" outlineLevel="1" x14ac:dyDescent="0.15">
      <c r="B47" s="401" t="s">
        <v>2828</v>
      </c>
      <c r="C47" s="402"/>
      <c r="D47" s="403">
        <f>SUM(D45:D46)</f>
        <v>265000000</v>
      </c>
      <c r="E47" s="404">
        <f>SUM(E45:E46)</f>
        <v>72272727.272727266</v>
      </c>
      <c r="F47" s="402"/>
      <c r="G47" s="405"/>
      <c r="H47" s="402"/>
      <c r="I47" s="406">
        <f>SUM(I45:I46)</f>
        <v>265000000</v>
      </c>
      <c r="L47" s="407"/>
      <c r="M47" s="1179"/>
      <c r="N47" s="406">
        <f>SQRT(SUMSQ(N45:N46))</f>
        <v>79500000</v>
      </c>
      <c r="P47" s="1189"/>
      <c r="Q47" s="409">
        <f>SUM(Q45:Q46)</f>
        <v>0</v>
      </c>
      <c r="R47" s="408"/>
      <c r="S47" s="406">
        <f>SUM(S45:S46)</f>
        <v>0</v>
      </c>
      <c r="U47" s="770">
        <f t="shared" ref="U47:Z47" si="10">SUM(U45:U46)</f>
        <v>0</v>
      </c>
      <c r="V47" s="771">
        <f t="shared" si="10"/>
        <v>0</v>
      </c>
      <c r="W47" s="771">
        <f t="shared" si="10"/>
        <v>265000000</v>
      </c>
      <c r="X47" s="771">
        <f t="shared" si="10"/>
        <v>0</v>
      </c>
      <c r="Y47" s="772">
        <f t="shared" si="10"/>
        <v>265000000</v>
      </c>
      <c r="Z47" s="773">
        <f t="shared" si="10"/>
        <v>0</v>
      </c>
    </row>
    <row r="48" spans="2:26" s="4" customFormat="1" ht="13" outlineLevel="1" x14ac:dyDescent="0.15">
      <c r="B48" s="5"/>
      <c r="C48" s="5"/>
      <c r="D48" s="5"/>
      <c r="E48" s="5"/>
      <c r="F48" s="5"/>
      <c r="G48" s="30"/>
      <c r="H48" s="5"/>
      <c r="M48" s="11"/>
      <c r="P48" s="11"/>
      <c r="U48" s="754"/>
      <c r="V48" s="754"/>
      <c r="W48" s="754"/>
      <c r="X48" s="754"/>
      <c r="Y48" s="754"/>
      <c r="Z48" s="754"/>
    </row>
    <row r="49" spans="2:26" s="4" customFormat="1" ht="13" x14ac:dyDescent="0.15">
      <c r="B49" s="5"/>
      <c r="C49" s="5"/>
      <c r="D49" s="5"/>
      <c r="E49" s="5"/>
      <c r="F49" s="5"/>
      <c r="G49" s="30"/>
      <c r="H49" s="5"/>
      <c r="M49" s="11"/>
      <c r="P49" s="11"/>
      <c r="U49" s="754"/>
      <c r="V49" s="754"/>
      <c r="W49" s="754"/>
      <c r="X49" s="754"/>
      <c r="Y49" s="754"/>
      <c r="Z49" s="754"/>
    </row>
    <row r="50" spans="2:26" s="4" customFormat="1" ht="16" x14ac:dyDescent="0.15">
      <c r="B50" s="1803" t="s">
        <v>2826</v>
      </c>
      <c r="C50" s="1804"/>
      <c r="D50" s="1804"/>
      <c r="E50" s="1804"/>
      <c r="F50" s="1804"/>
      <c r="G50" s="1804"/>
      <c r="H50" s="1804"/>
      <c r="I50" s="1804"/>
      <c r="J50" s="1804"/>
      <c r="K50" s="1804"/>
      <c r="L50" s="1804"/>
      <c r="M50" s="1804"/>
      <c r="N50" s="1804"/>
      <c r="O50" s="1805"/>
      <c r="P50" s="11"/>
      <c r="U50" s="754"/>
      <c r="V50" s="754"/>
      <c r="W50" s="754"/>
      <c r="X50" s="754"/>
      <c r="Y50" s="754"/>
      <c r="Z50" s="754"/>
    </row>
    <row r="51" spans="2:26" s="4" customFormat="1" ht="13" outlineLevel="1" x14ac:dyDescent="0.15">
      <c r="G51" s="8"/>
      <c r="M51" s="11"/>
      <c r="P51" s="11"/>
      <c r="U51" s="754"/>
      <c r="V51" s="754"/>
      <c r="W51" s="754"/>
      <c r="X51" s="754"/>
      <c r="Y51" s="754"/>
      <c r="Z51" s="754"/>
    </row>
    <row r="52" spans="2:26" s="4" customFormat="1" ht="13" outlineLevel="1" x14ac:dyDescent="0.15">
      <c r="B52" s="367" t="s">
        <v>3199</v>
      </c>
      <c r="C52" s="368"/>
      <c r="D52" s="350"/>
      <c r="E52" s="350"/>
      <c r="F52" s="369"/>
      <c r="G52" s="369"/>
      <c r="H52" s="368"/>
      <c r="I52" s="370"/>
      <c r="K52" s="7"/>
      <c r="L52" s="1807" t="s">
        <v>723</v>
      </c>
      <c r="M52" s="1808"/>
      <c r="N52" s="1809"/>
      <c r="O52" s="6"/>
      <c r="P52" s="1807" t="s">
        <v>2066</v>
      </c>
      <c r="Q52" s="1808"/>
      <c r="R52" s="1808"/>
      <c r="S52" s="1809"/>
      <c r="U52" s="1813" t="s">
        <v>2073</v>
      </c>
      <c r="V52" s="1814"/>
      <c r="W52" s="1814"/>
      <c r="X52" s="1814"/>
      <c r="Y52" s="1814"/>
      <c r="Z52" s="1815"/>
    </row>
    <row r="53" spans="2:26" s="4" customFormat="1" ht="13" outlineLevel="1" x14ac:dyDescent="0.15">
      <c r="B53" s="371"/>
      <c r="C53" s="372"/>
      <c r="D53" s="352"/>
      <c r="E53" s="352"/>
      <c r="F53" s="372"/>
      <c r="G53" s="372"/>
      <c r="H53" s="372"/>
      <c r="I53" s="373"/>
      <c r="K53" s="7"/>
      <c r="L53" s="371"/>
      <c r="M53" s="1177"/>
      <c r="N53" s="380"/>
      <c r="O53" s="6"/>
      <c r="P53" s="1185"/>
      <c r="Q53" s="382"/>
      <c r="R53" s="382"/>
      <c r="S53" s="375"/>
      <c r="U53" s="755"/>
      <c r="V53" s="756"/>
      <c r="W53" s="756"/>
      <c r="X53" s="756"/>
      <c r="Y53" s="757"/>
      <c r="Z53" s="758"/>
    </row>
    <row r="54" spans="2:26" s="4" customFormat="1" ht="13" outlineLevel="1" x14ac:dyDescent="0.15">
      <c r="B54" s="371"/>
      <c r="C54" s="372"/>
      <c r="D54" s="351" t="s">
        <v>56</v>
      </c>
      <c r="E54" s="351" t="s">
        <v>56</v>
      </c>
      <c r="F54" s="205" t="s">
        <v>2562</v>
      </c>
      <c r="G54" s="374" t="s">
        <v>2574</v>
      </c>
      <c r="H54" s="372" t="s">
        <v>61</v>
      </c>
      <c r="I54" s="375" t="s">
        <v>61</v>
      </c>
      <c r="K54" s="7"/>
      <c r="L54" s="1621" t="s">
        <v>2557</v>
      </c>
      <c r="M54" s="1177" t="s">
        <v>2110</v>
      </c>
      <c r="N54" s="375" t="s">
        <v>61</v>
      </c>
      <c r="O54" s="6"/>
      <c r="P54" s="1186" t="s">
        <v>2065</v>
      </c>
      <c r="Q54" s="382" t="s">
        <v>61</v>
      </c>
      <c r="R54" s="372" t="s">
        <v>2558</v>
      </c>
      <c r="S54" s="375" t="s">
        <v>61</v>
      </c>
      <c r="U54" s="1810" t="s">
        <v>61</v>
      </c>
      <c r="V54" s="1811"/>
      <c r="W54" s="1811"/>
      <c r="X54" s="1811"/>
      <c r="Y54" s="759" t="s">
        <v>61</v>
      </c>
      <c r="Z54" s="760"/>
    </row>
    <row r="55" spans="2:26" s="4" customFormat="1" ht="13" outlineLevel="1" x14ac:dyDescent="0.15">
      <c r="B55" s="371"/>
      <c r="C55" s="372"/>
      <c r="D55" s="351" t="s">
        <v>61</v>
      </c>
      <c r="E55" s="351" t="s">
        <v>63</v>
      </c>
      <c r="F55" s="208" t="s">
        <v>2054</v>
      </c>
      <c r="G55" s="376" t="s">
        <v>2569</v>
      </c>
      <c r="H55" s="372" t="s">
        <v>2573</v>
      </c>
      <c r="I55" s="375"/>
      <c r="K55" s="7"/>
      <c r="L55" s="1621" t="s">
        <v>2109</v>
      </c>
      <c r="M55" s="1177"/>
      <c r="N55" s="375"/>
      <c r="O55" s="6"/>
      <c r="P55" s="1186"/>
      <c r="Q55" s="382"/>
      <c r="R55" s="372"/>
      <c r="S55" s="380"/>
      <c r="U55" s="761" t="s">
        <v>14</v>
      </c>
      <c r="V55" s="762" t="s">
        <v>60</v>
      </c>
      <c r="W55" s="762" t="s">
        <v>27</v>
      </c>
      <c r="X55" s="762" t="s">
        <v>2074</v>
      </c>
      <c r="Y55" s="763" t="s">
        <v>41</v>
      </c>
      <c r="Z55" s="764" t="s">
        <v>85</v>
      </c>
    </row>
    <row r="56" spans="2:26" s="4" customFormat="1" ht="13" outlineLevel="1" x14ac:dyDescent="0.15">
      <c r="B56" s="377" t="str">
        <f t="shared" ref="B56:B61" si="11">B32</f>
        <v>Fermentazione Enterica - Bovini non da latte (Capo) (IT)</v>
      </c>
      <c r="C56" s="378"/>
      <c r="D56" s="391">
        <f t="shared" ref="D56:D61" si="12">I56</f>
        <v>0</v>
      </c>
      <c r="E56" s="398">
        <f t="shared" ref="E56:E61" si="13">D56*12/44</f>
        <v>0</v>
      </c>
      <c r="F56" s="1196">
        <f>F32</f>
        <v>0</v>
      </c>
      <c r="G56" s="1196">
        <f>G32</f>
        <v>0</v>
      </c>
      <c r="H56" s="396">
        <f>VLOOKUP($B56,'Emissions factors'!$B$1059:$H$1102,4,FALSE)</f>
        <v>1309.8400000000001</v>
      </c>
      <c r="I56" s="379">
        <f t="shared" ref="I56:I61" si="14">H56*G56</f>
        <v>0</v>
      </c>
      <c r="K56" s="6"/>
      <c r="L56" s="397">
        <f>VLOOKUP($B56,'Emissions factors'!$B$1059:$H$1102,7,FALSE)</f>
        <v>0</v>
      </c>
      <c r="M56" s="1199">
        <f t="shared" ref="M56:M61" si="15">M32</f>
        <v>0</v>
      </c>
      <c r="N56" s="379">
        <f t="shared" ref="N56:N61" si="16">I56*SQRT(L56^2+M56^2)</f>
        <v>0</v>
      </c>
      <c r="O56" s="6"/>
      <c r="P56" s="1199">
        <f t="shared" ref="P56:P61" si="17">P32</f>
        <v>0</v>
      </c>
      <c r="Q56" s="383">
        <f t="shared" ref="Q56:Q61" si="18">I56*P56</f>
        <v>0</v>
      </c>
      <c r="R56" s="1199">
        <f t="shared" ref="R56:R61" si="19">R32</f>
        <v>0</v>
      </c>
      <c r="S56" s="379">
        <f t="shared" ref="S56:S61" si="20">I56*R56</f>
        <v>0</v>
      </c>
      <c r="U56" s="765">
        <v>0</v>
      </c>
      <c r="V56" s="766">
        <f>$G56*(VLOOKUP($B56,'Emissions factors'!$B$1059:$L$1102,2,FALSE)+VLOOKUP($B56,'Emissions factors'!$B$1059:$L$1102,3,FALSE))</f>
        <v>0</v>
      </c>
      <c r="W56" s="766">
        <v>0</v>
      </c>
      <c r="X56" s="766">
        <v>0</v>
      </c>
      <c r="Y56" s="767">
        <f t="shared" ref="Y56:Y61" si="21">I56</f>
        <v>0</v>
      </c>
      <c r="Z56" s="768">
        <v>0</v>
      </c>
    </row>
    <row r="57" spans="2:26" s="4" customFormat="1" ht="13" outlineLevel="1" x14ac:dyDescent="0.15">
      <c r="B57" s="377" t="str">
        <f t="shared" si="11"/>
        <v>Gestione del letame - Bovini da latte (Capo) (IT)</v>
      </c>
      <c r="C57" s="378"/>
      <c r="D57" s="391">
        <f t="shared" si="12"/>
        <v>0</v>
      </c>
      <c r="E57" s="398">
        <f t="shared" si="13"/>
        <v>0</v>
      </c>
      <c r="F57" s="1197">
        <f>F33</f>
        <v>0</v>
      </c>
      <c r="G57" s="1197">
        <f>G33</f>
        <v>0</v>
      </c>
      <c r="H57" s="396">
        <f>VLOOKUP($B57,'Emissions factors'!$B$1059:$H$1102,4,FALSE)</f>
        <v>420</v>
      </c>
      <c r="I57" s="379">
        <f t="shared" si="14"/>
        <v>0</v>
      </c>
      <c r="K57" s="6"/>
      <c r="L57" s="397">
        <f>VLOOKUP($B57,'Emissions factors'!$B$1059:$H$1102,7,FALSE)</f>
        <v>0</v>
      </c>
      <c r="M57" s="1200">
        <f t="shared" si="15"/>
        <v>0</v>
      </c>
      <c r="N57" s="379">
        <f t="shared" si="16"/>
        <v>0</v>
      </c>
      <c r="O57" s="6"/>
      <c r="P57" s="1200">
        <f t="shared" si="17"/>
        <v>0</v>
      </c>
      <c r="Q57" s="383">
        <f t="shared" si="18"/>
        <v>0</v>
      </c>
      <c r="R57" s="1200">
        <f t="shared" si="19"/>
        <v>0</v>
      </c>
      <c r="S57" s="379">
        <f t="shared" si="20"/>
        <v>0</v>
      </c>
      <c r="U57" s="765">
        <v>0</v>
      </c>
      <c r="V57" s="766">
        <f>$G57*(VLOOKUP($B57,'Emissions factors'!$B$1059:$L$1102,2,FALSE)+VLOOKUP($B57,'Emissions factors'!$B$1059:$L$1102,3,FALSE))</f>
        <v>0</v>
      </c>
      <c r="W57" s="766">
        <v>0</v>
      </c>
      <c r="X57" s="766">
        <v>0</v>
      </c>
      <c r="Y57" s="767">
        <f t="shared" si="21"/>
        <v>0</v>
      </c>
      <c r="Z57" s="768">
        <v>0</v>
      </c>
    </row>
    <row r="58" spans="2:26" s="4" customFormat="1" ht="13" outlineLevel="1" x14ac:dyDescent="0.15">
      <c r="B58" s="377" t="str">
        <f t="shared" si="11"/>
        <v>Billy goat [1]</v>
      </c>
      <c r="C58" s="378"/>
      <c r="D58" s="391">
        <f t="shared" si="12"/>
        <v>0</v>
      </c>
      <c r="E58" s="398">
        <f t="shared" si="13"/>
        <v>0</v>
      </c>
      <c r="F58" s="1197">
        <f t="shared" ref="F58:G60" si="22">F34</f>
        <v>0</v>
      </c>
      <c r="G58" s="1197">
        <f t="shared" si="22"/>
        <v>0</v>
      </c>
      <c r="H58" s="396">
        <f>VLOOKUP($B58,'Emissions factors'!$B$1059:$H$1102,4,FALSE)</f>
        <v>537.6</v>
      </c>
      <c r="I58" s="379">
        <f t="shared" si="14"/>
        <v>0</v>
      </c>
      <c r="K58" s="6"/>
      <c r="L58" s="397">
        <f>VLOOKUP($B58,'Emissions factors'!$B$1059:$H$1102,7,FALSE)</f>
        <v>0.5</v>
      </c>
      <c r="M58" s="1200">
        <f t="shared" si="15"/>
        <v>0</v>
      </c>
      <c r="N58" s="379">
        <f t="shared" si="16"/>
        <v>0</v>
      </c>
      <c r="O58" s="6"/>
      <c r="P58" s="1200">
        <f t="shared" si="17"/>
        <v>0</v>
      </c>
      <c r="Q58" s="383">
        <f t="shared" si="18"/>
        <v>0</v>
      </c>
      <c r="R58" s="1200">
        <f t="shared" si="19"/>
        <v>0</v>
      </c>
      <c r="S58" s="379">
        <f t="shared" si="20"/>
        <v>0</v>
      </c>
      <c r="U58" s="765">
        <v>0</v>
      </c>
      <c r="V58" s="766">
        <f>$G58*(VLOOKUP($B58,'Emissions factors'!$B$1059:$L$1102,2,FALSE)+VLOOKUP($B58,'Emissions factors'!$B$1059:$L$1102,3,FALSE))</f>
        <v>0</v>
      </c>
      <c r="W58" s="766">
        <v>0</v>
      </c>
      <c r="X58" s="766">
        <v>0</v>
      </c>
      <c r="Y58" s="767">
        <f t="shared" si="21"/>
        <v>0</v>
      </c>
      <c r="Z58" s="768">
        <v>0</v>
      </c>
    </row>
    <row r="59" spans="2:26" s="4" customFormat="1" ht="13" outlineLevel="1" x14ac:dyDescent="0.15">
      <c r="B59" s="377" t="str">
        <f t="shared" si="11"/>
        <v>Lamb (grass-fed) [1]</v>
      </c>
      <c r="C59" s="378"/>
      <c r="D59" s="391">
        <f t="shared" si="12"/>
        <v>0</v>
      </c>
      <c r="E59" s="398">
        <f t="shared" si="13"/>
        <v>0</v>
      </c>
      <c r="F59" s="1197">
        <f t="shared" si="22"/>
        <v>0</v>
      </c>
      <c r="G59" s="1197">
        <f t="shared" si="22"/>
        <v>0</v>
      </c>
      <c r="H59" s="396">
        <f>VLOOKUP($B59,'Emissions factors'!$B$1059:$H$1102,4,FALSE)</f>
        <v>58.800000000000004</v>
      </c>
      <c r="I59" s="379">
        <f t="shared" si="14"/>
        <v>0</v>
      </c>
      <c r="K59" s="6"/>
      <c r="L59" s="397">
        <f>VLOOKUP($B59,'Emissions factors'!$B$1059:$H$1102,7,FALSE)</f>
        <v>0.5</v>
      </c>
      <c r="M59" s="1200">
        <f t="shared" si="15"/>
        <v>0</v>
      </c>
      <c r="N59" s="379">
        <f t="shared" si="16"/>
        <v>0</v>
      </c>
      <c r="O59" s="6"/>
      <c r="P59" s="1200">
        <f t="shared" si="17"/>
        <v>0</v>
      </c>
      <c r="Q59" s="383">
        <f t="shared" si="18"/>
        <v>0</v>
      </c>
      <c r="R59" s="1200">
        <f t="shared" si="19"/>
        <v>0</v>
      </c>
      <c r="S59" s="379">
        <f t="shared" si="20"/>
        <v>0</v>
      </c>
      <c r="U59" s="765">
        <v>0</v>
      </c>
      <c r="V59" s="766">
        <f>$G59*(VLOOKUP($B59,'Emissions factors'!$B$1059:$L$1102,2,FALSE)+VLOOKUP($B59,'Emissions factors'!$B$1059:$L$1102,3,FALSE))</f>
        <v>0</v>
      </c>
      <c r="W59" s="766">
        <v>0</v>
      </c>
      <c r="X59" s="766">
        <v>0</v>
      </c>
      <c r="Y59" s="767">
        <f t="shared" si="21"/>
        <v>0</v>
      </c>
      <c r="Z59" s="768">
        <v>0</v>
      </c>
    </row>
    <row r="60" spans="2:26" s="4" customFormat="1" ht="13" outlineLevel="1" x14ac:dyDescent="0.15">
      <c r="B60" s="377" t="str">
        <f t="shared" si="11"/>
        <v>Draft horse [1]</v>
      </c>
      <c r="C60" s="378"/>
      <c r="D60" s="391">
        <f t="shared" si="12"/>
        <v>0</v>
      </c>
      <c r="E60" s="398">
        <f t="shared" si="13"/>
        <v>0</v>
      </c>
      <c r="F60" s="1197">
        <f t="shared" si="22"/>
        <v>0</v>
      </c>
      <c r="G60" s="1197">
        <f t="shared" si="22"/>
        <v>0</v>
      </c>
      <c r="H60" s="396">
        <f>VLOOKUP($B60,'Emissions factors'!$B$1059:$H$1102,4,FALSE)</f>
        <v>1436.3999999999999</v>
      </c>
      <c r="I60" s="379">
        <f t="shared" si="14"/>
        <v>0</v>
      </c>
      <c r="K60" s="6"/>
      <c r="L60" s="397">
        <f>VLOOKUP($B60,'Emissions factors'!$B$1059:$H$1102,7,FALSE)</f>
        <v>0.5</v>
      </c>
      <c r="M60" s="1200">
        <f t="shared" si="15"/>
        <v>0</v>
      </c>
      <c r="N60" s="379">
        <f t="shared" si="16"/>
        <v>0</v>
      </c>
      <c r="O60" s="6"/>
      <c r="P60" s="1200">
        <f t="shared" si="17"/>
        <v>0</v>
      </c>
      <c r="Q60" s="383">
        <f t="shared" si="18"/>
        <v>0</v>
      </c>
      <c r="R60" s="1200">
        <f t="shared" si="19"/>
        <v>0</v>
      </c>
      <c r="S60" s="379">
        <f t="shared" si="20"/>
        <v>0</v>
      </c>
      <c r="U60" s="765">
        <v>0</v>
      </c>
      <c r="V60" s="766">
        <f>$G60*(VLOOKUP($B60,'Emissions factors'!$B$1059:$L$1102,2,FALSE)+VLOOKUP($B60,'Emissions factors'!$B$1059:$L$1102,3,FALSE))</f>
        <v>0</v>
      </c>
      <c r="W60" s="766">
        <v>0</v>
      </c>
      <c r="X60" s="766">
        <v>0</v>
      </c>
      <c r="Y60" s="767">
        <f t="shared" si="21"/>
        <v>0</v>
      </c>
      <c r="Z60" s="768">
        <v>0</v>
      </c>
    </row>
    <row r="61" spans="2:26" s="4" customFormat="1" ht="13" outlineLevel="1" x14ac:dyDescent="0.15">
      <c r="B61" s="377" t="str">
        <f t="shared" si="11"/>
        <v>Fattening pigs [1]</v>
      </c>
      <c r="C61" s="378"/>
      <c r="D61" s="391">
        <f t="shared" si="12"/>
        <v>0</v>
      </c>
      <c r="E61" s="398">
        <f t="shared" si="13"/>
        <v>0</v>
      </c>
      <c r="F61" s="1198">
        <f>F37</f>
        <v>0</v>
      </c>
      <c r="G61" s="1198">
        <f>G37</f>
        <v>0</v>
      </c>
      <c r="H61" s="396">
        <f>VLOOKUP($B61,'Emissions factors'!$B$1059:$H$1102,4,FALSE)</f>
        <v>229.59999999999997</v>
      </c>
      <c r="I61" s="379">
        <f t="shared" si="14"/>
        <v>0</v>
      </c>
      <c r="K61" s="6"/>
      <c r="L61" s="397">
        <f>VLOOKUP($B61,'Emissions factors'!$B$1059:$H$1102,7,FALSE)</f>
        <v>0.5</v>
      </c>
      <c r="M61" s="1201">
        <f t="shared" si="15"/>
        <v>0</v>
      </c>
      <c r="N61" s="379">
        <f t="shared" si="16"/>
        <v>0</v>
      </c>
      <c r="O61" s="6"/>
      <c r="P61" s="1201">
        <f t="shared" si="17"/>
        <v>0</v>
      </c>
      <c r="Q61" s="383">
        <f t="shared" si="18"/>
        <v>0</v>
      </c>
      <c r="R61" s="1201">
        <f t="shared" si="19"/>
        <v>0</v>
      </c>
      <c r="S61" s="379">
        <f t="shared" si="20"/>
        <v>0</v>
      </c>
      <c r="U61" s="765">
        <v>0</v>
      </c>
      <c r="V61" s="766">
        <f>$G61*(VLOOKUP($B61,'Emissions factors'!$B$1059:$L$1102,2,FALSE)+VLOOKUP($B61,'Emissions factors'!$B$1059:$L$1102,3,FALSE))</f>
        <v>0</v>
      </c>
      <c r="W61" s="766">
        <v>0</v>
      </c>
      <c r="X61" s="766">
        <v>0</v>
      </c>
      <c r="Y61" s="767">
        <f t="shared" si="21"/>
        <v>0</v>
      </c>
      <c r="Z61" s="768">
        <v>0</v>
      </c>
    </row>
    <row r="62" spans="2:26" s="4" customFormat="1" ht="13" outlineLevel="1" x14ac:dyDescent="0.15">
      <c r="B62" s="384"/>
      <c r="C62" s="378"/>
      <c r="D62" s="393"/>
      <c r="E62" s="400"/>
      <c r="F62" s="385"/>
      <c r="G62" s="386"/>
      <c r="H62" s="385"/>
      <c r="I62" s="387"/>
      <c r="K62" s="6"/>
      <c r="L62" s="377"/>
      <c r="M62" s="1178"/>
      <c r="N62" s="379"/>
      <c r="O62" s="6"/>
      <c r="P62" s="1188"/>
      <c r="Q62" s="382"/>
      <c r="R62" s="378"/>
      <c r="S62" s="379"/>
      <c r="U62" s="765"/>
      <c r="V62" s="766"/>
      <c r="W62" s="766"/>
      <c r="X62" s="766"/>
      <c r="Y62" s="767"/>
      <c r="Z62" s="769"/>
    </row>
    <row r="63" spans="2:26" s="4" customFormat="1" ht="13" outlineLevel="1" x14ac:dyDescent="0.15">
      <c r="B63" s="401" t="s">
        <v>2828</v>
      </c>
      <c r="C63" s="402"/>
      <c r="D63" s="403">
        <f>SUM(D56:D62)</f>
        <v>0</v>
      </c>
      <c r="E63" s="404">
        <f>SUM(E56:E62)</f>
        <v>0</v>
      </c>
      <c r="F63" s="402"/>
      <c r="G63" s="405"/>
      <c r="H63" s="402"/>
      <c r="I63" s="406">
        <f>SUM(I56:I62)</f>
        <v>0</v>
      </c>
      <c r="K63" s="6"/>
      <c r="L63" s="407"/>
      <c r="M63" s="1179"/>
      <c r="N63" s="406">
        <f>SQRT(SUMSQ(N56:N62))</f>
        <v>0</v>
      </c>
      <c r="O63" s="6"/>
      <c r="P63" s="1189"/>
      <c r="Q63" s="409">
        <f>SUM(Q56:Q62)</f>
        <v>0</v>
      </c>
      <c r="R63" s="408"/>
      <c r="S63" s="406">
        <f>SUM(S56:S62)</f>
        <v>0</v>
      </c>
      <c r="U63" s="770">
        <f t="shared" ref="U63:Z63" si="23">SUM(U56:U62)</f>
        <v>0</v>
      </c>
      <c r="V63" s="771">
        <f t="shared" si="23"/>
        <v>0</v>
      </c>
      <c r="W63" s="771">
        <f t="shared" si="23"/>
        <v>0</v>
      </c>
      <c r="X63" s="771">
        <f t="shared" si="23"/>
        <v>0</v>
      </c>
      <c r="Y63" s="772">
        <f t="shared" si="23"/>
        <v>0</v>
      </c>
      <c r="Z63" s="773">
        <f t="shared" si="23"/>
        <v>0</v>
      </c>
    </row>
    <row r="64" spans="2:26" s="4" customFormat="1" ht="13" outlineLevel="1" x14ac:dyDescent="0.15">
      <c r="B64" s="5"/>
      <c r="C64" s="5"/>
      <c r="D64" s="5"/>
      <c r="E64" s="5"/>
      <c r="F64" s="5"/>
      <c r="G64" s="30"/>
      <c r="H64" s="5"/>
      <c r="M64" s="11"/>
      <c r="P64" s="11"/>
      <c r="U64" s="754"/>
      <c r="V64" s="754"/>
      <c r="W64" s="754"/>
      <c r="X64" s="754"/>
      <c r="Y64" s="754"/>
      <c r="Z64" s="754"/>
    </row>
    <row r="65" spans="2:26" s="4" customFormat="1" ht="13" outlineLevel="1" x14ac:dyDescent="0.15">
      <c r="B65" s="367" t="s">
        <v>2827</v>
      </c>
      <c r="C65" s="368"/>
      <c r="D65" s="350"/>
      <c r="E65" s="350"/>
      <c r="F65" s="369"/>
      <c r="G65" s="369"/>
      <c r="H65" s="369"/>
      <c r="I65" s="370"/>
      <c r="J65" s="8"/>
      <c r="K65" s="8"/>
      <c r="L65" s="1807" t="s">
        <v>723</v>
      </c>
      <c r="M65" s="1808"/>
      <c r="N65" s="1809"/>
      <c r="P65" s="1807" t="s">
        <v>2066</v>
      </c>
      <c r="Q65" s="1808"/>
      <c r="R65" s="1808"/>
      <c r="S65" s="1809"/>
      <c r="U65" s="1813" t="s">
        <v>2073</v>
      </c>
      <c r="V65" s="1814"/>
      <c r="W65" s="1814"/>
      <c r="X65" s="1814"/>
      <c r="Y65" s="1814"/>
      <c r="Z65" s="1815"/>
    </row>
    <row r="66" spans="2:26" s="4" customFormat="1" ht="13" outlineLevel="1" x14ac:dyDescent="0.15">
      <c r="B66" s="371"/>
      <c r="C66" s="372"/>
      <c r="D66" s="352"/>
      <c r="E66" s="352"/>
      <c r="F66" s="372"/>
      <c r="G66" s="372"/>
      <c r="H66" s="372"/>
      <c r="I66" s="373"/>
      <c r="J66" s="8"/>
      <c r="K66" s="8"/>
      <c r="L66" s="371"/>
      <c r="M66" s="1177"/>
      <c r="N66" s="380"/>
      <c r="P66" s="1185"/>
      <c r="Q66" s="382"/>
      <c r="R66" s="382"/>
      <c r="S66" s="375"/>
      <c r="U66" s="755"/>
      <c r="V66" s="756"/>
      <c r="W66" s="756"/>
      <c r="X66" s="756"/>
      <c r="Y66" s="757"/>
      <c r="Z66" s="758"/>
    </row>
    <row r="67" spans="2:26" s="4" customFormat="1" ht="13" outlineLevel="1" x14ac:dyDescent="0.15">
      <c r="B67" s="371"/>
      <c r="C67" s="372"/>
      <c r="D67" s="351" t="s">
        <v>56</v>
      </c>
      <c r="E67" s="351" t="s">
        <v>56</v>
      </c>
      <c r="F67" s="205" t="s">
        <v>2562</v>
      </c>
      <c r="G67" s="374" t="s">
        <v>2575</v>
      </c>
      <c r="H67" s="372" t="s">
        <v>2533</v>
      </c>
      <c r="I67" s="375" t="s">
        <v>61</v>
      </c>
      <c r="K67" s="8"/>
      <c r="L67" s="1621" t="s">
        <v>2557</v>
      </c>
      <c r="M67" s="1177" t="s">
        <v>2110</v>
      </c>
      <c r="N67" s="375" t="s">
        <v>61</v>
      </c>
      <c r="P67" s="1186" t="s">
        <v>2065</v>
      </c>
      <c r="Q67" s="382" t="s">
        <v>61</v>
      </c>
      <c r="R67" s="372" t="s">
        <v>2558</v>
      </c>
      <c r="S67" s="375" t="s">
        <v>61</v>
      </c>
      <c r="U67" s="1810" t="s">
        <v>61</v>
      </c>
      <c r="V67" s="1811"/>
      <c r="W67" s="1811"/>
      <c r="X67" s="1811"/>
      <c r="Y67" s="759" t="s">
        <v>61</v>
      </c>
      <c r="Z67" s="760"/>
    </row>
    <row r="68" spans="2:26" s="4" customFormat="1" ht="13" outlineLevel="1" x14ac:dyDescent="0.15">
      <c r="B68" s="371"/>
      <c r="C68" s="372"/>
      <c r="D68" s="351" t="s">
        <v>61</v>
      </c>
      <c r="E68" s="351" t="s">
        <v>63</v>
      </c>
      <c r="F68" s="208" t="s">
        <v>2054</v>
      </c>
      <c r="G68" s="376" t="s">
        <v>2576</v>
      </c>
      <c r="H68" s="372" t="s">
        <v>2577</v>
      </c>
      <c r="I68" s="375"/>
      <c r="K68" s="8"/>
      <c r="L68" s="1621" t="s">
        <v>2109</v>
      </c>
      <c r="M68" s="1177"/>
      <c r="N68" s="375"/>
      <c r="P68" s="1186"/>
      <c r="Q68" s="382"/>
      <c r="R68" s="372"/>
      <c r="S68" s="380"/>
      <c r="U68" s="761" t="s">
        <v>14</v>
      </c>
      <c r="V68" s="762" t="s">
        <v>60</v>
      </c>
      <c r="W68" s="762" t="s">
        <v>27</v>
      </c>
      <c r="X68" s="762" t="s">
        <v>2074</v>
      </c>
      <c r="Y68" s="763" t="s">
        <v>41</v>
      </c>
      <c r="Z68" s="764" t="s">
        <v>85</v>
      </c>
    </row>
    <row r="69" spans="2:26" s="4" customFormat="1" ht="13" outlineLevel="1" x14ac:dyDescent="0.15">
      <c r="B69" s="377" t="s">
        <v>2578</v>
      </c>
      <c r="C69" s="378"/>
      <c r="D69" s="391">
        <f>I69</f>
        <v>3000000</v>
      </c>
      <c r="E69" s="398">
        <f>D69*12/44</f>
        <v>818181.81818181823</v>
      </c>
      <c r="F69" s="182" t="s">
        <v>2429</v>
      </c>
      <c r="G69" s="182">
        <v>100</v>
      </c>
      <c r="H69" s="394">
        <f>'Emissions factors'!$C$13</f>
        <v>30</v>
      </c>
      <c r="I69" s="379">
        <f>G69*H69*1000</f>
        <v>3000000</v>
      </c>
      <c r="L69" s="397">
        <f>'Emissions factors'!D13</f>
        <v>0.3</v>
      </c>
      <c r="M69" s="436">
        <v>0.2</v>
      </c>
      <c r="N69" s="379">
        <f>I69*SQRT(L69^2+M69^2)</f>
        <v>1081665.3826391969</v>
      </c>
      <c r="P69" s="436"/>
      <c r="Q69" s="383">
        <f>I69*P69</f>
        <v>0</v>
      </c>
      <c r="R69" s="436"/>
      <c r="S69" s="379">
        <f>I69*R69</f>
        <v>0</v>
      </c>
      <c r="U69" s="765">
        <v>0</v>
      </c>
      <c r="V69" s="766">
        <f>I69</f>
        <v>3000000</v>
      </c>
      <c r="W69" s="766">
        <v>0</v>
      </c>
      <c r="X69" s="766">
        <v>0</v>
      </c>
      <c r="Y69" s="767">
        <f>I69</f>
        <v>3000000</v>
      </c>
      <c r="Z69" s="768">
        <v>0</v>
      </c>
    </row>
    <row r="70" spans="2:26" s="4" customFormat="1" ht="13" outlineLevel="1" x14ac:dyDescent="0.15">
      <c r="B70" s="377" t="s">
        <v>2579</v>
      </c>
      <c r="C70" s="378"/>
      <c r="D70" s="391">
        <f>I70</f>
        <v>0</v>
      </c>
      <c r="E70" s="398">
        <f>D70*12/44</f>
        <v>0</v>
      </c>
      <c r="F70" s="188"/>
      <c r="G70" s="188"/>
      <c r="H70" s="394">
        <f>'Emissions factors'!$C$14</f>
        <v>28</v>
      </c>
      <c r="I70" s="379">
        <f>G70*H70*1000</f>
        <v>0</v>
      </c>
      <c r="L70" s="397">
        <f>'Emissions factors'!D14</f>
        <v>0.3</v>
      </c>
      <c r="M70" s="438"/>
      <c r="N70" s="379">
        <f>I70*SQRT(L70^2+M70^2)</f>
        <v>0</v>
      </c>
      <c r="P70" s="438"/>
      <c r="Q70" s="383">
        <f>I70*P70</f>
        <v>0</v>
      </c>
      <c r="R70" s="438"/>
      <c r="S70" s="379">
        <f>I70*R70</f>
        <v>0</v>
      </c>
      <c r="U70" s="765">
        <v>0</v>
      </c>
      <c r="V70" s="766">
        <f>I70</f>
        <v>0</v>
      </c>
      <c r="W70" s="766">
        <v>0</v>
      </c>
      <c r="X70" s="766">
        <v>0</v>
      </c>
      <c r="Y70" s="767">
        <f>I70</f>
        <v>0</v>
      </c>
      <c r="Z70" s="768">
        <v>0</v>
      </c>
    </row>
    <row r="71" spans="2:26" s="4" customFormat="1" ht="13" outlineLevel="1" x14ac:dyDescent="0.15">
      <c r="B71" s="377"/>
      <c r="C71" s="378"/>
      <c r="D71" s="392"/>
      <c r="E71" s="399"/>
      <c r="F71" s="378"/>
      <c r="G71" s="372"/>
      <c r="H71" s="378"/>
      <c r="I71" s="380"/>
      <c r="L71" s="377"/>
      <c r="M71" s="1178"/>
      <c r="N71" s="379"/>
      <c r="P71" s="1188"/>
      <c r="Q71" s="382"/>
      <c r="R71" s="378"/>
      <c r="S71" s="379"/>
      <c r="U71" s="765"/>
      <c r="V71" s="766"/>
      <c r="W71" s="766"/>
      <c r="X71" s="766"/>
      <c r="Y71" s="767"/>
      <c r="Z71" s="769"/>
    </row>
    <row r="72" spans="2:26" s="4" customFormat="1" ht="13" outlineLevel="1" x14ac:dyDescent="0.15">
      <c r="B72" s="401" t="s">
        <v>2828</v>
      </c>
      <c r="C72" s="402"/>
      <c r="D72" s="403">
        <f>SUM(D69:D71)</f>
        <v>3000000</v>
      </c>
      <c r="E72" s="404">
        <f>SUM(E69:E71)</f>
        <v>818181.81818181823</v>
      </c>
      <c r="F72" s="402"/>
      <c r="G72" s="405"/>
      <c r="H72" s="402"/>
      <c r="I72" s="406">
        <f>SUM(I69:I71)</f>
        <v>3000000</v>
      </c>
      <c r="L72" s="407"/>
      <c r="M72" s="1179"/>
      <c r="N72" s="406">
        <f>SQRT(SUMSQ(N69:N71))</f>
        <v>1081665.3826391969</v>
      </c>
      <c r="P72" s="1189"/>
      <c r="Q72" s="409">
        <f>SUM(Q69:Q71)</f>
        <v>0</v>
      </c>
      <c r="R72" s="408"/>
      <c r="S72" s="406">
        <f>SUM(S69:S71)</f>
        <v>0</v>
      </c>
      <c r="U72" s="770">
        <f t="shared" ref="U72:Z72" si="24">SUM(U69:U71)</f>
        <v>0</v>
      </c>
      <c r="V72" s="771">
        <f t="shared" si="24"/>
        <v>3000000</v>
      </c>
      <c r="W72" s="771">
        <f t="shared" si="24"/>
        <v>0</v>
      </c>
      <c r="X72" s="771">
        <f t="shared" si="24"/>
        <v>0</v>
      </c>
      <c r="Y72" s="772">
        <f t="shared" si="24"/>
        <v>3000000</v>
      </c>
      <c r="Z72" s="773">
        <f t="shared" si="24"/>
        <v>0</v>
      </c>
    </row>
    <row r="73" spans="2:26" s="4" customFormat="1" ht="13" outlineLevel="1" x14ac:dyDescent="0.15">
      <c r="B73" s="5"/>
      <c r="C73" s="5"/>
      <c r="D73" s="5"/>
      <c r="E73" s="5"/>
      <c r="F73" s="5"/>
      <c r="G73" s="30"/>
      <c r="H73" s="5"/>
      <c r="M73" s="11"/>
      <c r="P73" s="11"/>
      <c r="U73" s="774"/>
      <c r="V73" s="774"/>
      <c r="W73" s="774"/>
      <c r="X73" s="774"/>
      <c r="Y73" s="775"/>
      <c r="Z73" s="774"/>
    </row>
    <row r="74" spans="2:26" s="4" customFormat="1" ht="13" x14ac:dyDescent="0.15">
      <c r="B74" s="5"/>
      <c r="C74" s="5"/>
      <c r="D74" s="5"/>
      <c r="E74" s="5"/>
      <c r="F74" s="5"/>
      <c r="G74" s="30"/>
      <c r="H74" s="5"/>
      <c r="M74" s="11"/>
      <c r="P74" s="11"/>
      <c r="U74" s="774"/>
      <c r="V74" s="774"/>
      <c r="W74" s="774"/>
      <c r="X74" s="774"/>
      <c r="Y74" s="775"/>
      <c r="Z74" s="774"/>
    </row>
    <row r="75" spans="2:26" s="4" customFormat="1" ht="16" x14ac:dyDescent="0.15">
      <c r="B75" s="1795" t="s">
        <v>3048</v>
      </c>
      <c r="C75" s="1795"/>
      <c r="D75" s="1795"/>
      <c r="E75" s="1795"/>
      <c r="F75" s="1795"/>
      <c r="G75" s="1795"/>
      <c r="H75" s="1795"/>
      <c r="I75" s="1795"/>
      <c r="J75" s="1795"/>
      <c r="K75" s="1795"/>
      <c r="L75" s="1795"/>
      <c r="M75" s="1795"/>
      <c r="N75" s="1795"/>
      <c r="O75" s="1795"/>
      <c r="P75" s="11"/>
      <c r="U75" s="754"/>
      <c r="V75" s="754"/>
      <c r="W75" s="754"/>
      <c r="X75" s="754"/>
      <c r="Y75" s="754"/>
      <c r="Z75" s="754"/>
    </row>
    <row r="76" spans="2:26" s="4" customFormat="1" ht="13" outlineLevel="1" x14ac:dyDescent="0.15">
      <c r="B76" s="17"/>
      <c r="C76" s="17"/>
      <c r="G76" s="28"/>
      <c r="J76" s="1"/>
      <c r="M76" s="11"/>
      <c r="P76" s="11"/>
      <c r="U76" s="754"/>
      <c r="V76" s="754"/>
      <c r="W76" s="754"/>
      <c r="X76" s="754"/>
      <c r="Y76" s="754"/>
      <c r="Z76" s="754"/>
    </row>
    <row r="77" spans="2:26" s="4" customFormat="1" ht="13" outlineLevel="1" x14ac:dyDescent="0.15">
      <c r="B77" s="367" t="s">
        <v>2829</v>
      </c>
      <c r="C77" s="368"/>
      <c r="D77" s="350"/>
      <c r="E77" s="350"/>
      <c r="F77" s="369"/>
      <c r="G77" s="369"/>
      <c r="H77" s="369"/>
      <c r="I77" s="370"/>
      <c r="K77" s="8"/>
      <c r="L77" s="1807" t="s">
        <v>723</v>
      </c>
      <c r="M77" s="1808"/>
      <c r="N77" s="1809"/>
      <c r="O77" s="8"/>
      <c r="P77" s="1807" t="s">
        <v>2066</v>
      </c>
      <c r="Q77" s="1808"/>
      <c r="R77" s="1808"/>
      <c r="S77" s="1809"/>
      <c r="U77" s="1813" t="s">
        <v>2073</v>
      </c>
      <c r="V77" s="1814"/>
      <c r="W77" s="1814"/>
      <c r="X77" s="1814"/>
      <c r="Y77" s="1814"/>
      <c r="Z77" s="1815"/>
    </row>
    <row r="78" spans="2:26" s="4" customFormat="1" ht="13" outlineLevel="1" x14ac:dyDescent="0.15">
      <c r="B78" s="371"/>
      <c r="C78" s="372"/>
      <c r="D78" s="352"/>
      <c r="E78" s="352"/>
      <c r="F78" s="372"/>
      <c r="G78" s="372"/>
      <c r="H78" s="372"/>
      <c r="I78" s="373"/>
      <c r="K78" s="8"/>
      <c r="L78" s="371"/>
      <c r="M78" s="1177"/>
      <c r="N78" s="380"/>
      <c r="O78" s="8"/>
      <c r="P78" s="1185"/>
      <c r="Q78" s="382"/>
      <c r="R78" s="382"/>
      <c r="S78" s="375"/>
      <c r="U78" s="755"/>
      <c r="V78" s="756"/>
      <c r="W78" s="756"/>
      <c r="X78" s="756"/>
      <c r="Y78" s="757"/>
      <c r="Z78" s="758"/>
    </row>
    <row r="79" spans="2:26" s="4" customFormat="1" ht="13" outlineLevel="1" x14ac:dyDescent="0.15">
      <c r="B79" s="371"/>
      <c r="C79" s="372"/>
      <c r="D79" s="351" t="s">
        <v>56</v>
      </c>
      <c r="E79" s="351" t="s">
        <v>56</v>
      </c>
      <c r="F79" s="205" t="s">
        <v>2562</v>
      </c>
      <c r="G79" s="1622" t="s">
        <v>2563</v>
      </c>
      <c r="H79" s="372" t="s">
        <v>61</v>
      </c>
      <c r="I79" s="375" t="s">
        <v>61</v>
      </c>
      <c r="K79" s="8"/>
      <c r="L79" s="1621" t="s">
        <v>2557</v>
      </c>
      <c r="M79" s="1177" t="s">
        <v>2110</v>
      </c>
      <c r="N79" s="375" t="s">
        <v>61</v>
      </c>
      <c r="O79" s="8"/>
      <c r="P79" s="1186" t="s">
        <v>2065</v>
      </c>
      <c r="Q79" s="382" t="s">
        <v>61</v>
      </c>
      <c r="R79" s="372" t="s">
        <v>2558</v>
      </c>
      <c r="S79" s="375" t="s">
        <v>61</v>
      </c>
      <c r="U79" s="1810" t="s">
        <v>61</v>
      </c>
      <c r="V79" s="1811"/>
      <c r="W79" s="1811"/>
      <c r="X79" s="1811"/>
      <c r="Y79" s="759" t="s">
        <v>61</v>
      </c>
      <c r="Z79" s="760"/>
    </row>
    <row r="80" spans="2:26" s="4" customFormat="1" ht="13" outlineLevel="1" x14ac:dyDescent="0.15">
      <c r="B80" s="371"/>
      <c r="C80" s="372"/>
      <c r="D80" s="351" t="s">
        <v>61</v>
      </c>
      <c r="E80" s="351" t="s">
        <v>63</v>
      </c>
      <c r="F80" s="208" t="s">
        <v>2054</v>
      </c>
      <c r="G80" s="1623" t="s">
        <v>20</v>
      </c>
      <c r="H80" s="372" t="s">
        <v>2534</v>
      </c>
      <c r="I80" s="375"/>
      <c r="K80" s="8"/>
      <c r="L80" s="1621" t="s">
        <v>2109</v>
      </c>
      <c r="M80" s="1177"/>
      <c r="N80" s="375"/>
      <c r="P80" s="1186"/>
      <c r="Q80" s="382"/>
      <c r="R80" s="372"/>
      <c r="S80" s="380"/>
      <c r="U80" s="761" t="s">
        <v>14</v>
      </c>
      <c r="V80" s="762" t="s">
        <v>60</v>
      </c>
      <c r="W80" s="762" t="s">
        <v>27</v>
      </c>
      <c r="X80" s="762" t="s">
        <v>2074</v>
      </c>
      <c r="Y80" s="763" t="s">
        <v>41</v>
      </c>
      <c r="Z80" s="764" t="s">
        <v>85</v>
      </c>
    </row>
    <row r="81" spans="2:26" s="4" customFormat="1" ht="13" outlineLevel="1" x14ac:dyDescent="0.15">
      <c r="B81" s="377" t="s">
        <v>733</v>
      </c>
      <c r="C81" s="378"/>
      <c r="D81" s="391">
        <f>I81</f>
        <v>0</v>
      </c>
      <c r="E81" s="398">
        <f>D81*12/44</f>
        <v>0</v>
      </c>
      <c r="F81" s="182"/>
      <c r="G81" s="182"/>
      <c r="H81" s="394">
        <f>VLOOKUP($B81,'Emissions factors'!$B$18:$D$44,2,FALSE)</f>
        <v>13900</v>
      </c>
      <c r="I81" s="379">
        <f>G81*H81*1000</f>
        <v>0</v>
      </c>
      <c r="L81" s="397">
        <f>VLOOKUP($B81,'Emissions factors'!$B$18:$D$44,3,FALSE)</f>
        <v>0.3</v>
      </c>
      <c r="M81" s="436"/>
      <c r="N81" s="379">
        <f>I81*SQRT(L81^2+M81^2)</f>
        <v>0</v>
      </c>
      <c r="O81" s="5"/>
      <c r="P81" s="436"/>
      <c r="Q81" s="383">
        <f>I81*P81</f>
        <v>0</v>
      </c>
      <c r="R81" s="436"/>
      <c r="S81" s="379">
        <f>I81*R81</f>
        <v>0</v>
      </c>
      <c r="U81" s="765">
        <v>0</v>
      </c>
      <c r="V81" s="766">
        <v>0</v>
      </c>
      <c r="W81" s="766">
        <v>0</v>
      </c>
      <c r="X81" s="766">
        <f>I81</f>
        <v>0</v>
      </c>
      <c r="Y81" s="767">
        <f>I81</f>
        <v>0</v>
      </c>
      <c r="Z81" s="768">
        <v>0</v>
      </c>
    </row>
    <row r="82" spans="2:26" s="4" customFormat="1" ht="13" outlineLevel="1" x14ac:dyDescent="0.15">
      <c r="B82" s="377" t="s">
        <v>42</v>
      </c>
      <c r="C82" s="378"/>
      <c r="D82" s="391">
        <f>I82</f>
        <v>0</v>
      </c>
      <c r="E82" s="398">
        <f>D82*12/44</f>
        <v>0</v>
      </c>
      <c r="F82" s="185"/>
      <c r="G82" s="185"/>
      <c r="H82" s="394">
        <f>VLOOKUP($B82,'Emissions factors'!$B$18:$D$44,2,FALSE)</f>
        <v>1920</v>
      </c>
      <c r="I82" s="379">
        <f>G82*H82*1000</f>
        <v>0</v>
      </c>
      <c r="L82" s="397">
        <f>VLOOKUP($B82,'Emissions factors'!$B$18:$D$44,3,FALSE)</f>
        <v>0.3</v>
      </c>
      <c r="M82" s="437"/>
      <c r="N82" s="379">
        <f>I82*SQRT(L82^2+M82^2)</f>
        <v>0</v>
      </c>
      <c r="O82" s="5"/>
      <c r="P82" s="437"/>
      <c r="Q82" s="383">
        <f>I82*P82</f>
        <v>0</v>
      </c>
      <c r="R82" s="437"/>
      <c r="S82" s="379">
        <f>I82*R82</f>
        <v>0</v>
      </c>
      <c r="U82" s="765">
        <v>0</v>
      </c>
      <c r="V82" s="766">
        <v>0</v>
      </c>
      <c r="W82" s="766">
        <v>0</v>
      </c>
      <c r="X82" s="766">
        <f>I82</f>
        <v>0</v>
      </c>
      <c r="Y82" s="767">
        <f>I82</f>
        <v>0</v>
      </c>
      <c r="Z82" s="768">
        <v>0</v>
      </c>
    </row>
    <row r="83" spans="2:26" s="4" customFormat="1" ht="13" outlineLevel="1" x14ac:dyDescent="0.15">
      <c r="B83" s="377" t="s">
        <v>6</v>
      </c>
      <c r="C83" s="378"/>
      <c r="D83" s="391">
        <f>I83</f>
        <v>0</v>
      </c>
      <c r="E83" s="398">
        <f>D83*12/44</f>
        <v>0</v>
      </c>
      <c r="F83" s="188"/>
      <c r="G83" s="188"/>
      <c r="H83" s="394">
        <f>VLOOKUP($B83,'Emissions factors'!$B$18:$D$44,2,FALSE)</f>
        <v>2250</v>
      </c>
      <c r="I83" s="379">
        <f>G83*H83*1000</f>
        <v>0</v>
      </c>
      <c r="L83" s="397">
        <f>VLOOKUP($B83,'Emissions factors'!$B$18:$D$44,3,FALSE)</f>
        <v>0.3</v>
      </c>
      <c r="M83" s="438"/>
      <c r="N83" s="379">
        <f>I83*SQRT(L83^2+M83^2)</f>
        <v>0</v>
      </c>
      <c r="P83" s="438"/>
      <c r="Q83" s="383">
        <f>I83*P83</f>
        <v>0</v>
      </c>
      <c r="R83" s="438"/>
      <c r="S83" s="379">
        <f>I83*R83</f>
        <v>0</v>
      </c>
      <c r="U83" s="765">
        <v>0</v>
      </c>
      <c r="V83" s="766">
        <v>0</v>
      </c>
      <c r="W83" s="766">
        <v>0</v>
      </c>
      <c r="X83" s="766">
        <f>I83</f>
        <v>0</v>
      </c>
      <c r="Y83" s="767">
        <f>I83</f>
        <v>0</v>
      </c>
      <c r="Z83" s="768">
        <v>0</v>
      </c>
    </row>
    <row r="84" spans="2:26" s="4" customFormat="1" ht="13" outlineLevel="1" x14ac:dyDescent="0.15">
      <c r="B84" s="377"/>
      <c r="C84" s="378"/>
      <c r="D84" s="392"/>
      <c r="E84" s="399"/>
      <c r="F84" s="378"/>
      <c r="G84" s="372"/>
      <c r="H84" s="378"/>
      <c r="I84" s="380"/>
      <c r="L84" s="377"/>
      <c r="M84" s="1178"/>
      <c r="N84" s="379"/>
      <c r="P84" s="1188"/>
      <c r="Q84" s="382"/>
      <c r="R84" s="378"/>
      <c r="S84" s="379"/>
      <c r="U84" s="765"/>
      <c r="V84" s="766"/>
      <c r="W84" s="766"/>
      <c r="X84" s="766"/>
      <c r="Y84" s="767"/>
      <c r="Z84" s="769"/>
    </row>
    <row r="85" spans="2:26" s="4" customFormat="1" ht="13" outlineLevel="1" x14ac:dyDescent="0.15">
      <c r="B85" s="401" t="s">
        <v>2828</v>
      </c>
      <c r="C85" s="402"/>
      <c r="D85" s="403">
        <f>SUM(D81:D84)</f>
        <v>0</v>
      </c>
      <c r="E85" s="404">
        <f>SUM(E81:E84)</f>
        <v>0</v>
      </c>
      <c r="F85" s="402"/>
      <c r="G85" s="405"/>
      <c r="H85" s="402"/>
      <c r="I85" s="406">
        <f>SUM(I81:I84)</f>
        <v>0</v>
      </c>
      <c r="L85" s="407"/>
      <c r="M85" s="1179"/>
      <c r="N85" s="406">
        <f>SQRT(SUMSQ(N81:N84))</f>
        <v>0</v>
      </c>
      <c r="P85" s="1189"/>
      <c r="Q85" s="409">
        <f>SUM(Q81:Q84)</f>
        <v>0</v>
      </c>
      <c r="R85" s="408"/>
      <c r="S85" s="406">
        <f>SUM(S81:S84)</f>
        <v>0</v>
      </c>
      <c r="U85" s="770">
        <f t="shared" ref="U85:Z85" si="25">SUM(U81:U84)</f>
        <v>0</v>
      </c>
      <c r="V85" s="771">
        <f t="shared" si="25"/>
        <v>0</v>
      </c>
      <c r="W85" s="771">
        <f t="shared" si="25"/>
        <v>0</v>
      </c>
      <c r="X85" s="771">
        <f t="shared" si="25"/>
        <v>0</v>
      </c>
      <c r="Y85" s="772">
        <f t="shared" si="25"/>
        <v>0</v>
      </c>
      <c r="Z85" s="773">
        <f t="shared" si="25"/>
        <v>0</v>
      </c>
    </row>
    <row r="86" spans="2:26" s="4" customFormat="1" ht="13" outlineLevel="1" x14ac:dyDescent="0.15">
      <c r="G86" s="8"/>
      <c r="M86" s="11"/>
      <c r="P86" s="11"/>
      <c r="U86" s="754"/>
      <c r="V86" s="754"/>
      <c r="W86" s="754"/>
      <c r="X86" s="754"/>
      <c r="Y86" s="754"/>
      <c r="Z86" s="754"/>
    </row>
    <row r="87" spans="2:26" s="4" customFormat="1" ht="13" x14ac:dyDescent="0.15">
      <c r="B87" s="5"/>
      <c r="C87" s="5"/>
      <c r="D87" s="5"/>
      <c r="E87" s="5"/>
      <c r="F87" s="5"/>
      <c r="G87" s="30"/>
      <c r="H87" s="5"/>
      <c r="M87" s="11"/>
      <c r="P87" s="11"/>
      <c r="U87" s="754"/>
      <c r="V87" s="754"/>
      <c r="W87" s="754"/>
      <c r="X87" s="754"/>
      <c r="Y87" s="754"/>
      <c r="Z87" s="754"/>
    </row>
    <row r="88" spans="2:26" s="4" customFormat="1" ht="16" x14ac:dyDescent="0.15">
      <c r="B88" s="1795" t="s">
        <v>2831</v>
      </c>
      <c r="C88" s="1795"/>
      <c r="D88" s="1795"/>
      <c r="E88" s="1795"/>
      <c r="F88" s="1795"/>
      <c r="G88" s="1795"/>
      <c r="H88" s="1795"/>
      <c r="I88" s="1795"/>
      <c r="J88" s="1795"/>
      <c r="K88" s="1795"/>
      <c r="L88" s="1795"/>
      <c r="M88" s="1795"/>
      <c r="N88" s="1795"/>
      <c r="O88" s="1795"/>
      <c r="P88" s="11"/>
      <c r="U88" s="754"/>
      <c r="V88" s="754"/>
      <c r="W88" s="754"/>
      <c r="X88" s="754"/>
      <c r="Y88" s="754"/>
      <c r="Z88" s="754"/>
    </row>
    <row r="89" spans="2:26" s="4" customFormat="1" ht="13" outlineLevel="1" x14ac:dyDescent="0.15">
      <c r="F89" s="5"/>
      <c r="G89" s="8"/>
      <c r="M89" s="11"/>
      <c r="P89" s="11"/>
      <c r="U89" s="754"/>
      <c r="V89" s="754"/>
      <c r="W89" s="754"/>
      <c r="X89" s="754"/>
      <c r="Y89" s="754"/>
      <c r="Z89" s="754"/>
    </row>
    <row r="90" spans="2:26" s="4" customFormat="1" ht="13" outlineLevel="1" x14ac:dyDescent="0.15">
      <c r="B90" s="367" t="s">
        <v>2830</v>
      </c>
      <c r="C90" s="368"/>
      <c r="D90" s="350"/>
      <c r="E90" s="350"/>
      <c r="F90" s="369"/>
      <c r="G90" s="369"/>
      <c r="H90" s="369"/>
      <c r="I90" s="370"/>
      <c r="L90" s="1807" t="s">
        <v>723</v>
      </c>
      <c r="M90" s="1808"/>
      <c r="N90" s="1809"/>
      <c r="P90" s="1807" t="s">
        <v>2066</v>
      </c>
      <c r="Q90" s="1808"/>
      <c r="R90" s="1808"/>
      <c r="S90" s="1809"/>
      <c r="U90" s="1813" t="s">
        <v>2073</v>
      </c>
      <c r="V90" s="1814"/>
      <c r="W90" s="1814"/>
      <c r="X90" s="1814"/>
      <c r="Y90" s="1814"/>
      <c r="Z90" s="1815"/>
    </row>
    <row r="91" spans="2:26" s="4" customFormat="1" ht="13" outlineLevel="1" x14ac:dyDescent="0.15">
      <c r="B91" s="371"/>
      <c r="C91" s="372"/>
      <c r="D91" s="352"/>
      <c r="E91" s="352"/>
      <c r="F91" s="372"/>
      <c r="G91" s="372"/>
      <c r="H91" s="372"/>
      <c r="I91" s="373"/>
      <c r="L91" s="371"/>
      <c r="M91" s="1177"/>
      <c r="N91" s="380"/>
      <c r="P91" s="1185"/>
      <c r="Q91" s="382"/>
      <c r="R91" s="382"/>
      <c r="S91" s="375"/>
      <c r="U91" s="755"/>
      <c r="V91" s="756"/>
      <c r="W91" s="756"/>
      <c r="X91" s="756"/>
      <c r="Y91" s="757"/>
      <c r="Z91" s="758"/>
    </row>
    <row r="92" spans="2:26" s="4" customFormat="1" ht="13" outlineLevel="1" x14ac:dyDescent="0.15">
      <c r="B92" s="371"/>
      <c r="C92" s="372"/>
      <c r="D92" s="351" t="s">
        <v>56</v>
      </c>
      <c r="E92" s="351" t="s">
        <v>56</v>
      </c>
      <c r="F92" s="205" t="s">
        <v>2562</v>
      </c>
      <c r="G92" s="1622" t="s">
        <v>2563</v>
      </c>
      <c r="H92" s="372" t="s">
        <v>61</v>
      </c>
      <c r="I92" s="375" t="s">
        <v>61</v>
      </c>
      <c r="L92" s="1621" t="s">
        <v>2557</v>
      </c>
      <c r="M92" s="1177" t="s">
        <v>2110</v>
      </c>
      <c r="N92" s="375" t="s">
        <v>61</v>
      </c>
      <c r="P92" s="1186" t="s">
        <v>2065</v>
      </c>
      <c r="Q92" s="382" t="s">
        <v>61</v>
      </c>
      <c r="R92" s="372" t="s">
        <v>2558</v>
      </c>
      <c r="S92" s="375" t="s">
        <v>61</v>
      </c>
      <c r="U92" s="1810" t="s">
        <v>61</v>
      </c>
      <c r="V92" s="1811"/>
      <c r="W92" s="1811"/>
      <c r="X92" s="1811"/>
      <c r="Y92" s="759" t="s">
        <v>61</v>
      </c>
      <c r="Z92" s="760"/>
    </row>
    <row r="93" spans="2:26" s="4" customFormat="1" ht="13" outlineLevel="1" x14ac:dyDescent="0.15">
      <c r="B93" s="371"/>
      <c r="C93" s="372"/>
      <c r="D93" s="351" t="s">
        <v>61</v>
      </c>
      <c r="E93" s="351" t="s">
        <v>63</v>
      </c>
      <c r="F93" s="208" t="s">
        <v>2054</v>
      </c>
      <c r="G93" s="1623" t="s">
        <v>20</v>
      </c>
      <c r="H93" s="372" t="s">
        <v>2534</v>
      </c>
      <c r="I93" s="375"/>
      <c r="L93" s="1621" t="s">
        <v>2109</v>
      </c>
      <c r="M93" s="1177"/>
      <c r="N93" s="375"/>
      <c r="P93" s="1186"/>
      <c r="Q93" s="382"/>
      <c r="R93" s="372"/>
      <c r="S93" s="380"/>
      <c r="U93" s="761" t="s">
        <v>14</v>
      </c>
      <c r="V93" s="762" t="s">
        <v>60</v>
      </c>
      <c r="W93" s="762" t="s">
        <v>27</v>
      </c>
      <c r="X93" s="762" t="s">
        <v>2074</v>
      </c>
      <c r="Y93" s="763" t="s">
        <v>41</v>
      </c>
      <c r="Z93" s="764" t="s">
        <v>85</v>
      </c>
    </row>
    <row r="94" spans="2:26" s="4" customFormat="1" ht="13" outlineLevel="1" x14ac:dyDescent="0.15">
      <c r="B94" s="377" t="s">
        <v>752</v>
      </c>
      <c r="C94" s="378"/>
      <c r="D94" s="391">
        <f>I94</f>
        <v>0</v>
      </c>
      <c r="E94" s="398">
        <f>D94*12/44</f>
        <v>0</v>
      </c>
      <c r="F94" s="182"/>
      <c r="G94" s="182"/>
      <c r="H94" s="394">
        <f>VLOOKUP($B94,'Emissions factors'!$B$47:$D$74,2,FALSE)</f>
        <v>96</v>
      </c>
      <c r="I94" s="379">
        <f>G94*H94*1000</f>
        <v>0</v>
      </c>
      <c r="L94" s="397">
        <f>VLOOKUP($B94,'Emissions factors'!$B$47:$D$74,3,FALSE)</f>
        <v>0.3</v>
      </c>
      <c r="M94" s="436"/>
      <c r="N94" s="379">
        <f>I94*SQRT(L94^2+M94^2)</f>
        <v>0</v>
      </c>
      <c r="P94" s="436"/>
      <c r="Q94" s="383">
        <f>I94*P94</f>
        <v>0</v>
      </c>
      <c r="R94" s="436"/>
      <c r="S94" s="379">
        <f>I94*R94</f>
        <v>0</v>
      </c>
      <c r="U94" s="765">
        <v>0</v>
      </c>
      <c r="V94" s="766">
        <v>0</v>
      </c>
      <c r="W94" s="766">
        <v>0</v>
      </c>
      <c r="X94" s="766">
        <f>I94</f>
        <v>0</v>
      </c>
      <c r="Y94" s="767">
        <f>I94</f>
        <v>0</v>
      </c>
      <c r="Z94" s="768">
        <v>0</v>
      </c>
    </row>
    <row r="95" spans="2:26" s="4" customFormat="1" ht="13" outlineLevel="1" x14ac:dyDescent="0.15">
      <c r="B95" s="377" t="s">
        <v>247</v>
      </c>
      <c r="C95" s="378"/>
      <c r="D95" s="391">
        <f>I95</f>
        <v>0</v>
      </c>
      <c r="E95" s="398">
        <f>D95*12/44</f>
        <v>0</v>
      </c>
      <c r="F95" s="185"/>
      <c r="G95" s="185"/>
      <c r="H95" s="394">
        <f>VLOOKUP($B95,'Emissions factors'!$B$47:$D$74,2,FALSE)</f>
        <v>1350</v>
      </c>
      <c r="I95" s="379">
        <f>G95*H95*1000</f>
        <v>0</v>
      </c>
      <c r="L95" s="397">
        <f>VLOOKUP($B95,'Emissions factors'!$B$47:$D$74,3,FALSE)</f>
        <v>0.3</v>
      </c>
      <c r="M95" s="437"/>
      <c r="N95" s="379">
        <f>I95*SQRT(L95^2+M95^2)</f>
        <v>0</v>
      </c>
      <c r="P95" s="437"/>
      <c r="Q95" s="383">
        <f>I95*P95</f>
        <v>0</v>
      </c>
      <c r="R95" s="437"/>
      <c r="S95" s="379">
        <f>I95*R95</f>
        <v>0</v>
      </c>
      <c r="U95" s="765">
        <v>0</v>
      </c>
      <c r="V95" s="766">
        <v>0</v>
      </c>
      <c r="W95" s="766">
        <v>0</v>
      </c>
      <c r="X95" s="766">
        <f>I95</f>
        <v>0</v>
      </c>
      <c r="Y95" s="767">
        <f>I95</f>
        <v>0</v>
      </c>
      <c r="Z95" s="768">
        <v>0</v>
      </c>
    </row>
    <row r="96" spans="2:26" s="4" customFormat="1" ht="13" outlineLevel="1" x14ac:dyDescent="0.15">
      <c r="B96" s="377" t="s">
        <v>248</v>
      </c>
      <c r="C96" s="378"/>
      <c r="D96" s="391">
        <f>I96</f>
        <v>0</v>
      </c>
      <c r="E96" s="398">
        <f>D96*12/44</f>
        <v>0</v>
      </c>
      <c r="F96" s="188"/>
      <c r="G96" s="188"/>
      <c r="H96" s="394">
        <f>VLOOKUP($B96,'Emissions factors'!$B$47:$D$74,2,FALSE)</f>
        <v>3780</v>
      </c>
      <c r="I96" s="379">
        <f>G96*H96*1000</f>
        <v>0</v>
      </c>
      <c r="L96" s="397">
        <f>VLOOKUP($B96,'Emissions factors'!$B$47:$D$74,3,FALSE)</f>
        <v>0.3</v>
      </c>
      <c r="M96" s="438"/>
      <c r="N96" s="379">
        <f>I96*SQRT(L96^2+M96^2)</f>
        <v>0</v>
      </c>
      <c r="P96" s="438"/>
      <c r="Q96" s="383">
        <f>I96*P96</f>
        <v>0</v>
      </c>
      <c r="R96" s="438"/>
      <c r="S96" s="379">
        <f>I96*R96</f>
        <v>0</v>
      </c>
      <c r="U96" s="765">
        <v>0</v>
      </c>
      <c r="V96" s="766">
        <v>0</v>
      </c>
      <c r="W96" s="766">
        <v>0</v>
      </c>
      <c r="X96" s="766">
        <f>I96</f>
        <v>0</v>
      </c>
      <c r="Y96" s="767">
        <f>I96</f>
        <v>0</v>
      </c>
      <c r="Z96" s="768">
        <v>0</v>
      </c>
    </row>
    <row r="97" spans="2:26" s="4" customFormat="1" ht="13" outlineLevel="1" x14ac:dyDescent="0.15">
      <c r="B97" s="377"/>
      <c r="C97" s="378"/>
      <c r="D97" s="392"/>
      <c r="E97" s="399"/>
      <c r="F97" s="378"/>
      <c r="G97" s="372"/>
      <c r="H97" s="378"/>
      <c r="I97" s="380"/>
      <c r="L97" s="377"/>
      <c r="M97" s="1178"/>
      <c r="N97" s="379"/>
      <c r="P97" s="1202"/>
      <c r="Q97" s="382"/>
      <c r="R97" s="378"/>
      <c r="S97" s="379"/>
      <c r="U97" s="765"/>
      <c r="V97" s="766"/>
      <c r="W97" s="766"/>
      <c r="X97" s="766"/>
      <c r="Y97" s="767"/>
      <c r="Z97" s="769"/>
    </row>
    <row r="98" spans="2:26" s="4" customFormat="1" ht="13" outlineLevel="1" x14ac:dyDescent="0.15">
      <c r="B98" s="401" t="s">
        <v>2828</v>
      </c>
      <c r="C98" s="402"/>
      <c r="D98" s="403">
        <f>SUM(D94:D97)</f>
        <v>0</v>
      </c>
      <c r="E98" s="404">
        <f>SUM(E94:E97)</f>
        <v>0</v>
      </c>
      <c r="F98" s="402"/>
      <c r="G98" s="405"/>
      <c r="H98" s="402"/>
      <c r="I98" s="406">
        <f>SUM(I94:I97)</f>
        <v>0</v>
      </c>
      <c r="L98" s="407"/>
      <c r="M98" s="1179"/>
      <c r="N98" s="406">
        <f>SQRT(SUMSQ(N94:N97))</f>
        <v>0</v>
      </c>
      <c r="P98" s="1189"/>
      <c r="Q98" s="409">
        <f>SUM(Q94:Q97)</f>
        <v>0</v>
      </c>
      <c r="R98" s="408"/>
      <c r="S98" s="406">
        <f>SUM(S94:S97)</f>
        <v>0</v>
      </c>
      <c r="U98" s="770">
        <f t="shared" ref="U98:Z98" si="26">SUM(U94:U97)</f>
        <v>0</v>
      </c>
      <c r="V98" s="771">
        <f t="shared" si="26"/>
        <v>0</v>
      </c>
      <c r="W98" s="771">
        <f t="shared" si="26"/>
        <v>0</v>
      </c>
      <c r="X98" s="771">
        <f t="shared" si="26"/>
        <v>0</v>
      </c>
      <c r="Y98" s="772">
        <f t="shared" si="26"/>
        <v>0</v>
      </c>
      <c r="Z98" s="773">
        <f t="shared" si="26"/>
        <v>0</v>
      </c>
    </row>
    <row r="99" spans="2:26" s="4" customFormat="1" ht="13" outlineLevel="1" x14ac:dyDescent="0.15">
      <c r="F99" s="5"/>
      <c r="G99" s="8"/>
      <c r="M99" s="11"/>
      <c r="P99" s="11"/>
      <c r="U99" s="754"/>
      <c r="V99" s="754"/>
      <c r="W99" s="754"/>
      <c r="X99" s="754"/>
      <c r="Y99" s="754"/>
      <c r="Z99" s="754"/>
    </row>
    <row r="100" spans="2:26" s="4" customFormat="1" ht="13" x14ac:dyDescent="0.15">
      <c r="F100" s="5"/>
      <c r="G100" s="8"/>
      <c r="M100" s="11"/>
      <c r="P100" s="11"/>
      <c r="U100" s="754"/>
      <c r="V100" s="754"/>
      <c r="W100" s="754"/>
      <c r="X100" s="754"/>
      <c r="Y100" s="754"/>
      <c r="Z100" s="754"/>
    </row>
    <row r="101" spans="2:26" s="4" customFormat="1" ht="13" x14ac:dyDescent="0.15">
      <c r="F101" s="5"/>
      <c r="G101" s="8"/>
      <c r="M101" s="11"/>
      <c r="P101" s="11"/>
      <c r="U101" s="754"/>
      <c r="V101" s="754"/>
      <c r="W101" s="754"/>
      <c r="X101" s="754"/>
      <c r="Y101" s="754"/>
      <c r="Z101" s="754"/>
    </row>
    <row r="102" spans="2:26" s="13" customFormat="1" ht="13" x14ac:dyDescent="0.15">
      <c r="F102" s="19"/>
      <c r="G102" s="15"/>
      <c r="M102" s="694"/>
      <c r="N102" s="31"/>
      <c r="P102" s="694"/>
      <c r="Q102" s="31"/>
      <c r="S102" s="31"/>
      <c r="U102" s="754"/>
      <c r="V102" s="754"/>
      <c r="W102" s="754"/>
      <c r="X102" s="754"/>
      <c r="Y102" s="754"/>
      <c r="Z102" s="754"/>
    </row>
    <row r="103" spans="2:26" ht="20" customHeight="1" x14ac:dyDescent="0.15">
      <c r="B103" s="1780" t="str">
        <f>+Energia!B137</f>
        <v>Panoramica delle sorgenti di emissione di CO2e</v>
      </c>
      <c r="C103" s="1780"/>
      <c r="D103" s="1780"/>
      <c r="E103" s="1780"/>
      <c r="F103" s="1780"/>
      <c r="G103" s="1780"/>
      <c r="H103" s="1780"/>
      <c r="I103" s="1780"/>
      <c r="J103" s="1780"/>
      <c r="K103" s="1780"/>
      <c r="L103" s="1780"/>
      <c r="M103" s="1780"/>
      <c r="N103" s="1780"/>
      <c r="O103" s="1780"/>
      <c r="U103" s="754"/>
      <c r="V103" s="754"/>
      <c r="W103" s="754"/>
      <c r="X103" s="754"/>
      <c r="Y103" s="754"/>
      <c r="Z103" s="754"/>
    </row>
    <row r="104" spans="2:26" s="4" customFormat="1" ht="13" x14ac:dyDescent="0.15">
      <c r="E104" s="5"/>
      <c r="G104" s="8"/>
      <c r="M104" s="11"/>
      <c r="P104" s="11"/>
      <c r="U104" s="754"/>
      <c r="V104" s="754"/>
      <c r="W104" s="754"/>
      <c r="X104" s="754"/>
      <c r="Y104" s="754"/>
      <c r="Z104" s="754"/>
    </row>
    <row r="105" spans="2:26" s="4" customFormat="1" ht="12.75" customHeight="1" x14ac:dyDescent="0.2">
      <c r="B105" s="1781" t="str">
        <f>Description!C17</f>
        <v>Non-energetici</v>
      </c>
      <c r="C105" s="1782"/>
      <c r="D105" s="1794" t="s">
        <v>56</v>
      </c>
      <c r="E105" s="1806"/>
      <c r="F105" s="1793"/>
      <c r="G105" s="52"/>
      <c r="H105" s="1792" t="s">
        <v>723</v>
      </c>
      <c r="I105" s="1793"/>
      <c r="J105" s="228"/>
      <c r="K105" s="1792" t="s">
        <v>2489</v>
      </c>
      <c r="L105" s="1793"/>
      <c r="M105" s="1180"/>
      <c r="N105" s="194" t="s">
        <v>2491</v>
      </c>
      <c r="O105" s="194" t="s">
        <v>2492</v>
      </c>
      <c r="P105" s="1181"/>
      <c r="Q105" s="1812" t="s">
        <v>2493</v>
      </c>
      <c r="R105" s="1812"/>
      <c r="S105" s="1812"/>
      <c r="T105" s="1812"/>
      <c r="U105" s="776"/>
      <c r="V105" s="776"/>
      <c r="W105" s="776"/>
      <c r="X105" s="776"/>
      <c r="Y105" s="776"/>
      <c r="Z105" s="754"/>
    </row>
    <row r="106" spans="2:26" s="4" customFormat="1" ht="12.75" customHeight="1" x14ac:dyDescent="0.15">
      <c r="B106" s="1783"/>
      <c r="C106" s="1784"/>
      <c r="D106" s="635" t="s">
        <v>61</v>
      </c>
      <c r="E106" s="636" t="s">
        <v>66</v>
      </c>
      <c r="F106" s="635" t="s">
        <v>73</v>
      </c>
      <c r="G106" s="52"/>
      <c r="H106" s="635" t="s">
        <v>61</v>
      </c>
      <c r="I106" s="635" t="s">
        <v>47</v>
      </c>
      <c r="J106" s="228"/>
      <c r="K106" s="635" t="s">
        <v>2065</v>
      </c>
      <c r="L106" s="635" t="s">
        <v>2558</v>
      </c>
      <c r="M106" s="1180"/>
      <c r="N106" s="230" t="s">
        <v>66</v>
      </c>
      <c r="O106" s="230" t="s">
        <v>66</v>
      </c>
      <c r="P106" s="1181"/>
      <c r="Q106" s="344" t="s">
        <v>2494</v>
      </c>
      <c r="R106" s="344" t="s">
        <v>72</v>
      </c>
      <c r="S106" s="344" t="s">
        <v>72</v>
      </c>
      <c r="T106" s="344" t="s">
        <v>2495</v>
      </c>
      <c r="U106" s="753"/>
      <c r="V106" s="753"/>
      <c r="W106" s="753"/>
      <c r="X106" s="753"/>
      <c r="Y106" s="753"/>
      <c r="Z106" s="754"/>
    </row>
    <row r="107" spans="2:26" s="4" customFormat="1" ht="12.75" customHeight="1" x14ac:dyDescent="0.15">
      <c r="B107" s="1788" t="str">
        <f>+B9</f>
        <v>Emissioni di CO2 escluse quelle dovute all'energia</v>
      </c>
      <c r="C107" s="1789"/>
      <c r="D107" s="241">
        <f>D15</f>
        <v>10000000</v>
      </c>
      <c r="E107" s="242">
        <f>D107/1000</f>
        <v>10000</v>
      </c>
      <c r="F107" s="243">
        <f t="shared" ref="F107:F112" si="27">IF($D$112=0,"",D107/$D$112)</f>
        <v>3.5971223021582732E-2</v>
      </c>
      <c r="G107" s="51"/>
      <c r="H107" s="193">
        <f>N15</f>
        <v>0</v>
      </c>
      <c r="I107" s="243">
        <f t="shared" ref="I107:I112" si="28">IF(D107=0,"",H107/D107)</f>
        <v>0</v>
      </c>
      <c r="J107" s="229"/>
      <c r="K107" s="193">
        <f>Q15</f>
        <v>0</v>
      </c>
      <c r="L107" s="193">
        <f>S15</f>
        <v>0</v>
      </c>
      <c r="M107" s="1181"/>
      <c r="N107" s="193">
        <f>L107/1000</f>
        <v>0</v>
      </c>
      <c r="O107" s="233">
        <f t="shared" ref="O107:O112" si="29">E107-N107</f>
        <v>10000</v>
      </c>
      <c r="P107" s="1181"/>
      <c r="Q107" s="245">
        <f t="shared" ref="Q107:Q112" si="30">(D107-H107)/1000</f>
        <v>10000</v>
      </c>
      <c r="R107" s="245">
        <f t="shared" ref="R107:R112" si="31">E107</f>
        <v>10000</v>
      </c>
      <c r="S107" s="245">
        <f t="shared" ref="S107:S112" si="32">E107</f>
        <v>10000</v>
      </c>
      <c r="T107" s="245">
        <f t="shared" ref="T107:T112" si="33">(D107+H107)/1000</f>
        <v>10000</v>
      </c>
      <c r="U107" s="753"/>
      <c r="V107" s="753"/>
      <c r="W107" s="753"/>
      <c r="X107" s="753"/>
      <c r="Y107" s="753"/>
      <c r="Z107" s="754"/>
    </row>
    <row r="108" spans="2:26" s="4" customFormat="1" ht="12.75" customHeight="1" x14ac:dyDescent="0.15">
      <c r="B108" s="1788" t="s">
        <v>2852</v>
      </c>
      <c r="C108" s="1789"/>
      <c r="D108" s="193">
        <f>D26+D47+D39</f>
        <v>265000000</v>
      </c>
      <c r="E108" s="244">
        <f>D108/1000</f>
        <v>265000</v>
      </c>
      <c r="F108" s="243">
        <f t="shared" si="27"/>
        <v>0.9532374100719424</v>
      </c>
      <c r="G108" s="51"/>
      <c r="H108" s="193">
        <f>SQRT(N26^2+N47^2+N39^2)</f>
        <v>79500000</v>
      </c>
      <c r="I108" s="243">
        <f t="shared" si="28"/>
        <v>0.3</v>
      </c>
      <c r="J108" s="229"/>
      <c r="K108" s="193">
        <f>Q26+Q47+Q39</f>
        <v>0</v>
      </c>
      <c r="L108" s="193">
        <f>S26+S47+S39</f>
        <v>0</v>
      </c>
      <c r="M108" s="1181"/>
      <c r="N108" s="193">
        <f>L108/1000</f>
        <v>0</v>
      </c>
      <c r="O108" s="233">
        <f t="shared" si="29"/>
        <v>265000</v>
      </c>
      <c r="P108" s="1181"/>
      <c r="Q108" s="245">
        <f t="shared" si="30"/>
        <v>185500</v>
      </c>
      <c r="R108" s="245">
        <f t="shared" si="31"/>
        <v>265000</v>
      </c>
      <c r="S108" s="245">
        <f t="shared" si="32"/>
        <v>265000</v>
      </c>
      <c r="T108" s="245">
        <f t="shared" si="33"/>
        <v>344500</v>
      </c>
      <c r="U108" s="753"/>
      <c r="V108" s="753"/>
      <c r="W108" s="753"/>
      <c r="X108" s="753"/>
      <c r="Y108" s="753"/>
      <c r="Z108" s="754"/>
    </row>
    <row r="109" spans="2:26" s="4" customFormat="1" ht="12.75" customHeight="1" x14ac:dyDescent="0.2">
      <c r="B109" s="1788" t="s">
        <v>2853</v>
      </c>
      <c r="C109" s="1789"/>
      <c r="D109" s="193">
        <f>D63+D72</f>
        <v>3000000</v>
      </c>
      <c r="E109" s="244">
        <f>D109/1000</f>
        <v>3000</v>
      </c>
      <c r="F109" s="243">
        <f t="shared" si="27"/>
        <v>1.0791366906474821E-2</v>
      </c>
      <c r="G109" s="51"/>
      <c r="H109" s="193">
        <f>SQRT(N63^2+N72^2)</f>
        <v>1081665.3826391969</v>
      </c>
      <c r="I109" s="243">
        <f t="shared" si="28"/>
        <v>0.36055512754639896</v>
      </c>
      <c r="J109" s="229"/>
      <c r="K109" s="193">
        <f>Q63+Q72</f>
        <v>0</v>
      </c>
      <c r="L109" s="193">
        <f>S63+S72</f>
        <v>0</v>
      </c>
      <c r="M109" s="1181"/>
      <c r="N109" s="193">
        <f>L109/1000</f>
        <v>0</v>
      </c>
      <c r="O109" s="233">
        <f t="shared" si="29"/>
        <v>3000</v>
      </c>
      <c r="P109" s="1181"/>
      <c r="Q109" s="245">
        <f t="shared" si="30"/>
        <v>1918.3346173608031</v>
      </c>
      <c r="R109" s="245">
        <f t="shared" si="31"/>
        <v>3000</v>
      </c>
      <c r="S109" s="245">
        <f t="shared" si="32"/>
        <v>3000</v>
      </c>
      <c r="T109" s="245">
        <f t="shared" si="33"/>
        <v>4081.6653826391967</v>
      </c>
      <c r="U109" s="753"/>
      <c r="V109" s="753"/>
      <c r="W109" s="753"/>
      <c r="X109" s="753"/>
      <c r="Y109" s="753"/>
      <c r="Z109" s="776"/>
    </row>
    <row r="110" spans="2:26" s="4" customFormat="1" ht="12.75" customHeight="1" x14ac:dyDescent="0.15">
      <c r="B110" s="1788" t="s">
        <v>3049</v>
      </c>
      <c r="C110" s="1789"/>
      <c r="D110" s="193">
        <f>D85</f>
        <v>0</v>
      </c>
      <c r="E110" s="244">
        <f>D110/1000</f>
        <v>0</v>
      </c>
      <c r="F110" s="243">
        <f t="shared" si="27"/>
        <v>0</v>
      </c>
      <c r="G110" s="51"/>
      <c r="H110" s="193">
        <f>N85</f>
        <v>0</v>
      </c>
      <c r="I110" s="243" t="str">
        <f t="shared" si="28"/>
        <v/>
      </c>
      <c r="J110" s="229"/>
      <c r="K110" s="193">
        <f>Q85</f>
        <v>0</v>
      </c>
      <c r="L110" s="193">
        <f>S85</f>
        <v>0</v>
      </c>
      <c r="M110" s="1181"/>
      <c r="N110" s="193">
        <f>L110/1000</f>
        <v>0</v>
      </c>
      <c r="O110" s="233">
        <f t="shared" si="29"/>
        <v>0</v>
      </c>
      <c r="P110" s="1181"/>
      <c r="Q110" s="245">
        <f t="shared" si="30"/>
        <v>0</v>
      </c>
      <c r="R110" s="245">
        <f t="shared" si="31"/>
        <v>0</v>
      </c>
      <c r="S110" s="245">
        <f t="shared" si="32"/>
        <v>0</v>
      </c>
      <c r="T110" s="245">
        <f t="shared" si="33"/>
        <v>0</v>
      </c>
      <c r="U110" s="753"/>
      <c r="V110" s="753"/>
      <c r="W110" s="753"/>
      <c r="X110" s="753"/>
      <c r="Y110" s="753"/>
      <c r="Z110" s="753"/>
    </row>
    <row r="111" spans="2:26" s="4" customFormat="1" ht="12.75" customHeight="1" x14ac:dyDescent="0.15">
      <c r="B111" s="1788" t="s">
        <v>2854</v>
      </c>
      <c r="C111" s="1789"/>
      <c r="D111" s="193">
        <f>D98</f>
        <v>0</v>
      </c>
      <c r="E111" s="244">
        <f>D111/1000</f>
        <v>0</v>
      </c>
      <c r="F111" s="243">
        <f t="shared" si="27"/>
        <v>0</v>
      </c>
      <c r="G111" s="51"/>
      <c r="H111" s="193">
        <f>N98</f>
        <v>0</v>
      </c>
      <c r="I111" s="243" t="str">
        <f t="shared" si="28"/>
        <v/>
      </c>
      <c r="J111" s="229"/>
      <c r="K111" s="193">
        <f>Q98</f>
        <v>0</v>
      </c>
      <c r="L111" s="193">
        <f>S98</f>
        <v>0</v>
      </c>
      <c r="M111" s="1181"/>
      <c r="N111" s="193">
        <f>L111/1000</f>
        <v>0</v>
      </c>
      <c r="O111" s="233">
        <f t="shared" si="29"/>
        <v>0</v>
      </c>
      <c r="P111" s="1181"/>
      <c r="Q111" s="245">
        <f t="shared" si="30"/>
        <v>0</v>
      </c>
      <c r="R111" s="245">
        <f t="shared" si="31"/>
        <v>0</v>
      </c>
      <c r="S111" s="245">
        <f t="shared" si="32"/>
        <v>0</v>
      </c>
      <c r="T111" s="245">
        <f t="shared" si="33"/>
        <v>0</v>
      </c>
      <c r="U111" s="753"/>
      <c r="V111" s="753"/>
      <c r="W111" s="753"/>
      <c r="X111" s="753"/>
      <c r="Y111" s="753"/>
      <c r="Z111" s="753"/>
    </row>
    <row r="112" spans="2:26" s="14" customFormat="1" ht="16" x14ac:dyDescent="0.2">
      <c r="B112" s="1790" t="s">
        <v>2828</v>
      </c>
      <c r="C112" s="1791"/>
      <c r="D112" s="246">
        <f>SUM(D107:D111)</f>
        <v>278000000</v>
      </c>
      <c r="E112" s="247">
        <f>SUM(E107:E111)</f>
        <v>278000</v>
      </c>
      <c r="F112" s="248">
        <f t="shared" si="27"/>
        <v>1</v>
      </c>
      <c r="G112" s="249"/>
      <c r="H112" s="246">
        <f>SQRT(SUMSQ(H107:H111))</f>
        <v>79507358.150047973</v>
      </c>
      <c r="I112" s="248">
        <f t="shared" si="28"/>
        <v>0.2859976911872229</v>
      </c>
      <c r="J112" s="229"/>
      <c r="K112" s="246">
        <f>SUM(K107:K111)</f>
        <v>0</v>
      </c>
      <c r="L112" s="246">
        <f>SUM(L107:L111)</f>
        <v>0</v>
      </c>
      <c r="M112" s="1182"/>
      <c r="N112" s="246">
        <f>SUM(N107:N111)</f>
        <v>0</v>
      </c>
      <c r="O112" s="251">
        <f t="shared" si="29"/>
        <v>278000</v>
      </c>
      <c r="P112" s="1191"/>
      <c r="Q112" s="245">
        <f t="shared" si="30"/>
        <v>198492.64184995205</v>
      </c>
      <c r="R112" s="245">
        <f t="shared" si="31"/>
        <v>278000</v>
      </c>
      <c r="S112" s="245">
        <f t="shared" si="32"/>
        <v>278000</v>
      </c>
      <c r="T112" s="245">
        <f t="shared" si="33"/>
        <v>357507.35815004795</v>
      </c>
      <c r="U112" s="753"/>
      <c r="V112" s="753"/>
      <c r="W112" s="753"/>
      <c r="X112" s="753"/>
      <c r="Y112" s="753"/>
      <c r="Z112" s="753"/>
    </row>
    <row r="113" spans="2:51" ht="13" x14ac:dyDescent="0.15">
      <c r="B113" s="192"/>
      <c r="C113" s="192"/>
      <c r="D113" s="192"/>
      <c r="E113" s="192"/>
      <c r="F113" s="192"/>
      <c r="G113" s="192"/>
      <c r="H113" s="231"/>
      <c r="I113" s="231"/>
      <c r="J113" s="287" t="s">
        <v>2496</v>
      </c>
      <c r="K113" s="288">
        <f>IF($D112=0,"",K112/$D112)</f>
        <v>0</v>
      </c>
      <c r="L113" s="288">
        <f>IF($D112=0,"",L112/$D112)</f>
        <v>0</v>
      </c>
      <c r="M113" s="1183"/>
      <c r="N113" s="231"/>
      <c r="O113" s="231"/>
      <c r="P113" s="1192"/>
      <c r="Q113" s="232"/>
      <c r="R113" s="232"/>
      <c r="S113" s="232"/>
      <c r="T113" s="232"/>
    </row>
    <row r="114" spans="2:51" ht="13" x14ac:dyDescent="0.15">
      <c r="U114" s="754"/>
      <c r="V114" s="754"/>
      <c r="W114" s="754"/>
      <c r="X114" s="754"/>
      <c r="Y114" s="754"/>
      <c r="Z114" s="754"/>
    </row>
    <row r="115" spans="2:51" ht="13" x14ac:dyDescent="0.15">
      <c r="U115" s="754"/>
      <c r="V115" s="754"/>
      <c r="W115" s="754"/>
      <c r="X115" s="754"/>
      <c r="Y115" s="754"/>
      <c r="Z115" s="754"/>
    </row>
    <row r="116" spans="2:51" s="39" customFormat="1" ht="16" collapsed="1" x14ac:dyDescent="0.2">
      <c r="B116" s="1774" t="str">
        <f>+Energia!B150</f>
        <v>Panoramica delle categorie definite nel  GHG Protocol</v>
      </c>
      <c r="C116" s="1775"/>
      <c r="D116" s="1775"/>
      <c r="E116" s="1775"/>
      <c r="F116" s="1775"/>
      <c r="G116" s="1775"/>
      <c r="H116" s="1775"/>
      <c r="I116" s="1775"/>
      <c r="J116" s="1775"/>
      <c r="K116" s="1775"/>
      <c r="L116" s="1775"/>
      <c r="M116" s="1775"/>
      <c r="N116" s="1775"/>
      <c r="O116" s="1776"/>
      <c r="W116" s="1162"/>
      <c r="AB116" s="1162"/>
      <c r="AF116" s="1162"/>
      <c r="AK116" s="729"/>
      <c r="AL116" s="729"/>
      <c r="AM116" s="729"/>
      <c r="AN116" s="729"/>
      <c r="AO116" s="729"/>
      <c r="AP116" s="729"/>
      <c r="AQ116" s="729"/>
      <c r="AR116" s="729"/>
      <c r="AS116" s="729"/>
      <c r="AT116" s="729"/>
      <c r="AU116" s="729"/>
      <c r="AV116" s="729"/>
    </row>
    <row r="117" spans="2:51" s="39" customFormat="1" hidden="1" outlineLevel="1" x14ac:dyDescent="0.2">
      <c r="W117" s="1162"/>
      <c r="AB117" s="1162"/>
      <c r="AF117" s="1162"/>
      <c r="AK117" s="729"/>
      <c r="AL117" s="729"/>
      <c r="AM117" s="729"/>
      <c r="AN117" s="729"/>
      <c r="AO117" s="729"/>
      <c r="AP117" s="729"/>
      <c r="AQ117" s="729"/>
      <c r="AR117" s="729"/>
      <c r="AS117" s="729"/>
      <c r="AT117" s="729"/>
      <c r="AU117" s="729"/>
      <c r="AV117" s="729"/>
    </row>
    <row r="118" spans="2:51" s="39" customFormat="1" ht="28" hidden="1" outlineLevel="1" x14ac:dyDescent="0.2">
      <c r="B118" s="118"/>
      <c r="C118" s="118"/>
      <c r="D118" s="118"/>
      <c r="E118" s="1777" t="s">
        <v>2498</v>
      </c>
      <c r="F118" s="1779"/>
      <c r="G118" s="1779"/>
      <c r="H118" s="1779"/>
      <c r="I118" s="1779"/>
      <c r="J118" s="1779"/>
      <c r="K118" s="1779"/>
      <c r="L118" s="1779"/>
      <c r="M118" s="1779"/>
      <c r="N118" s="1778"/>
      <c r="O118" s="1249" t="s">
        <v>2517</v>
      </c>
      <c r="W118" s="1162"/>
      <c r="AB118" s="1162"/>
      <c r="AF118" s="1162"/>
      <c r="AK118" s="729"/>
      <c r="AL118" s="729"/>
      <c r="AM118" s="729"/>
      <c r="AN118" s="729"/>
      <c r="AO118" s="729"/>
      <c r="AP118" s="729"/>
      <c r="AQ118" s="729"/>
      <c r="AR118" s="729"/>
      <c r="AS118" s="729"/>
      <c r="AT118" s="729"/>
      <c r="AU118" s="729"/>
      <c r="AV118" s="729"/>
    </row>
    <row r="119" spans="2:51" s="39" customFormat="1" ht="12" hidden="1" customHeight="1" outlineLevel="1" x14ac:dyDescent="0.2">
      <c r="B119" s="1777" t="str">
        <f>+Energia!B153</f>
        <v>Sorgenti di emissione</v>
      </c>
      <c r="C119" s="1778"/>
      <c r="D119" s="1251" t="s">
        <v>2500</v>
      </c>
      <c r="E119" s="1250" t="s">
        <v>666</v>
      </c>
      <c r="F119" s="1250" t="s">
        <v>667</v>
      </c>
      <c r="G119" s="1250" t="s">
        <v>668</v>
      </c>
      <c r="H119" s="1250" t="s">
        <v>670</v>
      </c>
      <c r="I119" s="1250" t="s">
        <v>671</v>
      </c>
      <c r="J119" s="1250" t="s">
        <v>672</v>
      </c>
      <c r="K119" s="1250" t="s">
        <v>2499</v>
      </c>
      <c r="L119" s="1251" t="s">
        <v>69</v>
      </c>
      <c r="M119" s="1250" t="s">
        <v>669</v>
      </c>
      <c r="N119" s="1250" t="s">
        <v>2062</v>
      </c>
      <c r="O119" s="1251" t="s">
        <v>69</v>
      </c>
      <c r="Z119" s="1162"/>
      <c r="AE119" s="1162"/>
      <c r="AI119" s="1162"/>
      <c r="AN119" s="729"/>
      <c r="AO119" s="729"/>
      <c r="AP119" s="729"/>
      <c r="AQ119" s="729"/>
      <c r="AR119" s="729"/>
      <c r="AS119" s="729"/>
      <c r="AT119" s="729"/>
      <c r="AU119" s="729"/>
      <c r="AV119" s="729"/>
      <c r="AW119" s="729"/>
      <c r="AX119" s="729"/>
      <c r="AY119" s="729"/>
    </row>
    <row r="120" spans="2:51" s="39" customFormat="1" ht="14" hidden="1" outlineLevel="1" x14ac:dyDescent="0.2">
      <c r="B120" s="1769" t="str">
        <f>+Energia!B154</f>
        <v xml:space="preserve">Emissioni dirette da sorgenti di combustione stazionarie </v>
      </c>
      <c r="C120" s="1770"/>
      <c r="D120" s="1245" t="s">
        <v>99</v>
      </c>
      <c r="E120" s="1239"/>
      <c r="F120" s="1239"/>
      <c r="G120" s="1239"/>
      <c r="H120" s="1239"/>
      <c r="I120" s="1239"/>
      <c r="J120" s="1239"/>
      <c r="K120" s="1239"/>
      <c r="L120" s="1248"/>
      <c r="M120" s="1237"/>
      <c r="N120" s="1242"/>
      <c r="O120" s="1241"/>
      <c r="Z120" s="1162"/>
      <c r="AE120" s="1162"/>
      <c r="AI120" s="1162"/>
      <c r="AN120" s="729"/>
      <c r="AO120" s="729"/>
      <c r="AP120" s="729"/>
      <c r="AQ120" s="729"/>
      <c r="AR120" s="729"/>
      <c r="AS120" s="729"/>
      <c r="AT120" s="729"/>
      <c r="AU120" s="729"/>
      <c r="AV120" s="729"/>
      <c r="AW120" s="729"/>
      <c r="AX120" s="729"/>
      <c r="AY120" s="729"/>
    </row>
    <row r="121" spans="2:51" s="39" customFormat="1" ht="14" hidden="1" outlineLevel="1" x14ac:dyDescent="0.2">
      <c r="B121" s="1769" t="str">
        <f>+Energia!B155</f>
        <v>Emissioni dirette da sorgenti di combustione mobili</v>
      </c>
      <c r="C121" s="1770"/>
      <c r="D121" s="1246" t="s">
        <v>100</v>
      </c>
      <c r="E121" s="1239"/>
      <c r="F121" s="1239"/>
      <c r="G121" s="1239"/>
      <c r="H121" s="1239"/>
      <c r="I121" s="1239"/>
      <c r="J121" s="1239"/>
      <c r="K121" s="1239"/>
      <c r="L121" s="1248"/>
      <c r="M121" s="1237"/>
      <c r="N121" s="1242"/>
      <c r="O121" s="1241"/>
      <c r="Z121" s="1162"/>
      <c r="AE121" s="1162"/>
      <c r="AI121" s="1162"/>
      <c r="AN121" s="729"/>
      <c r="AO121" s="729"/>
      <c r="AP121" s="729"/>
      <c r="AQ121" s="729"/>
      <c r="AR121" s="729"/>
      <c r="AS121" s="729"/>
      <c r="AT121" s="729"/>
      <c r="AU121" s="729"/>
      <c r="AV121" s="729"/>
      <c r="AW121" s="729"/>
      <c r="AX121" s="729"/>
      <c r="AY121" s="729"/>
    </row>
    <row r="122" spans="2:51" s="39" customFormat="1" ht="14" hidden="1" outlineLevel="1" x14ac:dyDescent="0.2">
      <c r="B122" s="1769" t="str">
        <f>+Energia!B156</f>
        <v>Emissioni dirette da  processi</v>
      </c>
      <c r="C122" s="1770"/>
      <c r="D122" s="1246" t="s">
        <v>101</v>
      </c>
      <c r="E122" s="1239">
        <f>SUMIF($F$9:$F$98,'Info utili'!$E$532,U$9:U$98)+SUMIF($F$9:$F$98,'Info utili'!$E$537,U$9:U$98)</f>
        <v>10000000</v>
      </c>
      <c r="F122" s="1239">
        <f>SUMIF($F$9:$F$98,'Info utili'!$E$532,V$9:V$98)+SUMIF($F$9:$F$98,'Info utili'!$E$537,V$9:V$98)</f>
        <v>3000000</v>
      </c>
      <c r="G122" s="1239">
        <f>SUMIF($F$9:$F$98,'Info utili'!$E$532,W$9:W$98)+SUMIF($F$9:$F$98,'Info utili'!$E$537,W$9:W$98)</f>
        <v>265000000</v>
      </c>
      <c r="H122" s="1239">
        <f>SUMPRODUCT(($F$81:$F$84='Info utili'!$E$532)*(LEFT($B$81:$B$84,3)&lt;&gt;"Per")*(LEFT($B$81:$B$84,3)&lt;&gt;"SF6")*(X$81:X$84))+SUMPRODUCT(($F$81:$F$84='Info utili'!$E$537)*(LEFT($B$81:$B$84,3)&lt;&gt;"Per")*(LEFT($B$81:$B$84,3)&lt;&gt;"SF6")*(X$81:X$84))</f>
        <v>0</v>
      </c>
      <c r="I122" s="1239">
        <f>SUMPRODUCT(($F$81:$F$84='Info utili'!$E$532)*(LEFT($B$81:$B$84,3)="Per")*(X$81:X$84))+SUMPRODUCT(($F$81:$F$84='Info utili'!$E$537)*(LEFT($B$81:$B$84,3)="Per")*(X$81:X$84))</f>
        <v>0</v>
      </c>
      <c r="J122" s="1239">
        <f>SUMPRODUCT(($F$81:$F$84='Info utili'!$E$532)*(LEFT($B$81:$B$84,3)="SF6")*(X$81:X$84))+SUMPRODUCT(($F$81:$F$84='Info utili'!$E$537)*(LEFT($B$81:$B$84,3)="SF6")*(X$81:X$84))</f>
        <v>0</v>
      </c>
      <c r="K122" s="1239">
        <f>SUMIF($F$90:$F$98,'Info utili'!$E$532,X$90:X$98)+SUMIF($F$90:$F$98,'Info utili'!$E$537,X$90:X$98)</f>
        <v>0</v>
      </c>
      <c r="L122" s="1248">
        <f>SUMIF($F$9:$F$98,'Info utili'!$E$532,Y$9:Y$98)+SUMIF($F$9:$F$98,'Info utili'!$E$537,Y$9:Y$98)</f>
        <v>278000000</v>
      </c>
      <c r="M122" s="1237">
        <f>SUMIF($F$9:$F$98,'Info utili'!$E$532,Z$9:Z$98)+SUMIF($F$9:$F$98,'Info utili'!$E$537,Z$9:Z$98)</f>
        <v>0</v>
      </c>
      <c r="N122" s="1242">
        <f>SQRT(SUMPRODUCT(($F$9:$F$98='Info utili'!$E$532)*1,N$9:N$98,N$9:N$98)+SUMPRODUCT(($F$9:$F$98='Info utili'!$E$537)*1,N$9:N$98,N$9:N$98))</f>
        <v>79507358.150047973</v>
      </c>
      <c r="O122" s="1241"/>
      <c r="Z122" s="1162"/>
      <c r="AE122" s="1162"/>
      <c r="AI122" s="1162"/>
      <c r="AN122" s="729"/>
      <c r="AO122" s="729"/>
      <c r="AP122" s="729"/>
      <c r="AQ122" s="729"/>
      <c r="AR122" s="729"/>
      <c r="AS122" s="729"/>
      <c r="AT122" s="729"/>
      <c r="AU122" s="729"/>
      <c r="AV122" s="729"/>
      <c r="AW122" s="729"/>
      <c r="AX122" s="729"/>
      <c r="AY122" s="729"/>
    </row>
    <row r="123" spans="2:51" s="39" customFormat="1" ht="14" hidden="1" outlineLevel="1" x14ac:dyDescent="0.2">
      <c r="B123" s="1769" t="str">
        <f>+Energia!B157</f>
        <v>Emissioni dirette da  fonti fugitive</v>
      </c>
      <c r="C123" s="1770"/>
      <c r="D123" s="1246" t="s">
        <v>102</v>
      </c>
      <c r="E123" s="1239">
        <f>SUMIF($F$9:$F$98,'Info utili'!$E$533,U$9:U$98)+SUMIF($F$9:$F$98,'Info utili'!$E$538,U$9:U$98)</f>
        <v>0</v>
      </c>
      <c r="F123" s="1239">
        <f>SUMIF($F$9:$F$98,'Info utili'!$E$533,V$9:V$98)+SUMIF($F$9:$F$98,'Info utili'!$E$538,V$9:V$98)</f>
        <v>0</v>
      </c>
      <c r="G123" s="1239">
        <f>SUMIF($F$9:$F$98,'Info utili'!$E$533,W$9:W$98)+SUMIF($F$9:$F$98,'Info utili'!$E$538,W$9:W$98)</f>
        <v>0</v>
      </c>
      <c r="H123" s="1239">
        <f>SUMPRODUCT(($F$81:$F$84='Info utili'!$E$533)*(LEFT($B$81:$B$84,3)&lt;&gt;"Per")*(LEFT($B$81:$B$84,3)&lt;&gt;"SF6")*(X$81:X$84))+SUMPRODUCT(($F$81:$F$84='Info utili'!$E$538)*(LEFT($B$81:$B$84,3)&lt;&gt;"Per")*(LEFT($B$81:$B$84,3)&lt;&gt;"SF6")*(X$81:X$84))</f>
        <v>0</v>
      </c>
      <c r="I123" s="1239">
        <f>SUMPRODUCT(($F$81:$F$84='Info utili'!$E$533)*(LEFT($B$81:$B$84,3)="Per")*(X$81:X$84))+SUMPRODUCT(($F$81:$F$84='Info utili'!$E$538)*(LEFT($B$81:$B$84,3)="Per")*(X$81:X$84))</f>
        <v>0</v>
      </c>
      <c r="J123" s="1239">
        <f>SUMPRODUCT(($F$81:$F$84='Info utili'!$E$533)*(LEFT($B$81:$B$84,3)="SF6")*(X$81:X$84))+SUMPRODUCT(($F$81:$F$84='Info utili'!$E$538)*(LEFT($B$81:$B$84,3)="SF6")*(X$81:X$84))</f>
        <v>0</v>
      </c>
      <c r="K123" s="1239">
        <f>SUMIF($F$90:$F$98,'Info utili'!$E$533,X$90:X$98)+SUMIF($F$90:$F$98,'Info utili'!$E$538,X$90:X$98)</f>
        <v>0</v>
      </c>
      <c r="L123" s="1248">
        <f>SUMIF($F$9:$F$98,'Info utili'!$E$533,Y$9:Y$98)+SUMIF($F$9:$F$98,'Info utili'!$E$538,Y$9:Y$98)</f>
        <v>0</v>
      </c>
      <c r="M123" s="1237">
        <f>SUMIF($F$9:$F$98,'Info utili'!$E$533,Z$9:Z$98)+SUMIF($F$9:$F$98,'Info utili'!$E$538,Z$9:Z$98)</f>
        <v>0</v>
      </c>
      <c r="N123" s="1242">
        <f>SQRT(SUMPRODUCT(($F$9:$F$98='Info utili'!$E$533)*1,N$9:N$98,N$9:N$98)+SUMPRODUCT(($F$9:$F$98='Info utili'!$E$538)*1,N$9:N$98,N$9:N$98))</f>
        <v>0</v>
      </c>
      <c r="O123" s="1241"/>
      <c r="Z123" s="1162"/>
      <c r="AE123" s="1162"/>
      <c r="AI123" s="1162"/>
      <c r="AN123" s="729"/>
      <c r="AO123" s="729"/>
      <c r="AP123" s="729"/>
      <c r="AQ123" s="729"/>
      <c r="AR123" s="729"/>
      <c r="AS123" s="729"/>
      <c r="AT123" s="729"/>
      <c r="AU123" s="729"/>
      <c r="AV123" s="729"/>
      <c r="AW123" s="729"/>
      <c r="AX123" s="729"/>
      <c r="AY123" s="729"/>
    </row>
    <row r="124" spans="2:51" s="39" customFormat="1" ht="13" hidden="1" outlineLevel="1" x14ac:dyDescent="0.2">
      <c r="B124" s="1766" t="s">
        <v>98</v>
      </c>
      <c r="C124" s="1767"/>
      <c r="D124" s="1768"/>
      <c r="E124" s="1236">
        <f t="shared" ref="E124:O124" si="34">SUM(E120:E123)</f>
        <v>10000000</v>
      </c>
      <c r="F124" s="1236">
        <f t="shared" si="34"/>
        <v>3000000</v>
      </c>
      <c r="G124" s="1236">
        <f t="shared" si="34"/>
        <v>265000000</v>
      </c>
      <c r="H124" s="1236">
        <f t="shared" si="34"/>
        <v>0</v>
      </c>
      <c r="I124" s="1236">
        <f t="shared" si="34"/>
        <v>0</v>
      </c>
      <c r="J124" s="1236">
        <f t="shared" si="34"/>
        <v>0</v>
      </c>
      <c r="K124" s="1236">
        <f t="shared" si="34"/>
        <v>0</v>
      </c>
      <c r="L124" s="1236">
        <f t="shared" si="34"/>
        <v>278000000</v>
      </c>
      <c r="M124" s="1247">
        <f t="shared" si="34"/>
        <v>0</v>
      </c>
      <c r="N124" s="1243">
        <f>SQRT(SUMSQ(N120:N123))</f>
        <v>79507358.150047973</v>
      </c>
      <c r="O124" s="1244">
        <f t="shared" si="34"/>
        <v>0</v>
      </c>
      <c r="Z124" s="1162"/>
      <c r="AE124" s="1162"/>
      <c r="AI124" s="1162"/>
      <c r="AN124" s="729"/>
      <c r="AO124" s="729"/>
      <c r="AP124" s="729"/>
      <c r="AQ124" s="729"/>
      <c r="AR124" s="729"/>
      <c r="AS124" s="729"/>
      <c r="AT124" s="729"/>
      <c r="AU124" s="729"/>
      <c r="AV124" s="729"/>
      <c r="AW124" s="729"/>
      <c r="AX124" s="729"/>
      <c r="AY124" s="729"/>
    </row>
    <row r="125" spans="2:51" s="39" customFormat="1" ht="14" hidden="1" outlineLevel="1" x14ac:dyDescent="0.2">
      <c r="B125" s="1749" t="str">
        <f>+Energia!B159</f>
        <v xml:space="preserve">Emissioni indirette da consumo di elettricità </v>
      </c>
      <c r="C125" s="1749"/>
      <c r="D125" s="1246" t="s">
        <v>103</v>
      </c>
      <c r="E125" s="1239"/>
      <c r="F125" s="1239"/>
      <c r="G125" s="1239"/>
      <c r="H125" s="1239"/>
      <c r="I125" s="1239"/>
      <c r="J125" s="1239"/>
      <c r="K125" s="1239"/>
      <c r="L125" s="1248"/>
      <c r="M125" s="1237"/>
      <c r="N125" s="1242"/>
      <c r="O125" s="1240"/>
      <c r="Z125" s="1162"/>
      <c r="AE125" s="1162"/>
      <c r="AI125" s="1162"/>
      <c r="AN125" s="729"/>
      <c r="AO125" s="729"/>
      <c r="AP125" s="729"/>
      <c r="AQ125" s="729"/>
      <c r="AR125" s="729"/>
      <c r="AS125" s="729"/>
      <c r="AT125" s="729"/>
      <c r="AU125" s="729"/>
      <c r="AV125" s="729"/>
      <c r="AW125" s="729"/>
      <c r="AX125" s="729"/>
      <c r="AY125" s="729"/>
    </row>
    <row r="126" spans="2:51" s="39" customFormat="1" ht="12.75" hidden="1" customHeight="1" outlineLevel="1" x14ac:dyDescent="0.2">
      <c r="B126" s="1749" t="str">
        <f>+Energia!B160</f>
        <v xml:space="preserve">Emissioni indirette da consumo di vapore, calore o raffrescamento </v>
      </c>
      <c r="C126" s="1749"/>
      <c r="D126" s="1246" t="s">
        <v>104</v>
      </c>
      <c r="E126" s="1239"/>
      <c r="F126" s="1239"/>
      <c r="G126" s="1239"/>
      <c r="H126" s="1239"/>
      <c r="I126" s="1239"/>
      <c r="J126" s="1239"/>
      <c r="K126" s="1239"/>
      <c r="L126" s="1248"/>
      <c r="M126" s="1237"/>
      <c r="N126" s="1242"/>
      <c r="O126" s="1240"/>
      <c r="Z126" s="1162"/>
      <c r="AE126" s="1162"/>
      <c r="AI126" s="1162"/>
      <c r="AN126" s="729"/>
      <c r="AO126" s="729"/>
      <c r="AP126" s="729"/>
      <c r="AQ126" s="729"/>
      <c r="AR126" s="729"/>
      <c r="AS126" s="729"/>
      <c r="AT126" s="729"/>
      <c r="AU126" s="729"/>
      <c r="AV126" s="729"/>
      <c r="AW126" s="729"/>
      <c r="AX126" s="729"/>
      <c r="AY126" s="729"/>
    </row>
    <row r="127" spans="2:51" s="39" customFormat="1" ht="13" hidden="1" outlineLevel="1" x14ac:dyDescent="0.2">
      <c r="B127" s="1766" t="s">
        <v>97</v>
      </c>
      <c r="C127" s="1767"/>
      <c r="D127" s="1768"/>
      <c r="E127" s="1236">
        <f t="shared" ref="E127:L127" si="35">SUM(E125:E126)</f>
        <v>0</v>
      </c>
      <c r="F127" s="1236">
        <f t="shared" si="35"/>
        <v>0</v>
      </c>
      <c r="G127" s="1236">
        <f t="shared" si="35"/>
        <v>0</v>
      </c>
      <c r="H127" s="1236">
        <f t="shared" si="35"/>
        <v>0</v>
      </c>
      <c r="I127" s="1236">
        <f t="shared" si="35"/>
        <v>0</v>
      </c>
      <c r="J127" s="1236">
        <f t="shared" si="35"/>
        <v>0</v>
      </c>
      <c r="K127" s="1236">
        <f t="shared" si="35"/>
        <v>0</v>
      </c>
      <c r="L127" s="1236">
        <f t="shared" si="35"/>
        <v>0</v>
      </c>
      <c r="M127" s="1247">
        <f>SUM(M125:M126)</f>
        <v>0</v>
      </c>
      <c r="N127" s="1243">
        <f>SQRT(SUMSQ(N125:N126))</f>
        <v>0</v>
      </c>
      <c r="O127" s="1244">
        <f>SUM(O125:O126)</f>
        <v>0</v>
      </c>
      <c r="Z127" s="1162"/>
      <c r="AE127" s="1162"/>
      <c r="AI127" s="1162"/>
      <c r="AN127" s="729"/>
      <c r="AO127" s="729"/>
      <c r="AP127" s="729"/>
      <c r="AQ127" s="729"/>
      <c r="AR127" s="729"/>
      <c r="AS127" s="729"/>
      <c r="AT127" s="729"/>
      <c r="AU127" s="729"/>
      <c r="AV127" s="729"/>
      <c r="AW127" s="729"/>
      <c r="AX127" s="729"/>
      <c r="AY127" s="729"/>
    </row>
    <row r="128" spans="2:51" s="39" customFormat="1" ht="13" hidden="1" outlineLevel="1" x14ac:dyDescent="0.2">
      <c r="B128" s="1771" t="s">
        <v>2837</v>
      </c>
      <c r="C128" s="1772"/>
      <c r="D128" s="1772"/>
      <c r="E128" s="1772"/>
      <c r="F128" s="1772"/>
      <c r="G128" s="1772"/>
      <c r="H128" s="1772"/>
      <c r="I128" s="1772"/>
      <c r="J128" s="1772"/>
      <c r="K128" s="1772"/>
      <c r="L128" s="1772"/>
      <c r="M128" s="1772"/>
      <c r="N128" s="1772"/>
      <c r="O128" s="1773"/>
      <c r="Z128" s="1162"/>
      <c r="AE128" s="1162"/>
      <c r="AI128" s="1162"/>
      <c r="AN128" s="729"/>
      <c r="AO128" s="729"/>
      <c r="AP128" s="729"/>
      <c r="AQ128" s="729"/>
      <c r="AR128" s="729"/>
      <c r="AS128" s="729"/>
      <c r="AT128" s="729"/>
      <c r="AU128" s="729"/>
      <c r="AV128" s="729"/>
      <c r="AW128" s="729"/>
      <c r="AX128" s="729"/>
      <c r="AY128" s="729"/>
    </row>
    <row r="129" spans="2:51" s="39" customFormat="1" ht="14" hidden="1" outlineLevel="1" x14ac:dyDescent="0.2">
      <c r="B129" s="1749" t="str">
        <f>+Energia!B163</f>
        <v xml:space="preserve">Beni o servizi acquistati </v>
      </c>
      <c r="C129" s="1749"/>
      <c r="D129" s="1246" t="s">
        <v>106</v>
      </c>
      <c r="E129" s="1239"/>
      <c r="F129" s="1239"/>
      <c r="G129" s="1239"/>
      <c r="H129" s="1239"/>
      <c r="I129" s="1239"/>
      <c r="J129" s="1239"/>
      <c r="K129" s="1239"/>
      <c r="L129" s="1248"/>
      <c r="M129" s="1237"/>
      <c r="N129" s="1242"/>
      <c r="O129" s="1240"/>
      <c r="Z129" s="1162"/>
      <c r="AE129" s="1162"/>
      <c r="AI129" s="1162"/>
      <c r="AN129" s="729"/>
      <c r="AO129" s="729"/>
      <c r="AP129" s="729"/>
      <c r="AQ129" s="729"/>
      <c r="AR129" s="729"/>
      <c r="AS129" s="729"/>
      <c r="AT129" s="729"/>
      <c r="AU129" s="729"/>
      <c r="AV129" s="729"/>
      <c r="AW129" s="729"/>
      <c r="AX129" s="729"/>
      <c r="AY129" s="729"/>
    </row>
    <row r="130" spans="2:51" s="39" customFormat="1" ht="14" hidden="1" outlineLevel="1" x14ac:dyDescent="0.2">
      <c r="B130" s="1749" t="str">
        <f>+Energia!B164</f>
        <v xml:space="preserve">Beni di consumo </v>
      </c>
      <c r="C130" s="1749"/>
      <c r="D130" s="1246" t="s">
        <v>107</v>
      </c>
      <c r="E130" s="1239"/>
      <c r="F130" s="1239"/>
      <c r="G130" s="1239"/>
      <c r="H130" s="1239"/>
      <c r="I130" s="1239"/>
      <c r="J130" s="1239"/>
      <c r="K130" s="1239"/>
      <c r="L130" s="1248"/>
      <c r="M130" s="1237"/>
      <c r="N130" s="1242"/>
      <c r="O130" s="1240"/>
      <c r="Z130" s="1162"/>
      <c r="AE130" s="1162"/>
      <c r="AI130" s="1162"/>
      <c r="AN130" s="729"/>
      <c r="AO130" s="729"/>
      <c r="AP130" s="729"/>
      <c r="AQ130" s="729"/>
      <c r="AR130" s="729"/>
      <c r="AS130" s="729"/>
      <c r="AT130" s="729"/>
      <c r="AU130" s="729"/>
      <c r="AV130" s="729"/>
      <c r="AW130" s="729"/>
      <c r="AX130" s="729"/>
      <c r="AY130" s="729"/>
    </row>
    <row r="131" spans="2:51" s="39" customFormat="1" ht="14" hidden="1" outlineLevel="1" x14ac:dyDescent="0.2">
      <c r="B131" s="1749" t="str">
        <f>+Energia!B165</f>
        <v xml:space="preserve">Emissioni dovute a combustibili e energia (non incluse nello scope 1 e 2) </v>
      </c>
      <c r="C131" s="1749"/>
      <c r="D131" s="1246" t="s">
        <v>108</v>
      </c>
      <c r="E131" s="1239"/>
      <c r="F131" s="1239"/>
      <c r="G131" s="1239"/>
      <c r="H131" s="1239"/>
      <c r="I131" s="1239"/>
      <c r="J131" s="1239"/>
      <c r="K131" s="1239"/>
      <c r="L131" s="1248"/>
      <c r="M131" s="1237"/>
      <c r="N131" s="1242"/>
      <c r="O131" s="1240"/>
      <c r="Z131" s="1162"/>
      <c r="AE131" s="1162"/>
      <c r="AI131" s="1162"/>
      <c r="AN131" s="729"/>
      <c r="AO131" s="729"/>
      <c r="AP131" s="729"/>
      <c r="AQ131" s="729"/>
      <c r="AR131" s="729"/>
      <c r="AS131" s="729"/>
      <c r="AT131" s="729"/>
      <c r="AU131" s="729"/>
      <c r="AV131" s="729"/>
      <c r="AW131" s="729"/>
      <c r="AX131" s="729"/>
      <c r="AY131" s="729"/>
    </row>
    <row r="132" spans="2:51" s="39" customFormat="1" ht="14" hidden="1" outlineLevel="1" x14ac:dyDescent="0.2">
      <c r="B132" s="1749" t="str">
        <f>+Energia!B166</f>
        <v>Trasporto e distribuzione premanifattura</v>
      </c>
      <c r="C132" s="1749"/>
      <c r="D132" s="1246" t="s">
        <v>109</v>
      </c>
      <c r="E132" s="1239"/>
      <c r="F132" s="1239"/>
      <c r="G132" s="1239"/>
      <c r="H132" s="1239"/>
      <c r="I132" s="1239"/>
      <c r="J132" s="1239"/>
      <c r="K132" s="1239"/>
      <c r="L132" s="1248"/>
      <c r="M132" s="1237"/>
      <c r="N132" s="1242"/>
      <c r="O132" s="1240"/>
      <c r="Z132" s="1162"/>
      <c r="AE132" s="1162"/>
      <c r="AI132" s="1162"/>
      <c r="AN132" s="729"/>
      <c r="AO132" s="729"/>
      <c r="AP132" s="729"/>
      <c r="AQ132" s="729"/>
      <c r="AR132" s="729"/>
      <c r="AS132" s="729"/>
      <c r="AT132" s="729"/>
      <c r="AU132" s="729"/>
      <c r="AV132" s="729"/>
      <c r="AW132" s="729"/>
      <c r="AX132" s="729"/>
      <c r="AY132" s="729"/>
    </row>
    <row r="133" spans="2:51" s="39" customFormat="1" ht="14" hidden="1" outlineLevel="1" x14ac:dyDescent="0.2">
      <c r="B133" s="1749" t="str">
        <f>+Energia!B167</f>
        <v>Rifiuti prodotti</v>
      </c>
      <c r="C133" s="1749"/>
      <c r="D133" s="1246" t="s">
        <v>110</v>
      </c>
      <c r="E133" s="1239"/>
      <c r="F133" s="1239"/>
      <c r="G133" s="1239"/>
      <c r="H133" s="1239"/>
      <c r="I133" s="1239"/>
      <c r="J133" s="1239"/>
      <c r="K133" s="1239"/>
      <c r="L133" s="1248"/>
      <c r="M133" s="1237"/>
      <c r="N133" s="1242"/>
      <c r="O133" s="1240"/>
      <c r="Z133" s="1162"/>
      <c r="AE133" s="1162"/>
      <c r="AI133" s="1162"/>
      <c r="AN133" s="729"/>
      <c r="AO133" s="729"/>
      <c r="AP133" s="729"/>
      <c r="AQ133" s="729"/>
      <c r="AR133" s="729"/>
      <c r="AS133" s="729"/>
      <c r="AT133" s="729"/>
      <c r="AU133" s="729"/>
      <c r="AV133" s="729"/>
      <c r="AW133" s="729"/>
      <c r="AX133" s="729"/>
      <c r="AY133" s="729"/>
    </row>
    <row r="134" spans="2:51" s="39" customFormat="1" ht="14" hidden="1" outlineLevel="1" x14ac:dyDescent="0.2">
      <c r="B134" s="1749" t="str">
        <f>+Energia!B168</f>
        <v>Viaggi di lavoro</v>
      </c>
      <c r="C134" s="1749"/>
      <c r="D134" s="1246" t="s">
        <v>111</v>
      </c>
      <c r="E134" s="1239"/>
      <c r="F134" s="1239"/>
      <c r="G134" s="1239"/>
      <c r="H134" s="1239"/>
      <c r="I134" s="1239"/>
      <c r="J134" s="1239"/>
      <c r="K134" s="1239"/>
      <c r="L134" s="1248"/>
      <c r="M134" s="1237"/>
      <c r="N134" s="1242"/>
      <c r="O134" s="1240"/>
      <c r="Z134" s="1162"/>
      <c r="AE134" s="1162"/>
      <c r="AI134" s="1162"/>
      <c r="AN134" s="729"/>
      <c r="AO134" s="729"/>
      <c r="AP134" s="729"/>
      <c r="AQ134" s="729"/>
      <c r="AR134" s="729"/>
      <c r="AS134" s="729"/>
      <c r="AT134" s="729"/>
      <c r="AU134" s="729"/>
      <c r="AV134" s="729"/>
      <c r="AW134" s="729"/>
      <c r="AX134" s="729"/>
      <c r="AY134" s="729"/>
    </row>
    <row r="135" spans="2:51" s="39" customFormat="1" ht="14" hidden="1" outlineLevel="1" x14ac:dyDescent="0.2">
      <c r="B135" s="1749" t="str">
        <f>+Energia!B169</f>
        <v>Impiegati pendolari</v>
      </c>
      <c r="C135" s="1749"/>
      <c r="D135" s="1246" t="s">
        <v>112</v>
      </c>
      <c r="E135" s="1239"/>
      <c r="F135" s="1239"/>
      <c r="G135" s="1239"/>
      <c r="H135" s="1239"/>
      <c r="I135" s="1239"/>
      <c r="J135" s="1239"/>
      <c r="K135" s="1239"/>
      <c r="L135" s="1248"/>
      <c r="M135" s="1237"/>
      <c r="N135" s="1242"/>
      <c r="O135" s="1240"/>
      <c r="Z135" s="1162"/>
      <c r="AE135" s="1162"/>
      <c r="AI135" s="1162"/>
      <c r="AN135" s="729"/>
      <c r="AO135" s="729"/>
      <c r="AP135" s="729"/>
      <c r="AQ135" s="729"/>
      <c r="AR135" s="729"/>
      <c r="AS135" s="729"/>
      <c r="AT135" s="729"/>
      <c r="AU135" s="729"/>
      <c r="AV135" s="729"/>
      <c r="AW135" s="729"/>
      <c r="AX135" s="729"/>
      <c r="AY135" s="729"/>
    </row>
    <row r="136" spans="2:51" s="39" customFormat="1" ht="14" hidden="1" outlineLevel="1" x14ac:dyDescent="0.2">
      <c r="B136" s="1749" t="str">
        <f>+Energia!B170</f>
        <v>Upstream leased assets</v>
      </c>
      <c r="C136" s="1749"/>
      <c r="D136" s="1246" t="s">
        <v>113</v>
      </c>
      <c r="E136" s="1239">
        <f>SUMIF($F$9:$F$98,'Info utili'!$E$534,U$9:U$98)</f>
        <v>0</v>
      </c>
      <c r="F136" s="1239">
        <f>SUMIF($F$9:$F$98,'Info utili'!$E$534,V$9:V$98)</f>
        <v>0</v>
      </c>
      <c r="G136" s="1239">
        <f>SUMIF($F$9:$F$98,'Info utili'!$E$534,W$9:W$98)</f>
        <v>0</v>
      </c>
      <c r="H136" s="1239">
        <f>SUMPRODUCT(($F$81:$F$84='Info utili'!$E$534)*(LEFT($B$81:$B$84,3)&lt;&gt;"Per")*(LEFT($B$81:$B$84,3)&lt;&gt;"SF6")*(X$81:X$84))</f>
        <v>0</v>
      </c>
      <c r="I136" s="1239">
        <f>SUMPRODUCT(($F$81:$F$84='Info utili'!$E$534)*(LEFT($B$81:$B$84,3)="Per")*(X$81:X$84))</f>
        <v>0</v>
      </c>
      <c r="J136" s="1239">
        <f>SUMPRODUCT(($F$81:$F$84='Info utili'!$E$534)*(LEFT($B$81:$B$84,3)="SF6")*(X$81:X$84))</f>
        <v>0</v>
      </c>
      <c r="K136" s="1239">
        <f>SUMIF($F$90:$F$98,'Info utili'!$E$534,X$90:X$98)</f>
        <v>0</v>
      </c>
      <c r="L136" s="1248">
        <f>SUMIF($F$9:$F$98,'Info utili'!$E$534,Y$9:Y$98)</f>
        <v>0</v>
      </c>
      <c r="M136" s="1237">
        <f>SUMIF($F$9:$F$98,'Info utili'!$E$534,Z$9:Z$98)</f>
        <v>0</v>
      </c>
      <c r="N136" s="1242">
        <f>SQRT(SUMPRODUCT(($F$9:$F$98='Info utili'!$E$534)*1,N$9:N$98,N$9:N$98))</f>
        <v>0</v>
      </c>
      <c r="O136" s="1240"/>
      <c r="Z136" s="1162"/>
      <c r="AE136" s="1162"/>
      <c r="AI136" s="1162"/>
      <c r="AN136" s="729"/>
      <c r="AO136" s="729"/>
      <c r="AP136" s="729"/>
      <c r="AQ136" s="729"/>
      <c r="AR136" s="729"/>
      <c r="AS136" s="729"/>
      <c r="AT136" s="729"/>
      <c r="AU136" s="729"/>
      <c r="AV136" s="729"/>
      <c r="AW136" s="729"/>
      <c r="AX136" s="729"/>
      <c r="AY136" s="729"/>
    </row>
    <row r="137" spans="2:51" s="39" customFormat="1" ht="13" hidden="1" outlineLevel="1" x14ac:dyDescent="0.2">
      <c r="B137" s="1749" t="str">
        <f>+Energia!B171</f>
        <v>Altre emissioni indirette premanifattura</v>
      </c>
      <c r="C137" s="1749"/>
      <c r="D137" s="1238"/>
      <c r="E137" s="1239">
        <f>SUMIF($F$9:$F$98,'Info utili'!$E$535,U$9:U$98)+SUMIF($F$9:$F$98,'Info utili'!$E$539,U$9:U$98)</f>
        <v>0</v>
      </c>
      <c r="F137" s="1239">
        <f>SUMIF($F$9:$F$98,'Info utili'!$E$535,V$9:V$98)+SUMIF($F$9:$F$98,'Info utili'!$E$539,V$9:V$98)</f>
        <v>0</v>
      </c>
      <c r="G137" s="1239">
        <f>SUMIF($F$9:$F$98,'Info utili'!$E$535,W$9:W$98)+SUMIF($F$9:$F$98,'Info utili'!$E$539,W$9:W$98)</f>
        <v>0</v>
      </c>
      <c r="H137" s="1239">
        <f>SUMPRODUCT(($F$81:$F$84='Info utili'!$E$535)*(LEFT($B$81:$B$84,3)&lt;&gt;"Per")*(LEFT($B$81:$B$84,3)&lt;&gt;"SF6")*(X$81:X$84))+SUMPRODUCT(($F$81:$F$84='Info utili'!$E$539)*(LEFT($B$81:$B$84,3)&lt;&gt;"Per")*(LEFT($B$81:$B$84,3)&lt;&gt;"SF6")*(X$81:X$84))</f>
        <v>0</v>
      </c>
      <c r="I137" s="1239">
        <f>SUMPRODUCT(($F$81:$F$84='Info utili'!$E$535)*(LEFT($B$81:$B$84,3)="Per")*(X$81:X$84))+SUMPRODUCT(($F$81:$F$84='Info utili'!$E$539)*(LEFT($B$81:$B$84,3)="Per")*(X$81:X$84))</f>
        <v>0</v>
      </c>
      <c r="J137" s="1239">
        <f>SUMPRODUCT(($F$81:$F$84='Info utili'!$E$535)*(LEFT($B$81:$B$84,3)="SF6")*(X$81:X$84))+SUMPRODUCT(($F$81:$F$84='Info utili'!$E$539)*(LEFT($B$81:$B$84,3)="SF6")*(X$81:X$84))</f>
        <v>0</v>
      </c>
      <c r="K137" s="1239">
        <f>SUMIF($F$90:$F$98,'Info utili'!$E$535,X$90:X$98)+SUMIF($F$90:$F$98,'Info utili'!$E$539,X$90:X$98)</f>
        <v>0</v>
      </c>
      <c r="L137" s="1248">
        <f>SUMIF($F$9:$F$98,'Info utili'!$E$535,Y$9:Y$98)+SUMIF($F$9:$F$98,'Info utili'!$E$539,Y$9:Y$98)</f>
        <v>0</v>
      </c>
      <c r="M137" s="1237">
        <f>SUMIF($F$9:$F$98,'Info utili'!$E$535,Z$9:Z$98)+SUMIF($F$9:$F$98,'Info utili'!$E$539,Z$9:Z$98)</f>
        <v>0</v>
      </c>
      <c r="N137" s="1242">
        <f>SQRT(SUMPRODUCT(($F$9:$F$98='Info utili'!$E$535)*1,N$9:N$98,N$9:N$98)+SUMPRODUCT(($F$9:$F$98='Info utili'!$E$539)*1,N$9:N$98,N$9:N$98))</f>
        <v>0</v>
      </c>
      <c r="O137" s="1240"/>
      <c r="Z137" s="1162"/>
      <c r="AE137" s="1162"/>
      <c r="AI137" s="1162"/>
      <c r="AN137" s="729"/>
      <c r="AO137" s="729"/>
      <c r="AP137" s="729"/>
      <c r="AQ137" s="729"/>
      <c r="AR137" s="729"/>
      <c r="AS137" s="729"/>
      <c r="AT137" s="729"/>
      <c r="AU137" s="729"/>
      <c r="AV137" s="729"/>
      <c r="AW137" s="729"/>
      <c r="AX137" s="729"/>
      <c r="AY137" s="729"/>
    </row>
    <row r="138" spans="2:51" s="39" customFormat="1" ht="13" hidden="1" outlineLevel="1" x14ac:dyDescent="0.2">
      <c r="B138" s="1771" t="s">
        <v>2835</v>
      </c>
      <c r="C138" s="1772"/>
      <c r="D138" s="1772"/>
      <c r="E138" s="1772"/>
      <c r="F138" s="1772"/>
      <c r="G138" s="1772"/>
      <c r="H138" s="1772"/>
      <c r="I138" s="1772"/>
      <c r="J138" s="1772"/>
      <c r="K138" s="1772"/>
      <c r="L138" s="1772"/>
      <c r="M138" s="1772"/>
      <c r="N138" s="1772"/>
      <c r="O138" s="1773"/>
      <c r="Z138" s="1162"/>
      <c r="AE138" s="1162"/>
      <c r="AI138" s="1162"/>
      <c r="AN138" s="729"/>
      <c r="AO138" s="729"/>
      <c r="AP138" s="729"/>
      <c r="AQ138" s="729"/>
      <c r="AR138" s="729"/>
      <c r="AS138" s="729"/>
      <c r="AT138" s="729"/>
      <c r="AU138" s="729"/>
      <c r="AV138" s="729"/>
      <c r="AW138" s="729"/>
      <c r="AX138" s="729"/>
      <c r="AY138" s="729"/>
    </row>
    <row r="139" spans="2:51" s="39" customFormat="1" ht="14" hidden="1" outlineLevel="1" x14ac:dyDescent="0.2">
      <c r="B139" s="1749" t="str">
        <f>+Energia!B173</f>
        <v>Trasporto di merci e distribuzione in fase d’uso e fine vita</v>
      </c>
      <c r="C139" s="1749"/>
      <c r="D139" s="1246" t="s">
        <v>114</v>
      </c>
      <c r="E139" s="1239"/>
      <c r="F139" s="1239"/>
      <c r="G139" s="1239"/>
      <c r="H139" s="1239"/>
      <c r="I139" s="1239"/>
      <c r="J139" s="1239"/>
      <c r="K139" s="1239"/>
      <c r="L139" s="1248"/>
      <c r="M139" s="1237"/>
      <c r="N139" s="1242"/>
      <c r="O139" s="1240"/>
      <c r="Z139" s="1162"/>
      <c r="AE139" s="1162"/>
      <c r="AI139" s="1162"/>
      <c r="AN139" s="729"/>
      <c r="AO139" s="729"/>
      <c r="AP139" s="729"/>
      <c r="AQ139" s="729"/>
      <c r="AR139" s="729"/>
      <c r="AS139" s="729"/>
      <c r="AT139" s="729"/>
      <c r="AU139" s="729"/>
      <c r="AV139" s="729"/>
      <c r="AW139" s="729"/>
      <c r="AX139" s="729"/>
      <c r="AY139" s="729"/>
    </row>
    <row r="140" spans="2:51" s="39" customFormat="1" ht="14" hidden="1" outlineLevel="1" x14ac:dyDescent="0.2">
      <c r="B140" s="1749" t="str">
        <f>+Energia!B174</f>
        <v>Lavorazioni dei prodotti venduti</v>
      </c>
      <c r="C140" s="1749"/>
      <c r="D140" s="1246" t="s">
        <v>115</v>
      </c>
      <c r="E140" s="1239"/>
      <c r="F140" s="1239"/>
      <c r="G140" s="1239"/>
      <c r="H140" s="1239"/>
      <c r="I140" s="1239"/>
      <c r="J140" s="1239"/>
      <c r="K140" s="1239"/>
      <c r="L140" s="1248"/>
      <c r="M140" s="1237"/>
      <c r="N140" s="1242"/>
      <c r="O140" s="1240"/>
      <c r="Z140" s="1162"/>
      <c r="AE140" s="1162"/>
      <c r="AI140" s="1162"/>
      <c r="AN140" s="729"/>
      <c r="AO140" s="729"/>
      <c r="AP140" s="729"/>
      <c r="AQ140" s="729"/>
      <c r="AR140" s="729"/>
      <c r="AS140" s="729"/>
      <c r="AT140" s="729"/>
      <c r="AU140" s="729"/>
      <c r="AV140" s="729"/>
      <c r="AW140" s="729"/>
      <c r="AX140" s="729"/>
      <c r="AY140" s="729"/>
    </row>
    <row r="141" spans="2:51" s="39" customFormat="1" ht="14" hidden="1" outlineLevel="1" x14ac:dyDescent="0.2">
      <c r="B141" s="1749" t="str">
        <f>+Energia!B175</f>
        <v xml:space="preserve">Uso dei prodotto venduti  </v>
      </c>
      <c r="C141" s="1749"/>
      <c r="D141" s="1246" t="s">
        <v>116</v>
      </c>
      <c r="E141" s="1239"/>
      <c r="F141" s="1239"/>
      <c r="G141" s="1239"/>
      <c r="H141" s="1239"/>
      <c r="I141" s="1239"/>
      <c r="J141" s="1239"/>
      <c r="K141" s="1239"/>
      <c r="L141" s="1248"/>
      <c r="M141" s="1237"/>
      <c r="N141" s="1242"/>
      <c r="O141" s="1240"/>
      <c r="Z141" s="1162"/>
      <c r="AE141" s="1162"/>
      <c r="AI141" s="1162"/>
      <c r="AN141" s="729"/>
      <c r="AO141" s="729"/>
      <c r="AP141" s="729"/>
      <c r="AQ141" s="729"/>
      <c r="AR141" s="729"/>
      <c r="AS141" s="729"/>
      <c r="AT141" s="729"/>
      <c r="AU141" s="729"/>
      <c r="AV141" s="729"/>
      <c r="AW141" s="729"/>
      <c r="AX141" s="729"/>
      <c r="AY141" s="729"/>
    </row>
    <row r="142" spans="2:51" s="39" customFormat="1" ht="14" hidden="1" outlineLevel="1" x14ac:dyDescent="0.2">
      <c r="B142" s="1749" t="str">
        <f>+Energia!B176</f>
        <v>Fine vita dei prodotti venduti</v>
      </c>
      <c r="C142" s="1749"/>
      <c r="D142" s="1246" t="s">
        <v>117</v>
      </c>
      <c r="E142" s="1239"/>
      <c r="F142" s="1239"/>
      <c r="G142" s="1239"/>
      <c r="H142" s="1239"/>
      <c r="I142" s="1239"/>
      <c r="J142" s="1239"/>
      <c r="K142" s="1239"/>
      <c r="L142" s="1248"/>
      <c r="M142" s="1237"/>
      <c r="N142" s="1242"/>
      <c r="O142" s="1240"/>
      <c r="Z142" s="1162"/>
      <c r="AE142" s="1162"/>
      <c r="AI142" s="1162"/>
      <c r="AN142" s="729"/>
      <c r="AO142" s="729"/>
      <c r="AP142" s="729"/>
      <c r="AQ142" s="729"/>
      <c r="AR142" s="729"/>
      <c r="AS142" s="729"/>
      <c r="AT142" s="729"/>
      <c r="AU142" s="729"/>
      <c r="AV142" s="729"/>
      <c r="AW142" s="729"/>
      <c r="AX142" s="729"/>
      <c r="AY142" s="729"/>
    </row>
    <row r="143" spans="2:51" s="39" customFormat="1" ht="14" hidden="1" outlineLevel="1" x14ac:dyDescent="0.2">
      <c r="B143" s="1749" t="str">
        <f>+Energia!B177</f>
        <v>Downstream leased assets</v>
      </c>
      <c r="C143" s="1749"/>
      <c r="D143" s="1246" t="s">
        <v>118</v>
      </c>
      <c r="E143" s="1239"/>
      <c r="F143" s="1239"/>
      <c r="G143" s="1239"/>
      <c r="H143" s="1239"/>
      <c r="I143" s="1239"/>
      <c r="J143" s="1239"/>
      <c r="K143" s="1239"/>
      <c r="L143" s="1248"/>
      <c r="M143" s="1237"/>
      <c r="N143" s="1242"/>
      <c r="O143" s="1240"/>
      <c r="Z143" s="1162"/>
      <c r="AE143" s="1162"/>
      <c r="AI143" s="1162"/>
      <c r="AN143" s="729"/>
      <c r="AO143" s="729"/>
      <c r="AP143" s="729"/>
      <c r="AQ143" s="729"/>
      <c r="AR143" s="729"/>
      <c r="AS143" s="729"/>
      <c r="AT143" s="729"/>
      <c r="AU143" s="729"/>
      <c r="AV143" s="729"/>
      <c r="AW143" s="729"/>
      <c r="AX143" s="729"/>
      <c r="AY143" s="729"/>
    </row>
    <row r="144" spans="2:51" s="39" customFormat="1" ht="14" hidden="1" outlineLevel="1" x14ac:dyDescent="0.2">
      <c r="B144" s="1749" t="str">
        <f>+Energia!B178</f>
        <v>Franchises</v>
      </c>
      <c r="C144" s="1749"/>
      <c r="D144" s="1246" t="s">
        <v>119</v>
      </c>
      <c r="E144" s="1239"/>
      <c r="F144" s="1239"/>
      <c r="G144" s="1239"/>
      <c r="H144" s="1239"/>
      <c r="I144" s="1239"/>
      <c r="J144" s="1239"/>
      <c r="K144" s="1239"/>
      <c r="L144" s="1248"/>
      <c r="M144" s="1237"/>
      <c r="N144" s="1242"/>
      <c r="O144" s="1240"/>
      <c r="Z144" s="1162"/>
      <c r="AE144" s="1162"/>
      <c r="AI144" s="1162"/>
      <c r="AN144" s="729"/>
      <c r="AO144" s="729"/>
      <c r="AP144" s="729"/>
      <c r="AQ144" s="729"/>
      <c r="AR144" s="729"/>
      <c r="AS144" s="729"/>
      <c r="AT144" s="729"/>
      <c r="AU144" s="729"/>
      <c r="AV144" s="729"/>
      <c r="AW144" s="729"/>
      <c r="AX144" s="729"/>
      <c r="AY144" s="729"/>
    </row>
    <row r="145" spans="2:51" s="39" customFormat="1" ht="14" hidden="1" outlineLevel="1" x14ac:dyDescent="0.2">
      <c r="B145" s="1749" t="str">
        <f>+Energia!B179</f>
        <v>Investimenti</v>
      </c>
      <c r="C145" s="1749"/>
      <c r="D145" s="1246" t="s">
        <v>120</v>
      </c>
      <c r="E145" s="1239"/>
      <c r="F145" s="1239"/>
      <c r="G145" s="1239"/>
      <c r="H145" s="1239"/>
      <c r="I145" s="1239"/>
      <c r="J145" s="1239"/>
      <c r="K145" s="1239"/>
      <c r="L145" s="1248"/>
      <c r="M145" s="1237"/>
      <c r="N145" s="1242"/>
      <c r="O145" s="1240"/>
      <c r="Z145" s="1162"/>
      <c r="AE145" s="1162"/>
      <c r="AI145" s="1162"/>
      <c r="AN145" s="729"/>
      <c r="AO145" s="729"/>
      <c r="AP145" s="729"/>
      <c r="AQ145" s="729"/>
      <c r="AR145" s="729"/>
      <c r="AS145" s="729"/>
      <c r="AT145" s="729"/>
      <c r="AU145" s="729"/>
      <c r="AV145" s="729"/>
      <c r="AW145" s="729"/>
      <c r="AX145" s="729"/>
      <c r="AY145" s="729"/>
    </row>
    <row r="146" spans="2:51" s="39" customFormat="1" ht="13" hidden="1" outlineLevel="1" x14ac:dyDescent="0.2">
      <c r="B146" s="1749" t="str">
        <f>+Energia!B180</f>
        <v xml:space="preserve">Altre emissioni indirette in fase d'uso e fine vita </v>
      </c>
      <c r="C146" s="1749"/>
      <c r="D146" s="1238"/>
      <c r="E146" s="1239"/>
      <c r="F146" s="1239"/>
      <c r="G146" s="1239"/>
      <c r="H146" s="1239"/>
      <c r="I146" s="1239"/>
      <c r="J146" s="1239"/>
      <c r="K146" s="1239"/>
      <c r="L146" s="1248"/>
      <c r="M146" s="1237"/>
      <c r="N146" s="1242"/>
      <c r="O146" s="1240"/>
      <c r="Z146" s="1162"/>
      <c r="AE146" s="1162"/>
      <c r="AI146" s="1162"/>
      <c r="AN146" s="729"/>
      <c r="AO146" s="729"/>
      <c r="AP146" s="729"/>
      <c r="AQ146" s="729"/>
      <c r="AR146" s="729"/>
      <c r="AS146" s="729"/>
      <c r="AT146" s="729"/>
      <c r="AU146" s="729"/>
      <c r="AV146" s="729"/>
      <c r="AW146" s="729"/>
      <c r="AX146" s="729"/>
      <c r="AY146" s="729"/>
    </row>
    <row r="147" spans="2:51" s="39" customFormat="1" ht="13" hidden="1" outlineLevel="1" x14ac:dyDescent="0.2">
      <c r="B147" s="1766" t="s">
        <v>2834</v>
      </c>
      <c r="C147" s="1767"/>
      <c r="D147" s="1768"/>
      <c r="E147" s="1236">
        <f t="shared" ref="E147:O147" si="36">SUM(E129:E146)</f>
        <v>0</v>
      </c>
      <c r="F147" s="1236">
        <f t="shared" si="36"/>
        <v>0</v>
      </c>
      <c r="G147" s="1236">
        <f t="shared" si="36"/>
        <v>0</v>
      </c>
      <c r="H147" s="1236">
        <f t="shared" si="36"/>
        <v>0</v>
      </c>
      <c r="I147" s="1236">
        <f t="shared" si="36"/>
        <v>0</v>
      </c>
      <c r="J147" s="1236">
        <f t="shared" si="36"/>
        <v>0</v>
      </c>
      <c r="K147" s="1236">
        <f t="shared" si="36"/>
        <v>0</v>
      </c>
      <c r="L147" s="1236">
        <f t="shared" si="36"/>
        <v>0</v>
      </c>
      <c r="M147" s="1247">
        <f t="shared" si="36"/>
        <v>0</v>
      </c>
      <c r="N147" s="1243">
        <f>SQRT(SUMSQ(N129:N146))</f>
        <v>0</v>
      </c>
      <c r="O147" s="1244">
        <f t="shared" si="36"/>
        <v>0</v>
      </c>
      <c r="Z147" s="1162"/>
      <c r="AE147" s="1162"/>
      <c r="AI147" s="1162"/>
      <c r="AN147" s="729"/>
      <c r="AO147" s="729"/>
      <c r="AP147" s="729"/>
      <c r="AQ147" s="729"/>
      <c r="AR147" s="729"/>
      <c r="AS147" s="729"/>
      <c r="AT147" s="729"/>
      <c r="AU147" s="729"/>
      <c r="AV147" s="729"/>
      <c r="AW147" s="729"/>
      <c r="AX147" s="729"/>
      <c r="AY147" s="729"/>
    </row>
    <row r="148" spans="2:51" s="39" customFormat="1" hidden="1" outlineLevel="1" x14ac:dyDescent="0.2">
      <c r="W148" s="1162"/>
      <c r="AB148" s="1162"/>
      <c r="AF148" s="1162"/>
      <c r="AK148" s="729"/>
      <c r="AL148" s="729"/>
      <c r="AM148" s="729"/>
      <c r="AN148" s="729"/>
      <c r="AO148" s="729"/>
      <c r="AP148" s="729"/>
      <c r="AQ148" s="729"/>
      <c r="AR148" s="729"/>
      <c r="AS148" s="729"/>
      <c r="AT148" s="729"/>
      <c r="AU148" s="729"/>
      <c r="AV148" s="729"/>
    </row>
    <row r="149" spans="2:51" x14ac:dyDescent="0.15">
      <c r="G149" s="2"/>
      <c r="M149" s="2"/>
      <c r="P149" s="2"/>
      <c r="U149" s="2"/>
      <c r="V149" s="2"/>
      <c r="W149" s="2"/>
      <c r="X149" s="2"/>
      <c r="Y149" s="2"/>
      <c r="Z149" s="2"/>
    </row>
    <row r="150" spans="2:51" s="39" customFormat="1" ht="15.75" customHeight="1" x14ac:dyDescent="0.2">
      <c r="B150" s="1741" t="str">
        <f>+Energia!B184</f>
        <v xml:space="preserve">Panoramica delle categorie definite nella  ISO/TR 14069:2013 </v>
      </c>
      <c r="C150" s="1742"/>
      <c r="D150" s="1742"/>
      <c r="E150" s="1742"/>
      <c r="F150" s="1742"/>
      <c r="G150" s="1742"/>
      <c r="H150" s="1742"/>
      <c r="I150" s="1742"/>
      <c r="J150" s="1742"/>
      <c r="K150" s="1742"/>
      <c r="L150" s="1742"/>
      <c r="M150" s="1742"/>
      <c r="N150" s="1742"/>
      <c r="O150" s="1743"/>
      <c r="W150" s="1162"/>
      <c r="AB150" s="1162"/>
      <c r="AF150" s="1162"/>
      <c r="AK150" s="729"/>
      <c r="AL150" s="729"/>
      <c r="AM150" s="729"/>
      <c r="AN150" s="729"/>
      <c r="AO150" s="729"/>
      <c r="AP150" s="729"/>
      <c r="AQ150" s="729"/>
      <c r="AR150" s="729"/>
      <c r="AS150" s="729"/>
      <c r="AT150" s="729"/>
      <c r="AU150" s="729"/>
      <c r="AV150" s="729"/>
    </row>
    <row r="151" spans="2:51" s="39" customFormat="1" outlineLevel="1" x14ac:dyDescent="0.2">
      <c r="Q151" s="1317"/>
      <c r="R151" s="1317"/>
      <c r="W151" s="1162"/>
      <c r="AB151" s="1162"/>
      <c r="AF151" s="1162"/>
      <c r="AK151" s="729"/>
      <c r="AL151" s="729"/>
      <c r="AM151" s="729"/>
      <c r="AN151" s="729"/>
      <c r="AO151" s="729"/>
      <c r="AP151" s="729"/>
      <c r="AQ151" s="729"/>
      <c r="AR151" s="729"/>
      <c r="AS151" s="729"/>
      <c r="AT151" s="729"/>
      <c r="AU151" s="729"/>
      <c r="AV151" s="729"/>
    </row>
    <row r="152" spans="2:51" s="39" customFormat="1" ht="42" outlineLevel="1" x14ac:dyDescent="0.2">
      <c r="B152" s="118"/>
      <c r="C152" s="118"/>
      <c r="D152" s="118"/>
      <c r="E152" s="1735" t="s">
        <v>2498</v>
      </c>
      <c r="F152" s="1737"/>
      <c r="G152" s="1737"/>
      <c r="H152" s="1737"/>
      <c r="I152" s="1737"/>
      <c r="J152" s="1737"/>
      <c r="K152" s="1737"/>
      <c r="L152" s="1737"/>
      <c r="M152" s="1736"/>
      <c r="N152" s="1433" t="s">
        <v>2521</v>
      </c>
      <c r="O152" s="1430" t="s">
        <v>2517</v>
      </c>
      <c r="Q152" s="1317"/>
      <c r="R152" s="1317"/>
      <c r="W152" s="1162"/>
      <c r="AB152" s="1162"/>
      <c r="AF152" s="1162"/>
      <c r="AK152" s="729"/>
      <c r="AL152" s="729"/>
      <c r="AM152" s="729"/>
      <c r="AN152" s="729"/>
      <c r="AO152" s="729"/>
      <c r="AP152" s="729"/>
      <c r="AQ152" s="729"/>
      <c r="AR152" s="729"/>
      <c r="AS152" s="729"/>
      <c r="AT152" s="729"/>
      <c r="AU152" s="729"/>
      <c r="AV152" s="729"/>
    </row>
    <row r="153" spans="2:51" s="39" customFormat="1" ht="42" outlineLevel="1" x14ac:dyDescent="0.2">
      <c r="B153" s="1735" t="str">
        <f>+Energia!B187</f>
        <v>Sorgenti di emissione</v>
      </c>
      <c r="C153" s="1736"/>
      <c r="D153" s="1432" t="s">
        <v>2500</v>
      </c>
      <c r="E153" s="1431" t="s">
        <v>666</v>
      </c>
      <c r="F153" s="1431" t="s">
        <v>667</v>
      </c>
      <c r="G153" s="1431" t="s">
        <v>668</v>
      </c>
      <c r="H153" s="1431" t="s">
        <v>2582</v>
      </c>
      <c r="I153" s="1431" t="s">
        <v>2499</v>
      </c>
      <c r="J153" s="1432" t="s">
        <v>69</v>
      </c>
      <c r="K153" s="1431" t="s">
        <v>2520</v>
      </c>
      <c r="L153" s="1431" t="s">
        <v>2519</v>
      </c>
      <c r="M153" s="1431" t="s">
        <v>2062</v>
      </c>
      <c r="N153" s="1434" t="s">
        <v>669</v>
      </c>
      <c r="O153" s="1436" t="s">
        <v>69</v>
      </c>
      <c r="Q153" s="1317"/>
      <c r="R153" s="1317"/>
      <c r="W153" s="1162"/>
      <c r="AB153" s="1162"/>
      <c r="AF153" s="1162"/>
      <c r="AK153" s="729"/>
      <c r="AL153" s="729"/>
      <c r="AM153" s="729"/>
      <c r="AN153" s="729"/>
      <c r="AO153" s="729"/>
      <c r="AP153" s="729"/>
      <c r="AQ153" s="729"/>
      <c r="AR153" s="729"/>
      <c r="AS153" s="729"/>
      <c r="AT153" s="729"/>
      <c r="AU153" s="729"/>
      <c r="AV153" s="729"/>
    </row>
    <row r="154" spans="2:51" s="39" customFormat="1" ht="12.75" customHeight="1" outlineLevel="1" x14ac:dyDescent="0.2">
      <c r="B154" s="1733" t="str">
        <f>+Energia!B188</f>
        <v xml:space="preserve">Emissioni dirette da sorgenti di combustione stazionarie </v>
      </c>
      <c r="C154" s="1734"/>
      <c r="D154" s="1435">
        <v>1</v>
      </c>
      <c r="E154" s="1441"/>
      <c r="F154" s="1441"/>
      <c r="G154" s="1441"/>
      <c r="H154" s="1441"/>
      <c r="I154" s="1441"/>
      <c r="J154" s="1442"/>
      <c r="K154" s="1443"/>
      <c r="L154" s="1443"/>
      <c r="M154" s="1444"/>
      <c r="N154" s="1445"/>
      <c r="O154" s="1730" t="s">
        <v>2518</v>
      </c>
      <c r="Q154" s="1317"/>
      <c r="R154" s="1317"/>
      <c r="W154" s="1162"/>
      <c r="AB154" s="1162"/>
      <c r="AF154" s="1162"/>
      <c r="AK154" s="729"/>
      <c r="AL154" s="729"/>
      <c r="AM154" s="729"/>
      <c r="AN154" s="729"/>
      <c r="AO154" s="729"/>
      <c r="AP154" s="729"/>
      <c r="AQ154" s="729"/>
      <c r="AR154" s="729"/>
      <c r="AS154" s="729"/>
      <c r="AT154" s="729"/>
      <c r="AU154" s="729"/>
      <c r="AV154" s="729"/>
    </row>
    <row r="155" spans="2:51" s="39" customFormat="1" ht="13" outlineLevel="1" x14ac:dyDescent="0.2">
      <c r="B155" s="1733" t="str">
        <f>+Energia!B189</f>
        <v>Emissioni dirette da sorgenti di combustione mobili</v>
      </c>
      <c r="C155" s="1734"/>
      <c r="D155" s="1435">
        <v>2</v>
      </c>
      <c r="E155" s="1441"/>
      <c r="F155" s="1441"/>
      <c r="G155" s="1441"/>
      <c r="H155" s="1441"/>
      <c r="I155" s="1441"/>
      <c r="J155" s="1442"/>
      <c r="K155" s="1443"/>
      <c r="L155" s="1443"/>
      <c r="M155" s="1444"/>
      <c r="N155" s="1445"/>
      <c r="O155" s="1731"/>
      <c r="Q155" s="1317"/>
      <c r="R155" s="1317"/>
      <c r="W155" s="1162"/>
      <c r="AB155" s="1162"/>
      <c r="AF155" s="1162"/>
      <c r="AK155" s="729"/>
      <c r="AL155" s="729"/>
      <c r="AM155" s="729"/>
      <c r="AN155" s="729"/>
      <c r="AO155" s="729"/>
      <c r="AP155" s="729"/>
      <c r="AQ155" s="729"/>
      <c r="AR155" s="729"/>
      <c r="AS155" s="729"/>
      <c r="AT155" s="729"/>
      <c r="AU155" s="729"/>
      <c r="AV155" s="729"/>
    </row>
    <row r="156" spans="2:51" s="39" customFormat="1" ht="13" outlineLevel="1" x14ac:dyDescent="0.2">
      <c r="B156" s="1733" t="str">
        <f>+Energia!B190</f>
        <v>Emissioni dirette da  processi</v>
      </c>
      <c r="C156" s="1734"/>
      <c r="D156" s="1435">
        <v>3</v>
      </c>
      <c r="E156" s="1441">
        <f>SUMIF($F$9:$F$98,'Info utili'!$E$532,U$9:U$98)+SUMIF($F$9:$F$98,'Info utili'!$E$537,U$9:U$98)</f>
        <v>10000000</v>
      </c>
      <c r="F156" s="1441">
        <f>SUMIF($F$9:$F$98,'Info utili'!$E$532,V$9:V$98)+SUMIF($F$9:$F$98,'Info utili'!$E$537,V$9:V$98)</f>
        <v>3000000</v>
      </c>
      <c r="G156" s="1441">
        <f>SUMIF($F$9:$F$98,'Info utili'!$E$532,W$9:W$98)+SUMIF($F$9:$F$98,'Info utili'!$E$537,W$9:W$98)</f>
        <v>265000000</v>
      </c>
      <c r="H156" s="1441">
        <f>SUMIF($F$77:$F$85,'Info utili'!$E$532,X$77:X$85)+SUMIF($F$77:$F$85,'Info utili'!$E$537,X$77:X$85)</f>
        <v>0</v>
      </c>
      <c r="I156" s="1441">
        <f>SUMIF($F$90:$F$98,'Info utili'!$E$532,X$90:X$98)+SUMIF($F$90:$F$98,'Info utili'!$E$537,X$90:X$98)</f>
        <v>0</v>
      </c>
      <c r="J156" s="1442">
        <f>SUMIF($F$9:$F$98,'Info utili'!$E$532,Y$9:Y$98)+SUMIF($F$9:$F$98,'Info utili'!$E$537,Y$9:Y$98)</f>
        <v>278000000</v>
      </c>
      <c r="K156" s="1443">
        <v>0</v>
      </c>
      <c r="L156" s="1443">
        <f>SUMIF($F$9:$F$98,'Info utili'!$E$532,Z$9:Z$98)+SUMIF($F$9:$F$98,'Info utili'!$E$537,Z$9:Z$98)</f>
        <v>0</v>
      </c>
      <c r="M156" s="1444">
        <f>SQRT(SUMPRODUCT(($F$9:$F$98='Info utili'!$E$532)*1,N$9:N$98,N$9:N$98)+SUMPRODUCT(($F$9:$F$98='Info utili'!$E$537)*1,N$9:N$98,N$9:N$98))</f>
        <v>79507358.150047973</v>
      </c>
      <c r="N156" s="1445"/>
      <c r="O156" s="1731"/>
      <c r="Q156" s="1317"/>
      <c r="R156" s="1317"/>
      <c r="W156" s="1162"/>
      <c r="AB156" s="1162"/>
      <c r="AF156" s="1162"/>
      <c r="AK156" s="729"/>
      <c r="AL156" s="729"/>
      <c r="AM156" s="729"/>
      <c r="AN156" s="729"/>
      <c r="AO156" s="729"/>
      <c r="AP156" s="729"/>
      <c r="AQ156" s="729"/>
      <c r="AR156" s="729"/>
      <c r="AS156" s="729"/>
      <c r="AT156" s="729"/>
      <c r="AU156" s="729"/>
      <c r="AV156" s="729"/>
    </row>
    <row r="157" spans="2:51" s="39" customFormat="1" ht="13" outlineLevel="1" x14ac:dyDescent="0.2">
      <c r="B157" s="1733" t="str">
        <f>+Energia!B191</f>
        <v>Emissioni dirette da  fonti fugitive</v>
      </c>
      <c r="C157" s="1734"/>
      <c r="D157" s="1435">
        <v>4</v>
      </c>
      <c r="E157" s="1441">
        <f>SUMIF($F$9:$F$98,'Info utili'!$E$533,U$9:U$98)+SUMIF($F$9:$F$98,'Info utili'!$E$538,U$9:U$98)</f>
        <v>0</v>
      </c>
      <c r="F157" s="1441">
        <f>SUMIF($F$9:$F$98,'Info utili'!$E$533,V$9:V$98)+SUMIF($F$9:$F$98,'Info utili'!$E$538,V$9:V$98)</f>
        <v>0</v>
      </c>
      <c r="G157" s="1441">
        <f>SUMIF($F$9:$F$98,'Info utili'!$E$533,W$9:W$98)+SUMIF($F$9:$F$98,'Info utili'!$E$538,W$9:W$98)</f>
        <v>0</v>
      </c>
      <c r="H157" s="1441">
        <f>SUMIF($F$77:$F$85,'Info utili'!$E$533,X$77:X$85)+SUMIF($F$77:$F$85,'Info utili'!$E$538,X$77:X$85)</f>
        <v>0</v>
      </c>
      <c r="I157" s="1441">
        <f>SUMIF($F$90:$F$98,'Info utili'!$E$533,X$90:X$98)+SUMIF($F$90:$F$98,'Info utili'!$E$538,X$90:X$98)</f>
        <v>0</v>
      </c>
      <c r="J157" s="1442">
        <f>SUMIF($F$9:$F$98,'Info utili'!$E$533,Y$9:Y$98)+SUMIF($F$9:$F$98,'Info utili'!$E$538,Y$9:Y$98)</f>
        <v>0</v>
      </c>
      <c r="K157" s="1443">
        <v>0</v>
      </c>
      <c r="L157" s="1443">
        <f>SUMIF($F$9:$F$98,'Info utili'!$E$533,Z$9:Z$98)+SUMIF($F$9:$F$98,'Info utili'!$E$538,Z$9:Z$98)</f>
        <v>0</v>
      </c>
      <c r="M157" s="1444">
        <f>SQRT(SUMPRODUCT(($F$9:$F$98='Info utili'!$E$533)*1,N$9:N$98,N$9:N$98)+SUMPRODUCT(($F$9:$F$98='Info utili'!$E$538)*1,N$9:N$98,N$9:N$98))</f>
        <v>0</v>
      </c>
      <c r="N157" s="1445"/>
      <c r="O157" s="1731"/>
      <c r="Q157" s="1317"/>
      <c r="R157" s="1317"/>
      <c r="W157" s="1162"/>
      <c r="AB157" s="1162"/>
      <c r="AF157" s="1162"/>
      <c r="AK157" s="729"/>
      <c r="AL157" s="729"/>
      <c r="AM157" s="729"/>
      <c r="AN157" s="729"/>
      <c r="AO157" s="729"/>
      <c r="AP157" s="729"/>
      <c r="AQ157" s="729"/>
      <c r="AR157" s="729"/>
      <c r="AS157" s="729"/>
      <c r="AT157" s="729"/>
      <c r="AU157" s="729"/>
      <c r="AV157" s="729"/>
    </row>
    <row r="158" spans="2:51" s="39" customFormat="1" ht="13" outlineLevel="1" x14ac:dyDescent="0.2">
      <c r="B158" s="1733" t="str">
        <f>+Energia!B192</f>
        <v>Emissioni dirette da LULUCF</v>
      </c>
      <c r="C158" s="1734"/>
      <c r="D158" s="1435">
        <v>5</v>
      </c>
      <c r="E158" s="1441"/>
      <c r="F158" s="1441"/>
      <c r="G158" s="1441"/>
      <c r="H158" s="1441"/>
      <c r="I158" s="1441"/>
      <c r="J158" s="1442"/>
      <c r="K158" s="1443"/>
      <c r="L158" s="1443"/>
      <c r="M158" s="1444"/>
      <c r="N158" s="1446"/>
      <c r="O158" s="1731"/>
      <c r="Q158" s="1317"/>
      <c r="R158" s="1317"/>
      <c r="W158" s="1162"/>
      <c r="AB158" s="1162"/>
      <c r="AF158" s="1162"/>
      <c r="AK158" s="729"/>
      <c r="AL158" s="729"/>
      <c r="AM158" s="729"/>
      <c r="AN158" s="729"/>
      <c r="AO158" s="729"/>
      <c r="AP158" s="729"/>
      <c r="AQ158" s="729"/>
      <c r="AR158" s="729"/>
      <c r="AS158" s="729"/>
      <c r="AT158" s="729"/>
      <c r="AU158" s="729"/>
      <c r="AV158" s="729"/>
    </row>
    <row r="159" spans="2:51" s="39" customFormat="1" ht="13" outlineLevel="1" x14ac:dyDescent="0.2">
      <c r="B159" s="1738" t="s">
        <v>2838</v>
      </c>
      <c r="C159" s="1738"/>
      <c r="D159" s="1738"/>
      <c r="E159" s="1447">
        <f>SUM(E154:E158)</f>
        <v>10000000</v>
      </c>
      <c r="F159" s="1447">
        <f t="shared" ref="F159:N159" si="37">SUM(F154:F158)</f>
        <v>3000000</v>
      </c>
      <c r="G159" s="1447">
        <f t="shared" si="37"/>
        <v>265000000</v>
      </c>
      <c r="H159" s="1447">
        <f t="shared" si="37"/>
        <v>0</v>
      </c>
      <c r="I159" s="1447">
        <f t="shared" si="37"/>
        <v>0</v>
      </c>
      <c r="J159" s="1447">
        <f t="shared" si="37"/>
        <v>278000000</v>
      </c>
      <c r="K159" s="1448">
        <f t="shared" si="37"/>
        <v>0</v>
      </c>
      <c r="L159" s="1448">
        <f t="shared" si="37"/>
        <v>0</v>
      </c>
      <c r="M159" s="1449">
        <f>SQRT(SUMSQ(M154:M158))</f>
        <v>79507358.150047973</v>
      </c>
      <c r="N159" s="1450">
        <f t="shared" si="37"/>
        <v>0</v>
      </c>
      <c r="O159" s="1732"/>
      <c r="Q159" s="1317"/>
      <c r="R159" s="1317"/>
      <c r="W159" s="1162"/>
      <c r="AB159" s="1162"/>
      <c r="AF159" s="1162"/>
      <c r="AK159" s="729"/>
      <c r="AL159" s="729"/>
      <c r="AM159" s="729"/>
      <c r="AN159" s="729"/>
      <c r="AO159" s="729"/>
      <c r="AP159" s="729"/>
      <c r="AQ159" s="729"/>
      <c r="AR159" s="729"/>
      <c r="AS159" s="729"/>
      <c r="AT159" s="729"/>
      <c r="AU159" s="729"/>
      <c r="AV159" s="729"/>
    </row>
    <row r="160" spans="2:51" s="39" customFormat="1" ht="13" outlineLevel="1" x14ac:dyDescent="0.2">
      <c r="B160" s="1733" t="str">
        <f>+Energia!B194</f>
        <v xml:space="preserve">Emissioni indirette da consumo di elettricità </v>
      </c>
      <c r="C160" s="1734"/>
      <c r="D160" s="1435">
        <v>6</v>
      </c>
      <c r="E160" s="1441"/>
      <c r="F160" s="1441"/>
      <c r="G160" s="1441"/>
      <c r="H160" s="1441"/>
      <c r="I160" s="1441"/>
      <c r="J160" s="1442"/>
      <c r="K160" s="1443"/>
      <c r="L160" s="1443"/>
      <c r="M160" s="1444"/>
      <c r="N160" s="1445"/>
      <c r="O160" s="1451"/>
      <c r="Q160" s="1317"/>
      <c r="R160" s="1317"/>
      <c r="W160" s="1162"/>
      <c r="AB160" s="1162"/>
      <c r="AF160" s="1162"/>
      <c r="AK160" s="729"/>
      <c r="AL160" s="729"/>
      <c r="AM160" s="729"/>
      <c r="AN160" s="729"/>
      <c r="AO160" s="729"/>
      <c r="AP160" s="729"/>
      <c r="AQ160" s="729"/>
      <c r="AR160" s="729"/>
      <c r="AS160" s="729"/>
      <c r="AT160" s="729"/>
      <c r="AU160" s="729"/>
      <c r="AV160" s="729"/>
    </row>
    <row r="161" spans="2:48" s="39" customFormat="1" ht="13" outlineLevel="1" x14ac:dyDescent="0.2">
      <c r="B161" s="1733" t="str">
        <f>+Energia!B195</f>
        <v xml:space="preserve">Emissioni indirette da consumi di energia di rete (senza l'eletricita) </v>
      </c>
      <c r="C161" s="1734"/>
      <c r="D161" s="1435">
        <v>7</v>
      </c>
      <c r="E161" s="1441"/>
      <c r="F161" s="1441"/>
      <c r="G161" s="1441"/>
      <c r="H161" s="1441"/>
      <c r="I161" s="1441"/>
      <c r="J161" s="1442"/>
      <c r="K161" s="1443"/>
      <c r="L161" s="1443"/>
      <c r="M161" s="1444"/>
      <c r="N161" s="1445"/>
      <c r="O161" s="1445"/>
      <c r="Q161" s="1317"/>
      <c r="R161" s="1317"/>
      <c r="W161" s="1162"/>
      <c r="AB161" s="1162"/>
      <c r="AF161" s="1162"/>
      <c r="AK161" s="729"/>
      <c r="AL161" s="729"/>
      <c r="AM161" s="729"/>
      <c r="AN161" s="729"/>
      <c r="AO161" s="729"/>
      <c r="AP161" s="729"/>
      <c r="AQ161" s="729"/>
      <c r="AR161" s="729"/>
      <c r="AS161" s="729"/>
      <c r="AT161" s="729"/>
      <c r="AU161" s="729"/>
      <c r="AV161" s="729"/>
    </row>
    <row r="162" spans="2:48" s="39" customFormat="1" ht="13" outlineLevel="1" x14ac:dyDescent="0.2">
      <c r="B162" s="1738" t="s">
        <v>2839</v>
      </c>
      <c r="C162" s="1738"/>
      <c r="D162" s="1738"/>
      <c r="E162" s="1447">
        <f>SUM(E160:E161)</f>
        <v>0</v>
      </c>
      <c r="F162" s="1447">
        <f t="shared" ref="F162:O162" si="38">SUM(F160:F161)</f>
        <v>0</v>
      </c>
      <c r="G162" s="1447">
        <f t="shared" si="38"/>
        <v>0</v>
      </c>
      <c r="H162" s="1447">
        <f t="shared" si="38"/>
        <v>0</v>
      </c>
      <c r="I162" s="1447">
        <f t="shared" si="38"/>
        <v>0</v>
      </c>
      <c r="J162" s="1447">
        <f t="shared" si="38"/>
        <v>0</v>
      </c>
      <c r="K162" s="1448">
        <f t="shared" si="38"/>
        <v>0</v>
      </c>
      <c r="L162" s="1448">
        <f t="shared" si="38"/>
        <v>0</v>
      </c>
      <c r="M162" s="1449">
        <f>SQRT(SUMSQ(M160:M161))</f>
        <v>0</v>
      </c>
      <c r="N162" s="1450">
        <f t="shared" si="38"/>
        <v>0</v>
      </c>
      <c r="O162" s="1450">
        <f t="shared" si="38"/>
        <v>0</v>
      </c>
      <c r="Q162" s="1317"/>
      <c r="R162" s="1317"/>
      <c r="W162" s="1162"/>
      <c r="AB162" s="1162"/>
      <c r="AF162" s="1162"/>
      <c r="AK162" s="729"/>
      <c r="AL162" s="729"/>
      <c r="AM162" s="729"/>
      <c r="AN162" s="729"/>
      <c r="AO162" s="729"/>
      <c r="AP162" s="729"/>
      <c r="AQ162" s="729"/>
      <c r="AR162" s="729"/>
      <c r="AS162" s="729"/>
      <c r="AT162" s="729"/>
      <c r="AU162" s="729"/>
      <c r="AV162" s="729"/>
    </row>
    <row r="163" spans="2:48" s="39" customFormat="1" ht="13" outlineLevel="1" x14ac:dyDescent="0.2">
      <c r="B163" s="1733" t="str">
        <f>+Energia!B197</f>
        <v>Emissioni dovute all'energia non coperte dalle sorgenti da 1 a 7</v>
      </c>
      <c r="C163" s="1734"/>
      <c r="D163" s="1435">
        <v>8</v>
      </c>
      <c r="E163" s="1441"/>
      <c r="F163" s="1441"/>
      <c r="G163" s="1441"/>
      <c r="H163" s="1441"/>
      <c r="I163" s="1441"/>
      <c r="J163" s="1442"/>
      <c r="K163" s="1443"/>
      <c r="L163" s="1443"/>
      <c r="M163" s="1444"/>
      <c r="N163" s="1445"/>
      <c r="O163" s="1445"/>
      <c r="Q163" s="1317"/>
      <c r="R163" s="1317"/>
      <c r="W163" s="1162"/>
      <c r="AB163" s="1162"/>
      <c r="AF163" s="1162"/>
      <c r="AK163" s="729"/>
      <c r="AL163" s="729"/>
      <c r="AM163" s="729"/>
      <c r="AN163" s="729"/>
      <c r="AO163" s="729"/>
      <c r="AP163" s="729"/>
      <c r="AQ163" s="729"/>
      <c r="AR163" s="729"/>
      <c r="AS163" s="729"/>
      <c r="AT163" s="729"/>
      <c r="AU163" s="729"/>
      <c r="AV163" s="729"/>
    </row>
    <row r="164" spans="2:48" s="39" customFormat="1" ht="13" outlineLevel="1" x14ac:dyDescent="0.2">
      <c r="B164" s="1733" t="str">
        <f>+Energia!B198</f>
        <v>Beni acquistati</v>
      </c>
      <c r="C164" s="1734"/>
      <c r="D164" s="1435">
        <v>9</v>
      </c>
      <c r="E164" s="1441"/>
      <c r="F164" s="1441"/>
      <c r="G164" s="1441"/>
      <c r="H164" s="1441"/>
      <c r="I164" s="1441"/>
      <c r="J164" s="1442"/>
      <c r="K164" s="1443"/>
      <c r="L164" s="1443"/>
      <c r="M164" s="1444"/>
      <c r="N164" s="1445"/>
      <c r="O164" s="1445"/>
      <c r="Q164" s="1317"/>
      <c r="R164" s="1317"/>
      <c r="W164" s="1162"/>
      <c r="AB164" s="1162"/>
      <c r="AF164" s="1162"/>
      <c r="AK164" s="729"/>
      <c r="AL164" s="729"/>
      <c r="AM164" s="729"/>
      <c r="AN164" s="729"/>
      <c r="AO164" s="729"/>
      <c r="AP164" s="729"/>
      <c r="AQ164" s="729"/>
      <c r="AR164" s="729"/>
      <c r="AS164" s="729"/>
      <c r="AT164" s="729"/>
      <c r="AU164" s="729"/>
      <c r="AV164" s="729"/>
    </row>
    <row r="165" spans="2:48" s="39" customFormat="1" ht="13" outlineLevel="1" x14ac:dyDescent="0.2">
      <c r="B165" s="1733" t="str">
        <f>+Energia!B199</f>
        <v>Beni di consumo</v>
      </c>
      <c r="C165" s="1734"/>
      <c r="D165" s="1435">
        <v>10</v>
      </c>
      <c r="E165" s="1441"/>
      <c r="F165" s="1441"/>
      <c r="G165" s="1441"/>
      <c r="H165" s="1441"/>
      <c r="I165" s="1441"/>
      <c r="J165" s="1442"/>
      <c r="K165" s="1443"/>
      <c r="L165" s="1443"/>
      <c r="M165" s="1444"/>
      <c r="N165" s="1445"/>
      <c r="O165" s="1445"/>
      <c r="Q165" s="1317"/>
      <c r="R165" s="1317"/>
      <c r="W165" s="1162"/>
      <c r="AB165" s="1162"/>
      <c r="AF165" s="1162"/>
      <c r="AK165" s="729"/>
      <c r="AL165" s="729"/>
      <c r="AM165" s="729"/>
      <c r="AN165" s="729"/>
      <c r="AO165" s="729"/>
      <c r="AP165" s="729"/>
      <c r="AQ165" s="729"/>
      <c r="AR165" s="729"/>
      <c r="AS165" s="729"/>
      <c r="AT165" s="729"/>
      <c r="AU165" s="729"/>
      <c r="AV165" s="729"/>
    </row>
    <row r="166" spans="2:48" s="39" customFormat="1" ht="13" outlineLevel="1" x14ac:dyDescent="0.2">
      <c r="B166" s="1733" t="str">
        <f>+Energia!B200</f>
        <v xml:space="preserve">Rifiuti prodotti </v>
      </c>
      <c r="C166" s="1734"/>
      <c r="D166" s="1435">
        <v>11</v>
      </c>
      <c r="E166" s="1441"/>
      <c r="F166" s="1441"/>
      <c r="G166" s="1441"/>
      <c r="H166" s="1441"/>
      <c r="I166" s="1441"/>
      <c r="J166" s="1442"/>
      <c r="K166" s="1443"/>
      <c r="L166" s="1443"/>
      <c r="M166" s="1444"/>
      <c r="N166" s="1445"/>
      <c r="O166" s="1445"/>
      <c r="Q166" s="1317"/>
      <c r="R166" s="1317"/>
      <c r="W166" s="1162"/>
      <c r="AB166" s="1162"/>
      <c r="AF166" s="1162"/>
      <c r="AK166" s="729"/>
      <c r="AL166" s="729"/>
      <c r="AM166" s="729"/>
      <c r="AN166" s="729"/>
      <c r="AO166" s="729"/>
      <c r="AP166" s="729"/>
      <c r="AQ166" s="729"/>
      <c r="AR166" s="729"/>
      <c r="AS166" s="729"/>
      <c r="AT166" s="729"/>
      <c r="AU166" s="729"/>
      <c r="AV166" s="729"/>
    </row>
    <row r="167" spans="2:48" s="39" customFormat="1" ht="13" outlineLevel="1" x14ac:dyDescent="0.2">
      <c r="B167" s="1733" t="str">
        <f>+Energia!B201</f>
        <v>Trasporto e distribuzione premanifattura</v>
      </c>
      <c r="C167" s="1734"/>
      <c r="D167" s="1435">
        <v>12</v>
      </c>
      <c r="E167" s="1441"/>
      <c r="F167" s="1441"/>
      <c r="G167" s="1441"/>
      <c r="H167" s="1441"/>
      <c r="I167" s="1441"/>
      <c r="J167" s="1442"/>
      <c r="K167" s="1443"/>
      <c r="L167" s="1443"/>
      <c r="M167" s="1444"/>
      <c r="N167" s="1445"/>
      <c r="O167" s="1445"/>
      <c r="Q167" s="1317"/>
      <c r="R167" s="1317"/>
      <c r="W167" s="1162"/>
      <c r="AB167" s="1162"/>
      <c r="AF167" s="1162"/>
      <c r="AK167" s="729"/>
      <c r="AL167" s="729"/>
      <c r="AM167" s="729"/>
      <c r="AN167" s="729"/>
      <c r="AO167" s="729"/>
      <c r="AP167" s="729"/>
      <c r="AQ167" s="729"/>
      <c r="AR167" s="729"/>
      <c r="AS167" s="729"/>
      <c r="AT167" s="729"/>
      <c r="AU167" s="729"/>
      <c r="AV167" s="729"/>
    </row>
    <row r="168" spans="2:48" s="39" customFormat="1" ht="13" outlineLevel="1" x14ac:dyDescent="0.2">
      <c r="B168" s="1733" t="str">
        <f>+Energia!B202</f>
        <v>Viaggi di lavoro</v>
      </c>
      <c r="C168" s="1734"/>
      <c r="D168" s="1435">
        <v>13</v>
      </c>
      <c r="E168" s="1441"/>
      <c r="F168" s="1441"/>
      <c r="G168" s="1441"/>
      <c r="H168" s="1441"/>
      <c r="I168" s="1441"/>
      <c r="J168" s="1442"/>
      <c r="K168" s="1443"/>
      <c r="L168" s="1443"/>
      <c r="M168" s="1444"/>
      <c r="N168" s="1445"/>
      <c r="O168" s="1445"/>
      <c r="Q168" s="1317"/>
      <c r="R168" s="1317"/>
      <c r="W168" s="1162"/>
      <c r="AB168" s="1162"/>
      <c r="AF168" s="1162"/>
      <c r="AK168" s="729"/>
      <c r="AL168" s="729"/>
      <c r="AM168" s="729"/>
      <c r="AN168" s="729"/>
      <c r="AO168" s="729"/>
      <c r="AP168" s="729"/>
      <c r="AQ168" s="729"/>
      <c r="AR168" s="729"/>
      <c r="AS168" s="729"/>
      <c r="AT168" s="729"/>
      <c r="AU168" s="729"/>
      <c r="AV168" s="729"/>
    </row>
    <row r="169" spans="2:48" s="39" customFormat="1" ht="13" outlineLevel="1" x14ac:dyDescent="0.2">
      <c r="B169" s="1733" t="str">
        <f>+Energia!B203</f>
        <v>Upstream leased assets</v>
      </c>
      <c r="C169" s="1734"/>
      <c r="D169" s="1435">
        <v>14</v>
      </c>
      <c r="E169" s="1441">
        <f>SUMIF($F$9:$F$98,'Info utili'!$E$534,U$9:U$98)</f>
        <v>0</v>
      </c>
      <c r="F169" s="1441">
        <f>SUMIF($F$9:$F$98,'Info utili'!$E$534,V$9:V$98)</f>
        <v>0</v>
      </c>
      <c r="G169" s="1441">
        <f>SUMIF($F$9:$F$98,'Info utili'!$E$534,W$9:W$98)</f>
        <v>0</v>
      </c>
      <c r="H169" s="1441">
        <f>SUMIF($F$77:$F$85,'Info utili'!$E$534,X$77:X$85)</f>
        <v>0</v>
      </c>
      <c r="I169" s="1441">
        <f>SUMIF($F$90:$F$98,'Info utili'!$E$534,X$90:X$98)</f>
        <v>0</v>
      </c>
      <c r="J169" s="1442">
        <f>SUMIF($F$9:$F$98,'Info utili'!$E$534,Y$9:Y$98)</f>
        <v>0</v>
      </c>
      <c r="K169" s="1443">
        <v>0</v>
      </c>
      <c r="L169" s="1443">
        <f>SUMIF($F$9:$F$98,'Info utili'!$E$534,Z$9:Z$98)</f>
        <v>0</v>
      </c>
      <c r="M169" s="1444">
        <f>SQRT(SUMPRODUCT(($F$9:$F$98='Info utili'!$E$534)*1,N$9:N$98,N$9:N$98))</f>
        <v>0</v>
      </c>
      <c r="N169" s="1445"/>
      <c r="O169" s="1445"/>
      <c r="Q169" s="1317"/>
      <c r="R169" s="1317"/>
      <c r="W169" s="1162"/>
      <c r="AB169" s="1162"/>
      <c r="AF169" s="1162"/>
      <c r="AK169" s="729"/>
      <c r="AL169" s="729"/>
      <c r="AM169" s="729"/>
      <c r="AN169" s="729"/>
      <c r="AO169" s="729"/>
      <c r="AP169" s="729"/>
      <c r="AQ169" s="729"/>
      <c r="AR169" s="729"/>
      <c r="AS169" s="729"/>
      <c r="AT169" s="729"/>
      <c r="AU169" s="729"/>
      <c r="AV169" s="729"/>
    </row>
    <row r="170" spans="2:48" s="39" customFormat="1" ht="13" outlineLevel="1" x14ac:dyDescent="0.2">
      <c r="B170" s="1733" t="str">
        <f>+Energia!B204</f>
        <v>Investimenti</v>
      </c>
      <c r="C170" s="1734"/>
      <c r="D170" s="1435">
        <v>15</v>
      </c>
      <c r="E170" s="1441"/>
      <c r="F170" s="1441"/>
      <c r="G170" s="1441"/>
      <c r="H170" s="1441"/>
      <c r="I170" s="1441"/>
      <c r="J170" s="1442"/>
      <c r="K170" s="1443"/>
      <c r="L170" s="1443"/>
      <c r="M170" s="1444"/>
      <c r="N170" s="1445"/>
      <c r="O170" s="1445"/>
      <c r="Q170" s="1317"/>
      <c r="R170" s="1317"/>
      <c r="W170" s="1162"/>
      <c r="AB170" s="1162"/>
      <c r="AF170" s="1162"/>
      <c r="AK170" s="729"/>
      <c r="AL170" s="729"/>
      <c r="AM170" s="729"/>
      <c r="AN170" s="729"/>
      <c r="AO170" s="729"/>
      <c r="AP170" s="729"/>
      <c r="AQ170" s="729"/>
      <c r="AR170" s="729"/>
      <c r="AS170" s="729"/>
      <c r="AT170" s="729"/>
      <c r="AU170" s="729"/>
      <c r="AV170" s="729"/>
    </row>
    <row r="171" spans="2:48" s="39" customFormat="1" ht="13" outlineLevel="1" x14ac:dyDescent="0.2">
      <c r="B171" s="1733" t="str">
        <f>+Energia!B205</f>
        <v xml:space="preserve">Trasporto di clienti e visitatori </v>
      </c>
      <c r="C171" s="1734"/>
      <c r="D171" s="1435">
        <v>16</v>
      </c>
      <c r="E171" s="1441"/>
      <c r="F171" s="1441"/>
      <c r="G171" s="1441"/>
      <c r="H171" s="1441"/>
      <c r="I171" s="1441"/>
      <c r="J171" s="1442"/>
      <c r="K171" s="1443"/>
      <c r="L171" s="1443"/>
      <c r="M171" s="1444"/>
      <c r="N171" s="1445"/>
      <c r="O171" s="1445"/>
      <c r="Q171" s="1317"/>
      <c r="R171" s="1317"/>
      <c r="W171" s="1162"/>
      <c r="AB171" s="1162"/>
      <c r="AF171" s="1162"/>
      <c r="AK171" s="729"/>
      <c r="AL171" s="729"/>
      <c r="AM171" s="729"/>
      <c r="AN171" s="729"/>
      <c r="AO171" s="729"/>
      <c r="AP171" s="729"/>
      <c r="AQ171" s="729"/>
      <c r="AR171" s="729"/>
      <c r="AS171" s="729"/>
      <c r="AT171" s="729"/>
      <c r="AU171" s="729"/>
      <c r="AV171" s="729"/>
    </row>
    <row r="172" spans="2:48" s="39" customFormat="1" ht="13" outlineLevel="1" x14ac:dyDescent="0.2">
      <c r="B172" s="1733" t="str">
        <f>+Energia!B206</f>
        <v>Trasporto di merci e distribuzione in fase d’uso e fine vita</v>
      </c>
      <c r="C172" s="1734"/>
      <c r="D172" s="1435">
        <v>17</v>
      </c>
      <c r="E172" s="1441"/>
      <c r="F172" s="1441"/>
      <c r="G172" s="1441"/>
      <c r="H172" s="1441"/>
      <c r="I172" s="1441"/>
      <c r="J172" s="1442"/>
      <c r="K172" s="1443"/>
      <c r="L172" s="1443"/>
      <c r="M172" s="1444"/>
      <c r="N172" s="1445"/>
      <c r="O172" s="1445"/>
      <c r="Q172" s="1317"/>
      <c r="R172" s="1317"/>
      <c r="W172" s="1162"/>
      <c r="AB172" s="1162"/>
      <c r="AF172" s="1162"/>
      <c r="AK172" s="729"/>
      <c r="AL172" s="729"/>
      <c r="AM172" s="729"/>
      <c r="AN172" s="729"/>
      <c r="AO172" s="729"/>
      <c r="AP172" s="729"/>
      <c r="AQ172" s="729"/>
      <c r="AR172" s="729"/>
      <c r="AS172" s="729"/>
      <c r="AT172" s="729"/>
      <c r="AU172" s="729"/>
      <c r="AV172" s="729"/>
    </row>
    <row r="173" spans="2:48" s="39" customFormat="1" ht="13" outlineLevel="1" x14ac:dyDescent="0.2">
      <c r="B173" s="1733" t="str">
        <f>+Energia!B207</f>
        <v xml:space="preserve">Uso dei prodotto venduti  </v>
      </c>
      <c r="C173" s="1734"/>
      <c r="D173" s="1435">
        <v>18</v>
      </c>
      <c r="E173" s="1441"/>
      <c r="F173" s="1441"/>
      <c r="G173" s="1441"/>
      <c r="H173" s="1441"/>
      <c r="I173" s="1441"/>
      <c r="J173" s="1442"/>
      <c r="K173" s="1443"/>
      <c r="L173" s="1443"/>
      <c r="M173" s="1444"/>
      <c r="N173" s="1445"/>
      <c r="O173" s="1445"/>
      <c r="Q173" s="1317"/>
      <c r="R173" s="1317"/>
      <c r="W173" s="1162"/>
      <c r="AB173" s="1162"/>
      <c r="AF173" s="1162"/>
      <c r="AK173" s="729"/>
      <c r="AL173" s="729"/>
      <c r="AM173" s="729"/>
      <c r="AN173" s="729"/>
      <c r="AO173" s="729"/>
      <c r="AP173" s="729"/>
      <c r="AQ173" s="729"/>
      <c r="AR173" s="729"/>
      <c r="AS173" s="729"/>
      <c r="AT173" s="729"/>
      <c r="AU173" s="729"/>
      <c r="AV173" s="729"/>
    </row>
    <row r="174" spans="2:48" s="39" customFormat="1" ht="13" outlineLevel="1" x14ac:dyDescent="0.2">
      <c r="B174" s="1733" t="str">
        <f>+Energia!B208</f>
        <v>Fine vita dei prodotti venduti</v>
      </c>
      <c r="C174" s="1734"/>
      <c r="D174" s="1435">
        <v>19</v>
      </c>
      <c r="E174" s="1441"/>
      <c r="F174" s="1441"/>
      <c r="G174" s="1441"/>
      <c r="H174" s="1441"/>
      <c r="I174" s="1441"/>
      <c r="J174" s="1442"/>
      <c r="K174" s="1443"/>
      <c r="L174" s="1443"/>
      <c r="M174" s="1444"/>
      <c r="N174" s="1445"/>
      <c r="O174" s="1445"/>
      <c r="Q174" s="1317"/>
      <c r="R174" s="1317"/>
      <c r="W174" s="1162"/>
      <c r="AB174" s="1162"/>
      <c r="AF174" s="1162"/>
      <c r="AK174" s="729"/>
      <c r="AL174" s="729"/>
      <c r="AM174" s="729"/>
      <c r="AN174" s="729"/>
      <c r="AO174" s="729"/>
      <c r="AP174" s="729"/>
      <c r="AQ174" s="729"/>
      <c r="AR174" s="729"/>
      <c r="AS174" s="729"/>
      <c r="AT174" s="729"/>
      <c r="AU174" s="729"/>
      <c r="AV174" s="729"/>
    </row>
    <row r="175" spans="2:48" s="39" customFormat="1" ht="13" outlineLevel="1" x14ac:dyDescent="0.2">
      <c r="B175" s="1733" t="str">
        <f>+Energia!B209</f>
        <v xml:space="preserve">Downstream franchises </v>
      </c>
      <c r="C175" s="1734"/>
      <c r="D175" s="1435">
        <v>20</v>
      </c>
      <c r="E175" s="1441"/>
      <c r="F175" s="1441"/>
      <c r="G175" s="1441"/>
      <c r="H175" s="1441"/>
      <c r="I175" s="1441"/>
      <c r="J175" s="1442"/>
      <c r="K175" s="1443"/>
      <c r="L175" s="1443"/>
      <c r="M175" s="1444"/>
      <c r="N175" s="1445"/>
      <c r="O175" s="1445"/>
      <c r="Q175" s="1317"/>
      <c r="R175" s="1317"/>
      <c r="W175" s="1162"/>
      <c r="AB175" s="1162"/>
      <c r="AF175" s="1162"/>
      <c r="AK175" s="729"/>
      <c r="AL175" s="729"/>
      <c r="AM175" s="729"/>
      <c r="AN175" s="729"/>
      <c r="AO175" s="729"/>
      <c r="AP175" s="729"/>
      <c r="AQ175" s="729"/>
      <c r="AR175" s="729"/>
      <c r="AS175" s="729"/>
      <c r="AT175" s="729"/>
      <c r="AU175" s="729"/>
      <c r="AV175" s="729"/>
    </row>
    <row r="176" spans="2:48" s="39" customFormat="1" ht="13" outlineLevel="1" x14ac:dyDescent="0.2">
      <c r="B176" s="1733" t="str">
        <f>+Energia!B210</f>
        <v>Downstream leased assets</v>
      </c>
      <c r="C176" s="1734"/>
      <c r="D176" s="1435">
        <v>21</v>
      </c>
      <c r="E176" s="1441"/>
      <c r="F176" s="1441"/>
      <c r="G176" s="1441"/>
      <c r="H176" s="1441"/>
      <c r="I176" s="1441"/>
      <c r="J176" s="1442"/>
      <c r="K176" s="1443"/>
      <c r="L176" s="1443"/>
      <c r="M176" s="1444"/>
      <c r="N176" s="1445"/>
      <c r="O176" s="1445"/>
      <c r="Q176" s="1317"/>
      <c r="R176" s="1317"/>
      <c r="W176" s="1162"/>
      <c r="AB176" s="1162"/>
      <c r="AF176" s="1162"/>
      <c r="AK176" s="729"/>
      <c r="AL176" s="729"/>
      <c r="AM176" s="729"/>
      <c r="AN176" s="729"/>
      <c r="AO176" s="729"/>
      <c r="AP176" s="729"/>
      <c r="AQ176" s="729"/>
      <c r="AR176" s="729"/>
      <c r="AS176" s="729"/>
      <c r="AT176" s="729"/>
      <c r="AU176" s="729"/>
      <c r="AV176" s="729"/>
    </row>
    <row r="177" spans="2:48" s="39" customFormat="1" ht="13" outlineLevel="1" x14ac:dyDescent="0.2">
      <c r="B177" s="1733" t="str">
        <f>+Energia!B211</f>
        <v>Impiegati pendolari</v>
      </c>
      <c r="C177" s="1734"/>
      <c r="D177" s="1435">
        <v>22</v>
      </c>
      <c r="E177" s="1441"/>
      <c r="F177" s="1441"/>
      <c r="G177" s="1441"/>
      <c r="H177" s="1441"/>
      <c r="I177" s="1441"/>
      <c r="J177" s="1442"/>
      <c r="K177" s="1443"/>
      <c r="L177" s="1443"/>
      <c r="M177" s="1444"/>
      <c r="N177" s="1445"/>
      <c r="O177" s="1445"/>
      <c r="Q177" s="1317"/>
      <c r="R177" s="1317"/>
      <c r="W177" s="1162"/>
      <c r="AB177" s="1162"/>
      <c r="AF177" s="1162"/>
      <c r="AK177" s="729"/>
      <c r="AL177" s="729"/>
      <c r="AM177" s="729"/>
      <c r="AN177" s="729"/>
      <c r="AO177" s="729"/>
      <c r="AP177" s="729"/>
      <c r="AQ177" s="729"/>
      <c r="AR177" s="729"/>
      <c r="AS177" s="729"/>
      <c r="AT177" s="729"/>
      <c r="AU177" s="729"/>
      <c r="AV177" s="729"/>
    </row>
    <row r="178" spans="2:48" s="39" customFormat="1" ht="13" outlineLevel="1" x14ac:dyDescent="0.2">
      <c r="B178" s="1733" t="str">
        <f>+Energia!B212</f>
        <v xml:space="preserve">Altre emissioni indirette </v>
      </c>
      <c r="C178" s="1734"/>
      <c r="D178" s="1435">
        <v>23</v>
      </c>
      <c r="E178" s="1441">
        <f>SUMIF($F$9:$F$98,'Info utili'!$E$535,U$9:U$98)+SUMIF($F$9:$F$98,'Info utili'!$E$539,U$9:U$98)</f>
        <v>0</v>
      </c>
      <c r="F178" s="1441">
        <f>SUMIF($F$9:$F$98,'Info utili'!$E$535,V$9:V$98)+SUMIF($F$9:$F$98,'Info utili'!$E$539,V$9:V$98)</f>
        <v>0</v>
      </c>
      <c r="G178" s="1441">
        <f>SUMIF($F$9:$F$98,'Info utili'!$E$535,W$9:W$98)+SUMIF($F$9:$F$98,'Info utili'!$E$539,W$9:W$98)</f>
        <v>0</v>
      </c>
      <c r="H178" s="1441">
        <f>SUMIF($F$77:$F$85,'Info utili'!$E$535,X$77:X$85)+SUMIF($F$77:$F$85,'Info utili'!$E$539,X$77:X$85)</f>
        <v>0</v>
      </c>
      <c r="I178" s="1441">
        <f>SUMIF($F$90:$F$98,'Info utili'!$E$535,X$90:X$98)+SUMIF($F$90:$F$98,'Info utili'!$E$539,X$90:X$98)</f>
        <v>0</v>
      </c>
      <c r="J178" s="1442">
        <f>SUMIF($F$9:$F$98,'Info utili'!$E$535,Y$9:Y$98)+SUMIF($F$9:$F$98,'Info utili'!$E$539,Y$9:Y$98)</f>
        <v>0</v>
      </c>
      <c r="K178" s="1443">
        <v>0</v>
      </c>
      <c r="L178" s="1443">
        <f>SUMIF($F$9:$F$98,'Info utili'!$E$535,Z$9:Z$98)+SUMIF($F$9:$F$98,'Info utili'!$E$539,Z$9:Z$98)</f>
        <v>0</v>
      </c>
      <c r="M178" s="1444">
        <f>SQRT(SUMPRODUCT(($F$9:$F$98='Info utili'!$E$535)*1,N$9:N$98,N$9:N$98)+SUMPRODUCT(($F$9:$F$98='Info utili'!$E$539)*1,N$9:N$98,N$9:N$98))</f>
        <v>0</v>
      </c>
      <c r="N178" s="1445"/>
      <c r="O178" s="1445"/>
      <c r="Q178" s="1317"/>
      <c r="R178" s="1317"/>
      <c r="W178" s="1162"/>
      <c r="AB178" s="1162"/>
      <c r="AF178" s="1162"/>
      <c r="AK178" s="729"/>
      <c r="AL178" s="729"/>
      <c r="AM178" s="729"/>
      <c r="AN178" s="729"/>
      <c r="AO178" s="729"/>
      <c r="AP178" s="729"/>
      <c r="AQ178" s="729"/>
      <c r="AR178" s="729"/>
      <c r="AS178" s="729"/>
      <c r="AT178" s="729"/>
      <c r="AU178" s="729"/>
      <c r="AV178" s="729"/>
    </row>
    <row r="179" spans="2:48" s="39" customFormat="1" ht="13" outlineLevel="1" x14ac:dyDescent="0.2">
      <c r="B179" s="1738" t="s">
        <v>2834</v>
      </c>
      <c r="C179" s="1738"/>
      <c r="D179" s="1738"/>
      <c r="E179" s="1447">
        <f>SUM(E163:E178)</f>
        <v>0</v>
      </c>
      <c r="F179" s="1447">
        <f t="shared" ref="F179:O179" si="39">SUM(F163:F178)</f>
        <v>0</v>
      </c>
      <c r="G179" s="1447">
        <f t="shared" si="39"/>
        <v>0</v>
      </c>
      <c r="H179" s="1447">
        <f t="shared" si="39"/>
        <v>0</v>
      </c>
      <c r="I179" s="1447">
        <f t="shared" si="39"/>
        <v>0</v>
      </c>
      <c r="J179" s="1447">
        <f t="shared" si="39"/>
        <v>0</v>
      </c>
      <c r="K179" s="1448">
        <f t="shared" si="39"/>
        <v>0</v>
      </c>
      <c r="L179" s="1448">
        <f t="shared" si="39"/>
        <v>0</v>
      </c>
      <c r="M179" s="1449">
        <f>SQRT(SUMSQ(M163:M178))</f>
        <v>0</v>
      </c>
      <c r="N179" s="1450">
        <f t="shared" si="39"/>
        <v>0</v>
      </c>
      <c r="O179" s="1450">
        <f t="shared" si="39"/>
        <v>0</v>
      </c>
      <c r="Q179" s="1317"/>
      <c r="R179" s="1317"/>
      <c r="W179" s="1162"/>
      <c r="AB179" s="1162"/>
      <c r="AF179" s="1162"/>
      <c r="AK179" s="729"/>
      <c r="AL179" s="729"/>
      <c r="AM179" s="729"/>
      <c r="AN179" s="729"/>
      <c r="AO179" s="729"/>
      <c r="AP179" s="729"/>
      <c r="AQ179" s="729"/>
      <c r="AR179" s="729"/>
      <c r="AS179" s="729"/>
      <c r="AT179" s="729"/>
      <c r="AU179" s="729"/>
      <c r="AV179" s="729"/>
    </row>
    <row r="180" spans="2:48" s="39" customFormat="1" outlineLevel="1" x14ac:dyDescent="0.2">
      <c r="Q180" s="1317"/>
      <c r="R180" s="1317"/>
      <c r="W180" s="1162"/>
      <c r="AB180" s="1162"/>
      <c r="AF180" s="1162"/>
      <c r="AK180" s="729"/>
      <c r="AL180" s="729"/>
      <c r="AM180" s="729"/>
      <c r="AN180" s="729"/>
      <c r="AO180" s="729"/>
      <c r="AP180" s="729"/>
      <c r="AQ180" s="729"/>
      <c r="AR180" s="729"/>
      <c r="AS180" s="729"/>
      <c r="AT180" s="729"/>
      <c r="AU180" s="729"/>
      <c r="AV180" s="729"/>
    </row>
    <row r="183" spans="2:48" ht="17" x14ac:dyDescent="0.15">
      <c r="B183" s="1649" t="s">
        <v>2768</v>
      </c>
    </row>
    <row r="184" spans="2:48" ht="17" x14ac:dyDescent="0.15">
      <c r="B184" s="1649" t="s">
        <v>2769</v>
      </c>
    </row>
    <row r="185" spans="2:48" ht="17" x14ac:dyDescent="0.15">
      <c r="B185" s="1650" t="s">
        <v>2770</v>
      </c>
    </row>
    <row r="186" spans="2:48" ht="16" x14ac:dyDescent="0.15">
      <c r="B186" s="1651" t="s">
        <v>2771</v>
      </c>
    </row>
    <row r="187" spans="2:48" ht="17" x14ac:dyDescent="0.15">
      <c r="B187" s="1649" t="s">
        <v>2772</v>
      </c>
    </row>
  </sheetData>
  <mergeCells count="120">
    <mergeCell ref="U52:Z52"/>
    <mergeCell ref="U90:Z90"/>
    <mergeCell ref="P90:S90"/>
    <mergeCell ref="P77:S77"/>
    <mergeCell ref="P65:S65"/>
    <mergeCell ref="U54:X54"/>
    <mergeCell ref="P9:S9"/>
    <mergeCell ref="L28:N28"/>
    <mergeCell ref="L9:N9"/>
    <mergeCell ref="P52:S52"/>
    <mergeCell ref="L20:N20"/>
    <mergeCell ref="P28:S28"/>
    <mergeCell ref="B18:O18"/>
    <mergeCell ref="P20:S20"/>
    <mergeCell ref="P41:S41"/>
    <mergeCell ref="U67:X67"/>
    <mergeCell ref="U43:X43"/>
    <mergeCell ref="U9:Z9"/>
    <mergeCell ref="U20:Z20"/>
    <mergeCell ref="U41:Z41"/>
    <mergeCell ref="U11:X11"/>
    <mergeCell ref="U22:X22"/>
    <mergeCell ref="U30:X30"/>
    <mergeCell ref="U28:Z28"/>
    <mergeCell ref="U92:X92"/>
    <mergeCell ref="L90:N90"/>
    <mergeCell ref="Q105:T105"/>
    <mergeCell ref="L65:N65"/>
    <mergeCell ref="U79:X79"/>
    <mergeCell ref="U77:Z77"/>
    <mergeCell ref="U65:Z65"/>
    <mergeCell ref="H105:I105"/>
    <mergeCell ref="K105:L105"/>
    <mergeCell ref="B2:O2"/>
    <mergeCell ref="D4:E4"/>
    <mergeCell ref="F4:G4"/>
    <mergeCell ref="H4:I4"/>
    <mergeCell ref="D5:E5"/>
    <mergeCell ref="F5:G5"/>
    <mergeCell ref="J4:K4"/>
    <mergeCell ref="L4:M4"/>
    <mergeCell ref="B105:C106"/>
    <mergeCell ref="D105:F105"/>
    <mergeCell ref="J5:K5"/>
    <mergeCell ref="B7:O7"/>
    <mergeCell ref="L41:N41"/>
    <mergeCell ref="L77:N77"/>
    <mergeCell ref="B103:O103"/>
    <mergeCell ref="L52:N52"/>
    <mergeCell ref="B124:D124"/>
    <mergeCell ref="B125:C125"/>
    <mergeCell ref="B126:C126"/>
    <mergeCell ref="B116:O116"/>
    <mergeCell ref="E118:N118"/>
    <mergeCell ref="B119:C119"/>
    <mergeCell ref="B120:C120"/>
    <mergeCell ref="B121:C121"/>
    <mergeCell ref="B50:O50"/>
    <mergeCell ref="B88:O88"/>
    <mergeCell ref="B75:O75"/>
    <mergeCell ref="B107:C107"/>
    <mergeCell ref="B108:C108"/>
    <mergeCell ref="B109:C109"/>
    <mergeCell ref="B110:C110"/>
    <mergeCell ref="B111:C111"/>
    <mergeCell ref="B112:C112"/>
    <mergeCell ref="B147:D147"/>
    <mergeCell ref="H5:I5"/>
    <mergeCell ref="B142:C142"/>
    <mergeCell ref="B143:C143"/>
    <mergeCell ref="B144:C144"/>
    <mergeCell ref="B145:C145"/>
    <mergeCell ref="B146:C146"/>
    <mergeCell ref="B137:C137"/>
    <mergeCell ref="B138:O138"/>
    <mergeCell ref="B139:C139"/>
    <mergeCell ref="B140:C140"/>
    <mergeCell ref="B141:C141"/>
    <mergeCell ref="B132:C132"/>
    <mergeCell ref="B133:C133"/>
    <mergeCell ref="B134:C134"/>
    <mergeCell ref="B135:C135"/>
    <mergeCell ref="B136:C136"/>
    <mergeCell ref="B127:D127"/>
    <mergeCell ref="B128:O128"/>
    <mergeCell ref="B129:C129"/>
    <mergeCell ref="B130:C130"/>
    <mergeCell ref="B131:C131"/>
    <mergeCell ref="B122:C122"/>
    <mergeCell ref="B123:C123"/>
    <mergeCell ref="B150:O150"/>
    <mergeCell ref="E152:M152"/>
    <mergeCell ref="B153:C153"/>
    <mergeCell ref="B154:C154"/>
    <mergeCell ref="O154:O159"/>
    <mergeCell ref="B155:C155"/>
    <mergeCell ref="B156:C156"/>
    <mergeCell ref="B157:C157"/>
    <mergeCell ref="B158:C158"/>
    <mergeCell ref="B159:D159"/>
    <mergeCell ref="B160:C160"/>
    <mergeCell ref="B161:C161"/>
    <mergeCell ref="B162:D162"/>
    <mergeCell ref="B163:C163"/>
    <mergeCell ref="B164:C164"/>
    <mergeCell ref="B165:C165"/>
    <mergeCell ref="B166:C166"/>
    <mergeCell ref="B167:C167"/>
    <mergeCell ref="B168:C168"/>
    <mergeCell ref="B178:C178"/>
    <mergeCell ref="B179:D179"/>
    <mergeCell ref="B169:C169"/>
    <mergeCell ref="B170:C170"/>
    <mergeCell ref="B171:C171"/>
    <mergeCell ref="B172:C172"/>
    <mergeCell ref="B173:C173"/>
    <mergeCell ref="B174:C174"/>
    <mergeCell ref="B175:C175"/>
    <mergeCell ref="B176:C176"/>
    <mergeCell ref="B177:C177"/>
  </mergeCells>
  <phoneticPr fontId="4"/>
  <dataValidations count="5">
    <dataValidation type="list" allowBlank="1" showInputMessage="1" showErrorMessage="1" sqref="B32:B37 B56:B61" xr:uid="{00000000-0002-0000-0200-000000000000}">
      <formula1>animaux</formula1>
    </dataValidation>
    <dataValidation type="list" allowBlank="1" showInputMessage="1" showErrorMessage="1" sqref="B81:B83" xr:uid="{00000000-0002-0000-0200-000001000000}">
      <formula1>halocarbure_kyoto</formula1>
    </dataValidation>
    <dataValidation type="list" allowBlank="1" showInputMessage="1" showErrorMessage="1" sqref="B94:B96" xr:uid="{00000000-0002-0000-0200-000002000000}">
      <formula1>halocarbure_hors_kyoto</formula1>
    </dataValidation>
    <dataValidation allowBlank="1" showInputMessage="1" showErrorMessage="1" sqref="C32:C37 C56:C61 C81:C83 C94:C96" xr:uid="{00000000-0002-0000-0200-000003000000}"/>
    <dataValidation type="list" allowBlank="1" showInputMessage="1" showErrorMessage="1" sqref="F13 F24 F32:F37 F45 F69:F70 F81:F83 F94:F96" xr:uid="{00000000-0002-0000-0200-000004000000}">
      <formula1>Liste_Horsenergie</formula1>
    </dataValidation>
  </dataValidations>
  <hyperlinks>
    <hyperlink ref="D4" location="procedes1_haut" display="CO2 hors énergie" xr:uid="{00000000-0004-0000-0200-000000000000}"/>
    <hyperlink ref="F4" location="procedes1_N2O" display="N2O" xr:uid="{00000000-0004-0000-0200-000001000000}"/>
    <hyperlink ref="H4" location="procedes1_CH4" display="Méthane" xr:uid="{00000000-0004-0000-0200-000002000000}"/>
    <hyperlink ref="D5" location="procedes1_recap" display="total" xr:uid="{00000000-0004-0000-0200-000003000000}"/>
    <hyperlink ref="J4" location="procedes1_halo" display="Halocarbures" xr:uid="{00000000-0004-0000-0200-000004000000}"/>
    <hyperlink ref="L4" location="procedes1_divers" display="Hors Kyoto" xr:uid="{00000000-0004-0000-0200-000005000000}"/>
    <hyperlink ref="H5" location="horsenergie1_GHGProtocol" display="GHG Protocol" xr:uid="{00000000-0004-0000-0200-000006000000}"/>
    <hyperlink ref="J5:K5" location="horsenergie1_ISO14069" display="ISO 14069" xr:uid="{00000000-0004-0000-0200-000007000000}"/>
    <hyperlink ref="B186" r:id="rId1" xr:uid="{00000000-0004-0000-0200-000008000000}"/>
    <hyperlink ref="B185" r:id="rId2" xr:uid="{00000000-0004-0000-0200-000009000000}"/>
  </hyperlinks>
  <pageMargins left="0.78740157499999996" right="0.78740157499999996" top="0.984251969" bottom="0.984251969" header="0.4921259845" footer="0.4921259845"/>
  <pageSetup paperSize="9" orientation="portrait" horizontalDpi="4294967292" verticalDpi="4294967292"/>
  <headerFooter alignWithMargins="0">
    <oddFooter>&amp;LCalcul des émissions de gaz à effet de serre&amp;RRubrique &amp;A, Page &amp;P, édité le &amp;D</oddFooter>
  </headerFooter>
  <ignoredErrors>
    <ignoredError sqref="D143:D145" twoDigitTextYear="1"/>
  </ignoredErrors>
  <drawing r:id="rId3"/>
  <legacyDrawing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tabColor theme="5"/>
    <outlinePr summaryBelow="0"/>
  </sheetPr>
  <dimension ref="A2:AY286"/>
  <sheetViews>
    <sheetView showGridLines="0" zoomScale="150" zoomScaleNormal="150" zoomScalePageLayoutView="150" workbookViewId="0">
      <pane xSplit="3" ySplit="7" topLeftCell="D119" activePane="bottomRight" state="frozenSplit"/>
      <selection activeCell="E9" sqref="E9"/>
      <selection pane="topRight" activeCell="E9" sqref="E9"/>
      <selection pane="bottomLeft" activeCell="E9" sqref="E9"/>
      <selection pane="bottomRight" activeCell="I71" sqref="I71"/>
    </sheetView>
  </sheetViews>
  <sheetFormatPr baseColWidth="10" defaultColWidth="10.83203125" defaultRowHeight="12" outlineLevelRow="1" x14ac:dyDescent="0.2"/>
  <cols>
    <col min="1" max="1" width="2.6640625" style="39" customWidth="1"/>
    <col min="2" max="2" width="52.6640625" style="39" customWidth="1"/>
    <col min="3" max="3" width="2.5" style="39" customWidth="1"/>
    <col min="4" max="6" width="12.33203125" style="39" customWidth="1"/>
    <col min="7" max="7" width="14.5" style="39" bestFit="1" customWidth="1"/>
    <col min="8" max="9" width="13.5" style="39" bestFit="1" customWidth="1"/>
    <col min="10" max="20" width="12.33203125" style="39" customWidth="1"/>
    <col min="21" max="26" width="12.33203125" style="729" customWidth="1"/>
    <col min="27" max="29" width="12.33203125" style="39" customWidth="1"/>
    <col min="30" max="16384" width="10.83203125" style="39"/>
  </cols>
  <sheetData>
    <row r="2" spans="2:26" ht="30" customHeight="1" x14ac:dyDescent="0.2">
      <c r="B2" s="1726" t="str">
        <f>Description!C18</f>
        <v>Input</v>
      </c>
      <c r="C2" s="1726"/>
      <c r="D2" s="1726"/>
      <c r="E2" s="1726"/>
      <c r="F2" s="1726"/>
      <c r="G2" s="1726"/>
      <c r="H2" s="1726"/>
      <c r="I2" s="1726"/>
      <c r="J2" s="1726"/>
      <c r="K2" s="1726"/>
      <c r="L2" s="1726"/>
      <c r="M2" s="1726"/>
      <c r="N2" s="1726"/>
      <c r="O2" s="1726"/>
    </row>
    <row r="3" spans="2:26" s="313" customFormat="1" ht="14" x14ac:dyDescent="0.2">
      <c r="D3" s="41"/>
      <c r="E3" s="41"/>
      <c r="F3" s="41"/>
      <c r="H3" s="41"/>
      <c r="J3" s="41"/>
      <c r="L3" s="41"/>
      <c r="N3" s="41"/>
      <c r="U3" s="777"/>
      <c r="V3" s="777"/>
      <c r="W3" s="777"/>
      <c r="X3" s="777"/>
      <c r="Y3" s="777"/>
      <c r="Z3" s="777"/>
    </row>
    <row r="4" spans="2:26" s="313" customFormat="1" ht="14" x14ac:dyDescent="0.2">
      <c r="B4" s="119" t="s">
        <v>2531</v>
      </c>
      <c r="C4" s="353"/>
      <c r="D4" s="1797" t="s">
        <v>2592</v>
      </c>
      <c r="E4" s="1797"/>
      <c r="F4" s="1797" t="s">
        <v>2593</v>
      </c>
      <c r="G4" s="1797"/>
      <c r="H4" s="1797" t="s">
        <v>2594</v>
      </c>
      <c r="I4" s="1797"/>
      <c r="J4" s="1797" t="s">
        <v>2596</v>
      </c>
      <c r="K4" s="1797"/>
      <c r="L4" s="1797" t="s">
        <v>75</v>
      </c>
      <c r="M4" s="1797"/>
      <c r="N4" s="1797" t="s">
        <v>2597</v>
      </c>
      <c r="O4" s="1823"/>
      <c r="U4" s="777"/>
      <c r="V4" s="777"/>
      <c r="W4" s="777"/>
      <c r="X4" s="777"/>
      <c r="Y4" s="777"/>
      <c r="Z4" s="777"/>
    </row>
    <row r="5" spans="2:26" s="121" customFormat="1" ht="14" x14ac:dyDescent="0.2">
      <c r="B5" s="354"/>
      <c r="C5" s="166"/>
      <c r="D5" s="1824" t="s">
        <v>2598</v>
      </c>
      <c r="E5" s="1824"/>
      <c r="F5" s="1824" t="s">
        <v>76</v>
      </c>
      <c r="G5" s="1824"/>
      <c r="H5" s="1824" t="s">
        <v>2595</v>
      </c>
      <c r="I5" s="1824"/>
      <c r="J5" s="1824"/>
      <c r="K5" s="1824"/>
      <c r="L5" s="1824"/>
      <c r="M5" s="1824"/>
      <c r="N5" s="1824"/>
      <c r="O5" s="1825"/>
      <c r="U5" s="607"/>
      <c r="V5" s="607"/>
      <c r="W5" s="607"/>
      <c r="X5" s="607"/>
      <c r="Y5" s="607"/>
      <c r="Z5" s="607"/>
    </row>
    <row r="6" spans="2:26" s="121" customFormat="1" ht="14" x14ac:dyDescent="0.2">
      <c r="B6" s="106" t="s">
        <v>71</v>
      </c>
      <c r="C6" s="107"/>
      <c r="D6" s="1798" t="s">
        <v>44</v>
      </c>
      <c r="E6" s="1798"/>
      <c r="F6" s="1798"/>
      <c r="G6" s="1798"/>
      <c r="H6" s="1798" t="s">
        <v>121</v>
      </c>
      <c r="I6" s="1798"/>
      <c r="J6" s="1798" t="s">
        <v>132</v>
      </c>
      <c r="K6" s="1798"/>
      <c r="L6" s="172"/>
      <c r="M6" s="172"/>
      <c r="N6" s="172"/>
      <c r="O6" s="355"/>
      <c r="U6" s="607"/>
      <c r="V6" s="607"/>
      <c r="W6" s="607"/>
      <c r="X6" s="607"/>
      <c r="Y6" s="607"/>
      <c r="Z6" s="607"/>
    </row>
    <row r="7" spans="2:26" s="121" customFormat="1" ht="14" x14ac:dyDescent="0.2">
      <c r="B7" s="41"/>
      <c r="C7" s="41"/>
      <c r="D7" s="41"/>
      <c r="E7" s="41"/>
      <c r="F7" s="41"/>
      <c r="U7" s="607"/>
      <c r="V7" s="607"/>
      <c r="W7" s="607"/>
      <c r="X7" s="607"/>
      <c r="Y7" s="607"/>
      <c r="Z7" s="607"/>
    </row>
    <row r="8" spans="2:26" s="40" customFormat="1" ht="16" x14ac:dyDescent="0.2">
      <c r="B8" s="1795" t="s">
        <v>2840</v>
      </c>
      <c r="C8" s="1795"/>
      <c r="D8" s="1795"/>
      <c r="E8" s="1795"/>
      <c r="F8" s="1795"/>
      <c r="G8" s="1795"/>
      <c r="H8" s="1795"/>
      <c r="I8" s="1795"/>
      <c r="J8" s="1795"/>
      <c r="K8" s="1795"/>
      <c r="L8" s="1795"/>
      <c r="M8" s="1795"/>
      <c r="N8" s="1795"/>
      <c r="O8" s="1795"/>
      <c r="U8" s="602"/>
      <c r="V8" s="602"/>
      <c r="W8" s="602"/>
      <c r="X8" s="602"/>
      <c r="Y8" s="602"/>
      <c r="Z8" s="602"/>
    </row>
    <row r="9" spans="2:26" s="40" customFormat="1" ht="13" outlineLevel="1" x14ac:dyDescent="0.2">
      <c r="U9" s="602"/>
      <c r="V9" s="602"/>
      <c r="W9" s="602"/>
      <c r="X9" s="602"/>
      <c r="Y9" s="602"/>
      <c r="Z9" s="602"/>
    </row>
    <row r="10" spans="2:26" s="40" customFormat="1" ht="13" outlineLevel="1" x14ac:dyDescent="0.2">
      <c r="B10" s="195" t="s">
        <v>2840</v>
      </c>
      <c r="C10" s="196"/>
      <c r="D10" s="350"/>
      <c r="E10" s="350"/>
      <c r="F10" s="198"/>
      <c r="G10" s="198"/>
      <c r="H10" s="198"/>
      <c r="I10" s="198"/>
      <c r="J10" s="199"/>
      <c r="L10" s="1746" t="s">
        <v>723</v>
      </c>
      <c r="M10" s="1747"/>
      <c r="N10" s="1748"/>
      <c r="P10" s="1746" t="s">
        <v>2066</v>
      </c>
      <c r="Q10" s="1747"/>
      <c r="R10" s="1747"/>
      <c r="S10" s="1748"/>
      <c r="U10" s="1755" t="s">
        <v>2073</v>
      </c>
      <c r="V10" s="1756"/>
      <c r="W10" s="1756"/>
      <c r="X10" s="1756"/>
      <c r="Y10" s="1756"/>
      <c r="Z10" s="1757"/>
    </row>
    <row r="11" spans="2:26" s="40" customFormat="1" ht="13" outlineLevel="1" x14ac:dyDescent="0.2">
      <c r="B11" s="417"/>
      <c r="C11" s="225"/>
      <c r="D11" s="352"/>
      <c r="E11" s="352"/>
      <c r="F11" s="214"/>
      <c r="G11" s="214"/>
      <c r="H11" s="201"/>
      <c r="I11" s="201"/>
      <c r="J11" s="203"/>
      <c r="L11" s="204"/>
      <c r="M11" s="351"/>
      <c r="N11" s="203"/>
      <c r="P11" s="204"/>
      <c r="Q11" s="351"/>
      <c r="R11" s="351"/>
      <c r="S11" s="203"/>
      <c r="U11" s="778"/>
      <c r="V11" s="779"/>
      <c r="W11" s="779"/>
      <c r="X11" s="779"/>
      <c r="Y11" s="741"/>
      <c r="Z11" s="780"/>
    </row>
    <row r="12" spans="2:26" s="40" customFormat="1" ht="13" outlineLevel="1" x14ac:dyDescent="0.2">
      <c r="B12" s="204"/>
      <c r="C12" s="351"/>
      <c r="D12" s="351" t="s">
        <v>56</v>
      </c>
      <c r="E12" s="351" t="s">
        <v>56</v>
      </c>
      <c r="F12" s="205" t="s">
        <v>11</v>
      </c>
      <c r="G12" s="205" t="s">
        <v>2600</v>
      </c>
      <c r="H12" s="351" t="s">
        <v>64</v>
      </c>
      <c r="I12" s="205" t="s">
        <v>2603</v>
      </c>
      <c r="J12" s="207" t="s">
        <v>61</v>
      </c>
      <c r="L12" s="1618" t="s">
        <v>2605</v>
      </c>
      <c r="M12" s="351" t="s">
        <v>2110</v>
      </c>
      <c r="N12" s="207" t="s">
        <v>61</v>
      </c>
      <c r="P12" s="204" t="s">
        <v>2065</v>
      </c>
      <c r="Q12" s="352" t="s">
        <v>61</v>
      </c>
      <c r="R12" s="351" t="s">
        <v>2558</v>
      </c>
      <c r="S12" s="207" t="s">
        <v>61</v>
      </c>
      <c r="U12" s="1739" t="s">
        <v>61</v>
      </c>
      <c r="V12" s="1740"/>
      <c r="W12" s="1740"/>
      <c r="X12" s="1740"/>
      <c r="Y12" s="741" t="s">
        <v>61</v>
      </c>
      <c r="Z12" s="742"/>
    </row>
    <row r="13" spans="2:26" s="40" customFormat="1" ht="13" outlineLevel="1" x14ac:dyDescent="0.2">
      <c r="B13" s="204"/>
      <c r="C13" s="351"/>
      <c r="D13" s="351" t="s">
        <v>61</v>
      </c>
      <c r="E13" s="351" t="s">
        <v>63</v>
      </c>
      <c r="F13" s="208" t="s">
        <v>2601</v>
      </c>
      <c r="G13" s="208" t="s">
        <v>2602</v>
      </c>
      <c r="H13" s="351" t="s">
        <v>2058</v>
      </c>
      <c r="I13" s="208" t="s">
        <v>2604</v>
      </c>
      <c r="J13" s="207"/>
      <c r="L13" s="1618" t="s">
        <v>2109</v>
      </c>
      <c r="M13" s="351"/>
      <c r="N13" s="207"/>
      <c r="P13" s="204"/>
      <c r="Q13" s="352"/>
      <c r="R13" s="351"/>
      <c r="S13" s="207"/>
      <c r="U13" s="744" t="s">
        <v>14</v>
      </c>
      <c r="V13" s="745" t="s">
        <v>60</v>
      </c>
      <c r="W13" s="745" t="s">
        <v>27</v>
      </c>
      <c r="X13" s="745" t="s">
        <v>2074</v>
      </c>
      <c r="Y13" s="746" t="s">
        <v>41</v>
      </c>
      <c r="Z13" s="747" t="s">
        <v>85</v>
      </c>
    </row>
    <row r="14" spans="2:26" s="40" customFormat="1" ht="13" outlineLevel="1" x14ac:dyDescent="0.2">
      <c r="B14" s="200" t="s">
        <v>159</v>
      </c>
      <c r="C14" s="201"/>
      <c r="D14" s="262">
        <f>J14</f>
        <v>0</v>
      </c>
      <c r="E14" s="265">
        <f>D14*12/44</f>
        <v>0</v>
      </c>
      <c r="F14" s="182"/>
      <c r="G14" s="436"/>
      <c r="H14" s="273">
        <f>VLOOKUP($B14,'Emissions factors'!$B$1692:$D$1699,2,FALSE)*(1-G14)+VLOOKUP($B14,'Emissions factors'!$B$1692:$D$1699,3,FALSE)*G14</f>
        <v>9830</v>
      </c>
      <c r="I14" s="184"/>
      <c r="J14" s="211">
        <f>F14*H14*(1+I14)</f>
        <v>0</v>
      </c>
      <c r="L14" s="282">
        <f>VLOOKUP(B14,'Emissions factors'!$B$1692:$E$1699,4,FALSE)</f>
        <v>0.3</v>
      </c>
      <c r="M14" s="183"/>
      <c r="N14" s="211">
        <f>J14*SQRT(L14^2+M14^2)</f>
        <v>0</v>
      </c>
      <c r="O14" s="314"/>
      <c r="P14" s="184"/>
      <c r="Q14" s="210">
        <f>J14*P14</f>
        <v>0</v>
      </c>
      <c r="R14" s="184"/>
      <c r="S14" s="211">
        <f>J14*R14</f>
        <v>0</v>
      </c>
      <c r="U14" s="717"/>
      <c r="V14" s="718"/>
      <c r="W14" s="718"/>
      <c r="X14" s="718"/>
      <c r="Y14" s="720">
        <f>J14</f>
        <v>0</v>
      </c>
      <c r="Z14" s="748"/>
    </row>
    <row r="15" spans="2:26" s="40" customFormat="1" ht="13" outlineLevel="1" x14ac:dyDescent="0.2">
      <c r="B15" s="200" t="s">
        <v>1526</v>
      </c>
      <c r="C15" s="201"/>
      <c r="D15" s="262">
        <f>J15</f>
        <v>0</v>
      </c>
      <c r="E15" s="265">
        <f>D15*12/44</f>
        <v>0</v>
      </c>
      <c r="F15" s="185"/>
      <c r="G15" s="437"/>
      <c r="H15" s="273">
        <f>VLOOKUP($B15,'Emissions factors'!$B$1692:$D$1699,2,FALSE)*(1-G15)+VLOOKUP($B15,'Emissions factors'!$B$1692:$D$1699,3,FALSE)*G15</f>
        <v>2930</v>
      </c>
      <c r="I15" s="187"/>
      <c r="J15" s="211">
        <f>F15*H15*(1+I15)</f>
        <v>0</v>
      </c>
      <c r="L15" s="282">
        <f>VLOOKUP(B15,'Emissions factors'!$B$1692:$E$1699,4,FALSE)</f>
        <v>0.5</v>
      </c>
      <c r="M15" s="186"/>
      <c r="N15" s="211">
        <f>J15*SQRT(L15^2+M15^2)</f>
        <v>0</v>
      </c>
      <c r="P15" s="187"/>
      <c r="Q15" s="210">
        <f>J15*P15</f>
        <v>0</v>
      </c>
      <c r="R15" s="187"/>
      <c r="S15" s="211">
        <f>J15*R15</f>
        <v>0</v>
      </c>
      <c r="U15" s="717"/>
      <c r="V15" s="718"/>
      <c r="W15" s="718"/>
      <c r="X15" s="718"/>
      <c r="Y15" s="720">
        <f>J15</f>
        <v>0</v>
      </c>
      <c r="Z15" s="748"/>
    </row>
    <row r="16" spans="2:26" s="40" customFormat="1" ht="13" outlineLevel="1" x14ac:dyDescent="0.2">
      <c r="B16" s="200" t="s">
        <v>2599</v>
      </c>
      <c r="C16" s="201"/>
      <c r="D16" s="262">
        <f>J16</f>
        <v>0</v>
      </c>
      <c r="E16" s="265">
        <f>D16*12/44</f>
        <v>0</v>
      </c>
      <c r="F16" s="185"/>
      <c r="G16" s="437"/>
      <c r="H16" s="273">
        <f>VLOOKUP($B16,'Emissions factors'!$B$1692:$D$1699,2,FALSE)*(1-G16)+VLOOKUP($B16,'Emissions factors'!$B$1692:$D$1699,3,FALSE)*G16</f>
        <v>2090</v>
      </c>
      <c r="I16" s="187"/>
      <c r="J16" s="211">
        <f>F16*H16*(1+I16)</f>
        <v>0</v>
      </c>
      <c r="L16" s="282">
        <f>VLOOKUP(B16,'Emissions factors'!$B$1692:$E$1699,4,FALSE)</f>
        <v>0.3</v>
      </c>
      <c r="M16" s="186"/>
      <c r="N16" s="211">
        <f>J16*SQRT(L16^2+M16^2)</f>
        <v>0</v>
      </c>
      <c r="P16" s="187"/>
      <c r="Q16" s="210">
        <f>J16*P16</f>
        <v>0</v>
      </c>
      <c r="R16" s="187"/>
      <c r="S16" s="211">
        <f>J16*R16</f>
        <v>0</v>
      </c>
      <c r="U16" s="717"/>
      <c r="V16" s="718"/>
      <c r="W16" s="718"/>
      <c r="X16" s="718"/>
      <c r="Y16" s="720">
        <f>J16</f>
        <v>0</v>
      </c>
      <c r="Z16" s="748"/>
    </row>
    <row r="17" spans="2:26" s="40" customFormat="1" ht="13" outlineLevel="1" x14ac:dyDescent="0.2">
      <c r="B17" s="200" t="s">
        <v>1525</v>
      </c>
      <c r="C17" s="201"/>
      <c r="D17" s="262">
        <f>J17</f>
        <v>0</v>
      </c>
      <c r="E17" s="265">
        <f>D17*12/44</f>
        <v>0</v>
      </c>
      <c r="F17" s="188"/>
      <c r="G17" s="438"/>
      <c r="H17" s="273">
        <f>VLOOKUP($B17,'Emissions factors'!$B$1692:$D$1699,2,FALSE)*(1-G17)+VLOOKUP($B17,'Emissions factors'!$B$1692:$D$1699,3,FALSE)*G17</f>
        <v>3670</v>
      </c>
      <c r="I17" s="190"/>
      <c r="J17" s="211">
        <f>F17*H17*(1+I17)</f>
        <v>0</v>
      </c>
      <c r="L17" s="282">
        <f>VLOOKUP(B17,'Emissions factors'!$B$1692:$E$1699,4,FALSE)</f>
        <v>0.8</v>
      </c>
      <c r="M17" s="189"/>
      <c r="N17" s="211">
        <f>J17*SQRT(L17^2+M17^2)</f>
        <v>0</v>
      </c>
      <c r="P17" s="190"/>
      <c r="Q17" s="210">
        <f>J17*P17</f>
        <v>0</v>
      </c>
      <c r="R17" s="190"/>
      <c r="S17" s="211">
        <f>J17*R17</f>
        <v>0</v>
      </c>
      <c r="U17" s="717"/>
      <c r="V17" s="718"/>
      <c r="W17" s="718"/>
      <c r="X17" s="718"/>
      <c r="Y17" s="720">
        <f>J17</f>
        <v>0</v>
      </c>
      <c r="Z17" s="748"/>
    </row>
    <row r="18" spans="2:26" s="40" customFormat="1" ht="13" outlineLevel="1" x14ac:dyDescent="0.2">
      <c r="B18" s="200"/>
      <c r="C18" s="201"/>
      <c r="D18" s="263"/>
      <c r="E18" s="266"/>
      <c r="F18" s="201"/>
      <c r="G18" s="201"/>
      <c r="H18" s="201"/>
      <c r="I18" s="201"/>
      <c r="J18" s="203"/>
      <c r="L18" s="200"/>
      <c r="M18" s="201"/>
      <c r="N18" s="226"/>
      <c r="P18" s="200"/>
      <c r="Q18" s="352"/>
      <c r="R18" s="201"/>
      <c r="S18" s="211"/>
      <c r="U18" s="717"/>
      <c r="V18" s="718"/>
      <c r="W18" s="718"/>
      <c r="X18" s="718"/>
      <c r="Y18" s="720"/>
      <c r="Z18" s="749"/>
    </row>
    <row r="19" spans="2:26" s="40" customFormat="1" ht="13" outlineLevel="1" x14ac:dyDescent="0.2">
      <c r="B19" s="253" t="s">
        <v>2828</v>
      </c>
      <c r="C19" s="254"/>
      <c r="D19" s="264">
        <f>SUM(D14:D18)</f>
        <v>0</v>
      </c>
      <c r="E19" s="267">
        <f>SUM(E14:E18)</f>
        <v>0</v>
      </c>
      <c r="F19" s="256"/>
      <c r="G19" s="256"/>
      <c r="H19" s="256"/>
      <c r="I19" s="256"/>
      <c r="J19" s="257">
        <f>SUM(J14:J18)</f>
        <v>0</v>
      </c>
      <c r="L19" s="258"/>
      <c r="M19" s="256"/>
      <c r="N19" s="257">
        <f>SQRT(SUMSQ(N14:N18))</f>
        <v>0</v>
      </c>
      <c r="P19" s="258"/>
      <c r="Q19" s="259">
        <f>SUM(Q14:Q18)</f>
        <v>0</v>
      </c>
      <c r="R19" s="256"/>
      <c r="S19" s="257">
        <f>SUM(S14:S18)</f>
        <v>0</v>
      </c>
      <c r="U19" s="724">
        <f t="shared" ref="U19:Z19" si="0">SUM(U14:U18)</f>
        <v>0</v>
      </c>
      <c r="V19" s="725">
        <f t="shared" si="0"/>
        <v>0</v>
      </c>
      <c r="W19" s="725">
        <f t="shared" si="0"/>
        <v>0</v>
      </c>
      <c r="X19" s="725">
        <f t="shared" si="0"/>
        <v>0</v>
      </c>
      <c r="Y19" s="727">
        <f t="shared" si="0"/>
        <v>0</v>
      </c>
      <c r="Z19" s="750">
        <f t="shared" si="0"/>
        <v>0</v>
      </c>
    </row>
    <row r="20" spans="2:26" s="40" customFormat="1" ht="13" outlineLevel="1" x14ac:dyDescent="0.2">
      <c r="L20" s="315"/>
      <c r="M20" s="315"/>
      <c r="U20" s="602"/>
      <c r="V20" s="602"/>
      <c r="W20" s="602"/>
      <c r="X20" s="602"/>
      <c r="Y20" s="602"/>
      <c r="Z20" s="602"/>
    </row>
    <row r="21" spans="2:26" s="40" customFormat="1" ht="13" x14ac:dyDescent="0.2">
      <c r="L21" s="315"/>
      <c r="M21" s="315"/>
      <c r="N21" s="315"/>
      <c r="U21" s="602"/>
      <c r="V21" s="602"/>
      <c r="W21" s="602"/>
      <c r="X21" s="602"/>
      <c r="Y21" s="602"/>
      <c r="Z21" s="602"/>
    </row>
    <row r="22" spans="2:26" s="40" customFormat="1" ht="16" collapsed="1" x14ac:dyDescent="0.2">
      <c r="B22" s="1820" t="s">
        <v>2841</v>
      </c>
      <c r="C22" s="1821"/>
      <c r="D22" s="1821"/>
      <c r="E22" s="1821"/>
      <c r="F22" s="1821"/>
      <c r="G22" s="1821"/>
      <c r="H22" s="1821"/>
      <c r="I22" s="1821"/>
      <c r="J22" s="1821"/>
      <c r="K22" s="1821"/>
      <c r="L22" s="1821"/>
      <c r="M22" s="1821"/>
      <c r="N22" s="1821"/>
      <c r="O22" s="1822"/>
      <c r="U22" s="602"/>
      <c r="V22" s="602"/>
      <c r="W22" s="602"/>
      <c r="X22" s="602"/>
      <c r="Y22" s="602"/>
      <c r="Z22" s="602"/>
    </row>
    <row r="23" spans="2:26" s="40" customFormat="1" ht="13" hidden="1" outlineLevel="1" x14ac:dyDescent="0.2">
      <c r="U23" s="602"/>
      <c r="V23" s="602"/>
      <c r="W23" s="602"/>
      <c r="X23" s="602"/>
      <c r="Y23" s="602"/>
      <c r="Z23" s="602"/>
    </row>
    <row r="24" spans="2:26" s="40" customFormat="1" ht="13" hidden="1" outlineLevel="1" x14ac:dyDescent="0.2">
      <c r="B24" s="195" t="s">
        <v>2841</v>
      </c>
      <c r="C24" s="196"/>
      <c r="D24" s="350"/>
      <c r="E24" s="350"/>
      <c r="F24" s="198"/>
      <c r="G24" s="198"/>
      <c r="H24" s="198"/>
      <c r="I24" s="198"/>
      <c r="J24" s="199"/>
      <c r="L24" s="1746" t="s">
        <v>723</v>
      </c>
      <c r="M24" s="1747"/>
      <c r="N24" s="1748"/>
      <c r="P24" s="1746" t="s">
        <v>2066</v>
      </c>
      <c r="Q24" s="1747"/>
      <c r="R24" s="1747"/>
      <c r="S24" s="1748"/>
      <c r="U24" s="1755" t="s">
        <v>2073</v>
      </c>
      <c r="V24" s="1756"/>
      <c r="W24" s="1756"/>
      <c r="X24" s="1756"/>
      <c r="Y24" s="1756"/>
      <c r="Z24" s="1757"/>
    </row>
    <row r="25" spans="2:26" s="40" customFormat="1" ht="13" hidden="1" outlineLevel="1" x14ac:dyDescent="0.2">
      <c r="B25" s="417"/>
      <c r="C25" s="225"/>
      <c r="D25" s="352"/>
      <c r="E25" s="352"/>
      <c r="F25" s="201"/>
      <c r="G25" s="201"/>
      <c r="H25" s="201"/>
      <c r="I25" s="201"/>
      <c r="J25" s="203"/>
      <c r="L25" s="204"/>
      <c r="M25" s="351"/>
      <c r="N25" s="203"/>
      <c r="P25" s="204"/>
      <c r="Q25" s="351"/>
      <c r="R25" s="351"/>
      <c r="S25" s="203"/>
      <c r="U25" s="778"/>
      <c r="V25" s="779"/>
      <c r="W25" s="779"/>
      <c r="X25" s="779"/>
      <c r="Y25" s="741"/>
      <c r="Z25" s="780"/>
    </row>
    <row r="26" spans="2:26" s="40" customFormat="1" ht="13" hidden="1" outlineLevel="1" x14ac:dyDescent="0.2">
      <c r="B26" s="204"/>
      <c r="C26" s="351"/>
      <c r="D26" s="351" t="s">
        <v>56</v>
      </c>
      <c r="E26" s="351" t="s">
        <v>56</v>
      </c>
      <c r="F26" s="205" t="s">
        <v>11</v>
      </c>
      <c r="G26" s="205" t="s">
        <v>2600</v>
      </c>
      <c r="H26" s="351" t="s">
        <v>64</v>
      </c>
      <c r="I26" s="205" t="s">
        <v>2603</v>
      </c>
      <c r="J26" s="207" t="s">
        <v>61</v>
      </c>
      <c r="L26" s="1618" t="s">
        <v>2605</v>
      </c>
      <c r="M26" s="351" t="s">
        <v>2110</v>
      </c>
      <c r="N26" s="207" t="s">
        <v>61</v>
      </c>
      <c r="P26" s="204" t="s">
        <v>2065</v>
      </c>
      <c r="Q26" s="352" t="s">
        <v>61</v>
      </c>
      <c r="R26" s="351" t="s">
        <v>2558</v>
      </c>
      <c r="S26" s="207" t="s">
        <v>61</v>
      </c>
      <c r="U26" s="1739" t="s">
        <v>61</v>
      </c>
      <c r="V26" s="1740"/>
      <c r="W26" s="1740"/>
      <c r="X26" s="1740"/>
      <c r="Y26" s="741" t="s">
        <v>61</v>
      </c>
      <c r="Z26" s="742"/>
    </row>
    <row r="27" spans="2:26" s="40" customFormat="1" ht="13" hidden="1" outlineLevel="1" x14ac:dyDescent="0.2">
      <c r="B27" s="204"/>
      <c r="C27" s="351"/>
      <c r="D27" s="351" t="s">
        <v>61</v>
      </c>
      <c r="E27" s="351" t="s">
        <v>63</v>
      </c>
      <c r="F27" s="208" t="s">
        <v>2601</v>
      </c>
      <c r="G27" s="208" t="s">
        <v>2602</v>
      </c>
      <c r="H27" s="351" t="s">
        <v>2058</v>
      </c>
      <c r="I27" s="208" t="s">
        <v>2604</v>
      </c>
      <c r="J27" s="207"/>
      <c r="L27" s="1618" t="s">
        <v>2109</v>
      </c>
      <c r="M27" s="351"/>
      <c r="N27" s="207"/>
      <c r="P27" s="204"/>
      <c r="Q27" s="352"/>
      <c r="R27" s="351"/>
      <c r="S27" s="207"/>
      <c r="U27" s="744" t="s">
        <v>14</v>
      </c>
      <c r="V27" s="745" t="s">
        <v>60</v>
      </c>
      <c r="W27" s="745" t="s">
        <v>27</v>
      </c>
      <c r="X27" s="745" t="s">
        <v>2074</v>
      </c>
      <c r="Y27" s="746" t="s">
        <v>41</v>
      </c>
      <c r="Z27" s="747" t="s">
        <v>85</v>
      </c>
    </row>
    <row r="28" spans="2:26" s="40" customFormat="1" ht="13" hidden="1" outlineLevel="1" x14ac:dyDescent="0.2">
      <c r="B28" s="200" t="s">
        <v>160</v>
      </c>
      <c r="C28" s="201"/>
      <c r="D28" s="262">
        <f>J28</f>
        <v>0</v>
      </c>
      <c r="E28" s="265">
        <f>D28*12/44</f>
        <v>0</v>
      </c>
      <c r="F28" s="182"/>
      <c r="G28" s="436"/>
      <c r="H28" s="273">
        <f>VLOOKUP($B28,'Emissions factors'!$B$1719:$E$1730,2,FALSE)*(1-G28)+VLOOKUP($B28,'Emissions factors'!$B$1719:$E$1730,3,FALSE)*G28</f>
        <v>3270</v>
      </c>
      <c r="I28" s="184"/>
      <c r="J28" s="411">
        <f>F28*H28*(1+I28)</f>
        <v>0</v>
      </c>
      <c r="L28" s="282">
        <f>VLOOKUP(B28,'Emissions factors'!$B$1719:$E$1730,4,FALSE)</f>
        <v>0.2</v>
      </c>
      <c r="M28" s="183"/>
      <c r="N28" s="211">
        <f>J28*SQRT(L28^2+M28^2)</f>
        <v>0</v>
      </c>
      <c r="P28" s="184"/>
      <c r="Q28" s="210">
        <f>J28*P28</f>
        <v>0</v>
      </c>
      <c r="R28" s="184"/>
      <c r="S28" s="211">
        <f>J28*R28</f>
        <v>0</v>
      </c>
      <c r="U28" s="717"/>
      <c r="V28" s="718"/>
      <c r="W28" s="718"/>
      <c r="X28" s="718"/>
      <c r="Y28" s="720">
        <f>J28</f>
        <v>0</v>
      </c>
      <c r="Z28" s="748"/>
    </row>
    <row r="29" spans="2:26" s="40" customFormat="1" ht="13" hidden="1" outlineLevel="1" x14ac:dyDescent="0.2">
      <c r="B29" s="200" t="s">
        <v>1541</v>
      </c>
      <c r="C29" s="201"/>
      <c r="D29" s="262">
        <f>J29</f>
        <v>0</v>
      </c>
      <c r="E29" s="265">
        <f>D29*12/44</f>
        <v>0</v>
      </c>
      <c r="F29" s="185"/>
      <c r="G29" s="437"/>
      <c r="H29" s="273">
        <f>VLOOKUP($B29,'Emissions factors'!$B$1719:$E$1730,2,FALSE)*(1-G29)+VLOOKUP($B29,'Emissions factors'!$B$1719:$E$1730,3,FALSE)*G29</f>
        <v>1920</v>
      </c>
      <c r="I29" s="187"/>
      <c r="J29" s="411">
        <f>F29*H29*(1+I29)</f>
        <v>0</v>
      </c>
      <c r="L29" s="282">
        <f>VLOOKUP(B29,'Emissions factors'!$B$1719:$E$1730,4,FALSE)</f>
        <v>0.2</v>
      </c>
      <c r="M29" s="186"/>
      <c r="N29" s="211">
        <f>J29*SQRT(L29^2+M29^2)</f>
        <v>0</v>
      </c>
      <c r="P29" s="187"/>
      <c r="Q29" s="210">
        <f>J29*P29</f>
        <v>0</v>
      </c>
      <c r="R29" s="187"/>
      <c r="S29" s="211">
        <f>J29*R29</f>
        <v>0</v>
      </c>
      <c r="U29" s="717"/>
      <c r="V29" s="718"/>
      <c r="W29" s="718"/>
      <c r="X29" s="718"/>
      <c r="Y29" s="720">
        <f>J29</f>
        <v>0</v>
      </c>
      <c r="Z29" s="748"/>
    </row>
    <row r="30" spans="2:26" s="40" customFormat="1" ht="13" hidden="1" outlineLevel="1" x14ac:dyDescent="0.2">
      <c r="B30" s="200" t="s">
        <v>1545</v>
      </c>
      <c r="C30" s="201"/>
      <c r="D30" s="262">
        <f>J30</f>
        <v>0</v>
      </c>
      <c r="E30" s="265">
        <f>D30*12/44</f>
        <v>0</v>
      </c>
      <c r="F30" s="185"/>
      <c r="G30" s="437"/>
      <c r="H30" s="273">
        <f>VLOOKUP($B30,'Emissions factors'!$B$1719:$E$1730,2,FALSE)*(1-G30)+VLOOKUP($B30,'Emissions factors'!$B$1719:$E$1730,3,FALSE)*G30</f>
        <v>5500</v>
      </c>
      <c r="I30" s="187"/>
      <c r="J30" s="411">
        <f>F30*H30*(1+I30)</f>
        <v>0</v>
      </c>
      <c r="L30" s="282">
        <f>VLOOKUP(B30,'Emissions factors'!$B$1719:$E$1730,4,FALSE)</f>
        <v>0.2</v>
      </c>
      <c r="M30" s="186"/>
      <c r="N30" s="211">
        <f>J30*SQRT(L30^2+M30^2)</f>
        <v>0</v>
      </c>
      <c r="P30" s="187"/>
      <c r="Q30" s="210">
        <f>J30*P30</f>
        <v>0</v>
      </c>
      <c r="R30" s="187"/>
      <c r="S30" s="211">
        <f>J30*R30</f>
        <v>0</v>
      </c>
      <c r="U30" s="717"/>
      <c r="V30" s="718"/>
      <c r="W30" s="718"/>
      <c r="X30" s="718"/>
      <c r="Y30" s="720">
        <f>J30</f>
        <v>0</v>
      </c>
      <c r="Z30" s="748"/>
    </row>
    <row r="31" spans="2:26" s="40" customFormat="1" ht="13" hidden="1" outlineLevel="1" x14ac:dyDescent="0.2">
      <c r="B31" s="200" t="s">
        <v>161</v>
      </c>
      <c r="C31" s="201"/>
      <c r="D31" s="262">
        <f>J31</f>
        <v>0</v>
      </c>
      <c r="E31" s="265">
        <f>D31*12/44</f>
        <v>0</v>
      </c>
      <c r="F31" s="188"/>
      <c r="G31" s="438"/>
      <c r="H31" s="273">
        <f>VLOOKUP($B31,'Emissions factors'!$B$1719:$E$1730,2,FALSE)*(1-G31)+VLOOKUP($B31,'Emissions factors'!$B$1719:$E$1730,3,FALSE)*G31</f>
        <v>1870</v>
      </c>
      <c r="I31" s="190"/>
      <c r="J31" s="411">
        <f>F31*H31*(1+I31)</f>
        <v>0</v>
      </c>
      <c r="L31" s="282">
        <f>VLOOKUP(B31,'Emissions factors'!$B$1719:$E$1730,4,FALSE)</f>
        <v>0.2</v>
      </c>
      <c r="M31" s="189"/>
      <c r="N31" s="211">
        <f>J31*SQRT(L31^2+M31^2)</f>
        <v>0</v>
      </c>
      <c r="P31" s="190"/>
      <c r="Q31" s="210">
        <f>J31*P31</f>
        <v>0</v>
      </c>
      <c r="R31" s="190"/>
      <c r="S31" s="211">
        <f>J31*R31</f>
        <v>0</v>
      </c>
      <c r="U31" s="717"/>
      <c r="V31" s="718"/>
      <c r="W31" s="718"/>
      <c r="X31" s="718"/>
      <c r="Y31" s="720">
        <f>J31</f>
        <v>0</v>
      </c>
      <c r="Z31" s="748"/>
    </row>
    <row r="32" spans="2:26" s="40" customFormat="1" ht="13" hidden="1" outlineLevel="1" x14ac:dyDescent="0.2">
      <c r="B32" s="200"/>
      <c r="C32" s="201"/>
      <c r="D32" s="263"/>
      <c r="E32" s="266"/>
      <c r="F32" s="201"/>
      <c r="G32" s="201"/>
      <c r="H32" s="201"/>
      <c r="I32" s="201"/>
      <c r="J32" s="226"/>
      <c r="L32" s="200"/>
      <c r="M32" s="201"/>
      <c r="N32" s="207"/>
      <c r="O32" s="425"/>
      <c r="P32" s="213"/>
      <c r="Q32" s="412"/>
      <c r="R32" s="413"/>
      <c r="S32" s="215"/>
      <c r="U32" s="717"/>
      <c r="V32" s="718"/>
      <c r="W32" s="718"/>
      <c r="X32" s="718"/>
      <c r="Y32" s="720"/>
      <c r="Z32" s="749"/>
    </row>
    <row r="33" spans="2:26" s="40" customFormat="1" ht="13" hidden="1" outlineLevel="1" x14ac:dyDescent="0.2">
      <c r="B33" s="253" t="s">
        <v>2828</v>
      </c>
      <c r="C33" s="254"/>
      <c r="D33" s="264">
        <f>SUM(D28:D32)</f>
        <v>0</v>
      </c>
      <c r="E33" s="267">
        <f>SUM(E28:E32)</f>
        <v>0</v>
      </c>
      <c r="F33" s="256"/>
      <c r="G33" s="256"/>
      <c r="H33" s="256"/>
      <c r="I33" s="256"/>
      <c r="J33" s="257">
        <f>SUM(J28:J32)</f>
        <v>0</v>
      </c>
      <c r="L33" s="258"/>
      <c r="M33" s="256"/>
      <c r="N33" s="257">
        <f>SQRT(SUMSQ(N28:N32))</f>
        <v>0</v>
      </c>
      <c r="P33" s="258"/>
      <c r="Q33" s="259">
        <f>SUM(Q28:Q32)</f>
        <v>0</v>
      </c>
      <c r="R33" s="259"/>
      <c r="S33" s="257">
        <f>SUM(S28:S32)</f>
        <v>0</v>
      </c>
      <c r="U33" s="724">
        <f t="shared" ref="U33:Z33" si="1">SUM(U28:U32)</f>
        <v>0</v>
      </c>
      <c r="V33" s="725">
        <f t="shared" si="1"/>
        <v>0</v>
      </c>
      <c r="W33" s="725">
        <f t="shared" si="1"/>
        <v>0</v>
      </c>
      <c r="X33" s="725">
        <f t="shared" si="1"/>
        <v>0</v>
      </c>
      <c r="Y33" s="727">
        <f t="shared" si="1"/>
        <v>0</v>
      </c>
      <c r="Z33" s="750">
        <f t="shared" si="1"/>
        <v>0</v>
      </c>
    </row>
    <row r="34" spans="2:26" s="40" customFormat="1" ht="13" hidden="1" outlineLevel="1" x14ac:dyDescent="0.2">
      <c r="U34" s="602"/>
      <c r="V34" s="602"/>
      <c r="W34" s="602"/>
      <c r="X34" s="602"/>
      <c r="Y34" s="602"/>
      <c r="Z34" s="602"/>
    </row>
    <row r="35" spans="2:26" s="40" customFormat="1" ht="13" x14ac:dyDescent="0.2">
      <c r="U35" s="602"/>
      <c r="V35" s="602"/>
      <c r="W35" s="602"/>
      <c r="X35" s="602"/>
      <c r="Y35" s="602"/>
      <c r="Z35" s="602"/>
    </row>
    <row r="36" spans="2:26" s="40" customFormat="1" ht="16" collapsed="1" x14ac:dyDescent="0.2">
      <c r="B36" s="1795" t="s">
        <v>2842</v>
      </c>
      <c r="C36" s="1795"/>
      <c r="D36" s="1795"/>
      <c r="E36" s="1795"/>
      <c r="F36" s="1795"/>
      <c r="G36" s="1795"/>
      <c r="H36" s="1795"/>
      <c r="I36" s="1795"/>
      <c r="J36" s="1795"/>
      <c r="K36" s="1795"/>
      <c r="L36" s="1795"/>
      <c r="M36" s="1795"/>
      <c r="N36" s="1795"/>
      <c r="O36" s="1795"/>
      <c r="U36" s="602"/>
      <c r="V36" s="602"/>
      <c r="W36" s="602"/>
      <c r="X36" s="602"/>
      <c r="Y36" s="602"/>
      <c r="Z36" s="602"/>
    </row>
    <row r="37" spans="2:26" s="40" customFormat="1" ht="13" hidden="1" outlineLevel="1" x14ac:dyDescent="0.2">
      <c r="U37" s="602"/>
      <c r="V37" s="602"/>
      <c r="W37" s="602"/>
      <c r="X37" s="602"/>
      <c r="Y37" s="602"/>
      <c r="Z37" s="602"/>
    </row>
    <row r="38" spans="2:26" s="40" customFormat="1" ht="13" hidden="1" outlineLevel="1" x14ac:dyDescent="0.2">
      <c r="B38" s="195" t="s">
        <v>2842</v>
      </c>
      <c r="C38" s="196"/>
      <c r="D38" s="350"/>
      <c r="E38" s="350"/>
      <c r="F38" s="198"/>
      <c r="G38" s="198"/>
      <c r="H38" s="198"/>
      <c r="I38" s="198"/>
      <c r="J38" s="199"/>
      <c r="L38" s="1746" t="s">
        <v>723</v>
      </c>
      <c r="M38" s="1747"/>
      <c r="N38" s="1748"/>
      <c r="P38" s="1746" t="s">
        <v>2066</v>
      </c>
      <c r="Q38" s="1747"/>
      <c r="R38" s="1747"/>
      <c r="S38" s="1748"/>
      <c r="U38" s="1755" t="s">
        <v>2073</v>
      </c>
      <c r="V38" s="1756"/>
      <c r="W38" s="1756"/>
      <c r="X38" s="1756"/>
      <c r="Y38" s="1756"/>
      <c r="Z38" s="1757"/>
    </row>
    <row r="39" spans="2:26" s="40" customFormat="1" ht="13" hidden="1" outlineLevel="1" x14ac:dyDescent="0.2">
      <c r="B39" s="417"/>
      <c r="C39" s="225"/>
      <c r="D39" s="352"/>
      <c r="E39" s="352"/>
      <c r="F39" s="201"/>
      <c r="G39" s="201"/>
      <c r="H39" s="201"/>
      <c r="I39" s="201"/>
      <c r="J39" s="203"/>
      <c r="L39" s="204"/>
      <c r="M39" s="351"/>
      <c r="N39" s="203"/>
      <c r="P39" s="204"/>
      <c r="Q39" s="351"/>
      <c r="R39" s="351"/>
      <c r="S39" s="203"/>
      <c r="U39" s="778"/>
      <c r="V39" s="779"/>
      <c r="W39" s="779"/>
      <c r="X39" s="779"/>
      <c r="Y39" s="741"/>
      <c r="Z39" s="780"/>
    </row>
    <row r="40" spans="2:26" s="40" customFormat="1" ht="13" hidden="1" outlineLevel="1" x14ac:dyDescent="0.2">
      <c r="B40" s="204"/>
      <c r="C40" s="351"/>
      <c r="D40" s="351" t="s">
        <v>56</v>
      </c>
      <c r="E40" s="351" t="s">
        <v>56</v>
      </c>
      <c r="F40" s="205" t="s">
        <v>11</v>
      </c>
      <c r="G40" s="205" t="s">
        <v>2600</v>
      </c>
      <c r="H40" s="1619" t="s">
        <v>64</v>
      </c>
      <c r="I40" s="205" t="s">
        <v>2603</v>
      </c>
      <c r="J40" s="207" t="s">
        <v>61</v>
      </c>
      <c r="L40" s="1618" t="s">
        <v>2605</v>
      </c>
      <c r="M40" s="351" t="s">
        <v>2110</v>
      </c>
      <c r="N40" s="207" t="s">
        <v>61</v>
      </c>
      <c r="P40" s="204" t="s">
        <v>2065</v>
      </c>
      <c r="Q40" s="352" t="s">
        <v>61</v>
      </c>
      <c r="R40" s="351" t="s">
        <v>2558</v>
      </c>
      <c r="S40" s="207" t="s">
        <v>61</v>
      </c>
      <c r="U40" s="1739" t="s">
        <v>61</v>
      </c>
      <c r="V40" s="1740"/>
      <c r="W40" s="1740"/>
      <c r="X40" s="1740"/>
      <c r="Y40" s="741" t="s">
        <v>61</v>
      </c>
      <c r="Z40" s="742"/>
    </row>
    <row r="41" spans="2:26" s="40" customFormat="1" ht="13" hidden="1" outlineLevel="1" x14ac:dyDescent="0.2">
      <c r="B41" s="204"/>
      <c r="C41" s="351"/>
      <c r="D41" s="351" t="s">
        <v>61</v>
      </c>
      <c r="E41" s="351" t="s">
        <v>63</v>
      </c>
      <c r="F41" s="208" t="s">
        <v>2601</v>
      </c>
      <c r="G41" s="208" t="s">
        <v>2602</v>
      </c>
      <c r="H41" s="1619" t="s">
        <v>2058</v>
      </c>
      <c r="I41" s="208" t="s">
        <v>2604</v>
      </c>
      <c r="J41" s="207"/>
      <c r="L41" s="1618" t="s">
        <v>2109</v>
      </c>
      <c r="M41" s="351"/>
      <c r="N41" s="207"/>
      <c r="P41" s="204"/>
      <c r="Q41" s="352"/>
      <c r="R41" s="351"/>
      <c r="S41" s="207"/>
      <c r="U41" s="744" t="s">
        <v>14</v>
      </c>
      <c r="V41" s="745" t="s">
        <v>60</v>
      </c>
      <c r="W41" s="745" t="s">
        <v>27</v>
      </c>
      <c r="X41" s="745" t="s">
        <v>2074</v>
      </c>
      <c r="Y41" s="746" t="s">
        <v>41</v>
      </c>
      <c r="Z41" s="747" t="s">
        <v>85</v>
      </c>
    </row>
    <row r="42" spans="2:26" s="40" customFormat="1" ht="13" hidden="1" outlineLevel="1" x14ac:dyDescent="0.2">
      <c r="B42" s="200" t="s">
        <v>1532</v>
      </c>
      <c r="C42" s="201"/>
      <c r="D42" s="262">
        <f>J42</f>
        <v>0</v>
      </c>
      <c r="E42" s="265">
        <f>D42*12/44</f>
        <v>0</v>
      </c>
      <c r="F42" s="182"/>
      <c r="G42" s="436"/>
      <c r="H42" s="273">
        <f>VLOOKUP($B42,'Emissions factors'!$B$1704:$E$1714,2,FALSE)*(1-G42)+VLOOKUP($B42,'Emissions factors'!$B$1704:$E$1714,3,FALSE)*G42</f>
        <v>1519</v>
      </c>
      <c r="I42" s="184"/>
      <c r="J42" s="211">
        <f>F42*H42*(1+I42)</f>
        <v>0</v>
      </c>
      <c r="L42" s="282">
        <f>VLOOKUP(B42,'Emissions factors'!$B$1704:$E$1714,4,FALSE)</f>
        <v>0.2</v>
      </c>
      <c r="M42" s="183"/>
      <c r="N42" s="211">
        <f>J42*SQRT(L42^2+M42^2)</f>
        <v>0</v>
      </c>
      <c r="P42" s="184"/>
      <c r="Q42" s="210">
        <f>J42*P42</f>
        <v>0</v>
      </c>
      <c r="R42" s="184"/>
      <c r="S42" s="211">
        <f>J42*R42</f>
        <v>0</v>
      </c>
      <c r="U42" s="717"/>
      <c r="V42" s="718"/>
      <c r="W42" s="718"/>
      <c r="X42" s="718"/>
      <c r="Y42" s="720">
        <f>J42</f>
        <v>0</v>
      </c>
      <c r="Z42" s="748"/>
    </row>
    <row r="43" spans="2:26" s="40" customFormat="1" ht="13" hidden="1" outlineLevel="1" x14ac:dyDescent="0.2">
      <c r="B43" s="200" t="s">
        <v>1536</v>
      </c>
      <c r="C43" s="201"/>
      <c r="D43" s="262">
        <f>J43</f>
        <v>0</v>
      </c>
      <c r="E43" s="265">
        <f>D43*12/44</f>
        <v>0</v>
      </c>
      <c r="F43" s="185"/>
      <c r="G43" s="437"/>
      <c r="H43" s="273">
        <f>VLOOKUP($B43,'Emissions factors'!$B$1704:$E$1714,2,FALSE)*(1-G43)+VLOOKUP($B43,'Emissions factors'!$B$1704:$E$1714,3,FALSE)*G43</f>
        <v>1180</v>
      </c>
      <c r="I43" s="187"/>
      <c r="J43" s="211">
        <f>F43*H43*(1+I43)</f>
        <v>0</v>
      </c>
      <c r="L43" s="282">
        <f>VLOOKUP(B43,'Emissions factors'!$B$1704:$E$1714,4,FALSE)</f>
        <v>0.2</v>
      </c>
      <c r="M43" s="186"/>
      <c r="N43" s="211">
        <f>J43*SQRT(L43^2+M43^2)</f>
        <v>0</v>
      </c>
      <c r="P43" s="187"/>
      <c r="Q43" s="210">
        <f>J43*P43</f>
        <v>0</v>
      </c>
      <c r="R43" s="187"/>
      <c r="S43" s="211">
        <f>J43*R43</f>
        <v>0</v>
      </c>
      <c r="U43" s="717"/>
      <c r="V43" s="718"/>
      <c r="W43" s="718"/>
      <c r="X43" s="718"/>
      <c r="Y43" s="720">
        <f>J43</f>
        <v>0</v>
      </c>
      <c r="Z43" s="748"/>
    </row>
    <row r="44" spans="2:26" s="40" customFormat="1" ht="13" hidden="1" outlineLevel="1" x14ac:dyDescent="0.2">
      <c r="B44" s="200" t="s">
        <v>1537</v>
      </c>
      <c r="C44" s="201"/>
      <c r="D44" s="262">
        <f>J44</f>
        <v>0</v>
      </c>
      <c r="E44" s="265">
        <f>D44*12/44</f>
        <v>0</v>
      </c>
      <c r="F44" s="185"/>
      <c r="G44" s="437"/>
      <c r="H44" s="273">
        <f>VLOOKUP($B44,'Emissions factors'!$B$1704:$E$1714,2,FALSE)*(1-G44)+VLOOKUP($B44,'Emissions factors'!$B$1704:$E$1714,3,FALSE)*G44</f>
        <v>1860</v>
      </c>
      <c r="I44" s="187"/>
      <c r="J44" s="211">
        <f>F44*H44*(1+I44)</f>
        <v>0</v>
      </c>
      <c r="L44" s="282">
        <f>VLOOKUP(B44,'Emissions factors'!$B$1704:$E$1714,4,FALSE)</f>
        <v>0.2</v>
      </c>
      <c r="M44" s="186"/>
      <c r="N44" s="211">
        <f>J44*SQRT(L44^2+M44^2)</f>
        <v>0</v>
      </c>
      <c r="P44" s="187"/>
      <c r="Q44" s="210">
        <f>J44*P44</f>
        <v>0</v>
      </c>
      <c r="R44" s="187"/>
      <c r="S44" s="211">
        <f>J44*R44</f>
        <v>0</v>
      </c>
      <c r="U44" s="717"/>
      <c r="V44" s="718"/>
      <c r="W44" s="718"/>
      <c r="X44" s="718"/>
      <c r="Y44" s="720">
        <f>J44</f>
        <v>0</v>
      </c>
      <c r="Z44" s="748"/>
    </row>
    <row r="45" spans="2:26" s="40" customFormat="1" ht="13" hidden="1" outlineLevel="1" x14ac:dyDescent="0.2">
      <c r="B45" s="200" t="s">
        <v>1533</v>
      </c>
      <c r="C45" s="201"/>
      <c r="D45" s="262">
        <f>J45</f>
        <v>0</v>
      </c>
      <c r="E45" s="265">
        <f>D45*12/44</f>
        <v>0</v>
      </c>
      <c r="F45" s="188"/>
      <c r="G45" s="438"/>
      <c r="H45" s="273">
        <f>VLOOKUP($B45,'Emissions factors'!$B$1704:$E$1714,2,FALSE)*(1-G45)+VLOOKUP($B45,'Emissions factors'!$B$1704:$E$1714,3,FALSE)*G45</f>
        <v>1027</v>
      </c>
      <c r="I45" s="190"/>
      <c r="J45" s="211">
        <f>F45*H45*(1+I45)</f>
        <v>0</v>
      </c>
      <c r="L45" s="282">
        <f>VLOOKUP(B45,'Emissions factors'!$B$1704:$E$1714,4,FALSE)</f>
        <v>0.2</v>
      </c>
      <c r="M45" s="189"/>
      <c r="N45" s="211">
        <f>J45*SQRT(L45^2+M45^2)</f>
        <v>0</v>
      </c>
      <c r="P45" s="190"/>
      <c r="Q45" s="210">
        <f>J45*P45</f>
        <v>0</v>
      </c>
      <c r="R45" s="190"/>
      <c r="S45" s="211">
        <f>J45*R45</f>
        <v>0</v>
      </c>
      <c r="U45" s="717"/>
      <c r="V45" s="718"/>
      <c r="W45" s="718"/>
      <c r="X45" s="718"/>
      <c r="Y45" s="720">
        <f>J45</f>
        <v>0</v>
      </c>
      <c r="Z45" s="748"/>
    </row>
    <row r="46" spans="2:26" s="40" customFormat="1" ht="13" hidden="1" outlineLevel="1" x14ac:dyDescent="0.2">
      <c r="B46" s="200"/>
      <c r="C46" s="201"/>
      <c r="D46" s="263"/>
      <c r="E46" s="266"/>
      <c r="F46" s="201"/>
      <c r="G46" s="201"/>
      <c r="H46" s="201"/>
      <c r="I46" s="201"/>
      <c r="J46" s="203"/>
      <c r="L46" s="200"/>
      <c r="M46" s="201"/>
      <c r="N46" s="226"/>
      <c r="P46" s="204"/>
      <c r="Q46" s="352"/>
      <c r="R46" s="201"/>
      <c r="S46" s="211"/>
      <c r="U46" s="717"/>
      <c r="V46" s="718"/>
      <c r="W46" s="718"/>
      <c r="X46" s="718"/>
      <c r="Y46" s="720"/>
      <c r="Z46" s="749"/>
    </row>
    <row r="47" spans="2:26" s="40" customFormat="1" ht="13" hidden="1" outlineLevel="1" x14ac:dyDescent="0.2">
      <c r="B47" s="253" t="s">
        <v>2828</v>
      </c>
      <c r="C47" s="254"/>
      <c r="D47" s="264">
        <f>SUM(D42:D46)</f>
        <v>0</v>
      </c>
      <c r="E47" s="267">
        <f>SUM(E42:E46)</f>
        <v>0</v>
      </c>
      <c r="F47" s="256"/>
      <c r="G47" s="256"/>
      <c r="H47" s="256"/>
      <c r="I47" s="256"/>
      <c r="J47" s="257">
        <f>SUM(J42:J46)</f>
        <v>0</v>
      </c>
      <c r="L47" s="258"/>
      <c r="M47" s="256"/>
      <c r="N47" s="257">
        <f>SQRT(SUMSQ(N42:N46))</f>
        <v>0</v>
      </c>
      <c r="P47" s="426"/>
      <c r="Q47" s="259">
        <f>SUM(Q42:Q46)</f>
        <v>0</v>
      </c>
      <c r="R47" s="256"/>
      <c r="S47" s="257">
        <f>SUM(S42:S46)</f>
        <v>0</v>
      </c>
      <c r="U47" s="724">
        <f t="shared" ref="U47:Z47" si="2">SUM(U42:U46)</f>
        <v>0</v>
      </c>
      <c r="V47" s="725">
        <f t="shared" si="2"/>
        <v>0</v>
      </c>
      <c r="W47" s="725">
        <f t="shared" si="2"/>
        <v>0</v>
      </c>
      <c r="X47" s="725">
        <f t="shared" si="2"/>
        <v>0</v>
      </c>
      <c r="Y47" s="727">
        <f t="shared" si="2"/>
        <v>0</v>
      </c>
      <c r="Z47" s="750">
        <f t="shared" si="2"/>
        <v>0</v>
      </c>
    </row>
    <row r="48" spans="2:26" s="40" customFormat="1" ht="13" hidden="1" outlineLevel="1" x14ac:dyDescent="0.2">
      <c r="U48" s="602"/>
      <c r="V48" s="602"/>
      <c r="W48" s="602"/>
      <c r="X48" s="602"/>
      <c r="Y48" s="602"/>
      <c r="Z48" s="602"/>
    </row>
    <row r="49" spans="2:26" s="40" customFormat="1" ht="13" x14ac:dyDescent="0.2">
      <c r="U49" s="602"/>
      <c r="V49" s="602"/>
      <c r="W49" s="602"/>
      <c r="X49" s="602"/>
      <c r="Y49" s="602"/>
      <c r="Z49" s="602"/>
    </row>
    <row r="50" spans="2:26" s="40" customFormat="1" ht="16" collapsed="1" x14ac:dyDescent="0.2">
      <c r="B50" s="1820" t="s">
        <v>2843</v>
      </c>
      <c r="C50" s="1821"/>
      <c r="D50" s="1821"/>
      <c r="E50" s="1821"/>
      <c r="F50" s="1821"/>
      <c r="G50" s="1821"/>
      <c r="H50" s="1821"/>
      <c r="I50" s="1821"/>
      <c r="J50" s="1821"/>
      <c r="K50" s="1821"/>
      <c r="L50" s="1821"/>
      <c r="M50" s="1821"/>
      <c r="N50" s="1821"/>
      <c r="O50" s="1822"/>
      <c r="U50" s="602"/>
      <c r="V50" s="602"/>
      <c r="W50" s="602"/>
      <c r="X50" s="602"/>
      <c r="Y50" s="602"/>
      <c r="Z50" s="602"/>
    </row>
    <row r="51" spans="2:26" s="40" customFormat="1" ht="13" hidden="1" outlineLevel="1" x14ac:dyDescent="0.2">
      <c r="U51" s="602"/>
      <c r="V51" s="602"/>
      <c r="W51" s="602"/>
      <c r="X51" s="602"/>
      <c r="Y51" s="602"/>
      <c r="Z51" s="602"/>
    </row>
    <row r="52" spans="2:26" s="40" customFormat="1" ht="13" hidden="1" outlineLevel="1" x14ac:dyDescent="0.2">
      <c r="B52" s="195" t="s">
        <v>2843</v>
      </c>
      <c r="C52" s="196"/>
      <c r="D52" s="350"/>
      <c r="E52" s="350"/>
      <c r="F52" s="198"/>
      <c r="G52" s="198"/>
      <c r="H52" s="198"/>
      <c r="I52" s="198"/>
      <c r="J52" s="199"/>
      <c r="L52" s="1746" t="s">
        <v>723</v>
      </c>
      <c r="M52" s="1747"/>
      <c r="N52" s="1748"/>
      <c r="P52" s="1746" t="s">
        <v>2066</v>
      </c>
      <c r="Q52" s="1747"/>
      <c r="R52" s="1747"/>
      <c r="S52" s="1748"/>
      <c r="U52" s="1755" t="s">
        <v>2073</v>
      </c>
      <c r="V52" s="1756"/>
      <c r="W52" s="1756"/>
      <c r="X52" s="1756"/>
      <c r="Y52" s="1756"/>
      <c r="Z52" s="1757"/>
    </row>
    <row r="53" spans="2:26" s="40" customFormat="1" ht="13" hidden="1" outlineLevel="1" x14ac:dyDescent="0.2">
      <c r="B53" s="417"/>
      <c r="C53" s="225"/>
      <c r="D53" s="352"/>
      <c r="E53" s="352"/>
      <c r="F53" s="214"/>
      <c r="G53" s="214"/>
      <c r="H53" s="201"/>
      <c r="I53" s="201"/>
      <c r="J53" s="203"/>
      <c r="L53" s="204"/>
      <c r="M53" s="351"/>
      <c r="N53" s="203"/>
      <c r="P53" s="204"/>
      <c r="Q53" s="351"/>
      <c r="R53" s="351"/>
      <c r="S53" s="203"/>
      <c r="U53" s="778"/>
      <c r="V53" s="779"/>
      <c r="W53" s="779"/>
      <c r="X53" s="779"/>
      <c r="Y53" s="741"/>
      <c r="Z53" s="780"/>
    </row>
    <row r="54" spans="2:26" s="40" customFormat="1" ht="13" hidden="1" outlineLevel="1" x14ac:dyDescent="0.2">
      <c r="B54" s="204"/>
      <c r="C54" s="351"/>
      <c r="D54" s="351" t="s">
        <v>56</v>
      </c>
      <c r="E54" s="351" t="s">
        <v>56</v>
      </c>
      <c r="F54" s="205" t="s">
        <v>11</v>
      </c>
      <c r="G54" s="205" t="s">
        <v>2600</v>
      </c>
      <c r="H54" s="1619" t="s">
        <v>64</v>
      </c>
      <c r="I54" s="205" t="s">
        <v>2603</v>
      </c>
      <c r="J54" s="207" t="s">
        <v>61</v>
      </c>
      <c r="L54" s="1618" t="s">
        <v>2605</v>
      </c>
      <c r="M54" s="351" t="s">
        <v>2110</v>
      </c>
      <c r="N54" s="207" t="s">
        <v>61</v>
      </c>
      <c r="P54" s="204" t="s">
        <v>2065</v>
      </c>
      <c r="Q54" s="352" t="s">
        <v>61</v>
      </c>
      <c r="R54" s="351" t="s">
        <v>2558</v>
      </c>
      <c r="S54" s="207" t="s">
        <v>61</v>
      </c>
      <c r="U54" s="1739" t="s">
        <v>61</v>
      </c>
      <c r="V54" s="1740"/>
      <c r="W54" s="1740"/>
      <c r="X54" s="1740"/>
      <c r="Y54" s="741" t="s">
        <v>61</v>
      </c>
      <c r="Z54" s="742"/>
    </row>
    <row r="55" spans="2:26" s="40" customFormat="1" ht="13" hidden="1" outlineLevel="1" x14ac:dyDescent="0.2">
      <c r="B55" s="204"/>
      <c r="C55" s="351"/>
      <c r="D55" s="351" t="s">
        <v>61</v>
      </c>
      <c r="E55" s="351" t="s">
        <v>63</v>
      </c>
      <c r="F55" s="208" t="s">
        <v>2601</v>
      </c>
      <c r="G55" s="208" t="s">
        <v>2602</v>
      </c>
      <c r="H55" s="1619" t="s">
        <v>2058</v>
      </c>
      <c r="I55" s="208" t="s">
        <v>2604</v>
      </c>
      <c r="J55" s="207"/>
      <c r="L55" s="1618" t="s">
        <v>2109</v>
      </c>
      <c r="M55" s="351"/>
      <c r="N55" s="207"/>
      <c r="P55" s="204"/>
      <c r="Q55" s="352"/>
      <c r="R55" s="351"/>
      <c r="S55" s="207"/>
      <c r="U55" s="744" t="s">
        <v>14</v>
      </c>
      <c r="V55" s="745" t="s">
        <v>60</v>
      </c>
      <c r="W55" s="745" t="s">
        <v>27</v>
      </c>
      <c r="X55" s="745" t="s">
        <v>2074</v>
      </c>
      <c r="Y55" s="746" t="s">
        <v>41</v>
      </c>
      <c r="Z55" s="747" t="s">
        <v>85</v>
      </c>
    </row>
    <row r="56" spans="2:26" s="40" customFormat="1" ht="13" hidden="1" outlineLevel="1" x14ac:dyDescent="0.2">
      <c r="B56" s="200" t="s">
        <v>1549</v>
      </c>
      <c r="C56" s="201"/>
      <c r="D56" s="262">
        <f>J56</f>
        <v>0</v>
      </c>
      <c r="E56" s="265">
        <f>D56*12/44</f>
        <v>0</v>
      </c>
      <c r="F56" s="182"/>
      <c r="G56" s="436"/>
      <c r="H56" s="273">
        <f>VLOOKUP($B56,'Emissions factors'!$B$1735:$E$1741,2,FALSE)*(1-G56)+VLOOKUP($B56,'Emissions factors'!$B$1735:$E$1741,3,FALSE)*G56</f>
        <v>919</v>
      </c>
      <c r="I56" s="184"/>
      <c r="J56" s="211">
        <f>F56*H56*(1+I56)</f>
        <v>0</v>
      </c>
      <c r="L56" s="282">
        <f>VLOOKUP(B56,'Emissions factors'!$B$1735:$E$1741,4,FALSE)</f>
        <v>0.2</v>
      </c>
      <c r="M56" s="183"/>
      <c r="N56" s="211">
        <f>J56*SQRT(L56^2+M56^2)</f>
        <v>0</v>
      </c>
      <c r="P56" s="184"/>
      <c r="Q56" s="210">
        <f>J56*P56</f>
        <v>0</v>
      </c>
      <c r="R56" s="184"/>
      <c r="S56" s="211">
        <f>J56*R56</f>
        <v>0</v>
      </c>
      <c r="U56" s="717"/>
      <c r="V56" s="718"/>
      <c r="W56" s="718"/>
      <c r="X56" s="718"/>
      <c r="Y56" s="720">
        <f>J56</f>
        <v>0</v>
      </c>
      <c r="Z56" s="748"/>
    </row>
    <row r="57" spans="2:26" s="40" customFormat="1" ht="13" hidden="1" outlineLevel="1" x14ac:dyDescent="0.2">
      <c r="B57" s="200" t="s">
        <v>1548</v>
      </c>
      <c r="C57" s="201"/>
      <c r="D57" s="262">
        <f>J57</f>
        <v>0</v>
      </c>
      <c r="E57" s="265">
        <f>D57*12/44</f>
        <v>0</v>
      </c>
      <c r="F57" s="185"/>
      <c r="G57" s="437"/>
      <c r="H57" s="273">
        <f>VLOOKUP($B57,'Emissions factors'!$B$1735:$E$1741,2,FALSE)*(1-G57)+VLOOKUP($B57,'Emissions factors'!$B$1735:$E$1741,3,FALSE)*G57</f>
        <v>1060</v>
      </c>
      <c r="I57" s="187"/>
      <c r="J57" s="211">
        <f>F57*H57*(1+I57)</f>
        <v>0</v>
      </c>
      <c r="L57" s="282">
        <f>VLOOKUP(B57,'Emissions factors'!$B$1735:$E$1741,4,FALSE)</f>
        <v>0.2</v>
      </c>
      <c r="M57" s="186"/>
      <c r="N57" s="211">
        <f>J57*SQRT(L57^2+M57^2)</f>
        <v>0</v>
      </c>
      <c r="P57" s="187"/>
      <c r="Q57" s="210">
        <f>J57*P57</f>
        <v>0</v>
      </c>
      <c r="R57" s="187"/>
      <c r="S57" s="211">
        <f>J57*R57</f>
        <v>0</v>
      </c>
      <c r="U57" s="717"/>
      <c r="V57" s="718"/>
      <c r="W57" s="718"/>
      <c r="X57" s="718"/>
      <c r="Y57" s="720">
        <f>J57</f>
        <v>0</v>
      </c>
      <c r="Z57" s="748"/>
    </row>
    <row r="58" spans="2:26" s="40" customFormat="1" ht="13" hidden="1" outlineLevel="1" x14ac:dyDescent="0.2">
      <c r="B58" s="200" t="s">
        <v>1551</v>
      </c>
      <c r="C58" s="201"/>
      <c r="D58" s="262">
        <f>J58</f>
        <v>0</v>
      </c>
      <c r="E58" s="265">
        <f>D58*12/44</f>
        <v>0</v>
      </c>
      <c r="F58" s="188"/>
      <c r="G58" s="438"/>
      <c r="H58" s="273">
        <f>VLOOKUP($B58,'Emissions factors'!$B$1735:$E$1741,2,FALSE)*(1-G58)+VLOOKUP($B58,'Emissions factors'!$B$1735:$E$1741,3,FALSE)*G58</f>
        <v>400</v>
      </c>
      <c r="I58" s="190"/>
      <c r="J58" s="211">
        <f>F58*H58*(1+I58)</f>
        <v>0</v>
      </c>
      <c r="L58" s="282">
        <f>VLOOKUP(B58,'Emissions factors'!$B$1735:$E$1741,4,FALSE)</f>
        <v>0.2</v>
      </c>
      <c r="M58" s="189"/>
      <c r="N58" s="211">
        <f>J58*SQRT(L58^2+M58^2)</f>
        <v>0</v>
      </c>
      <c r="P58" s="190"/>
      <c r="Q58" s="210">
        <f>J58*P58</f>
        <v>0</v>
      </c>
      <c r="R58" s="190"/>
      <c r="S58" s="211">
        <f>J58*R58</f>
        <v>0</v>
      </c>
      <c r="U58" s="717"/>
      <c r="V58" s="718"/>
      <c r="W58" s="718"/>
      <c r="X58" s="718"/>
      <c r="Y58" s="720">
        <f>J58</f>
        <v>0</v>
      </c>
      <c r="Z58" s="748"/>
    </row>
    <row r="59" spans="2:26" s="40" customFormat="1" ht="13" hidden="1" outlineLevel="1" x14ac:dyDescent="0.2">
      <c r="B59" s="200"/>
      <c r="C59" s="201"/>
      <c r="D59" s="263"/>
      <c r="E59" s="266"/>
      <c r="F59" s="201"/>
      <c r="G59" s="201"/>
      <c r="H59" s="201"/>
      <c r="I59" s="201"/>
      <c r="J59" s="203"/>
      <c r="L59" s="200"/>
      <c r="M59" s="201"/>
      <c r="N59" s="226"/>
      <c r="P59" s="200"/>
      <c r="Q59" s="352"/>
      <c r="R59" s="201"/>
      <c r="S59" s="211"/>
      <c r="U59" s="717"/>
      <c r="V59" s="718"/>
      <c r="W59" s="718"/>
      <c r="X59" s="718"/>
      <c r="Y59" s="720"/>
      <c r="Z59" s="749"/>
    </row>
    <row r="60" spans="2:26" s="40" customFormat="1" ht="13" hidden="1" outlineLevel="1" x14ac:dyDescent="0.2">
      <c r="B60" s="253" t="s">
        <v>2828</v>
      </c>
      <c r="C60" s="254"/>
      <c r="D60" s="264">
        <f>SUM(D56:D59)</f>
        <v>0</v>
      </c>
      <c r="E60" s="267">
        <f>SUM(E56:E59)</f>
        <v>0</v>
      </c>
      <c r="F60" s="256"/>
      <c r="G60" s="256"/>
      <c r="H60" s="256"/>
      <c r="I60" s="256"/>
      <c r="J60" s="257">
        <f>SUM(J56:J59)</f>
        <v>0</v>
      </c>
      <c r="L60" s="258"/>
      <c r="M60" s="256"/>
      <c r="N60" s="257">
        <f>SQRT(SUMSQ(N56:N59))</f>
        <v>0</v>
      </c>
      <c r="P60" s="258"/>
      <c r="Q60" s="259">
        <f>SUM(Q56:Q59)</f>
        <v>0</v>
      </c>
      <c r="R60" s="256"/>
      <c r="S60" s="257">
        <f>SUM(S56:S59)</f>
        <v>0</v>
      </c>
      <c r="U60" s="724">
        <f t="shared" ref="U60:Z60" si="3">SUM(U56:U59)</f>
        <v>0</v>
      </c>
      <c r="V60" s="725">
        <f t="shared" si="3"/>
        <v>0</v>
      </c>
      <c r="W60" s="725">
        <f t="shared" si="3"/>
        <v>0</v>
      </c>
      <c r="X60" s="725">
        <f t="shared" si="3"/>
        <v>0</v>
      </c>
      <c r="Y60" s="727">
        <f t="shared" si="3"/>
        <v>0</v>
      </c>
      <c r="Z60" s="750">
        <f t="shared" si="3"/>
        <v>0</v>
      </c>
    </row>
    <row r="61" spans="2:26" s="40" customFormat="1" ht="13" hidden="1" outlineLevel="1" x14ac:dyDescent="0.2">
      <c r="U61" s="602"/>
      <c r="V61" s="602"/>
      <c r="W61" s="602"/>
      <c r="X61" s="602"/>
      <c r="Y61" s="602"/>
      <c r="Z61" s="602"/>
    </row>
    <row r="62" spans="2:26" s="40" customFormat="1" ht="13" x14ac:dyDescent="0.2">
      <c r="U62" s="602"/>
      <c r="V62" s="602"/>
      <c r="W62" s="602"/>
      <c r="X62" s="602"/>
      <c r="Y62" s="602"/>
      <c r="Z62" s="602"/>
    </row>
    <row r="63" spans="2:26" s="40" customFormat="1" ht="16" x14ac:dyDescent="0.2">
      <c r="B63" s="1795" t="s">
        <v>2844</v>
      </c>
      <c r="C63" s="1795"/>
      <c r="D63" s="1795"/>
      <c r="E63" s="1795"/>
      <c r="F63" s="1795"/>
      <c r="G63" s="1795"/>
      <c r="H63" s="1795"/>
      <c r="I63" s="1795"/>
      <c r="J63" s="1795"/>
      <c r="K63" s="1795"/>
      <c r="L63" s="1795"/>
      <c r="M63" s="1795"/>
      <c r="N63" s="1795"/>
      <c r="O63" s="1795"/>
      <c r="U63" s="602"/>
      <c r="V63" s="602"/>
      <c r="W63" s="602"/>
      <c r="X63" s="602"/>
      <c r="Y63" s="602"/>
      <c r="Z63" s="602"/>
    </row>
    <row r="64" spans="2:26" s="40" customFormat="1" ht="13" outlineLevel="1" x14ac:dyDescent="0.2">
      <c r="U64" s="602"/>
      <c r="V64" s="602"/>
      <c r="W64" s="602"/>
      <c r="X64" s="602"/>
      <c r="Y64" s="602"/>
      <c r="Z64" s="602"/>
    </row>
    <row r="65" spans="1:26" s="40" customFormat="1" ht="13" outlineLevel="1" x14ac:dyDescent="0.2">
      <c r="B65" s="195" t="s">
        <v>2845</v>
      </c>
      <c r="C65" s="196"/>
      <c r="D65" s="350"/>
      <c r="E65" s="350"/>
      <c r="F65" s="196"/>
      <c r="G65" s="198"/>
      <c r="H65" s="198"/>
      <c r="I65" s="198"/>
      <c r="J65" s="199"/>
      <c r="L65" s="1746" t="s">
        <v>723</v>
      </c>
      <c r="M65" s="1747"/>
      <c r="N65" s="1748"/>
      <c r="P65" s="1746" t="s">
        <v>2066</v>
      </c>
      <c r="Q65" s="1747"/>
      <c r="R65" s="1747"/>
      <c r="S65" s="1748"/>
      <c r="U65" s="1755" t="s">
        <v>2073</v>
      </c>
      <c r="V65" s="1756"/>
      <c r="W65" s="1756"/>
      <c r="X65" s="1756"/>
      <c r="Y65" s="1756"/>
      <c r="Z65" s="1757"/>
    </row>
    <row r="66" spans="1:26" s="40" customFormat="1" ht="13" outlineLevel="1" x14ac:dyDescent="0.2">
      <c r="B66" s="417"/>
      <c r="C66" s="225"/>
      <c r="D66" s="352"/>
      <c r="E66" s="352"/>
      <c r="F66" s="269"/>
      <c r="G66" s="214"/>
      <c r="H66" s="201"/>
      <c r="I66" s="201"/>
      <c r="J66" s="203"/>
      <c r="L66" s="204"/>
      <c r="M66" s="351"/>
      <c r="N66" s="203"/>
      <c r="P66" s="204"/>
      <c r="Q66" s="351"/>
      <c r="R66" s="351"/>
      <c r="S66" s="203"/>
      <c r="U66" s="778"/>
      <c r="V66" s="779"/>
      <c r="W66" s="779"/>
      <c r="X66" s="779"/>
      <c r="Y66" s="741"/>
      <c r="Z66" s="780"/>
    </row>
    <row r="67" spans="1:26" s="40" customFormat="1" ht="13" outlineLevel="1" x14ac:dyDescent="0.2">
      <c r="B67" s="204"/>
      <c r="C67" s="351"/>
      <c r="D67" s="351" t="s">
        <v>56</v>
      </c>
      <c r="E67" s="351" t="s">
        <v>56</v>
      </c>
      <c r="F67" s="205"/>
      <c r="G67" s="205" t="s">
        <v>2606</v>
      </c>
      <c r="H67" s="1619" t="s">
        <v>64</v>
      </c>
      <c r="I67" s="205" t="s">
        <v>2607</v>
      </c>
      <c r="J67" s="207" t="s">
        <v>61</v>
      </c>
      <c r="L67" s="1618" t="s">
        <v>2605</v>
      </c>
      <c r="M67" s="351" t="s">
        <v>2110</v>
      </c>
      <c r="N67" s="207" t="s">
        <v>61</v>
      </c>
      <c r="P67" s="204" t="s">
        <v>2065</v>
      </c>
      <c r="Q67" s="352" t="s">
        <v>61</v>
      </c>
      <c r="R67" s="351" t="s">
        <v>2558</v>
      </c>
      <c r="S67" s="207" t="s">
        <v>61</v>
      </c>
      <c r="U67" s="1739" t="s">
        <v>61</v>
      </c>
      <c r="V67" s="1740"/>
      <c r="W67" s="1740"/>
      <c r="X67" s="1740"/>
      <c r="Y67" s="741" t="s">
        <v>61</v>
      </c>
      <c r="Z67" s="742"/>
    </row>
    <row r="68" spans="1:26" s="40" customFormat="1" ht="13" outlineLevel="1" x14ac:dyDescent="0.2">
      <c r="B68" s="204"/>
      <c r="C68" s="351"/>
      <c r="D68" s="351" t="s">
        <v>61</v>
      </c>
      <c r="E68" s="351" t="s">
        <v>63</v>
      </c>
      <c r="F68" s="208" t="s">
        <v>1555</v>
      </c>
      <c r="G68" s="208" t="s">
        <v>2601</v>
      </c>
      <c r="H68" s="1619" t="s">
        <v>2608</v>
      </c>
      <c r="I68" s="208" t="s">
        <v>2609</v>
      </c>
      <c r="J68" s="207"/>
      <c r="L68" s="1618" t="s">
        <v>2109</v>
      </c>
      <c r="M68" s="351"/>
      <c r="N68" s="207"/>
      <c r="P68" s="204"/>
      <c r="Q68" s="361"/>
      <c r="R68" s="351"/>
      <c r="S68" s="207"/>
      <c r="U68" s="744" t="s">
        <v>14</v>
      </c>
      <c r="V68" s="745" t="s">
        <v>60</v>
      </c>
      <c r="W68" s="745" t="s">
        <v>27</v>
      </c>
      <c r="X68" s="745" t="s">
        <v>2074</v>
      </c>
      <c r="Y68" s="746" t="s">
        <v>41</v>
      </c>
      <c r="Z68" s="747" t="s">
        <v>85</v>
      </c>
    </row>
    <row r="69" spans="1:26" s="40" customFormat="1" ht="13" outlineLevel="1" x14ac:dyDescent="0.2">
      <c r="B69" s="236" t="s">
        <v>1573</v>
      </c>
      <c r="C69" s="237"/>
      <c r="D69" s="262">
        <f>J69</f>
        <v>0</v>
      </c>
      <c r="E69" s="265">
        <f>D69*12/44</f>
        <v>0</v>
      </c>
      <c r="F69" s="205" t="str">
        <f>VLOOKUP($B69,'Emissions factors'!$B$1745:$F$1760,2,FALSE)</f>
        <v>1 sqm of wall</v>
      </c>
      <c r="G69" s="182"/>
      <c r="H69" s="420">
        <f>VLOOKUP($B69,'Emissions factors'!$B$1745:$F$1760,3,FALSE)</f>
        <v>5.79</v>
      </c>
      <c r="I69" s="439"/>
      <c r="J69" s="211">
        <f>G69*H69*(1+I69)</f>
        <v>0</v>
      </c>
      <c r="L69" s="282">
        <f>VLOOKUP($B69,'Emissions factors'!$B$1745:$F$1760,5,FALSE)</f>
        <v>0.1</v>
      </c>
      <c r="M69" s="183"/>
      <c r="N69" s="211">
        <f>J69*SQRT(L69^2+M69^2)</f>
        <v>0</v>
      </c>
      <c r="P69" s="184"/>
      <c r="Q69" s="210">
        <f>P69*G69*H69</f>
        <v>0</v>
      </c>
      <c r="R69" s="184"/>
      <c r="S69" s="211">
        <f>R69*G69*H69</f>
        <v>0</v>
      </c>
      <c r="U69" s="717"/>
      <c r="V69" s="718"/>
      <c r="W69" s="718"/>
      <c r="X69" s="718"/>
      <c r="Y69" s="720">
        <f>J69</f>
        <v>0</v>
      </c>
      <c r="Z69" s="748"/>
    </row>
    <row r="70" spans="1:26" s="40" customFormat="1" ht="13" outlineLevel="1" x14ac:dyDescent="0.2">
      <c r="B70" s="236" t="s">
        <v>1576</v>
      </c>
      <c r="C70" s="237"/>
      <c r="D70" s="262">
        <f>J70</f>
        <v>0</v>
      </c>
      <c r="E70" s="265">
        <f>D70*12/44</f>
        <v>0</v>
      </c>
      <c r="F70" s="212" t="str">
        <f>VLOOKUP($B70,'Emissions factors'!$B$1745:$F$1760,2,FALSE)</f>
        <v>1 LM</v>
      </c>
      <c r="G70" s="185"/>
      <c r="H70" s="420">
        <f>VLOOKUP($B70,'Emissions factors'!$B$1745:$F$1760,3,FALSE)</f>
        <v>2.4700000000000002</v>
      </c>
      <c r="I70" s="440"/>
      <c r="J70" s="211">
        <f>G70*H70*(1+I70)</f>
        <v>0</v>
      </c>
      <c r="L70" s="282">
        <f>VLOOKUP($B70,'Emissions factors'!$B$1745:$F$1760,5,FALSE)</f>
        <v>0.1</v>
      </c>
      <c r="M70" s="186"/>
      <c r="N70" s="211">
        <f>J70*SQRT(L70^2+M70^2)</f>
        <v>0</v>
      </c>
      <c r="P70" s="187"/>
      <c r="Q70" s="210">
        <f>P70*G70*H70</f>
        <v>0</v>
      </c>
      <c r="R70" s="187"/>
      <c r="S70" s="211">
        <f>R70*G70*H70</f>
        <v>0</v>
      </c>
      <c r="U70" s="717"/>
      <c r="V70" s="718"/>
      <c r="W70" s="718"/>
      <c r="X70" s="718"/>
      <c r="Y70" s="720">
        <f>J70</f>
        <v>0</v>
      </c>
      <c r="Z70" s="748"/>
    </row>
    <row r="71" spans="1:26" s="40" customFormat="1" ht="13" outlineLevel="1" x14ac:dyDescent="0.2">
      <c r="B71" s="236" t="s">
        <v>1578</v>
      </c>
      <c r="C71" s="237"/>
      <c r="D71" s="262">
        <f>J71</f>
        <v>96800.000000000015</v>
      </c>
      <c r="E71" s="265">
        <f>D71*12/44</f>
        <v>26400.000000000004</v>
      </c>
      <c r="F71" s="212" t="str">
        <f>VLOOKUP($B71,'Emissions factors'!$B$1745:$F$1760,2,FALSE)</f>
        <v>tonne</v>
      </c>
      <c r="G71" s="185">
        <v>1000</v>
      </c>
      <c r="H71" s="420">
        <f>VLOOKUP($B71,'Emissions factors'!$B$1745:$F$1760,3,FALSE)</f>
        <v>88</v>
      </c>
      <c r="I71" s="440">
        <v>0.1</v>
      </c>
      <c r="J71" s="211">
        <f>G71*H71*(1+I71)</f>
        <v>96800.000000000015</v>
      </c>
      <c r="L71" s="282">
        <f>VLOOKUP($B71,'Emissions factors'!$B$1745:$F$1760,5,FALSE)</f>
        <v>0.2</v>
      </c>
      <c r="M71" s="186"/>
      <c r="N71" s="211">
        <f>J71*SQRT(L71^2+M71^2)</f>
        <v>19360.000000000004</v>
      </c>
      <c r="P71" s="187"/>
      <c r="Q71" s="210">
        <f>P71*G71*H71</f>
        <v>0</v>
      </c>
      <c r="R71" s="187"/>
      <c r="S71" s="211">
        <f>R71*G71*H71</f>
        <v>0</v>
      </c>
      <c r="U71" s="717"/>
      <c r="V71" s="718"/>
      <c r="W71" s="718"/>
      <c r="X71" s="718"/>
      <c r="Y71" s="720">
        <f>J71</f>
        <v>96800.000000000015</v>
      </c>
      <c r="Z71" s="748"/>
    </row>
    <row r="72" spans="1:26" s="40" customFormat="1" ht="13" outlineLevel="1" x14ac:dyDescent="0.2">
      <c r="B72" s="236" t="s">
        <v>1569</v>
      </c>
      <c r="C72" s="237"/>
      <c r="D72" s="262">
        <f>J72</f>
        <v>0</v>
      </c>
      <c r="E72" s="265">
        <f>D72*12/44</f>
        <v>0</v>
      </c>
      <c r="F72" s="208" t="str">
        <f>VLOOKUP($B72,'Emissions factors'!$B$1745:$F$1760,2,FALSE)</f>
        <v>tonne</v>
      </c>
      <c r="G72" s="188"/>
      <c r="H72" s="420">
        <f>VLOOKUP($B72,'Emissions factors'!$B$1745:$F$1760,3,FALSE)</f>
        <v>11</v>
      </c>
      <c r="I72" s="441"/>
      <c r="J72" s="211">
        <f>G72*H72*(1+I72)</f>
        <v>0</v>
      </c>
      <c r="L72" s="282">
        <f>VLOOKUP($B72,'Emissions factors'!$B$1745:$F$1760,5,FALSE)</f>
        <v>0.8</v>
      </c>
      <c r="M72" s="189"/>
      <c r="N72" s="211">
        <f>J72*SQRT(L72^2+M72^2)</f>
        <v>0</v>
      </c>
      <c r="P72" s="189"/>
      <c r="Q72" s="210">
        <f>P72*G72*H72</f>
        <v>0</v>
      </c>
      <c r="R72" s="189"/>
      <c r="S72" s="211">
        <f>R72*G72*H72</f>
        <v>0</v>
      </c>
      <c r="U72" s="717"/>
      <c r="V72" s="718"/>
      <c r="W72" s="718"/>
      <c r="X72" s="718"/>
      <c r="Y72" s="720">
        <f>J72</f>
        <v>0</v>
      </c>
      <c r="Z72" s="748"/>
    </row>
    <row r="73" spans="1:26" s="40" customFormat="1" ht="13" outlineLevel="1" x14ac:dyDescent="0.2">
      <c r="B73" s="200"/>
      <c r="C73" s="201"/>
      <c r="D73" s="263"/>
      <c r="E73" s="266"/>
      <c r="F73" s="201"/>
      <c r="G73" s="410"/>
      <c r="H73" s="410"/>
      <c r="I73" s="410"/>
      <c r="J73" s="211"/>
      <c r="L73" s="220"/>
      <c r="M73" s="201"/>
      <c r="N73" s="211"/>
      <c r="P73" s="200"/>
      <c r="Q73" s="210"/>
      <c r="R73" s="201"/>
      <c r="S73" s="211"/>
      <c r="U73" s="717"/>
      <c r="V73" s="718"/>
      <c r="W73" s="718"/>
      <c r="X73" s="718"/>
      <c r="Y73" s="720"/>
      <c r="Z73" s="749"/>
    </row>
    <row r="74" spans="1:26" s="40" customFormat="1" ht="13" outlineLevel="1" x14ac:dyDescent="0.2">
      <c r="B74" s="253" t="s">
        <v>2828</v>
      </c>
      <c r="C74" s="254"/>
      <c r="D74" s="264">
        <f>SUM(D69:D73)</f>
        <v>96800.000000000015</v>
      </c>
      <c r="E74" s="267">
        <f>SUM(E69:E73)</f>
        <v>26400.000000000004</v>
      </c>
      <c r="F74" s="254"/>
      <c r="G74" s="256"/>
      <c r="H74" s="256"/>
      <c r="I74" s="256"/>
      <c r="J74" s="257">
        <f>SUM(J69:J73)</f>
        <v>96800.000000000015</v>
      </c>
      <c r="L74" s="258"/>
      <c r="M74" s="256"/>
      <c r="N74" s="257">
        <f>SQRT(SUMSQ(N69:N73))</f>
        <v>19360.000000000004</v>
      </c>
      <c r="P74" s="258"/>
      <c r="Q74" s="260">
        <f>SUM(Q69:Q73)</f>
        <v>0</v>
      </c>
      <c r="R74" s="256"/>
      <c r="S74" s="257">
        <f>SUM(S69:S73)</f>
        <v>0</v>
      </c>
      <c r="U74" s="724">
        <f t="shared" ref="U74:Z74" si="4">SUM(U69:U73)</f>
        <v>0</v>
      </c>
      <c r="V74" s="725">
        <f t="shared" si="4"/>
        <v>0</v>
      </c>
      <c r="W74" s="725">
        <f t="shared" si="4"/>
        <v>0</v>
      </c>
      <c r="X74" s="725">
        <f t="shared" si="4"/>
        <v>0</v>
      </c>
      <c r="Y74" s="727">
        <f t="shared" si="4"/>
        <v>96800.000000000015</v>
      </c>
      <c r="Z74" s="750">
        <f t="shared" si="4"/>
        <v>0</v>
      </c>
    </row>
    <row r="75" spans="1:26" s="42" customFormat="1" ht="13" outlineLevel="1" x14ac:dyDescent="0.2">
      <c r="A75" s="40"/>
      <c r="B75" s="687"/>
      <c r="C75" s="316"/>
      <c r="D75" s="316"/>
      <c r="E75" s="317"/>
      <c r="F75" s="318"/>
      <c r="G75" s="318"/>
      <c r="H75" s="318"/>
      <c r="I75" s="318"/>
      <c r="U75" s="602"/>
      <c r="V75" s="605"/>
      <c r="W75" s="605"/>
      <c r="X75" s="605"/>
      <c r="Y75" s="605"/>
      <c r="Z75" s="605"/>
    </row>
    <row r="76" spans="1:26" s="40" customFormat="1" ht="13" outlineLevel="1" x14ac:dyDescent="0.2">
      <c r="B76" s="195" t="s">
        <v>2846</v>
      </c>
      <c r="C76" s="196"/>
      <c r="D76" s="350"/>
      <c r="E76" s="350"/>
      <c r="F76" s="198"/>
      <c r="G76" s="198"/>
      <c r="H76" s="198"/>
      <c r="I76" s="199"/>
      <c r="L76" s="1746" t="s">
        <v>723</v>
      </c>
      <c r="M76" s="1747"/>
      <c r="N76" s="1748"/>
      <c r="P76" s="1746" t="s">
        <v>2066</v>
      </c>
      <c r="Q76" s="1747"/>
      <c r="R76" s="1747"/>
      <c r="S76" s="1748"/>
      <c r="U76" s="1755" t="s">
        <v>2073</v>
      </c>
      <c r="V76" s="1756"/>
      <c r="W76" s="1756"/>
      <c r="X76" s="1756"/>
      <c r="Y76" s="1756"/>
      <c r="Z76" s="1757"/>
    </row>
    <row r="77" spans="1:26" s="40" customFormat="1" ht="13" outlineLevel="1" x14ac:dyDescent="0.2">
      <c r="B77" s="417"/>
      <c r="C77" s="225"/>
      <c r="D77" s="352"/>
      <c r="E77" s="352"/>
      <c r="F77" s="214"/>
      <c r="G77" s="201"/>
      <c r="H77" s="201"/>
      <c r="I77" s="203"/>
      <c r="L77" s="204"/>
      <c r="M77" s="351"/>
      <c r="N77" s="203"/>
      <c r="P77" s="204"/>
      <c r="Q77" s="351"/>
      <c r="R77" s="351"/>
      <c r="S77" s="203"/>
      <c r="U77" s="778"/>
      <c r="V77" s="779"/>
      <c r="W77" s="779"/>
      <c r="X77" s="779"/>
      <c r="Y77" s="741"/>
      <c r="Z77" s="780"/>
    </row>
    <row r="78" spans="1:26" s="40" customFormat="1" ht="13" outlineLevel="1" x14ac:dyDescent="0.2">
      <c r="B78" s="204"/>
      <c r="C78" s="351"/>
      <c r="D78" s="351" t="s">
        <v>56</v>
      </c>
      <c r="E78" s="351" t="s">
        <v>56</v>
      </c>
      <c r="F78" s="1622" t="s">
        <v>11</v>
      </c>
      <c r="G78" s="1619" t="s">
        <v>64</v>
      </c>
      <c r="H78" s="205" t="s">
        <v>2607</v>
      </c>
      <c r="I78" s="207" t="s">
        <v>61</v>
      </c>
      <c r="L78" s="1618" t="s">
        <v>2605</v>
      </c>
      <c r="M78" s="351" t="s">
        <v>2110</v>
      </c>
      <c r="N78" s="207" t="s">
        <v>61</v>
      </c>
      <c r="P78" s="204" t="s">
        <v>2065</v>
      </c>
      <c r="Q78" s="352" t="s">
        <v>61</v>
      </c>
      <c r="R78" s="351" t="s">
        <v>2558</v>
      </c>
      <c r="S78" s="207" t="s">
        <v>61</v>
      </c>
      <c r="U78" s="1739" t="s">
        <v>61</v>
      </c>
      <c r="V78" s="1740"/>
      <c r="W78" s="1740"/>
      <c r="X78" s="1740"/>
      <c r="Y78" s="741" t="s">
        <v>61</v>
      </c>
      <c r="Z78" s="742"/>
    </row>
    <row r="79" spans="1:26" s="40" customFormat="1" ht="13" outlineLevel="1" x14ac:dyDescent="0.2">
      <c r="B79" s="204"/>
      <c r="C79" s="351"/>
      <c r="D79" s="351" t="s">
        <v>61</v>
      </c>
      <c r="E79" s="351" t="s">
        <v>63</v>
      </c>
      <c r="F79" s="1623" t="s">
        <v>2601</v>
      </c>
      <c r="G79" s="1619" t="s">
        <v>2058</v>
      </c>
      <c r="H79" s="208" t="s">
        <v>2609</v>
      </c>
      <c r="I79" s="207"/>
      <c r="L79" s="1618" t="s">
        <v>2109</v>
      </c>
      <c r="M79" s="351"/>
      <c r="N79" s="207"/>
      <c r="P79" s="204"/>
      <c r="Q79" s="361"/>
      <c r="R79" s="351"/>
      <c r="S79" s="207"/>
      <c r="U79" s="744" t="s">
        <v>14</v>
      </c>
      <c r="V79" s="745" t="s">
        <v>60</v>
      </c>
      <c r="W79" s="745" t="s">
        <v>27</v>
      </c>
      <c r="X79" s="745" t="s">
        <v>2074</v>
      </c>
      <c r="Y79" s="746" t="s">
        <v>41</v>
      </c>
      <c r="Z79" s="747" t="s">
        <v>85</v>
      </c>
    </row>
    <row r="80" spans="1:26" s="40" customFormat="1" ht="13" outlineLevel="1" x14ac:dyDescent="0.2">
      <c r="B80" s="200" t="s">
        <v>1589</v>
      </c>
      <c r="C80" s="201"/>
      <c r="D80" s="262">
        <f>I80</f>
        <v>0</v>
      </c>
      <c r="E80" s="265">
        <f>D80*12/44</f>
        <v>0</v>
      </c>
      <c r="F80" s="182"/>
      <c r="G80" s="273">
        <f>VLOOKUP($B80,'Emissions factors'!$B$1765:$D$1817,2,FALSE)</f>
        <v>36.700000000000003</v>
      </c>
      <c r="H80" s="439"/>
      <c r="I80" s="211">
        <f>F80*G80*(1+H80)</f>
        <v>0</v>
      </c>
      <c r="L80" s="282">
        <f>VLOOKUP($B80,'Emissions factors'!$B$1765:$D$1817,3,FALSE)</f>
        <v>0.5</v>
      </c>
      <c r="M80" s="183"/>
      <c r="N80" s="211">
        <f>I80*SQRT(L80^2+M80^2)</f>
        <v>0</v>
      </c>
      <c r="P80" s="184"/>
      <c r="Q80" s="210">
        <f>P80*F80*G80</f>
        <v>0</v>
      </c>
      <c r="R80" s="184"/>
      <c r="S80" s="211">
        <f>R80*F80*G80</f>
        <v>0</v>
      </c>
      <c r="U80" s="717"/>
      <c r="V80" s="718"/>
      <c r="W80" s="718"/>
      <c r="X80" s="718"/>
      <c r="Y80" s="720">
        <f>I80</f>
        <v>0</v>
      </c>
      <c r="Z80" s="748"/>
    </row>
    <row r="81" spans="2:26" s="40" customFormat="1" ht="13" outlineLevel="1" x14ac:dyDescent="0.2">
      <c r="B81" s="200" t="s">
        <v>1588</v>
      </c>
      <c r="C81" s="201"/>
      <c r="D81" s="262">
        <f>I81</f>
        <v>0</v>
      </c>
      <c r="E81" s="265">
        <f>D81*12/44</f>
        <v>0</v>
      </c>
      <c r="F81" s="185"/>
      <c r="G81" s="273">
        <f>VLOOKUP($B81,'Emissions factors'!$B$1765:$D$1817,2,FALSE)</f>
        <v>36.700000000000003</v>
      </c>
      <c r="H81" s="440"/>
      <c r="I81" s="211">
        <f>F81*G81*(1+H81)</f>
        <v>0</v>
      </c>
      <c r="L81" s="282">
        <f>VLOOKUP($B81,'Emissions factors'!$B$1765:$D$1817,3,FALSE)</f>
        <v>0.5</v>
      </c>
      <c r="M81" s="186"/>
      <c r="N81" s="211">
        <f>I81*SQRT(L81^2+M81^2)</f>
        <v>0</v>
      </c>
      <c r="P81" s="187"/>
      <c r="Q81" s="210">
        <f>P81*F81*G81</f>
        <v>0</v>
      </c>
      <c r="R81" s="187"/>
      <c r="S81" s="211">
        <f>R81*F81*G81</f>
        <v>0</v>
      </c>
      <c r="U81" s="717"/>
      <c r="V81" s="718"/>
      <c r="W81" s="718"/>
      <c r="X81" s="718"/>
      <c r="Y81" s="720">
        <f>I81</f>
        <v>0</v>
      </c>
      <c r="Z81" s="748"/>
    </row>
    <row r="82" spans="2:26" s="40" customFormat="1" ht="13" outlineLevel="1" x14ac:dyDescent="0.2">
      <c r="B82" s="200" t="s">
        <v>1589</v>
      </c>
      <c r="C82" s="201"/>
      <c r="D82" s="262">
        <f>I82</f>
        <v>0</v>
      </c>
      <c r="E82" s="265">
        <f>D82*12/44</f>
        <v>0</v>
      </c>
      <c r="F82" s="185"/>
      <c r="G82" s="273">
        <f>VLOOKUP($B82,'Emissions factors'!$B$1765:$D$1817,2,FALSE)</f>
        <v>36.700000000000003</v>
      </c>
      <c r="H82" s="440"/>
      <c r="I82" s="211">
        <f>F82*G82*(1+H82)</f>
        <v>0</v>
      </c>
      <c r="L82" s="282">
        <f>VLOOKUP($B82,'Emissions factors'!$B$1765:$D$1817,3,FALSE)</f>
        <v>0.5</v>
      </c>
      <c r="M82" s="186"/>
      <c r="N82" s="211">
        <f>I82*SQRT(L82^2+M82^2)</f>
        <v>0</v>
      </c>
      <c r="P82" s="187"/>
      <c r="Q82" s="210">
        <f>P82*F82*G82</f>
        <v>0</v>
      </c>
      <c r="R82" s="187"/>
      <c r="S82" s="211">
        <f>R82*F82*G82</f>
        <v>0</v>
      </c>
      <c r="U82" s="717"/>
      <c r="V82" s="718"/>
      <c r="W82" s="718"/>
      <c r="X82" s="718"/>
      <c r="Y82" s="720">
        <f>I82</f>
        <v>0</v>
      </c>
      <c r="Z82" s="748"/>
    </row>
    <row r="83" spans="2:26" s="40" customFormat="1" ht="13" outlineLevel="1" x14ac:dyDescent="0.2">
      <c r="B83" s="200" t="s">
        <v>1588</v>
      </c>
      <c r="C83" s="201"/>
      <c r="D83" s="262">
        <f>I83</f>
        <v>0</v>
      </c>
      <c r="E83" s="265">
        <f>D83*12/44</f>
        <v>0</v>
      </c>
      <c r="F83" s="188"/>
      <c r="G83" s="273">
        <f>VLOOKUP($B83,'Emissions factors'!$B$1765:$D$1817,2,FALSE)</f>
        <v>36.700000000000003</v>
      </c>
      <c r="H83" s="441"/>
      <c r="I83" s="211">
        <f>F83*G83*(1+H83)</f>
        <v>0</v>
      </c>
      <c r="L83" s="282">
        <f>VLOOKUP($B83,'Emissions factors'!$B$1765:$D$1817,3,FALSE)</f>
        <v>0.5</v>
      </c>
      <c r="M83" s="189"/>
      <c r="N83" s="211">
        <f>I83*SQRT(L83^2+M83^2)</f>
        <v>0</v>
      </c>
      <c r="P83" s="190"/>
      <c r="Q83" s="210">
        <f>P83*F83*G83</f>
        <v>0</v>
      </c>
      <c r="R83" s="190"/>
      <c r="S83" s="211">
        <f>R83*F83*G83</f>
        <v>0</v>
      </c>
      <c r="U83" s="717"/>
      <c r="V83" s="718"/>
      <c r="W83" s="718"/>
      <c r="X83" s="718"/>
      <c r="Y83" s="720">
        <f>I83</f>
        <v>0</v>
      </c>
      <c r="Z83" s="748"/>
    </row>
    <row r="84" spans="2:26" s="40" customFormat="1" ht="13" outlineLevel="1" x14ac:dyDescent="0.2">
      <c r="B84" s="200"/>
      <c r="C84" s="201"/>
      <c r="D84" s="263"/>
      <c r="E84" s="266"/>
      <c r="F84" s="201"/>
      <c r="G84" s="201"/>
      <c r="H84" s="201"/>
      <c r="I84" s="203"/>
      <c r="L84" s="200"/>
      <c r="M84" s="201"/>
      <c r="N84" s="226"/>
      <c r="P84" s="200"/>
      <c r="Q84" s="361"/>
      <c r="R84" s="201"/>
      <c r="S84" s="211"/>
      <c r="U84" s="717"/>
      <c r="V84" s="718"/>
      <c r="W84" s="718"/>
      <c r="X84" s="718"/>
      <c r="Y84" s="720"/>
      <c r="Z84" s="749"/>
    </row>
    <row r="85" spans="2:26" s="40" customFormat="1" ht="13" outlineLevel="1" x14ac:dyDescent="0.2">
      <c r="B85" s="253" t="s">
        <v>2828</v>
      </c>
      <c r="C85" s="254"/>
      <c r="D85" s="264">
        <f>SUM(D80:D84)</f>
        <v>0</v>
      </c>
      <c r="E85" s="267">
        <f>SUM(E80:E84)</f>
        <v>0</v>
      </c>
      <c r="F85" s="256"/>
      <c r="G85" s="256"/>
      <c r="H85" s="256"/>
      <c r="I85" s="257">
        <f>SUM(I80:I84)</f>
        <v>0</v>
      </c>
      <c r="L85" s="258"/>
      <c r="M85" s="256"/>
      <c r="N85" s="257">
        <f>SQRT(SUMSQ(N80:N84))</f>
        <v>0</v>
      </c>
      <c r="P85" s="258"/>
      <c r="Q85" s="259">
        <f>SUM(Q80:Q84)</f>
        <v>0</v>
      </c>
      <c r="R85" s="256"/>
      <c r="S85" s="257">
        <f>SUM(S80:S84)</f>
        <v>0</v>
      </c>
      <c r="U85" s="724">
        <f t="shared" ref="U85:Z85" si="5">SUM(U80:U84)</f>
        <v>0</v>
      </c>
      <c r="V85" s="725">
        <f t="shared" si="5"/>
        <v>0</v>
      </c>
      <c r="W85" s="725">
        <f t="shared" si="5"/>
        <v>0</v>
      </c>
      <c r="X85" s="725">
        <f t="shared" si="5"/>
        <v>0</v>
      </c>
      <c r="Y85" s="727">
        <f t="shared" si="5"/>
        <v>0</v>
      </c>
      <c r="Z85" s="750">
        <f t="shared" si="5"/>
        <v>0</v>
      </c>
    </row>
    <row r="86" spans="2:26" s="40" customFormat="1" ht="13" outlineLevel="1" x14ac:dyDescent="0.2">
      <c r="U86" s="602"/>
      <c r="V86" s="602"/>
      <c r="W86" s="602"/>
      <c r="X86" s="602"/>
      <c r="Y86" s="602"/>
      <c r="Z86" s="602"/>
    </row>
    <row r="87" spans="2:26" s="40" customFormat="1" ht="13" x14ac:dyDescent="0.2">
      <c r="U87" s="602"/>
      <c r="V87" s="602"/>
      <c r="W87" s="602"/>
      <c r="X87" s="602"/>
      <c r="Y87" s="602"/>
      <c r="Z87" s="602"/>
    </row>
    <row r="88" spans="2:26" s="40" customFormat="1" ht="16" collapsed="1" x14ac:dyDescent="0.2">
      <c r="B88" s="1820" t="s">
        <v>2847</v>
      </c>
      <c r="C88" s="1821"/>
      <c r="D88" s="1821"/>
      <c r="E88" s="1821"/>
      <c r="F88" s="1821"/>
      <c r="G88" s="1821"/>
      <c r="H88" s="1821"/>
      <c r="I88" s="1821"/>
      <c r="J88" s="1821"/>
      <c r="K88" s="1821"/>
      <c r="L88" s="1821"/>
      <c r="M88" s="1821"/>
      <c r="N88" s="1821"/>
      <c r="O88" s="1822"/>
      <c r="U88" s="602"/>
      <c r="V88" s="602"/>
      <c r="W88" s="602"/>
      <c r="X88" s="602"/>
      <c r="Y88" s="602"/>
      <c r="Z88" s="602"/>
    </row>
    <row r="89" spans="2:26" s="40" customFormat="1" ht="13" hidden="1" outlineLevel="1" x14ac:dyDescent="0.2">
      <c r="U89" s="602"/>
      <c r="V89" s="602"/>
      <c r="W89" s="602"/>
      <c r="X89" s="602"/>
      <c r="Y89" s="602"/>
      <c r="Z89" s="602"/>
    </row>
    <row r="90" spans="2:26" s="40" customFormat="1" ht="13" hidden="1" outlineLevel="1" x14ac:dyDescent="0.2">
      <c r="B90" s="195" t="s">
        <v>2847</v>
      </c>
      <c r="C90" s="196"/>
      <c r="D90" s="350"/>
      <c r="E90" s="350"/>
      <c r="F90" s="198"/>
      <c r="G90" s="198"/>
      <c r="H90" s="198"/>
      <c r="I90" s="199"/>
      <c r="L90" s="1746" t="s">
        <v>723</v>
      </c>
      <c r="M90" s="1747"/>
      <c r="N90" s="1748"/>
      <c r="P90" s="1746" t="s">
        <v>2066</v>
      </c>
      <c r="Q90" s="1747"/>
      <c r="R90" s="1747"/>
      <c r="S90" s="1748"/>
      <c r="U90" s="1755" t="s">
        <v>2073</v>
      </c>
      <c r="V90" s="1756"/>
      <c r="W90" s="1756"/>
      <c r="X90" s="1756"/>
      <c r="Y90" s="1756"/>
      <c r="Z90" s="1757"/>
    </row>
    <row r="91" spans="2:26" s="40" customFormat="1" ht="13" hidden="1" outlineLevel="1" x14ac:dyDescent="0.2">
      <c r="B91" s="417"/>
      <c r="C91" s="225"/>
      <c r="D91" s="352"/>
      <c r="E91" s="352"/>
      <c r="F91" s="214"/>
      <c r="G91" s="201"/>
      <c r="H91" s="201"/>
      <c r="I91" s="203"/>
      <c r="L91" s="204"/>
      <c r="M91" s="351"/>
      <c r="N91" s="203"/>
      <c r="P91" s="204"/>
      <c r="Q91" s="351"/>
      <c r="R91" s="351"/>
      <c r="S91" s="203"/>
      <c r="U91" s="778"/>
      <c r="V91" s="779"/>
      <c r="W91" s="779"/>
      <c r="X91" s="779"/>
      <c r="Y91" s="741"/>
      <c r="Z91" s="780"/>
    </row>
    <row r="92" spans="2:26" s="40" customFormat="1" ht="13" hidden="1" outlineLevel="1" x14ac:dyDescent="0.2">
      <c r="B92" s="204"/>
      <c r="C92" s="351"/>
      <c r="D92" s="351" t="s">
        <v>56</v>
      </c>
      <c r="E92" s="351" t="s">
        <v>56</v>
      </c>
      <c r="F92" s="1622" t="s">
        <v>11</v>
      </c>
      <c r="G92" s="1619" t="s">
        <v>64</v>
      </c>
      <c r="H92" s="205" t="s">
        <v>2607</v>
      </c>
      <c r="I92" s="207" t="s">
        <v>61</v>
      </c>
      <c r="L92" s="1618" t="s">
        <v>2605</v>
      </c>
      <c r="M92" s="351" t="s">
        <v>2110</v>
      </c>
      <c r="N92" s="207" t="s">
        <v>61</v>
      </c>
      <c r="P92" s="204" t="s">
        <v>2065</v>
      </c>
      <c r="Q92" s="352" t="s">
        <v>61</v>
      </c>
      <c r="R92" s="351" t="s">
        <v>2558</v>
      </c>
      <c r="S92" s="207" t="s">
        <v>61</v>
      </c>
      <c r="U92" s="1739" t="s">
        <v>61</v>
      </c>
      <c r="V92" s="1740"/>
      <c r="W92" s="1740"/>
      <c r="X92" s="1740"/>
      <c r="Y92" s="741" t="s">
        <v>61</v>
      </c>
      <c r="Z92" s="742"/>
    </row>
    <row r="93" spans="2:26" s="40" customFormat="1" ht="13" hidden="1" outlineLevel="1" x14ac:dyDescent="0.2">
      <c r="B93" s="204"/>
      <c r="C93" s="351"/>
      <c r="D93" s="351" t="s">
        <v>61</v>
      </c>
      <c r="E93" s="351" t="s">
        <v>63</v>
      </c>
      <c r="F93" s="1623" t="s">
        <v>2601</v>
      </c>
      <c r="G93" s="1619" t="s">
        <v>2058</v>
      </c>
      <c r="H93" s="208" t="s">
        <v>2609</v>
      </c>
      <c r="I93" s="207"/>
      <c r="L93" s="1618" t="s">
        <v>2109</v>
      </c>
      <c r="M93" s="351"/>
      <c r="N93" s="207"/>
      <c r="P93" s="204"/>
      <c r="Q93" s="361"/>
      <c r="R93" s="351"/>
      <c r="S93" s="207"/>
      <c r="U93" s="744" t="s">
        <v>14</v>
      </c>
      <c r="V93" s="745" t="s">
        <v>60</v>
      </c>
      <c r="W93" s="745" t="s">
        <v>27</v>
      </c>
      <c r="X93" s="745" t="s">
        <v>2074</v>
      </c>
      <c r="Y93" s="746" t="s">
        <v>41</v>
      </c>
      <c r="Z93" s="747" t="s">
        <v>85</v>
      </c>
    </row>
    <row r="94" spans="2:26" s="40" customFormat="1" ht="13" hidden="1" outlineLevel="1" x14ac:dyDescent="0.2">
      <c r="B94" s="200" t="s">
        <v>3149</v>
      </c>
      <c r="C94" s="201"/>
      <c r="D94" s="262">
        <f>I94</f>
        <v>0</v>
      </c>
      <c r="E94" s="265">
        <f>D94*12/44</f>
        <v>0</v>
      </c>
      <c r="F94" s="182"/>
      <c r="G94" s="273">
        <f>VLOOKUP($B94,'Emissions factors'!$B$1822:$D$1873,2,FALSE)</f>
        <v>261</v>
      </c>
      <c r="H94" s="439"/>
      <c r="I94" s="211">
        <f>F94*G94*(1+H94)</f>
        <v>0</v>
      </c>
      <c r="L94" s="282">
        <f>VLOOKUP($B94,'Emissions factors'!$B$1822:$D$1873,3,FALSE)</f>
        <v>0</v>
      </c>
      <c r="M94" s="183"/>
      <c r="N94" s="211">
        <f>I94*SQRT(L94^2+M94^2)</f>
        <v>0</v>
      </c>
      <c r="P94" s="184"/>
      <c r="Q94" s="210">
        <f>P94*F94*G94</f>
        <v>0</v>
      </c>
      <c r="R94" s="184"/>
      <c r="S94" s="211">
        <f>R94*F94*G94</f>
        <v>0</v>
      </c>
      <c r="U94" s="717"/>
      <c r="V94" s="718"/>
      <c r="W94" s="718"/>
      <c r="X94" s="718"/>
      <c r="Y94" s="720">
        <f>I94</f>
        <v>0</v>
      </c>
      <c r="Z94" s="748"/>
    </row>
    <row r="95" spans="2:26" s="40" customFormat="1" ht="13" hidden="1" outlineLevel="1" x14ac:dyDescent="0.2">
      <c r="B95" s="200" t="s">
        <v>1660</v>
      </c>
      <c r="C95" s="201"/>
      <c r="D95" s="262">
        <f>I95</f>
        <v>0</v>
      </c>
      <c r="E95" s="265">
        <f>D95*12/44</f>
        <v>0</v>
      </c>
      <c r="F95" s="185"/>
      <c r="G95" s="273">
        <f>VLOOKUP($B95,'Emissions factors'!$B$1822:$D$1873,2,FALSE)</f>
        <v>6900</v>
      </c>
      <c r="H95" s="440"/>
      <c r="I95" s="211">
        <f>F95*G95*(1+H95)</f>
        <v>0</v>
      </c>
      <c r="L95" s="282">
        <f>VLOOKUP($B95,'Emissions factors'!$B$1822:$D$1873,3,FALSE)</f>
        <v>0.5</v>
      </c>
      <c r="M95" s="186"/>
      <c r="N95" s="211">
        <f>I95*SQRT(L95^2+M95^2)</f>
        <v>0</v>
      </c>
      <c r="P95" s="187"/>
      <c r="Q95" s="210">
        <f>P95*F95*G95</f>
        <v>0</v>
      </c>
      <c r="R95" s="187"/>
      <c r="S95" s="211">
        <f>R95*F95*G95</f>
        <v>0</v>
      </c>
      <c r="U95" s="717"/>
      <c r="V95" s="718"/>
      <c r="W95" s="718"/>
      <c r="X95" s="718"/>
      <c r="Y95" s="720">
        <f>I95</f>
        <v>0</v>
      </c>
      <c r="Z95" s="748"/>
    </row>
    <row r="96" spans="2:26" s="40" customFormat="1" ht="13" hidden="1" outlineLevel="1" x14ac:dyDescent="0.2">
      <c r="B96" s="200" t="s">
        <v>1616</v>
      </c>
      <c r="C96" s="201"/>
      <c r="D96" s="262">
        <f>I96</f>
        <v>0</v>
      </c>
      <c r="E96" s="265">
        <f>D96*12/44</f>
        <v>0</v>
      </c>
      <c r="F96" s="185"/>
      <c r="G96" s="273">
        <f>VLOOKUP($B96,'Emissions factors'!$B$1822:$D$1873,2,FALSE)</f>
        <v>1470</v>
      </c>
      <c r="H96" s="440"/>
      <c r="I96" s="211">
        <f>F96*G96*(1+H96)</f>
        <v>0</v>
      </c>
      <c r="L96" s="282">
        <f>VLOOKUP($B96,'Emissions factors'!$B$1822:$D$1873,3,FALSE)</f>
        <v>0.5</v>
      </c>
      <c r="M96" s="186"/>
      <c r="N96" s="211">
        <f>I96*SQRT(L96^2+M96^2)</f>
        <v>0</v>
      </c>
      <c r="P96" s="187"/>
      <c r="Q96" s="210">
        <f>P96*F96*G96</f>
        <v>0</v>
      </c>
      <c r="R96" s="187"/>
      <c r="S96" s="211">
        <f>R96*F96*G96</f>
        <v>0</v>
      </c>
      <c r="U96" s="717"/>
      <c r="V96" s="718"/>
      <c r="W96" s="718"/>
      <c r="X96" s="718"/>
      <c r="Y96" s="720">
        <f>I96</f>
        <v>0</v>
      </c>
      <c r="Z96" s="748"/>
    </row>
    <row r="97" spans="2:26" s="40" customFormat="1" ht="13" hidden="1" outlineLevel="1" x14ac:dyDescent="0.2">
      <c r="B97" s="200" t="s">
        <v>1641</v>
      </c>
      <c r="C97" s="201"/>
      <c r="D97" s="262">
        <f>I97</f>
        <v>0</v>
      </c>
      <c r="E97" s="265">
        <f>D97*12/44</f>
        <v>0</v>
      </c>
      <c r="F97" s="188"/>
      <c r="G97" s="273">
        <f>VLOOKUP($B97,'Emissions factors'!$B$1822:$D$1873,2,FALSE)</f>
        <v>3692.65</v>
      </c>
      <c r="H97" s="441"/>
      <c r="I97" s="211">
        <f>F97*G97*(1+H97)</f>
        <v>0</v>
      </c>
      <c r="J97" s="42"/>
      <c r="K97" s="42"/>
      <c r="L97" s="282">
        <f>VLOOKUP($B97,'Emissions factors'!$B$1822:$D$1873,3,FALSE)</f>
        <v>0.3</v>
      </c>
      <c r="M97" s="189"/>
      <c r="N97" s="211">
        <f>I97*SQRT(L97^2+M97^2)</f>
        <v>0</v>
      </c>
      <c r="P97" s="190"/>
      <c r="Q97" s="210">
        <f>P97*F97*G97</f>
        <v>0</v>
      </c>
      <c r="R97" s="190"/>
      <c r="S97" s="211">
        <f>R97*F97*G97</f>
        <v>0</v>
      </c>
      <c r="U97" s="717"/>
      <c r="V97" s="718"/>
      <c r="W97" s="718"/>
      <c r="X97" s="718"/>
      <c r="Y97" s="720">
        <f>I97</f>
        <v>0</v>
      </c>
      <c r="Z97" s="748"/>
    </row>
    <row r="98" spans="2:26" s="40" customFormat="1" ht="13" hidden="1" outlineLevel="1" x14ac:dyDescent="0.2">
      <c r="B98" s="200"/>
      <c r="C98" s="201"/>
      <c r="D98" s="263"/>
      <c r="E98" s="266"/>
      <c r="F98" s="201"/>
      <c r="G98" s="201"/>
      <c r="H98" s="201"/>
      <c r="I98" s="203"/>
      <c r="L98" s="200"/>
      <c r="M98" s="201"/>
      <c r="N98" s="226"/>
      <c r="P98" s="200"/>
      <c r="Q98" s="361"/>
      <c r="R98" s="201"/>
      <c r="S98" s="211"/>
      <c r="U98" s="717"/>
      <c r="V98" s="718"/>
      <c r="W98" s="718"/>
      <c r="X98" s="718"/>
      <c r="Y98" s="720"/>
      <c r="Z98" s="749"/>
    </row>
    <row r="99" spans="2:26" s="40" customFormat="1" ht="13" hidden="1" outlineLevel="1" x14ac:dyDescent="0.2">
      <c r="B99" s="253" t="s">
        <v>2828</v>
      </c>
      <c r="C99" s="254"/>
      <c r="D99" s="264">
        <f>SUM(D94:D98)</f>
        <v>0</v>
      </c>
      <c r="E99" s="267">
        <f>SUM(E94:E98)</f>
        <v>0</v>
      </c>
      <c r="F99" s="256"/>
      <c r="G99" s="256"/>
      <c r="H99" s="256"/>
      <c r="I99" s="257">
        <f>SUM(I94:I98)</f>
        <v>0</v>
      </c>
      <c r="L99" s="258"/>
      <c r="M99" s="256"/>
      <c r="N99" s="257">
        <f>SQRT(SUMSQ(N94:N98))</f>
        <v>0</v>
      </c>
      <c r="P99" s="258"/>
      <c r="Q99" s="259">
        <f>SUM(Q94:Q98)</f>
        <v>0</v>
      </c>
      <c r="R99" s="256"/>
      <c r="S99" s="257">
        <f>SUM(S94:S98)</f>
        <v>0</v>
      </c>
      <c r="U99" s="724">
        <f t="shared" ref="U99:Z99" si="6">SUM(U94:U98)</f>
        <v>0</v>
      </c>
      <c r="V99" s="725">
        <f t="shared" si="6"/>
        <v>0</v>
      </c>
      <c r="W99" s="725">
        <f t="shared" si="6"/>
        <v>0</v>
      </c>
      <c r="X99" s="725">
        <f t="shared" si="6"/>
        <v>0</v>
      </c>
      <c r="Y99" s="727">
        <f t="shared" si="6"/>
        <v>0</v>
      </c>
      <c r="Z99" s="750">
        <f t="shared" si="6"/>
        <v>0</v>
      </c>
    </row>
    <row r="100" spans="2:26" s="40" customFormat="1" ht="13" hidden="1" outlineLevel="1" x14ac:dyDescent="0.2">
      <c r="U100" s="602"/>
      <c r="V100" s="602"/>
      <c r="W100" s="602"/>
      <c r="X100" s="602"/>
      <c r="Y100" s="602"/>
      <c r="Z100" s="602"/>
    </row>
    <row r="101" spans="2:26" s="40" customFormat="1" ht="13" x14ac:dyDescent="0.2">
      <c r="U101" s="602"/>
      <c r="V101" s="602"/>
      <c r="W101" s="602"/>
      <c r="X101" s="602"/>
      <c r="Y101" s="602"/>
      <c r="Z101" s="602"/>
    </row>
    <row r="102" spans="2:26" s="40" customFormat="1" ht="16" x14ac:dyDescent="0.2">
      <c r="B102" s="1795" t="s">
        <v>2848</v>
      </c>
      <c r="C102" s="1795"/>
      <c r="D102" s="1795"/>
      <c r="E102" s="1795"/>
      <c r="F102" s="1795"/>
      <c r="G102" s="1795"/>
      <c r="H102" s="1795"/>
      <c r="I102" s="1795"/>
      <c r="J102" s="1795"/>
      <c r="K102" s="1795"/>
      <c r="L102" s="1795"/>
      <c r="M102" s="1795"/>
      <c r="N102" s="1795"/>
      <c r="O102" s="1795"/>
      <c r="U102" s="602"/>
      <c r="V102" s="602"/>
      <c r="W102" s="602"/>
      <c r="X102" s="602"/>
      <c r="Y102" s="602"/>
      <c r="Z102" s="602"/>
    </row>
    <row r="103" spans="2:26" s="40" customFormat="1" ht="13" outlineLevel="1" x14ac:dyDescent="0.2">
      <c r="K103" s="319"/>
      <c r="U103" s="602"/>
      <c r="V103" s="602"/>
      <c r="W103" s="602"/>
      <c r="X103" s="602"/>
      <c r="Y103" s="602"/>
      <c r="Z103" s="602"/>
    </row>
    <row r="104" spans="2:26" s="40" customFormat="1" ht="13" outlineLevel="1" x14ac:dyDescent="0.2">
      <c r="B104" s="414" t="s">
        <v>2848</v>
      </c>
      <c r="C104" s="415"/>
      <c r="D104" s="350"/>
      <c r="E104" s="350"/>
      <c r="F104" s="198"/>
      <c r="G104" s="198"/>
      <c r="H104" s="198"/>
      <c r="I104" s="199"/>
      <c r="J104" s="42"/>
      <c r="K104" s="42"/>
      <c r="L104" s="1746" t="s">
        <v>723</v>
      </c>
      <c r="M104" s="1747"/>
      <c r="N104" s="1748"/>
      <c r="O104" s="319"/>
      <c r="P104" s="1746" t="s">
        <v>2066</v>
      </c>
      <c r="Q104" s="1747"/>
      <c r="R104" s="1747"/>
      <c r="S104" s="1748"/>
      <c r="U104" s="1755" t="s">
        <v>2073</v>
      </c>
      <c r="V104" s="1756"/>
      <c r="W104" s="1756"/>
      <c r="X104" s="1756"/>
      <c r="Y104" s="1756"/>
      <c r="Z104" s="1757"/>
    </row>
    <row r="105" spans="2:26" s="40" customFormat="1" ht="13" outlineLevel="1" x14ac:dyDescent="0.2">
      <c r="B105" s="418"/>
      <c r="C105" s="419"/>
      <c r="D105" s="352"/>
      <c r="E105" s="352"/>
      <c r="F105" s="214"/>
      <c r="G105" s="201"/>
      <c r="H105" s="201"/>
      <c r="I105" s="203"/>
      <c r="J105" s="42"/>
      <c r="K105" s="42"/>
      <c r="L105" s="204"/>
      <c r="M105" s="351"/>
      <c r="N105" s="203"/>
      <c r="O105" s="319"/>
      <c r="P105" s="204"/>
      <c r="Q105" s="351"/>
      <c r="R105" s="351"/>
      <c r="S105" s="203"/>
      <c r="U105" s="778"/>
      <c r="V105" s="779"/>
      <c r="W105" s="779"/>
      <c r="X105" s="779"/>
      <c r="Y105" s="741"/>
      <c r="Z105" s="780"/>
    </row>
    <row r="106" spans="2:26" s="40" customFormat="1" ht="13" outlineLevel="1" x14ac:dyDescent="0.2">
      <c r="B106" s="204"/>
      <c r="C106" s="351"/>
      <c r="D106" s="351" t="s">
        <v>56</v>
      </c>
      <c r="E106" s="351" t="s">
        <v>56</v>
      </c>
      <c r="F106" s="1622" t="s">
        <v>11</v>
      </c>
      <c r="G106" s="1619" t="s">
        <v>61</v>
      </c>
      <c r="H106" s="205" t="s">
        <v>2607</v>
      </c>
      <c r="I106" s="207" t="s">
        <v>61</v>
      </c>
      <c r="J106" s="42"/>
      <c r="K106" s="42"/>
      <c r="L106" s="1618" t="s">
        <v>2605</v>
      </c>
      <c r="M106" s="351" t="s">
        <v>2110</v>
      </c>
      <c r="N106" s="207" t="s">
        <v>61</v>
      </c>
      <c r="O106" s="319"/>
      <c r="P106" s="204" t="s">
        <v>2065</v>
      </c>
      <c r="Q106" s="352" t="s">
        <v>61</v>
      </c>
      <c r="R106" s="351" t="s">
        <v>2558</v>
      </c>
      <c r="S106" s="207" t="s">
        <v>61</v>
      </c>
      <c r="U106" s="1739" t="s">
        <v>61</v>
      </c>
      <c r="V106" s="1740"/>
      <c r="W106" s="1740"/>
      <c r="X106" s="1740"/>
      <c r="Y106" s="741" t="s">
        <v>61</v>
      </c>
      <c r="Z106" s="742"/>
    </row>
    <row r="107" spans="2:26" s="40" customFormat="1" ht="13" outlineLevel="1" x14ac:dyDescent="0.2">
      <c r="B107" s="1502" t="s">
        <v>3006</v>
      </c>
      <c r="C107" s="351"/>
      <c r="D107" s="351" t="s">
        <v>61</v>
      </c>
      <c r="E107" s="351" t="s">
        <v>63</v>
      </c>
      <c r="F107" s="1623" t="s">
        <v>2601</v>
      </c>
      <c r="G107" s="1619" t="s">
        <v>2058</v>
      </c>
      <c r="H107" s="208" t="s">
        <v>2609</v>
      </c>
      <c r="I107" s="207"/>
      <c r="J107" s="42"/>
      <c r="K107" s="42"/>
      <c r="L107" s="1618" t="s">
        <v>2109</v>
      </c>
      <c r="M107" s="351"/>
      <c r="N107" s="207"/>
      <c r="O107" s="319"/>
      <c r="P107" s="204"/>
      <c r="Q107" s="361"/>
      <c r="R107" s="351"/>
      <c r="S107" s="207"/>
      <c r="U107" s="744" t="s">
        <v>14</v>
      </c>
      <c r="V107" s="745" t="s">
        <v>60</v>
      </c>
      <c r="W107" s="745" t="s">
        <v>27</v>
      </c>
      <c r="X107" s="745" t="s">
        <v>2074</v>
      </c>
      <c r="Y107" s="746" t="s">
        <v>41</v>
      </c>
      <c r="Z107" s="747" t="s">
        <v>85</v>
      </c>
    </row>
    <row r="108" spans="2:26" s="40" customFormat="1" ht="13" outlineLevel="1" x14ac:dyDescent="0.2">
      <c r="B108" s="200" t="s">
        <v>1681</v>
      </c>
      <c r="C108" s="201"/>
      <c r="D108" s="262">
        <f>I108</f>
        <v>0</v>
      </c>
      <c r="E108" s="265">
        <f>D108*12/44</f>
        <v>0</v>
      </c>
      <c r="F108" s="182"/>
      <c r="G108" s="273">
        <f>VLOOKUP($B108,'Emissions factors'!$B$1914:$I$2125,2,FALSE)</f>
        <v>4503.2999999999993</v>
      </c>
      <c r="H108" s="439"/>
      <c r="I108" s="211">
        <f>F108*G108*(1+H108)</f>
        <v>0</v>
      </c>
      <c r="J108" s="42"/>
      <c r="K108" s="42"/>
      <c r="L108" s="282">
        <f>VLOOKUP($B108,'Emissions factors'!$B$1914:$I$2125,8,FALSE)</f>
        <v>0.5</v>
      </c>
      <c r="M108" s="183"/>
      <c r="N108" s="211">
        <f>I108*SQRT(L108^2+M108^2)</f>
        <v>0</v>
      </c>
      <c r="O108" s="319"/>
      <c r="P108" s="184"/>
      <c r="Q108" s="210">
        <f>P108*I108</f>
        <v>0</v>
      </c>
      <c r="R108" s="184"/>
      <c r="S108" s="211">
        <f>R108*I108</f>
        <v>0</v>
      </c>
      <c r="U108" s="717">
        <f>F108*VLOOKUP($B108,'Emissions factors'!$B$1914:$I$2125,3,FALSE)*(1+H108)</f>
        <v>0</v>
      </c>
      <c r="V108" s="718">
        <f>F108*VLOOKUP($B108,'Emissions factors'!$B$1914:$I$2125,4,FALSE)*(1+H108)</f>
        <v>0</v>
      </c>
      <c r="W108" s="718">
        <f>F108*VLOOKUP($B108,'Emissions factors'!$B$1914:$I$2125,5,FALSE)*(1+H108)</f>
        <v>0</v>
      </c>
      <c r="X108" s="718">
        <f>F108*VLOOKUP($B108,'Emissions factors'!$B$1914:$I$2125,6,FALSE)*(1+H108)</f>
        <v>0</v>
      </c>
      <c r="Y108" s="720">
        <f>I108</f>
        <v>0</v>
      </c>
      <c r="Z108" s="748">
        <f>F108*VLOOKUP($B108,'Emissions factors'!$B$1914:$I$2125,7,FALSE)*(1+H108)</f>
        <v>0</v>
      </c>
    </row>
    <row r="109" spans="2:26" s="40" customFormat="1" ht="13" outlineLevel="1" x14ac:dyDescent="0.2">
      <c r="B109" s="200" t="s">
        <v>1758</v>
      </c>
      <c r="C109" s="201"/>
      <c r="D109" s="262">
        <f>I109</f>
        <v>0</v>
      </c>
      <c r="E109" s="265">
        <f>D109*12/44</f>
        <v>0</v>
      </c>
      <c r="F109" s="185"/>
      <c r="G109" s="273">
        <f>VLOOKUP($B109,'Emissions factors'!$B$1914:$I$2125,2,FALSE)</f>
        <v>19501.584999999999</v>
      </c>
      <c r="H109" s="440"/>
      <c r="I109" s="211">
        <f>F109*G109*(1+H109)</f>
        <v>0</v>
      </c>
      <c r="J109" s="42"/>
      <c r="K109" s="42"/>
      <c r="L109" s="282">
        <f>VLOOKUP($B109,'Emissions factors'!$B$1914:$I$2125,8,FALSE)</f>
        <v>0.5</v>
      </c>
      <c r="M109" s="186"/>
      <c r="N109" s="211">
        <f>I109*SQRT(L109^2+M109^2)</f>
        <v>0</v>
      </c>
      <c r="O109" s="319"/>
      <c r="P109" s="187"/>
      <c r="Q109" s="210">
        <f>P109*I109</f>
        <v>0</v>
      </c>
      <c r="R109" s="187"/>
      <c r="S109" s="211">
        <f>R109*I109</f>
        <v>0</v>
      </c>
      <c r="U109" s="717">
        <f>F109*VLOOKUP($B109,'Emissions factors'!$B$1914:$I$2125,3,FALSE)*(1+H109)</f>
        <v>0</v>
      </c>
      <c r="V109" s="718">
        <f>F109*VLOOKUP($B109,'Emissions factors'!$B$1914:$I$2125,4,FALSE)*(1+H109)</f>
        <v>0</v>
      </c>
      <c r="W109" s="718">
        <f>F109*VLOOKUP($B109,'Emissions factors'!$B$1914:$I$2125,5,FALSE)*(1+H109)</f>
        <v>0</v>
      </c>
      <c r="X109" s="718">
        <f>F109*VLOOKUP($B109,'Emissions factors'!$B$1914:$I$2125,6,FALSE)*(1+H109)</f>
        <v>0</v>
      </c>
      <c r="Y109" s="720">
        <f t="shared" ref="Y109:Y133" si="7">I109</f>
        <v>0</v>
      </c>
      <c r="Z109" s="748">
        <f>F109*VLOOKUP($B109,'Emissions factors'!$B$1914:$I$2125,7,FALSE)*(1+H109)</f>
        <v>0</v>
      </c>
    </row>
    <row r="110" spans="2:26" s="40" customFormat="1" ht="13" outlineLevel="1" x14ac:dyDescent="0.2">
      <c r="B110" s="200" t="s">
        <v>1694</v>
      </c>
      <c r="C110" s="201"/>
      <c r="D110" s="262">
        <f>I110</f>
        <v>0</v>
      </c>
      <c r="E110" s="265">
        <f>D110*12/44</f>
        <v>0</v>
      </c>
      <c r="F110" s="442"/>
      <c r="G110" s="273">
        <f>VLOOKUP($B110,'Emissions factors'!$B$1914:$I$2125,2,FALSE)</f>
        <v>2854.5</v>
      </c>
      <c r="H110" s="440"/>
      <c r="I110" s="211">
        <f>F110*G110*(1+H110)</f>
        <v>0</v>
      </c>
      <c r="J110" s="42"/>
      <c r="K110" s="42"/>
      <c r="L110" s="282">
        <f>VLOOKUP($B110,'Emissions factors'!$B$1914:$I$2125,8,FALSE)</f>
        <v>0.5</v>
      </c>
      <c r="M110" s="186"/>
      <c r="N110" s="211">
        <f t="shared" ref="N110:N130" si="8">I110*SQRT(L110^2+M110^2)</f>
        <v>0</v>
      </c>
      <c r="O110" s="319"/>
      <c r="P110" s="187"/>
      <c r="Q110" s="210">
        <f>P110*I110</f>
        <v>0</v>
      </c>
      <c r="R110" s="187"/>
      <c r="S110" s="211">
        <f>R110*I110</f>
        <v>0</v>
      </c>
      <c r="U110" s="717">
        <f>F110*VLOOKUP($B110,'Emissions factors'!$B$1914:$I$2125,3,FALSE)*(1+H110)</f>
        <v>0</v>
      </c>
      <c r="V110" s="718">
        <f>F110*VLOOKUP($B110,'Emissions factors'!$B$1914:$I$2125,4,FALSE)*(1+H110)</f>
        <v>0</v>
      </c>
      <c r="W110" s="718">
        <f>F110*VLOOKUP($B110,'Emissions factors'!$B$1914:$I$2125,5,FALSE)*(1+H110)</f>
        <v>0</v>
      </c>
      <c r="X110" s="718">
        <f>F110*VLOOKUP($B110,'Emissions factors'!$B$1914:$I$2125,6,FALSE)*(1+H110)</f>
        <v>0</v>
      </c>
      <c r="Y110" s="720">
        <f t="shared" si="7"/>
        <v>0</v>
      </c>
      <c r="Z110" s="748">
        <f>F110*VLOOKUP($B110,'Emissions factors'!$B$1914:$I$2125,7,FALSE)*(1+H110)</f>
        <v>0</v>
      </c>
    </row>
    <row r="111" spans="2:26" s="40" customFormat="1" ht="13" outlineLevel="1" x14ac:dyDescent="0.2">
      <c r="B111" s="200" t="s">
        <v>1740</v>
      </c>
      <c r="C111" s="201"/>
      <c r="D111" s="262">
        <f t="shared" ref="D111:D130" si="9">I111</f>
        <v>0</v>
      </c>
      <c r="E111" s="265">
        <f t="shared" ref="E111:E130" si="10">D111*12/44</f>
        <v>0</v>
      </c>
      <c r="F111" s="442"/>
      <c r="G111" s="273">
        <f>VLOOKUP($B111,'Emissions factors'!$B$1914:$I$2125,2,FALSE)</f>
        <v>3417.5999999999995</v>
      </c>
      <c r="H111" s="440"/>
      <c r="I111" s="211">
        <f t="shared" ref="I111:I130" si="11">F111*G111*(1+H111)</f>
        <v>0</v>
      </c>
      <c r="J111" s="42"/>
      <c r="K111" s="42"/>
      <c r="L111" s="282">
        <f>VLOOKUP($B111,'Emissions factors'!$B$1914:$I$2125,8,FALSE)</f>
        <v>0.5</v>
      </c>
      <c r="M111" s="186"/>
      <c r="N111" s="211">
        <f t="shared" si="8"/>
        <v>0</v>
      </c>
      <c r="O111" s="319"/>
      <c r="P111" s="187"/>
      <c r="Q111" s="210">
        <f t="shared" ref="Q111:Q130" si="12">P111*I111</f>
        <v>0</v>
      </c>
      <c r="R111" s="187"/>
      <c r="S111" s="211">
        <f t="shared" ref="S111:S130" si="13">R111*I111</f>
        <v>0</v>
      </c>
      <c r="U111" s="717">
        <f>F111*VLOOKUP($B111,'Emissions factors'!$B$1914:$I$2125,3,FALSE)*(1+H111)</f>
        <v>0</v>
      </c>
      <c r="V111" s="718">
        <f>F111*VLOOKUP($B111,'Emissions factors'!$B$1914:$I$2125,4,FALSE)*(1+H111)</f>
        <v>0</v>
      </c>
      <c r="W111" s="718">
        <f>F111*VLOOKUP($B111,'Emissions factors'!$B$1914:$I$2125,5,FALSE)*(1+H111)</f>
        <v>0</v>
      </c>
      <c r="X111" s="718">
        <f>F111*VLOOKUP($B111,'Emissions factors'!$B$1914:$I$2125,6,FALSE)*(1+H111)</f>
        <v>0</v>
      </c>
      <c r="Y111" s="720">
        <f t="shared" si="7"/>
        <v>0</v>
      </c>
      <c r="Z111" s="748">
        <f>F111*VLOOKUP($B111,'Emissions factors'!$B$1914:$I$2125,7,FALSE)*(1+H111)</f>
        <v>0</v>
      </c>
    </row>
    <row r="112" spans="2:26" s="40" customFormat="1" ht="13" outlineLevel="1" x14ac:dyDescent="0.2">
      <c r="B112" s="200" t="s">
        <v>1766</v>
      </c>
      <c r="C112" s="201"/>
      <c r="D112" s="262">
        <f t="shared" si="9"/>
        <v>0</v>
      </c>
      <c r="E112" s="265">
        <f t="shared" si="10"/>
        <v>0</v>
      </c>
      <c r="F112" s="443"/>
      <c r="G112" s="273">
        <f>VLOOKUP($B112,'Emissions factors'!$B$1914:$I$2125,2,FALSE)</f>
        <v>1480.9246000000001</v>
      </c>
      <c r="H112" s="441"/>
      <c r="I112" s="211">
        <f t="shared" si="11"/>
        <v>0</v>
      </c>
      <c r="J112" s="42"/>
      <c r="K112" s="42"/>
      <c r="L112" s="282">
        <f>VLOOKUP($B112,'Emissions factors'!$B$1914:$I$2125,8,FALSE)</f>
        <v>0.5</v>
      </c>
      <c r="M112" s="189"/>
      <c r="N112" s="211">
        <f t="shared" si="8"/>
        <v>0</v>
      </c>
      <c r="O112" s="319"/>
      <c r="P112" s="190"/>
      <c r="Q112" s="210">
        <f t="shared" si="12"/>
        <v>0</v>
      </c>
      <c r="R112" s="190"/>
      <c r="S112" s="211">
        <f t="shared" si="13"/>
        <v>0</v>
      </c>
      <c r="U112" s="717">
        <f>F112*VLOOKUP($B112,'Emissions factors'!$B$1914:$I$2125,3,FALSE)*(1+H112)</f>
        <v>0</v>
      </c>
      <c r="V112" s="718">
        <f>F112*VLOOKUP($B112,'Emissions factors'!$B$1914:$I$2125,4,FALSE)*(1+H112)</f>
        <v>0</v>
      </c>
      <c r="W112" s="718">
        <f>F112*VLOOKUP($B112,'Emissions factors'!$B$1914:$I$2125,5,FALSE)*(1+H112)</f>
        <v>0</v>
      </c>
      <c r="X112" s="718">
        <f>F112*VLOOKUP($B112,'Emissions factors'!$B$1914:$I$2125,6,FALSE)*(1+H112)</f>
        <v>0</v>
      </c>
      <c r="Y112" s="720">
        <f t="shared" si="7"/>
        <v>0</v>
      </c>
      <c r="Z112" s="748">
        <f>F112*VLOOKUP($B112,'Emissions factors'!$B$1914:$I$2125,7,FALSE)*(1+H112)</f>
        <v>0</v>
      </c>
    </row>
    <row r="113" spans="2:26" s="40" customFormat="1" ht="13" outlineLevel="1" x14ac:dyDescent="0.2">
      <c r="B113" s="200"/>
      <c r="C113" s="201"/>
      <c r="D113" s="263"/>
      <c r="E113" s="266"/>
      <c r="F113" s="201"/>
      <c r="G113" s="201"/>
      <c r="H113" s="201"/>
      <c r="I113" s="203"/>
      <c r="J113" s="42"/>
      <c r="K113" s="42"/>
      <c r="L113" s="282"/>
      <c r="M113" s="201"/>
      <c r="N113" s="211"/>
      <c r="O113" s="319"/>
      <c r="P113" s="200"/>
      <c r="Q113" s="705"/>
      <c r="R113" s="201"/>
      <c r="S113" s="211"/>
      <c r="U113" s="717"/>
      <c r="V113" s="718"/>
      <c r="W113" s="718"/>
      <c r="X113" s="718"/>
      <c r="Y113" s="720"/>
      <c r="Z113" s="748"/>
    </row>
    <row r="114" spans="2:26" s="40" customFormat="1" ht="13" outlineLevel="1" x14ac:dyDescent="0.2">
      <c r="B114" s="1502" t="s">
        <v>3052</v>
      </c>
      <c r="C114" s="201"/>
      <c r="D114" s="263"/>
      <c r="E114" s="266"/>
      <c r="F114" s="201"/>
      <c r="G114" s="201"/>
      <c r="H114" s="201"/>
      <c r="I114" s="203"/>
      <c r="J114" s="42"/>
      <c r="K114" s="42"/>
      <c r="L114" s="282"/>
      <c r="M114" s="201"/>
      <c r="N114" s="211"/>
      <c r="O114" s="319"/>
      <c r="P114" s="200"/>
      <c r="Q114" s="705"/>
      <c r="R114" s="201"/>
      <c r="S114" s="211"/>
      <c r="U114" s="717"/>
      <c r="V114" s="718"/>
      <c r="W114" s="718"/>
      <c r="X114" s="718"/>
      <c r="Y114" s="720"/>
      <c r="Z114" s="748"/>
    </row>
    <row r="115" spans="2:26" s="40" customFormat="1" ht="13" outlineLevel="1" x14ac:dyDescent="0.2">
      <c r="B115" s="200" t="s">
        <v>1734</v>
      </c>
      <c r="C115" s="201"/>
      <c r="D115" s="262">
        <f t="shared" si="9"/>
        <v>0</v>
      </c>
      <c r="E115" s="265">
        <f t="shared" si="10"/>
        <v>0</v>
      </c>
      <c r="F115" s="182"/>
      <c r="G115" s="273">
        <f>VLOOKUP($B115,'Emissions factors'!$B$1914:$I$2125,2,FALSE)</f>
        <v>4230.2690000000002</v>
      </c>
      <c r="H115" s="439"/>
      <c r="I115" s="211">
        <f t="shared" si="11"/>
        <v>0</v>
      </c>
      <c r="J115" s="42"/>
      <c r="K115" s="42"/>
      <c r="L115" s="282">
        <f>VLOOKUP($B115,'Emissions factors'!$B$1914:$I$2125,8,FALSE)</f>
        <v>0.5</v>
      </c>
      <c r="M115" s="183"/>
      <c r="N115" s="211">
        <f t="shared" si="8"/>
        <v>0</v>
      </c>
      <c r="O115" s="319"/>
      <c r="P115" s="184"/>
      <c r="Q115" s="210">
        <f t="shared" si="12"/>
        <v>0</v>
      </c>
      <c r="R115" s="184"/>
      <c r="S115" s="211">
        <f t="shared" si="13"/>
        <v>0</v>
      </c>
      <c r="U115" s="717">
        <f>F115*VLOOKUP($B115,'Emissions factors'!$B$1914:$I$2125,3,FALSE)*(1+H115)</f>
        <v>0</v>
      </c>
      <c r="V115" s="718">
        <f>F115*VLOOKUP($B115,'Emissions factors'!$B$1914:$I$2125,4,FALSE)*(1+H115)</f>
        <v>0</v>
      </c>
      <c r="W115" s="718">
        <f>F115*VLOOKUP($B115,'Emissions factors'!$B$1914:$I$2125,5,FALSE)*(1+H115)</f>
        <v>0</v>
      </c>
      <c r="X115" s="718">
        <f>F115*VLOOKUP($B115,'Emissions factors'!$B$1914:$I$2125,6,FALSE)*(1+H115)</f>
        <v>0</v>
      </c>
      <c r="Y115" s="720">
        <f t="shared" si="7"/>
        <v>0</v>
      </c>
      <c r="Z115" s="748">
        <f>F115*VLOOKUP($B115,'Emissions factors'!$B$1914:$I$2125,7,FALSE)*(1+H115)</f>
        <v>0</v>
      </c>
    </row>
    <row r="116" spans="2:26" s="40" customFormat="1" ht="13" outlineLevel="1" x14ac:dyDescent="0.2">
      <c r="B116" s="200" t="s">
        <v>1775</v>
      </c>
      <c r="C116" s="201"/>
      <c r="D116" s="262">
        <f t="shared" si="9"/>
        <v>0</v>
      </c>
      <c r="E116" s="265">
        <f t="shared" si="10"/>
        <v>0</v>
      </c>
      <c r="F116" s="185"/>
      <c r="G116" s="273">
        <f>VLOOKUP($B116,'Emissions factors'!$B$1914:$I$2125,2,FALSE)</f>
        <v>2396.0999999999995</v>
      </c>
      <c r="H116" s="440"/>
      <c r="I116" s="211">
        <f t="shared" si="11"/>
        <v>0</v>
      </c>
      <c r="J116" s="42"/>
      <c r="K116" s="42"/>
      <c r="L116" s="282">
        <f>VLOOKUP($B116,'Emissions factors'!$B$1914:$I$2125,8,FALSE)</f>
        <v>0.5</v>
      </c>
      <c r="M116" s="186"/>
      <c r="N116" s="211">
        <f t="shared" si="8"/>
        <v>0</v>
      </c>
      <c r="O116" s="319"/>
      <c r="P116" s="187"/>
      <c r="Q116" s="210">
        <f t="shared" si="12"/>
        <v>0</v>
      </c>
      <c r="R116" s="187"/>
      <c r="S116" s="211">
        <f t="shared" si="13"/>
        <v>0</v>
      </c>
      <c r="U116" s="717">
        <f>F116*VLOOKUP($B116,'Emissions factors'!$B$1914:$I$2125,3,FALSE)*(1+H116)</f>
        <v>0</v>
      </c>
      <c r="V116" s="718">
        <f>F116*VLOOKUP($B116,'Emissions factors'!$B$1914:$I$2125,4,FALSE)*(1+H116)</f>
        <v>0</v>
      </c>
      <c r="W116" s="718">
        <f>F116*VLOOKUP($B116,'Emissions factors'!$B$1914:$I$2125,5,FALSE)*(1+H116)</f>
        <v>0</v>
      </c>
      <c r="X116" s="718">
        <f>F116*VLOOKUP($B116,'Emissions factors'!$B$1914:$I$2125,6,FALSE)*(1+H116)</f>
        <v>0</v>
      </c>
      <c r="Y116" s="720">
        <f t="shared" si="7"/>
        <v>0</v>
      </c>
      <c r="Z116" s="748">
        <f>F116*VLOOKUP($B116,'Emissions factors'!$B$1914:$I$2125,7,FALSE)*(1+H116)</f>
        <v>0</v>
      </c>
    </row>
    <row r="117" spans="2:26" s="40" customFormat="1" ht="13" outlineLevel="1" x14ac:dyDescent="0.2">
      <c r="B117" s="200" t="s">
        <v>1732</v>
      </c>
      <c r="C117" s="201"/>
      <c r="D117" s="262">
        <f t="shared" si="9"/>
        <v>0</v>
      </c>
      <c r="E117" s="265">
        <f t="shared" si="10"/>
        <v>0</v>
      </c>
      <c r="F117" s="442"/>
      <c r="G117" s="273">
        <f>VLOOKUP($B117,'Emissions factors'!$B$1914:$I$2125,2,FALSE)</f>
        <v>9270</v>
      </c>
      <c r="H117" s="440"/>
      <c r="I117" s="211">
        <f t="shared" si="11"/>
        <v>0</v>
      </c>
      <c r="J117" s="42"/>
      <c r="K117" s="42"/>
      <c r="L117" s="282">
        <f>VLOOKUP($B117,'Emissions factors'!$B$1914:$I$2125,8,FALSE)</f>
        <v>0.5</v>
      </c>
      <c r="M117" s="186"/>
      <c r="N117" s="211">
        <f t="shared" si="8"/>
        <v>0</v>
      </c>
      <c r="O117" s="319"/>
      <c r="P117" s="187"/>
      <c r="Q117" s="210">
        <f t="shared" si="12"/>
        <v>0</v>
      </c>
      <c r="R117" s="187"/>
      <c r="S117" s="211">
        <f t="shared" si="13"/>
        <v>0</v>
      </c>
      <c r="U117" s="717">
        <f>F117*VLOOKUP($B117,'Emissions factors'!$B$1914:$I$2125,3,FALSE)*(1+H117)</f>
        <v>0</v>
      </c>
      <c r="V117" s="718">
        <f>F117*VLOOKUP($B117,'Emissions factors'!$B$1914:$I$2125,4,FALSE)*(1+H117)</f>
        <v>0</v>
      </c>
      <c r="W117" s="718">
        <f>F117*VLOOKUP($B117,'Emissions factors'!$B$1914:$I$2125,5,FALSE)*(1+H117)</f>
        <v>0</v>
      </c>
      <c r="X117" s="718">
        <f>F117*VLOOKUP($B117,'Emissions factors'!$B$1914:$I$2125,6,FALSE)*(1+H117)</f>
        <v>0</v>
      </c>
      <c r="Y117" s="720">
        <f t="shared" si="7"/>
        <v>0</v>
      </c>
      <c r="Z117" s="748">
        <f>F117*VLOOKUP($B117,'Emissions factors'!$B$1914:$I$2125,7,FALSE)*(1+H117)</f>
        <v>0</v>
      </c>
    </row>
    <row r="118" spans="2:26" s="40" customFormat="1" ht="13" outlineLevel="1" x14ac:dyDescent="0.2">
      <c r="B118" s="200" t="s">
        <v>1735</v>
      </c>
      <c r="C118" s="201"/>
      <c r="D118" s="262">
        <f t="shared" si="9"/>
        <v>0</v>
      </c>
      <c r="E118" s="265">
        <f t="shared" si="10"/>
        <v>0</v>
      </c>
      <c r="F118" s="442"/>
      <c r="G118" s="273">
        <f>VLOOKUP($B118,'Emissions factors'!$B$1914:$I$2125,2,FALSE)</f>
        <v>1910</v>
      </c>
      <c r="H118" s="440"/>
      <c r="I118" s="211">
        <f t="shared" si="11"/>
        <v>0</v>
      </c>
      <c r="J118" s="42"/>
      <c r="K118" s="42"/>
      <c r="L118" s="282">
        <f>VLOOKUP($B118,'Emissions factors'!$B$1914:$I$2125,8,FALSE)</f>
        <v>0.5</v>
      </c>
      <c r="M118" s="186"/>
      <c r="N118" s="211">
        <f t="shared" si="8"/>
        <v>0</v>
      </c>
      <c r="O118" s="319"/>
      <c r="P118" s="187"/>
      <c r="Q118" s="210">
        <f t="shared" si="12"/>
        <v>0</v>
      </c>
      <c r="R118" s="187"/>
      <c r="S118" s="211">
        <f t="shared" si="13"/>
        <v>0</v>
      </c>
      <c r="U118" s="717">
        <f>F118*VLOOKUP($B118,'Emissions factors'!$B$1914:$I$2125,3,FALSE)*(1+H118)</f>
        <v>0</v>
      </c>
      <c r="V118" s="718">
        <f>F118*VLOOKUP($B118,'Emissions factors'!$B$1914:$I$2125,4,FALSE)*(1+H118)</f>
        <v>0</v>
      </c>
      <c r="W118" s="718">
        <f>F118*VLOOKUP($B118,'Emissions factors'!$B$1914:$I$2125,5,FALSE)*(1+H118)</f>
        <v>0</v>
      </c>
      <c r="X118" s="718">
        <f>F118*VLOOKUP($B118,'Emissions factors'!$B$1914:$I$2125,6,FALSE)*(1+H118)</f>
        <v>0</v>
      </c>
      <c r="Y118" s="720">
        <f t="shared" si="7"/>
        <v>0</v>
      </c>
      <c r="Z118" s="748">
        <f>F118*VLOOKUP($B118,'Emissions factors'!$B$1914:$I$2125,7,FALSE)*(1+H118)</f>
        <v>0</v>
      </c>
    </row>
    <row r="119" spans="2:26" s="40" customFormat="1" ht="13" outlineLevel="1" x14ac:dyDescent="0.2">
      <c r="B119" s="200" t="s">
        <v>1736</v>
      </c>
      <c r="C119" s="201"/>
      <c r="D119" s="262">
        <f t="shared" si="9"/>
        <v>0</v>
      </c>
      <c r="E119" s="265">
        <f t="shared" si="10"/>
        <v>0</v>
      </c>
      <c r="F119" s="443"/>
      <c r="G119" s="273">
        <f>VLOOKUP($B119,'Emissions factors'!$B$1914:$I$2125,2,FALSE)</f>
        <v>3830</v>
      </c>
      <c r="H119" s="441"/>
      <c r="I119" s="211">
        <f t="shared" si="11"/>
        <v>0</v>
      </c>
      <c r="J119" s="42"/>
      <c r="K119" s="42"/>
      <c r="L119" s="282">
        <f>VLOOKUP($B119,'Emissions factors'!$B$1914:$I$2125,8,FALSE)</f>
        <v>0.5</v>
      </c>
      <c r="M119" s="189"/>
      <c r="N119" s="211">
        <f t="shared" si="8"/>
        <v>0</v>
      </c>
      <c r="O119" s="319"/>
      <c r="P119" s="190"/>
      <c r="Q119" s="210">
        <f t="shared" si="12"/>
        <v>0</v>
      </c>
      <c r="R119" s="190"/>
      <c r="S119" s="211">
        <f t="shared" si="13"/>
        <v>0</v>
      </c>
      <c r="U119" s="717">
        <f>F119*VLOOKUP($B119,'Emissions factors'!$B$1914:$I$2125,3,FALSE)*(1+H119)</f>
        <v>0</v>
      </c>
      <c r="V119" s="718">
        <f>F119*VLOOKUP($B119,'Emissions factors'!$B$1914:$I$2125,4,FALSE)*(1+H119)</f>
        <v>0</v>
      </c>
      <c r="W119" s="718">
        <f>F119*VLOOKUP($B119,'Emissions factors'!$B$1914:$I$2125,5,FALSE)*(1+H119)</f>
        <v>0</v>
      </c>
      <c r="X119" s="718">
        <f>F119*VLOOKUP($B119,'Emissions factors'!$B$1914:$I$2125,6,FALSE)*(1+H119)</f>
        <v>0</v>
      </c>
      <c r="Y119" s="720">
        <f t="shared" si="7"/>
        <v>0</v>
      </c>
      <c r="Z119" s="748">
        <f>F119*VLOOKUP($B119,'Emissions factors'!$B$1914:$I$2125,7,FALSE)*(1+H119)</f>
        <v>0</v>
      </c>
    </row>
    <row r="120" spans="2:26" s="40" customFormat="1" ht="13" outlineLevel="1" x14ac:dyDescent="0.2">
      <c r="B120" s="200"/>
      <c r="C120" s="201"/>
      <c r="D120" s="263"/>
      <c r="E120" s="266"/>
      <c r="F120" s="201"/>
      <c r="G120" s="201"/>
      <c r="H120" s="201"/>
      <c r="I120" s="203"/>
      <c r="J120" s="42"/>
      <c r="K120" s="42"/>
      <c r="L120" s="282"/>
      <c r="M120" s="201"/>
      <c r="N120" s="211"/>
      <c r="O120" s="319"/>
      <c r="P120" s="200"/>
      <c r="Q120" s="705"/>
      <c r="R120" s="201"/>
      <c r="S120" s="211"/>
      <c r="U120" s="717"/>
      <c r="V120" s="718"/>
      <c r="W120" s="718"/>
      <c r="X120" s="718"/>
      <c r="Y120" s="720"/>
      <c r="Z120" s="748"/>
    </row>
    <row r="121" spans="2:26" s="40" customFormat="1" ht="13" outlineLevel="1" x14ac:dyDescent="0.2">
      <c r="B121" s="1502" t="s">
        <v>3007</v>
      </c>
      <c r="C121" s="201"/>
      <c r="D121" s="263"/>
      <c r="E121" s="266"/>
      <c r="F121" s="201"/>
      <c r="G121" s="201"/>
      <c r="H121" s="201"/>
      <c r="I121" s="203"/>
      <c r="J121" s="42"/>
      <c r="K121" s="42"/>
      <c r="L121" s="282"/>
      <c r="M121" s="201"/>
      <c r="N121" s="211"/>
      <c r="O121" s="319"/>
      <c r="P121" s="200"/>
      <c r="Q121" s="705"/>
      <c r="R121" s="201"/>
      <c r="S121" s="211"/>
      <c r="U121" s="717"/>
      <c r="V121" s="718"/>
      <c r="W121" s="718"/>
      <c r="X121" s="718"/>
      <c r="Y121" s="720"/>
      <c r="Z121" s="748"/>
    </row>
    <row r="122" spans="2:26" s="40" customFormat="1" ht="13" outlineLevel="1" x14ac:dyDescent="0.2">
      <c r="B122" s="200" t="s">
        <v>1744</v>
      </c>
      <c r="C122" s="201"/>
      <c r="D122" s="262">
        <f t="shared" si="9"/>
        <v>0</v>
      </c>
      <c r="E122" s="265">
        <f t="shared" si="10"/>
        <v>0</v>
      </c>
      <c r="F122" s="182"/>
      <c r="G122" s="273">
        <f>VLOOKUP($B122,'Emissions factors'!$B$1914:$I$2125,2,FALSE)</f>
        <v>60.424999999999997</v>
      </c>
      <c r="H122" s="439"/>
      <c r="I122" s="211">
        <f t="shared" si="11"/>
        <v>0</v>
      </c>
      <c r="J122" s="42"/>
      <c r="K122" s="42"/>
      <c r="L122" s="282">
        <f>VLOOKUP($B122,'Emissions factors'!$B$1914:$I$2125,8,FALSE)</f>
        <v>0.5</v>
      </c>
      <c r="M122" s="183"/>
      <c r="N122" s="211">
        <f t="shared" si="8"/>
        <v>0</v>
      </c>
      <c r="O122" s="319"/>
      <c r="P122" s="184"/>
      <c r="Q122" s="210">
        <f t="shared" si="12"/>
        <v>0</v>
      </c>
      <c r="R122" s="184"/>
      <c r="S122" s="211">
        <f t="shared" si="13"/>
        <v>0</v>
      </c>
      <c r="U122" s="717">
        <f>F122*VLOOKUP($B122,'Emissions factors'!$B$1914:$I$2125,3,FALSE)*(1+H122)</f>
        <v>0</v>
      </c>
      <c r="V122" s="718">
        <f>F122*VLOOKUP($B122,'Emissions factors'!$B$1914:$I$2125,4,FALSE)*(1+H122)</f>
        <v>0</v>
      </c>
      <c r="W122" s="718">
        <f>F122*VLOOKUP($B122,'Emissions factors'!$B$1914:$I$2125,5,FALSE)*(1+H122)</f>
        <v>0</v>
      </c>
      <c r="X122" s="718">
        <f>F122*VLOOKUP($B122,'Emissions factors'!$B$1914:$I$2125,6,FALSE)*(1+H122)</f>
        <v>0</v>
      </c>
      <c r="Y122" s="720">
        <f t="shared" si="7"/>
        <v>0</v>
      </c>
      <c r="Z122" s="748">
        <f>F122*VLOOKUP($B122,'Emissions factors'!$B$1914:$I$2125,7,FALSE)*(1+H122)</f>
        <v>0</v>
      </c>
    </row>
    <row r="123" spans="2:26" s="40" customFormat="1" ht="13" outlineLevel="1" x14ac:dyDescent="0.2">
      <c r="B123" s="200" t="s">
        <v>1797</v>
      </c>
      <c r="C123" s="201"/>
      <c r="D123" s="262">
        <f t="shared" si="9"/>
        <v>0</v>
      </c>
      <c r="E123" s="265">
        <f t="shared" si="10"/>
        <v>0</v>
      </c>
      <c r="F123" s="185"/>
      <c r="G123" s="273">
        <f>VLOOKUP($B123,'Emissions factors'!$B$1914:$I$2125,2,FALSE)</f>
        <v>109.52000000000001</v>
      </c>
      <c r="H123" s="440"/>
      <c r="I123" s="211">
        <f t="shared" si="11"/>
        <v>0</v>
      </c>
      <c r="J123" s="42"/>
      <c r="K123" s="42"/>
      <c r="L123" s="282">
        <f>VLOOKUP($B123,'Emissions factors'!$B$1914:$I$2125,8,FALSE)</f>
        <v>0.5</v>
      </c>
      <c r="M123" s="186"/>
      <c r="N123" s="211">
        <f t="shared" si="8"/>
        <v>0</v>
      </c>
      <c r="O123" s="319"/>
      <c r="P123" s="187"/>
      <c r="Q123" s="210">
        <f t="shared" si="12"/>
        <v>0</v>
      </c>
      <c r="R123" s="187"/>
      <c r="S123" s="211">
        <f t="shared" si="13"/>
        <v>0</v>
      </c>
      <c r="U123" s="717">
        <f>F123*VLOOKUP($B123,'Emissions factors'!$B$1914:$I$2125,3,FALSE)*(1+H123)</f>
        <v>0</v>
      </c>
      <c r="V123" s="718">
        <f>F123*VLOOKUP($B123,'Emissions factors'!$B$1914:$I$2125,4,FALSE)*(1+H123)</f>
        <v>0</v>
      </c>
      <c r="W123" s="718">
        <f>F123*VLOOKUP($B123,'Emissions factors'!$B$1914:$I$2125,5,FALSE)*(1+H123)</f>
        <v>0</v>
      </c>
      <c r="X123" s="718">
        <f>F123*VLOOKUP($B123,'Emissions factors'!$B$1914:$I$2125,6,FALSE)*(1+H123)</f>
        <v>0</v>
      </c>
      <c r="Y123" s="720">
        <f t="shared" si="7"/>
        <v>0</v>
      </c>
      <c r="Z123" s="748">
        <f>F123*VLOOKUP($B123,'Emissions factors'!$B$1914:$I$2125,7,FALSE)*(1+H123)</f>
        <v>0</v>
      </c>
    </row>
    <row r="124" spans="2:26" s="40" customFormat="1" ht="13" outlineLevel="1" x14ac:dyDescent="0.2">
      <c r="B124" s="200" t="s">
        <v>1751</v>
      </c>
      <c r="C124" s="201"/>
      <c r="D124" s="262">
        <f t="shared" si="9"/>
        <v>0</v>
      </c>
      <c r="E124" s="265">
        <f t="shared" si="10"/>
        <v>0</v>
      </c>
      <c r="F124" s="442"/>
      <c r="G124" s="273">
        <f>VLOOKUP($B124,'Emissions factors'!$B$1914:$I$2125,2,FALSE)</f>
        <v>79.524000000000001</v>
      </c>
      <c r="H124" s="440"/>
      <c r="I124" s="211">
        <f t="shared" si="11"/>
        <v>0</v>
      </c>
      <c r="J124" s="42"/>
      <c r="K124" s="42"/>
      <c r="L124" s="282">
        <f>VLOOKUP($B124,'Emissions factors'!$B$1914:$I$2125,8,FALSE)</f>
        <v>0.5</v>
      </c>
      <c r="M124" s="186"/>
      <c r="N124" s="211">
        <f t="shared" si="8"/>
        <v>0</v>
      </c>
      <c r="O124" s="319"/>
      <c r="P124" s="187"/>
      <c r="Q124" s="210">
        <f t="shared" si="12"/>
        <v>0</v>
      </c>
      <c r="R124" s="187"/>
      <c r="S124" s="211">
        <f t="shared" si="13"/>
        <v>0</v>
      </c>
      <c r="U124" s="717">
        <f>F124*VLOOKUP($B124,'Emissions factors'!$B$1914:$I$2125,3,FALSE)*(1+H124)</f>
        <v>0</v>
      </c>
      <c r="V124" s="718">
        <f>F124*VLOOKUP($B124,'Emissions factors'!$B$1914:$I$2125,4,FALSE)*(1+H124)</f>
        <v>0</v>
      </c>
      <c r="W124" s="718">
        <f>F124*VLOOKUP($B124,'Emissions factors'!$B$1914:$I$2125,5,FALSE)*(1+H124)</f>
        <v>0</v>
      </c>
      <c r="X124" s="718">
        <f>F124*VLOOKUP($B124,'Emissions factors'!$B$1914:$I$2125,6,FALSE)*(1+H124)</f>
        <v>0</v>
      </c>
      <c r="Y124" s="720">
        <f t="shared" si="7"/>
        <v>0</v>
      </c>
      <c r="Z124" s="748">
        <f>F124*VLOOKUP($B124,'Emissions factors'!$B$1914:$I$2125,7,FALSE)*(1+H124)</f>
        <v>0</v>
      </c>
    </row>
    <row r="125" spans="2:26" s="40" customFormat="1" ht="13" outlineLevel="1" x14ac:dyDescent="0.2">
      <c r="B125" s="200" t="s">
        <v>1776</v>
      </c>
      <c r="C125" s="201"/>
      <c r="D125" s="262">
        <f t="shared" si="9"/>
        <v>0</v>
      </c>
      <c r="E125" s="265">
        <f t="shared" si="10"/>
        <v>0</v>
      </c>
      <c r="F125" s="442"/>
      <c r="G125" s="273">
        <f>VLOOKUP($B125,'Emissions factors'!$B$1914:$I$2125,2,FALSE)</f>
        <v>91.2</v>
      </c>
      <c r="H125" s="440"/>
      <c r="I125" s="211">
        <f t="shared" si="11"/>
        <v>0</v>
      </c>
      <c r="J125" s="42"/>
      <c r="K125" s="42"/>
      <c r="L125" s="282">
        <f>VLOOKUP($B125,'Emissions factors'!$B$1914:$I$2125,8,FALSE)</f>
        <v>0.5</v>
      </c>
      <c r="M125" s="186"/>
      <c r="N125" s="211">
        <f t="shared" si="8"/>
        <v>0</v>
      </c>
      <c r="O125" s="319"/>
      <c r="P125" s="187"/>
      <c r="Q125" s="210">
        <f t="shared" si="12"/>
        <v>0</v>
      </c>
      <c r="R125" s="187"/>
      <c r="S125" s="211">
        <f t="shared" si="13"/>
        <v>0</v>
      </c>
      <c r="U125" s="717">
        <f>F125*VLOOKUP($B125,'Emissions factors'!$B$1914:$I$2125,3,FALSE)*(1+H125)</f>
        <v>0</v>
      </c>
      <c r="V125" s="718">
        <f>F125*VLOOKUP($B125,'Emissions factors'!$B$1914:$I$2125,4,FALSE)*(1+H125)</f>
        <v>0</v>
      </c>
      <c r="W125" s="718">
        <f>F125*VLOOKUP($B125,'Emissions factors'!$B$1914:$I$2125,5,FALSE)*(1+H125)</f>
        <v>0</v>
      </c>
      <c r="X125" s="718">
        <f>F125*VLOOKUP($B125,'Emissions factors'!$B$1914:$I$2125,6,FALSE)*(1+H125)</f>
        <v>0</v>
      </c>
      <c r="Y125" s="720">
        <f t="shared" si="7"/>
        <v>0</v>
      </c>
      <c r="Z125" s="748">
        <f>F125*VLOOKUP($B125,'Emissions factors'!$B$1914:$I$2125,7,FALSE)*(1+H125)</f>
        <v>0</v>
      </c>
    </row>
    <row r="126" spans="2:26" s="40" customFormat="1" ht="13" outlineLevel="1" x14ac:dyDescent="0.2">
      <c r="B126" s="200" t="s">
        <v>1746</v>
      </c>
      <c r="C126" s="201"/>
      <c r="D126" s="262">
        <f t="shared" si="9"/>
        <v>0</v>
      </c>
      <c r="E126" s="265">
        <f t="shared" si="10"/>
        <v>0</v>
      </c>
      <c r="F126" s="443"/>
      <c r="G126" s="273">
        <f>VLOOKUP($B126,'Emissions factors'!$B$1914:$I$2125,2,FALSE)</f>
        <v>66.900000000000006</v>
      </c>
      <c r="H126" s="441"/>
      <c r="I126" s="211">
        <f t="shared" si="11"/>
        <v>0</v>
      </c>
      <c r="J126" s="42"/>
      <c r="K126" s="42"/>
      <c r="L126" s="282">
        <f>VLOOKUP($B126,'Emissions factors'!$B$1914:$I$2125,8,FALSE)</f>
        <v>0.5</v>
      </c>
      <c r="M126" s="189"/>
      <c r="N126" s="211">
        <f t="shared" si="8"/>
        <v>0</v>
      </c>
      <c r="O126" s="319"/>
      <c r="P126" s="190"/>
      <c r="Q126" s="210">
        <f t="shared" si="12"/>
        <v>0</v>
      </c>
      <c r="R126" s="190"/>
      <c r="S126" s="211">
        <f t="shared" si="13"/>
        <v>0</v>
      </c>
      <c r="U126" s="717">
        <f>F126*VLOOKUP($B126,'Emissions factors'!$B$1914:$I$2125,3,FALSE)*(1+H126)</f>
        <v>0</v>
      </c>
      <c r="V126" s="718">
        <f>F126*VLOOKUP($B126,'Emissions factors'!$B$1914:$I$2125,4,FALSE)*(1+H126)</f>
        <v>0</v>
      </c>
      <c r="W126" s="718">
        <f>F126*VLOOKUP($B126,'Emissions factors'!$B$1914:$I$2125,5,FALSE)*(1+H126)</f>
        <v>0</v>
      </c>
      <c r="X126" s="718">
        <f>F126*VLOOKUP($B126,'Emissions factors'!$B$1914:$I$2125,6,FALSE)*(1+H126)</f>
        <v>0</v>
      </c>
      <c r="Y126" s="720">
        <f t="shared" si="7"/>
        <v>0</v>
      </c>
      <c r="Z126" s="748">
        <f>F126*VLOOKUP($B126,'Emissions factors'!$B$1914:$I$2125,7,FALSE)*(1+H126)</f>
        <v>0</v>
      </c>
    </row>
    <row r="127" spans="2:26" s="40" customFormat="1" ht="13" outlineLevel="1" x14ac:dyDescent="0.2">
      <c r="B127" s="200"/>
      <c r="C127" s="201"/>
      <c r="D127" s="263"/>
      <c r="E127" s="266"/>
      <c r="F127" s="201"/>
      <c r="G127" s="201"/>
      <c r="H127" s="201"/>
      <c r="I127" s="203"/>
      <c r="J127" s="42"/>
      <c r="K127" s="42"/>
      <c r="L127" s="282"/>
      <c r="M127" s="201"/>
      <c r="N127" s="211"/>
      <c r="O127" s="319"/>
      <c r="P127" s="200"/>
      <c r="Q127" s="705"/>
      <c r="R127" s="201"/>
      <c r="S127" s="211"/>
      <c r="U127" s="717"/>
      <c r="V127" s="718"/>
      <c r="W127" s="718"/>
      <c r="X127" s="718"/>
      <c r="Y127" s="720"/>
      <c r="Z127" s="748"/>
    </row>
    <row r="128" spans="2:26" s="40" customFormat="1" ht="13" outlineLevel="1" x14ac:dyDescent="0.2">
      <c r="B128" s="1502" t="s">
        <v>3008</v>
      </c>
      <c r="C128" s="201"/>
      <c r="D128" s="263"/>
      <c r="E128" s="266"/>
      <c r="F128" s="201"/>
      <c r="G128" s="201"/>
      <c r="H128" s="201"/>
      <c r="I128" s="203"/>
      <c r="J128" s="42"/>
      <c r="K128" s="42"/>
      <c r="L128" s="282"/>
      <c r="M128" s="201"/>
      <c r="N128" s="211"/>
      <c r="O128" s="319"/>
      <c r="P128" s="200"/>
      <c r="Q128" s="705"/>
      <c r="R128" s="201"/>
      <c r="S128" s="211"/>
      <c r="U128" s="717"/>
      <c r="V128" s="718"/>
      <c r="W128" s="718"/>
      <c r="X128" s="718"/>
      <c r="Y128" s="720"/>
      <c r="Z128" s="748"/>
    </row>
    <row r="129" spans="2:26" s="40" customFormat="1" ht="13" outlineLevel="1" x14ac:dyDescent="0.2">
      <c r="B129" s="200" t="s">
        <v>3314</v>
      </c>
      <c r="C129" s="201"/>
      <c r="D129" s="262">
        <f t="shared" si="9"/>
        <v>0</v>
      </c>
      <c r="E129" s="265">
        <f t="shared" si="10"/>
        <v>0</v>
      </c>
      <c r="F129" s="182"/>
      <c r="G129" s="273">
        <f>VLOOKUP($B129,'Emissions factors'!$B$1914:$I$2125,2,FALSE)</f>
        <v>2700</v>
      </c>
      <c r="H129" s="439"/>
      <c r="I129" s="211">
        <f t="shared" si="11"/>
        <v>0</v>
      </c>
      <c r="J129" s="42"/>
      <c r="K129" s="42"/>
      <c r="L129" s="282">
        <f>VLOOKUP($B129,'Emissions factors'!$B$1914:$I$2125,8,FALSE)</f>
        <v>0</v>
      </c>
      <c r="M129" s="183"/>
      <c r="N129" s="211">
        <f t="shared" si="8"/>
        <v>0</v>
      </c>
      <c r="O129" s="319"/>
      <c r="P129" s="184"/>
      <c r="Q129" s="210">
        <f t="shared" si="12"/>
        <v>0</v>
      </c>
      <c r="R129" s="184"/>
      <c r="S129" s="211">
        <f t="shared" si="13"/>
        <v>0</v>
      </c>
      <c r="U129" s="717">
        <f>F129*VLOOKUP($B129,'Emissions factors'!$B$1914:$I$2125,3,FALSE)*(1+H129)</f>
        <v>0</v>
      </c>
      <c r="V129" s="718">
        <f>F129*VLOOKUP($B129,'Emissions factors'!$B$1914:$I$2125,4,FALSE)*(1+H129)</f>
        <v>0</v>
      </c>
      <c r="W129" s="718">
        <f>F129*VLOOKUP($B129,'Emissions factors'!$B$1914:$I$2125,5,FALSE)*(1+H129)</f>
        <v>0</v>
      </c>
      <c r="X129" s="718">
        <f>F129*VLOOKUP($B129,'Emissions factors'!$B$1914:$I$2125,6,FALSE)*(1+H129)</f>
        <v>0</v>
      </c>
      <c r="Y129" s="720">
        <f t="shared" si="7"/>
        <v>0</v>
      </c>
      <c r="Z129" s="748">
        <f>F129*VLOOKUP($B129,'Emissions factors'!$B$1914:$I$2125,7,FALSE)*(1+H129)</f>
        <v>0</v>
      </c>
    </row>
    <row r="130" spans="2:26" s="40" customFormat="1" ht="13" outlineLevel="1" x14ac:dyDescent="0.2">
      <c r="B130" s="200" t="s">
        <v>3326</v>
      </c>
      <c r="C130" s="201"/>
      <c r="D130" s="262">
        <f t="shared" si="9"/>
        <v>0</v>
      </c>
      <c r="E130" s="265">
        <f t="shared" si="10"/>
        <v>0</v>
      </c>
      <c r="F130" s="442"/>
      <c r="G130" s="273">
        <f>VLOOKUP($B130,'Emissions factors'!$B$1914:$I$2125,2,FALSE)</f>
        <v>2190</v>
      </c>
      <c r="H130" s="440"/>
      <c r="I130" s="211">
        <f t="shared" si="11"/>
        <v>0</v>
      </c>
      <c r="J130" s="42"/>
      <c r="K130" s="42"/>
      <c r="L130" s="282">
        <f>VLOOKUP($B130,'Emissions factors'!$B$1914:$I$2125,8,FALSE)</f>
        <v>0</v>
      </c>
      <c r="M130" s="186"/>
      <c r="N130" s="211">
        <f t="shared" si="8"/>
        <v>0</v>
      </c>
      <c r="O130" s="319"/>
      <c r="P130" s="187"/>
      <c r="Q130" s="210">
        <f t="shared" si="12"/>
        <v>0</v>
      </c>
      <c r="R130" s="187"/>
      <c r="S130" s="211">
        <f t="shared" si="13"/>
        <v>0</v>
      </c>
      <c r="U130" s="717">
        <f>F130*VLOOKUP($B130,'Emissions factors'!$B$1914:$I$2125,3,FALSE)*(1+H130)</f>
        <v>0</v>
      </c>
      <c r="V130" s="718">
        <f>F130*VLOOKUP($B130,'Emissions factors'!$B$1914:$I$2125,4,FALSE)*(1+H130)</f>
        <v>0</v>
      </c>
      <c r="W130" s="718">
        <f>F130*VLOOKUP($B130,'Emissions factors'!$B$1914:$I$2125,5,FALSE)*(1+H130)</f>
        <v>0</v>
      </c>
      <c r="X130" s="718">
        <f>F130*VLOOKUP($B130,'Emissions factors'!$B$1914:$I$2125,6,FALSE)*(1+H130)</f>
        <v>0</v>
      </c>
      <c r="Y130" s="720">
        <f t="shared" si="7"/>
        <v>0</v>
      </c>
      <c r="Z130" s="748">
        <f>F130*VLOOKUP($B130,'Emissions factors'!$B$1914:$I$2125,7,FALSE)*(1+H130)</f>
        <v>0</v>
      </c>
    </row>
    <row r="131" spans="2:26" s="40" customFormat="1" ht="13" outlineLevel="1" x14ac:dyDescent="0.2">
      <c r="B131" s="200" t="s">
        <v>3316</v>
      </c>
      <c r="C131" s="201"/>
      <c r="D131" s="262">
        <f>I131</f>
        <v>0</v>
      </c>
      <c r="E131" s="265">
        <f>D131*12/44</f>
        <v>0</v>
      </c>
      <c r="F131" s="442"/>
      <c r="G131" s="273">
        <f>VLOOKUP($B131,'Emissions factors'!$B$1914:$I$2125,2,FALSE)</f>
        <v>1600</v>
      </c>
      <c r="H131" s="440"/>
      <c r="I131" s="211">
        <f>F131*G131*(1+H131)</f>
        <v>0</v>
      </c>
      <c r="J131" s="42"/>
      <c r="K131" s="42"/>
      <c r="L131" s="282">
        <f>VLOOKUP($B131,'Emissions factors'!$B$1914:$I$2125,8,FALSE)</f>
        <v>0</v>
      </c>
      <c r="M131" s="186"/>
      <c r="N131" s="211">
        <f>I131*SQRT(L131^2+M131^2)</f>
        <v>0</v>
      </c>
      <c r="O131" s="319"/>
      <c r="P131" s="187"/>
      <c r="Q131" s="210">
        <f>P131*I131</f>
        <v>0</v>
      </c>
      <c r="R131" s="187"/>
      <c r="S131" s="211">
        <f>R131*I131</f>
        <v>0</v>
      </c>
      <c r="U131" s="717">
        <f>F131*VLOOKUP($B131,'Emissions factors'!$B$1914:$I$2125,3,FALSE)*(1+H131)</f>
        <v>0</v>
      </c>
      <c r="V131" s="718">
        <f>F131*VLOOKUP($B131,'Emissions factors'!$B$1914:$I$2125,4,FALSE)*(1+H131)</f>
        <v>0</v>
      </c>
      <c r="W131" s="718">
        <f>F131*VLOOKUP($B131,'Emissions factors'!$B$1914:$I$2125,5,FALSE)*(1+H131)</f>
        <v>0</v>
      </c>
      <c r="X131" s="718">
        <f>F131*VLOOKUP($B131,'Emissions factors'!$B$1914:$I$2125,6,FALSE)*(1+H131)</f>
        <v>0</v>
      </c>
      <c r="Y131" s="720">
        <f t="shared" si="7"/>
        <v>0</v>
      </c>
      <c r="Z131" s="748">
        <f>F131*VLOOKUP($B131,'Emissions factors'!$B$1914:$I$2125,7,FALSE)*(1+H131)</f>
        <v>0</v>
      </c>
    </row>
    <row r="132" spans="2:26" s="40" customFormat="1" ht="13" outlineLevel="1" x14ac:dyDescent="0.2">
      <c r="B132" s="200" t="s">
        <v>3323</v>
      </c>
      <c r="C132" s="201"/>
      <c r="D132" s="262">
        <f>I132</f>
        <v>0</v>
      </c>
      <c r="E132" s="265">
        <f>D132*12/44</f>
        <v>0</v>
      </c>
      <c r="F132" s="442"/>
      <c r="G132" s="273">
        <f>VLOOKUP($B132,'Emissions factors'!$B$1914:$I$2125,2,FALSE)</f>
        <v>1</v>
      </c>
      <c r="H132" s="440"/>
      <c r="I132" s="211">
        <f>F132*G132*(1+H132)</f>
        <v>0</v>
      </c>
      <c r="J132" s="42"/>
      <c r="K132" s="42"/>
      <c r="L132" s="282">
        <f>VLOOKUP($B132,'Emissions factors'!$B$1914:$I$2125,8,FALSE)</f>
        <v>0</v>
      </c>
      <c r="M132" s="186"/>
      <c r="N132" s="211">
        <f>I132*SQRT(L132^2+M132^2)</f>
        <v>0</v>
      </c>
      <c r="O132" s="319"/>
      <c r="P132" s="187"/>
      <c r="Q132" s="210">
        <f>P132*I132</f>
        <v>0</v>
      </c>
      <c r="R132" s="187"/>
      <c r="S132" s="211">
        <f>R132*I132</f>
        <v>0</v>
      </c>
      <c r="U132" s="717">
        <f>F132*VLOOKUP($B132,'Emissions factors'!$B$1914:$I$2125,3,FALSE)*(1+H132)</f>
        <v>0</v>
      </c>
      <c r="V132" s="718">
        <f>F132*VLOOKUP($B132,'Emissions factors'!$B$1914:$I$2125,4,FALSE)*(1+H132)</f>
        <v>0</v>
      </c>
      <c r="W132" s="718">
        <f>F132*VLOOKUP($B132,'Emissions factors'!$B$1914:$I$2125,5,FALSE)*(1+H132)</f>
        <v>0</v>
      </c>
      <c r="X132" s="718">
        <f>F132*VLOOKUP($B132,'Emissions factors'!$B$1914:$I$2125,6,FALSE)*(1+H132)</f>
        <v>0</v>
      </c>
      <c r="Y132" s="720">
        <f t="shared" si="7"/>
        <v>0</v>
      </c>
      <c r="Z132" s="748">
        <f>F132*VLOOKUP($B132,'Emissions factors'!$B$1914:$I$2125,7,FALSE)*(1+H132)</f>
        <v>0</v>
      </c>
    </row>
    <row r="133" spans="2:26" s="40" customFormat="1" ht="13" outlineLevel="1" x14ac:dyDescent="0.2">
      <c r="B133" s="200" t="s">
        <v>1848</v>
      </c>
      <c r="C133" s="201"/>
      <c r="D133" s="262">
        <f>I133</f>
        <v>0</v>
      </c>
      <c r="E133" s="265">
        <f>D133*12/44</f>
        <v>0</v>
      </c>
      <c r="F133" s="443"/>
      <c r="G133" s="273">
        <f>VLOOKUP($B133,'Emissions factors'!$B$1914:$I$2125,2,FALSE)</f>
        <v>2930</v>
      </c>
      <c r="H133" s="441"/>
      <c r="I133" s="211">
        <f>F133*G133*(1+H133)</f>
        <v>0</v>
      </c>
      <c r="J133" s="42"/>
      <c r="K133" s="42"/>
      <c r="L133" s="282">
        <f>VLOOKUP($B133,'Emissions factors'!$B$1914:$I$2125,8,FALSE)</f>
        <v>0.5</v>
      </c>
      <c r="M133" s="189"/>
      <c r="N133" s="211">
        <f>I133*SQRT(L133^2+M133^2)</f>
        <v>0</v>
      </c>
      <c r="O133" s="319"/>
      <c r="P133" s="190"/>
      <c r="Q133" s="210">
        <f>P133*I133</f>
        <v>0</v>
      </c>
      <c r="R133" s="190"/>
      <c r="S133" s="211">
        <f>R133*I133</f>
        <v>0</v>
      </c>
      <c r="U133" s="717">
        <f>F133*VLOOKUP($B133,'Emissions factors'!$B$1914:$I$2125,3,FALSE)*(1+H133)</f>
        <v>0</v>
      </c>
      <c r="V133" s="718">
        <f>F133*VLOOKUP($B133,'Emissions factors'!$B$1914:$I$2125,4,FALSE)*(1+H133)</f>
        <v>0</v>
      </c>
      <c r="W133" s="718">
        <f>F133*VLOOKUP($B133,'Emissions factors'!$B$1914:$I$2125,5,FALSE)*(1+H133)</f>
        <v>0</v>
      </c>
      <c r="X133" s="718">
        <f>F133*VLOOKUP($B133,'Emissions factors'!$B$1914:$I$2125,6,FALSE)*(1+H133)</f>
        <v>0</v>
      </c>
      <c r="Y133" s="720">
        <f t="shared" si="7"/>
        <v>0</v>
      </c>
      <c r="Z133" s="748">
        <f>F133*VLOOKUP($B133,'Emissions factors'!$B$1914:$I$2125,7,FALSE)*(1+H133)</f>
        <v>0</v>
      </c>
    </row>
    <row r="134" spans="2:26" s="40" customFormat="1" ht="13" outlineLevel="1" x14ac:dyDescent="0.2">
      <c r="B134" s="200"/>
      <c r="C134" s="201"/>
      <c r="D134" s="263"/>
      <c r="E134" s="266"/>
      <c r="F134" s="201"/>
      <c r="G134" s="201"/>
      <c r="H134" s="201"/>
      <c r="I134" s="203"/>
      <c r="J134" s="42"/>
      <c r="K134" s="42"/>
      <c r="L134" s="220"/>
      <c r="M134" s="201"/>
      <c r="N134" s="211"/>
      <c r="O134" s="319"/>
      <c r="P134" s="200"/>
      <c r="Q134" s="361"/>
      <c r="R134" s="201"/>
      <c r="S134" s="211"/>
      <c r="U134" s="717"/>
      <c r="V134" s="718"/>
      <c r="W134" s="718"/>
      <c r="X134" s="718"/>
      <c r="Y134" s="720"/>
      <c r="Z134" s="749"/>
    </row>
    <row r="135" spans="2:26" s="40" customFormat="1" ht="13" outlineLevel="1" x14ac:dyDescent="0.2">
      <c r="B135" s="253" t="s">
        <v>2828</v>
      </c>
      <c r="C135" s="254"/>
      <c r="D135" s="264">
        <f>SUM(D108:D134)</f>
        <v>0</v>
      </c>
      <c r="E135" s="267">
        <f>SUM(E108:E134)</f>
        <v>0</v>
      </c>
      <c r="F135" s="256"/>
      <c r="G135" s="256"/>
      <c r="H135" s="256"/>
      <c r="I135" s="257">
        <f>SUM(I108:I134)</f>
        <v>0</v>
      </c>
      <c r="J135" s="42"/>
      <c r="K135" s="42"/>
      <c r="L135" s="258"/>
      <c r="M135" s="256"/>
      <c r="N135" s="257">
        <f>SQRT(SUMSQ(N108:N134))</f>
        <v>0</v>
      </c>
      <c r="O135" s="319"/>
      <c r="P135" s="258"/>
      <c r="Q135" s="259">
        <f>SUM(Q108:Q134)</f>
        <v>0</v>
      </c>
      <c r="R135" s="256"/>
      <c r="S135" s="257">
        <f>SUM(S108:S134)</f>
        <v>0</v>
      </c>
      <c r="U135" s="724">
        <f t="shared" ref="U135:Z135" si="14">SUM(U108:U134)</f>
        <v>0</v>
      </c>
      <c r="V135" s="725">
        <f t="shared" si="14"/>
        <v>0</v>
      </c>
      <c r="W135" s="725">
        <f t="shared" si="14"/>
        <v>0</v>
      </c>
      <c r="X135" s="725">
        <f t="shared" si="14"/>
        <v>0</v>
      </c>
      <c r="Y135" s="727">
        <f t="shared" si="14"/>
        <v>0</v>
      </c>
      <c r="Z135" s="750">
        <f t="shared" si="14"/>
        <v>0</v>
      </c>
    </row>
    <row r="136" spans="2:26" s="40" customFormat="1" ht="13" outlineLevel="1" x14ac:dyDescent="0.2">
      <c r="O136" s="319"/>
      <c r="U136" s="602"/>
      <c r="V136" s="602"/>
      <c r="W136" s="602"/>
      <c r="X136" s="602"/>
      <c r="Y136" s="602"/>
      <c r="Z136" s="602"/>
    </row>
    <row r="137" spans="2:26" s="40" customFormat="1" ht="13" outlineLevel="1" x14ac:dyDescent="0.2">
      <c r="B137" s="414" t="s">
        <v>3053</v>
      </c>
      <c r="C137" s="415"/>
      <c r="D137" s="350"/>
      <c r="E137" s="350"/>
      <c r="F137" s="198"/>
      <c r="G137" s="198"/>
      <c r="H137" s="199"/>
      <c r="I137" s="42"/>
      <c r="J137" s="42"/>
      <c r="K137" s="42"/>
      <c r="L137" s="1746" t="s">
        <v>723</v>
      </c>
      <c r="M137" s="1747"/>
      <c r="N137" s="1748"/>
      <c r="O137" s="319"/>
      <c r="P137" s="1746" t="s">
        <v>2066</v>
      </c>
      <c r="Q137" s="1747"/>
      <c r="R137" s="1747"/>
      <c r="S137" s="1748"/>
      <c r="U137" s="1755" t="s">
        <v>2073</v>
      </c>
      <c r="V137" s="1756"/>
      <c r="W137" s="1756"/>
      <c r="X137" s="1756"/>
      <c r="Y137" s="1756"/>
      <c r="Z137" s="1757"/>
    </row>
    <row r="138" spans="2:26" s="40" customFormat="1" ht="13" outlineLevel="1" x14ac:dyDescent="0.2">
      <c r="B138" s="418"/>
      <c r="C138" s="419"/>
      <c r="D138" s="352"/>
      <c r="E138" s="352"/>
      <c r="F138" s="214"/>
      <c r="G138" s="201"/>
      <c r="H138" s="203"/>
      <c r="I138" s="42"/>
      <c r="J138" s="42"/>
      <c r="K138" s="42"/>
      <c r="L138" s="204"/>
      <c r="M138" s="351"/>
      <c r="N138" s="203"/>
      <c r="O138" s="319"/>
      <c r="P138" s="204"/>
      <c r="Q138" s="351"/>
      <c r="R138" s="351"/>
      <c r="S138" s="203"/>
      <c r="U138" s="778"/>
      <c r="V138" s="779"/>
      <c r="W138" s="779"/>
      <c r="X138" s="779"/>
      <c r="Y138" s="741"/>
      <c r="Z138" s="780"/>
    </row>
    <row r="139" spans="2:26" s="40" customFormat="1" ht="13" outlineLevel="1" x14ac:dyDescent="0.2">
      <c r="B139" s="204"/>
      <c r="C139" s="351"/>
      <c r="D139" s="351" t="s">
        <v>56</v>
      </c>
      <c r="E139" s="351" t="s">
        <v>56</v>
      </c>
      <c r="F139" s="205" t="s">
        <v>3009</v>
      </c>
      <c r="G139" s="351" t="s">
        <v>61</v>
      </c>
      <c r="H139" s="207" t="s">
        <v>61</v>
      </c>
      <c r="I139" s="42"/>
      <c r="J139" s="42"/>
      <c r="K139" s="42"/>
      <c r="L139" s="1618" t="s">
        <v>2605</v>
      </c>
      <c r="M139" s="351" t="s">
        <v>2110</v>
      </c>
      <c r="N139" s="207" t="s">
        <v>61</v>
      </c>
      <c r="O139" s="319"/>
      <c r="P139" s="204" t="s">
        <v>2065</v>
      </c>
      <c r="Q139" s="352" t="s">
        <v>61</v>
      </c>
      <c r="R139" s="351" t="s">
        <v>2558</v>
      </c>
      <c r="S139" s="207" t="s">
        <v>61</v>
      </c>
      <c r="U139" s="1739" t="s">
        <v>61</v>
      </c>
      <c r="V139" s="1740"/>
      <c r="W139" s="1740"/>
      <c r="X139" s="1740"/>
      <c r="Y139" s="741" t="s">
        <v>61</v>
      </c>
      <c r="Z139" s="742"/>
    </row>
    <row r="140" spans="2:26" s="40" customFormat="1" ht="13" outlineLevel="1" x14ac:dyDescent="0.2">
      <c r="B140" s="204"/>
      <c r="C140" s="351"/>
      <c r="D140" s="351" t="s">
        <v>61</v>
      </c>
      <c r="E140" s="351" t="s">
        <v>63</v>
      </c>
      <c r="F140" s="212" t="s">
        <v>3010</v>
      </c>
      <c r="G140" s="351" t="s">
        <v>2611</v>
      </c>
      <c r="H140" s="207"/>
      <c r="I140" s="42"/>
      <c r="J140" s="42"/>
      <c r="K140" s="42"/>
      <c r="L140" s="1618" t="s">
        <v>2109</v>
      </c>
      <c r="M140" s="351"/>
      <c r="N140" s="207"/>
      <c r="O140" s="319"/>
      <c r="P140" s="204"/>
      <c r="Q140" s="361"/>
      <c r="R140" s="351"/>
      <c r="S140" s="207"/>
      <c r="U140" s="744" t="s">
        <v>14</v>
      </c>
      <c r="V140" s="745" t="s">
        <v>60</v>
      </c>
      <c r="W140" s="745" t="s">
        <v>27</v>
      </c>
      <c r="X140" s="745" t="s">
        <v>2074</v>
      </c>
      <c r="Y140" s="746" t="s">
        <v>41</v>
      </c>
      <c r="Z140" s="747" t="s">
        <v>85</v>
      </c>
    </row>
    <row r="141" spans="2:26" s="40" customFormat="1" ht="13" outlineLevel="1" x14ac:dyDescent="0.2">
      <c r="B141" s="200" t="s">
        <v>1853</v>
      </c>
      <c r="C141" s="201"/>
      <c r="D141" s="262">
        <f>H141</f>
        <v>0</v>
      </c>
      <c r="E141" s="265">
        <f>D141*12/44</f>
        <v>0</v>
      </c>
      <c r="F141" s="182"/>
      <c r="G141" s="420">
        <f>VLOOKUP($B141,'Emissions factors'!$B$2129:$D$2137,2,FALSE)</f>
        <v>2.27</v>
      </c>
      <c r="H141" s="211">
        <f>F141*G141</f>
        <v>0</v>
      </c>
      <c r="I141" s="42"/>
      <c r="J141" s="42"/>
      <c r="K141" s="42"/>
      <c r="L141" s="282">
        <f>VLOOKUP($B141,'Emissions factors'!$B$2129:$D$2137,3,FALSE)</f>
        <v>0.5</v>
      </c>
      <c r="M141" s="183"/>
      <c r="N141" s="211">
        <f>H141*SQRT(L141^2+M141^2)</f>
        <v>0</v>
      </c>
      <c r="O141" s="319"/>
      <c r="P141" s="184"/>
      <c r="Q141" s="210">
        <f>P141*H141</f>
        <v>0</v>
      </c>
      <c r="R141" s="184"/>
      <c r="S141" s="211">
        <f>R141*H141</f>
        <v>0</v>
      </c>
      <c r="U141" s="717"/>
      <c r="V141" s="718"/>
      <c r="W141" s="718"/>
      <c r="X141" s="718"/>
      <c r="Y141" s="720">
        <f>H141</f>
        <v>0</v>
      </c>
      <c r="Z141" s="748"/>
    </row>
    <row r="142" spans="2:26" s="40" customFormat="1" ht="13" outlineLevel="1" x14ac:dyDescent="0.2">
      <c r="B142" s="200" t="s">
        <v>1854</v>
      </c>
      <c r="C142" s="201"/>
      <c r="D142" s="262">
        <f>H142</f>
        <v>0</v>
      </c>
      <c r="E142" s="265">
        <f>D142*12/44</f>
        <v>0</v>
      </c>
      <c r="F142" s="185"/>
      <c r="G142" s="420">
        <f>VLOOKUP($B142,'Emissions factors'!$B$2129:$D$2137,2,FALSE)</f>
        <v>0.44</v>
      </c>
      <c r="H142" s="211">
        <f>F142*G142</f>
        <v>0</v>
      </c>
      <c r="I142" s="42"/>
      <c r="J142" s="42"/>
      <c r="K142" s="42"/>
      <c r="L142" s="282">
        <f>VLOOKUP($B142,'Emissions factors'!$B$2129:$D$2137,3,FALSE)</f>
        <v>0.5</v>
      </c>
      <c r="M142" s="186"/>
      <c r="N142" s="211">
        <f>H142*SQRT(L142^2+M142^2)</f>
        <v>0</v>
      </c>
      <c r="O142" s="319"/>
      <c r="P142" s="187"/>
      <c r="Q142" s="210">
        <f>P142*H142</f>
        <v>0</v>
      </c>
      <c r="R142" s="187"/>
      <c r="S142" s="211">
        <f>R142*H142</f>
        <v>0</v>
      </c>
      <c r="U142" s="717"/>
      <c r="V142" s="718"/>
      <c r="W142" s="718"/>
      <c r="X142" s="718"/>
      <c r="Y142" s="720">
        <f>H142</f>
        <v>0</v>
      </c>
      <c r="Z142" s="748"/>
    </row>
    <row r="143" spans="2:26" s="40" customFormat="1" ht="13" outlineLevel="1" x14ac:dyDescent="0.2">
      <c r="B143" s="200" t="s">
        <v>1856</v>
      </c>
      <c r="C143" s="201"/>
      <c r="D143" s="262">
        <f>H143</f>
        <v>0</v>
      </c>
      <c r="E143" s="265">
        <f>D143*12/44</f>
        <v>0</v>
      </c>
      <c r="F143" s="188"/>
      <c r="G143" s="420">
        <f>VLOOKUP($B143,'Emissions factors'!$B$2129:$D$2137,2,FALSE)</f>
        <v>1.65</v>
      </c>
      <c r="H143" s="211">
        <f>F143*G143</f>
        <v>0</v>
      </c>
      <c r="I143" s="42"/>
      <c r="J143" s="42"/>
      <c r="K143" s="42"/>
      <c r="L143" s="282">
        <f>VLOOKUP($B143,'Emissions factors'!$B$2129:$D$2137,3,FALSE)</f>
        <v>0.5</v>
      </c>
      <c r="M143" s="189"/>
      <c r="N143" s="211">
        <f>H143*SQRT(L143^2+M143^2)</f>
        <v>0</v>
      </c>
      <c r="O143" s="319"/>
      <c r="P143" s="190"/>
      <c r="Q143" s="210">
        <f>P143*H143</f>
        <v>0</v>
      </c>
      <c r="R143" s="190"/>
      <c r="S143" s="211">
        <f>R143*H143</f>
        <v>0</v>
      </c>
      <c r="U143" s="717"/>
      <c r="V143" s="718"/>
      <c r="W143" s="718"/>
      <c r="X143" s="718"/>
      <c r="Y143" s="720">
        <f>H143</f>
        <v>0</v>
      </c>
      <c r="Z143" s="748"/>
    </row>
    <row r="144" spans="2:26" s="40" customFormat="1" ht="13" outlineLevel="1" x14ac:dyDescent="0.2">
      <c r="B144" s="200"/>
      <c r="C144" s="201"/>
      <c r="D144" s="262"/>
      <c r="E144" s="265"/>
      <c r="F144" s="420"/>
      <c r="G144" s="420"/>
      <c r="H144" s="211"/>
      <c r="I144" s="42"/>
      <c r="J144" s="42"/>
      <c r="K144" s="42"/>
      <c r="L144" s="282"/>
      <c r="M144" s="201"/>
      <c r="N144" s="211"/>
      <c r="O144" s="319"/>
      <c r="P144" s="282"/>
      <c r="Q144" s="210"/>
      <c r="R144" s="201"/>
      <c r="S144" s="211"/>
      <c r="U144" s="717"/>
      <c r="V144" s="718"/>
      <c r="W144" s="718"/>
      <c r="X144" s="718"/>
      <c r="Y144" s="720"/>
      <c r="Z144" s="748"/>
    </row>
    <row r="145" spans="2:26" s="40" customFormat="1" ht="13" outlineLevel="1" x14ac:dyDescent="0.2">
      <c r="B145" s="417" t="s">
        <v>3309</v>
      </c>
      <c r="C145" s="201"/>
      <c r="D145" s="262"/>
      <c r="E145" s="265"/>
      <c r="F145" s="205" t="s">
        <v>3312</v>
      </c>
      <c r="G145" s="1711" t="s">
        <v>61</v>
      </c>
      <c r="H145" s="711" t="s">
        <v>61</v>
      </c>
      <c r="I145" s="42"/>
      <c r="J145" s="42"/>
      <c r="K145" s="42"/>
      <c r="L145" s="282"/>
      <c r="M145" s="210"/>
      <c r="N145" s="211"/>
      <c r="O145" s="319"/>
      <c r="P145" s="282"/>
      <c r="Q145" s="210"/>
      <c r="R145" s="210"/>
      <c r="S145" s="211"/>
      <c r="U145" s="717"/>
      <c r="V145" s="718"/>
      <c r="W145" s="718"/>
      <c r="X145" s="718"/>
      <c r="Y145" s="720"/>
      <c r="Z145" s="748"/>
    </row>
    <row r="146" spans="2:26" s="40" customFormat="1" ht="13" outlineLevel="1" x14ac:dyDescent="0.2">
      <c r="B146" s="200"/>
      <c r="C146" s="201"/>
      <c r="D146" s="262"/>
      <c r="E146" s="265"/>
      <c r="F146" s="212" t="s">
        <v>2610</v>
      </c>
      <c r="G146" s="1711" t="s">
        <v>3311</v>
      </c>
      <c r="H146" s="211"/>
      <c r="I146" s="42"/>
      <c r="J146" s="42"/>
      <c r="K146" s="42"/>
      <c r="L146" s="282"/>
      <c r="M146" s="201"/>
      <c r="N146" s="211"/>
      <c r="O146" s="319"/>
      <c r="P146" s="282"/>
      <c r="Q146" s="210"/>
      <c r="R146" s="201"/>
      <c r="S146" s="211"/>
      <c r="U146" s="717"/>
      <c r="V146" s="718"/>
      <c r="W146" s="718"/>
      <c r="X146" s="718"/>
      <c r="Y146" s="720"/>
      <c r="Z146" s="748"/>
    </row>
    <row r="147" spans="2:26" s="40" customFormat="1" ht="13" outlineLevel="1" x14ac:dyDescent="0.2">
      <c r="B147" s="200" t="s">
        <v>3307</v>
      </c>
      <c r="C147" s="201"/>
      <c r="D147" s="262">
        <f>H147</f>
        <v>0</v>
      </c>
      <c r="E147" s="265">
        <f>D147*12/44</f>
        <v>0</v>
      </c>
      <c r="F147" s="325"/>
      <c r="G147" s="420">
        <f>VLOOKUP($B147,'Emissions factors'!B$2142:C$2143,2,FALSE)</f>
        <v>0.154</v>
      </c>
      <c r="H147" s="1722">
        <f>F147*G147</f>
        <v>0</v>
      </c>
      <c r="I147" s="42"/>
      <c r="J147" s="42"/>
      <c r="K147" s="42"/>
      <c r="L147" s="282"/>
      <c r="M147" s="326"/>
      <c r="N147" s="211">
        <f>H147*SQRT(L147^2+M147^2)</f>
        <v>0</v>
      </c>
      <c r="O147" s="319"/>
      <c r="P147" s="327"/>
      <c r="Q147" s="210">
        <f>P147*H147</f>
        <v>0</v>
      </c>
      <c r="R147" s="327"/>
      <c r="S147" s="211">
        <f>R147*H147</f>
        <v>0</v>
      </c>
      <c r="U147" s="717"/>
      <c r="V147" s="718"/>
      <c r="W147" s="718"/>
      <c r="X147" s="718"/>
      <c r="Y147" s="720">
        <f>H147</f>
        <v>0</v>
      </c>
      <c r="Z147" s="748"/>
    </row>
    <row r="148" spans="2:26" s="40" customFormat="1" ht="13" outlineLevel="1" x14ac:dyDescent="0.2">
      <c r="B148" s="200" t="s">
        <v>3306</v>
      </c>
      <c r="C148" s="201"/>
      <c r="D148" s="262">
        <f>H148</f>
        <v>0</v>
      </c>
      <c r="E148" s="265">
        <f>D148*12/44</f>
        <v>0</v>
      </c>
      <c r="F148" s="325"/>
      <c r="G148" s="420">
        <f>VLOOKUP($B148,'Emissions factors'!B$2142:C$2143,2,FALSE)</f>
        <v>0.20699999999999999</v>
      </c>
      <c r="H148" s="1722">
        <f>F148*G148</f>
        <v>0</v>
      </c>
      <c r="I148" s="42"/>
      <c r="J148" s="42"/>
      <c r="K148" s="42"/>
      <c r="L148" s="282">
        <f>VLOOKUP($B148,'Emissions factors'!$B$2142:$D$2143,3,FALSE)</f>
        <v>0</v>
      </c>
      <c r="M148" s="326"/>
      <c r="N148" s="211">
        <f>H148*SQRT(L148^2+M148^2)</f>
        <v>0</v>
      </c>
      <c r="O148" s="319"/>
      <c r="P148" s="327"/>
      <c r="Q148" s="210">
        <f>P148*H148</f>
        <v>0</v>
      </c>
      <c r="R148" s="327"/>
      <c r="S148" s="211">
        <f>R148*H148</f>
        <v>0</v>
      </c>
      <c r="U148" s="717"/>
      <c r="V148" s="718"/>
      <c r="W148" s="718"/>
      <c r="X148" s="718"/>
      <c r="Y148" s="720">
        <f>H148</f>
        <v>0</v>
      </c>
      <c r="Z148" s="748"/>
    </row>
    <row r="149" spans="2:26" s="40" customFormat="1" ht="13" outlineLevel="1" x14ac:dyDescent="0.2">
      <c r="B149" s="200"/>
      <c r="C149" s="201"/>
      <c r="D149" s="262"/>
      <c r="E149" s="265"/>
      <c r="F149" s="420"/>
      <c r="G149" s="420"/>
      <c r="H149" s="211"/>
      <c r="I149" s="42"/>
      <c r="J149" s="42"/>
      <c r="K149" s="42"/>
      <c r="L149" s="282"/>
      <c r="M149" s="201"/>
      <c r="N149" s="211"/>
      <c r="O149" s="319"/>
      <c r="P149" s="282"/>
      <c r="Q149" s="210"/>
      <c r="R149" s="201"/>
      <c r="S149" s="211"/>
      <c r="U149" s="717"/>
      <c r="V149" s="718"/>
      <c r="W149" s="718"/>
      <c r="X149" s="718"/>
      <c r="Y149" s="720"/>
      <c r="Z149" s="748"/>
    </row>
    <row r="150" spans="2:26" s="40" customFormat="1" ht="13" outlineLevel="1" x14ac:dyDescent="0.2">
      <c r="B150" s="417" t="s">
        <v>3308</v>
      </c>
      <c r="C150" s="201"/>
      <c r="D150" s="262"/>
      <c r="E150" s="265"/>
      <c r="F150" s="205" t="s">
        <v>87</v>
      </c>
      <c r="G150" s="1544" t="s">
        <v>61</v>
      </c>
      <c r="H150" s="711" t="s">
        <v>61</v>
      </c>
      <c r="I150" s="42"/>
      <c r="J150" s="42"/>
      <c r="K150" s="42"/>
      <c r="L150" s="282"/>
      <c r="M150" s="210"/>
      <c r="N150" s="211"/>
      <c r="O150" s="319"/>
      <c r="P150" s="282"/>
      <c r="Q150" s="210"/>
      <c r="R150" s="210"/>
      <c r="S150" s="211"/>
      <c r="U150" s="717"/>
      <c r="V150" s="718"/>
      <c r="W150" s="718"/>
      <c r="X150" s="718"/>
      <c r="Y150" s="720"/>
      <c r="Z150" s="748"/>
    </row>
    <row r="151" spans="2:26" s="40" customFormat="1" ht="13" outlineLevel="1" x14ac:dyDescent="0.2">
      <c r="B151" s="200"/>
      <c r="C151" s="201"/>
      <c r="D151" s="262"/>
      <c r="E151" s="265"/>
      <c r="F151" s="212" t="s">
        <v>2610</v>
      </c>
      <c r="G151" s="1544" t="s">
        <v>2535</v>
      </c>
      <c r="H151" s="211"/>
      <c r="I151" s="42"/>
      <c r="J151" s="42"/>
      <c r="K151" s="42"/>
      <c r="L151" s="282"/>
      <c r="M151" s="201"/>
      <c r="N151" s="211"/>
      <c r="O151" s="319"/>
      <c r="P151" s="282"/>
      <c r="Q151" s="210"/>
      <c r="R151" s="201"/>
      <c r="S151" s="211"/>
      <c r="U151" s="717"/>
      <c r="V151" s="718"/>
      <c r="W151" s="718"/>
      <c r="X151" s="718"/>
      <c r="Y151" s="720"/>
      <c r="Z151" s="748"/>
    </row>
    <row r="152" spans="2:26" s="40" customFormat="1" ht="13" outlineLevel="1" x14ac:dyDescent="0.2">
      <c r="B152" s="200" t="s">
        <v>3285</v>
      </c>
      <c r="C152" s="201"/>
      <c r="D152" s="262">
        <f>H152</f>
        <v>0</v>
      </c>
      <c r="E152" s="265">
        <f>D152*12/44</f>
        <v>0</v>
      </c>
      <c r="F152" s="325"/>
      <c r="G152" s="420">
        <f>VLOOKUP($B152,'Emissions factors'!$B$2147:$D$2148,2,FALSE)</f>
        <v>0.57899999999999996</v>
      </c>
      <c r="H152" s="211">
        <f>F152*G152</f>
        <v>0</v>
      </c>
      <c r="I152" s="42"/>
      <c r="J152" s="42"/>
      <c r="K152" s="42"/>
      <c r="L152" s="282">
        <f>VLOOKUP($B152,'Emissions factors'!$B$2147:$D$2148,3,FALSE)</f>
        <v>0</v>
      </c>
      <c r="M152" s="326"/>
      <c r="N152" s="211">
        <f>H152*SQRT(L152^2+M152^2)</f>
        <v>0</v>
      </c>
      <c r="O152" s="319"/>
      <c r="P152" s="327"/>
      <c r="Q152" s="210">
        <f>P152*H152</f>
        <v>0</v>
      </c>
      <c r="R152" s="327"/>
      <c r="S152" s="211">
        <f>R152*H152</f>
        <v>0</v>
      </c>
      <c r="U152" s="717"/>
      <c r="V152" s="718"/>
      <c r="W152" s="718"/>
      <c r="X152" s="718"/>
      <c r="Y152" s="720">
        <f>H152</f>
        <v>0</v>
      </c>
      <c r="Z152" s="748"/>
    </row>
    <row r="153" spans="2:26" s="40" customFormat="1" ht="13" outlineLevel="1" x14ac:dyDescent="0.2">
      <c r="B153" s="200"/>
      <c r="C153" s="201"/>
      <c r="D153" s="263"/>
      <c r="E153" s="266"/>
      <c r="F153" s="201"/>
      <c r="G153" s="201"/>
      <c r="H153" s="203"/>
      <c r="I153" s="42"/>
      <c r="J153" s="42"/>
      <c r="K153" s="42"/>
      <c r="L153" s="220"/>
      <c r="M153" s="201"/>
      <c r="N153" s="211"/>
      <c r="O153" s="319"/>
      <c r="P153" s="200"/>
      <c r="Q153" s="361"/>
      <c r="R153" s="201"/>
      <c r="S153" s="211"/>
      <c r="U153" s="717"/>
      <c r="V153" s="718"/>
      <c r="W153" s="718"/>
      <c r="X153" s="718"/>
      <c r="Y153" s="720"/>
      <c r="Z153" s="749"/>
    </row>
    <row r="154" spans="2:26" s="40" customFormat="1" ht="13" outlineLevel="1" x14ac:dyDescent="0.2">
      <c r="B154" s="253" t="s">
        <v>2828</v>
      </c>
      <c r="C154" s="254"/>
      <c r="D154" s="1723">
        <f>SUM(D141:D153)</f>
        <v>0</v>
      </c>
      <c r="E154" s="267">
        <f>SUM(E141:E153)</f>
        <v>0</v>
      </c>
      <c r="F154" s="256"/>
      <c r="G154" s="256"/>
      <c r="H154" s="257">
        <f>SUM(H141:H153)</f>
        <v>0</v>
      </c>
      <c r="I154" s="42"/>
      <c r="J154" s="42"/>
      <c r="K154" s="42"/>
      <c r="L154" s="258"/>
      <c r="M154" s="256"/>
      <c r="N154" s="257">
        <f>SQRT(SUMSQ(N141:N153))</f>
        <v>0</v>
      </c>
      <c r="O154" s="319"/>
      <c r="P154" s="258"/>
      <c r="Q154" s="259">
        <f>SUM(Q141:Q153)</f>
        <v>0</v>
      </c>
      <c r="R154" s="256"/>
      <c r="S154" s="257">
        <f>SUM(S141:S153)</f>
        <v>0</v>
      </c>
      <c r="U154" s="724">
        <f t="shared" ref="U154:Z154" si="15">SUM(U141:U153)</f>
        <v>0</v>
      </c>
      <c r="V154" s="725">
        <f t="shared" si="15"/>
        <v>0</v>
      </c>
      <c r="W154" s="725">
        <f t="shared" si="15"/>
        <v>0</v>
      </c>
      <c r="X154" s="725">
        <f t="shared" si="15"/>
        <v>0</v>
      </c>
      <c r="Y154" s="727">
        <f>SUM(Y141:Y153)</f>
        <v>0</v>
      </c>
      <c r="Z154" s="750">
        <f t="shared" si="15"/>
        <v>0</v>
      </c>
    </row>
    <row r="155" spans="2:26" s="40" customFormat="1" ht="13" outlineLevel="1" x14ac:dyDescent="0.2">
      <c r="O155" s="319"/>
      <c r="U155" s="602"/>
      <c r="V155" s="602"/>
      <c r="W155" s="602"/>
      <c r="X155" s="602"/>
      <c r="Y155" s="602"/>
      <c r="Z155" s="602"/>
    </row>
    <row r="156" spans="2:26" s="40" customFormat="1" ht="13" x14ac:dyDescent="0.2">
      <c r="O156" s="319"/>
      <c r="U156" s="602"/>
      <c r="V156" s="602"/>
      <c r="W156" s="602"/>
      <c r="X156" s="602"/>
      <c r="Y156" s="602"/>
      <c r="Z156" s="602"/>
    </row>
    <row r="157" spans="2:26" s="40" customFormat="1" ht="16" x14ac:dyDescent="0.2">
      <c r="B157" s="1820" t="s">
        <v>3051</v>
      </c>
      <c r="C157" s="1821"/>
      <c r="D157" s="1821"/>
      <c r="E157" s="1821"/>
      <c r="F157" s="1821"/>
      <c r="G157" s="1821"/>
      <c r="H157" s="1821"/>
      <c r="I157" s="1821"/>
      <c r="J157" s="1821"/>
      <c r="K157" s="1821"/>
      <c r="L157" s="1821"/>
      <c r="M157" s="1821"/>
      <c r="N157" s="1821"/>
      <c r="O157" s="1822"/>
      <c r="U157" s="602"/>
      <c r="V157" s="602"/>
      <c r="W157" s="602"/>
      <c r="X157" s="602"/>
      <c r="Y157" s="602"/>
      <c r="Z157" s="602"/>
    </row>
    <row r="158" spans="2:26" s="40" customFormat="1" ht="13" outlineLevel="1" x14ac:dyDescent="0.2">
      <c r="G158" s="42"/>
      <c r="O158" s="319"/>
      <c r="U158" s="602"/>
      <c r="V158" s="602"/>
      <c r="W158" s="602"/>
      <c r="X158" s="602"/>
      <c r="Y158" s="602"/>
      <c r="Z158" s="602"/>
    </row>
    <row r="159" spans="2:26" s="40" customFormat="1" ht="13" outlineLevel="1" x14ac:dyDescent="0.2">
      <c r="B159" s="195" t="s">
        <v>3051</v>
      </c>
      <c r="C159" s="196"/>
      <c r="D159" s="350"/>
      <c r="E159" s="350"/>
      <c r="F159" s="196"/>
      <c r="G159" s="198"/>
      <c r="H159" s="198"/>
      <c r="I159" s="198"/>
      <c r="J159" s="199"/>
      <c r="L159" s="1746" t="s">
        <v>723</v>
      </c>
      <c r="M159" s="1747"/>
      <c r="N159" s="1748"/>
      <c r="O159" s="319"/>
      <c r="P159" s="1746" t="s">
        <v>2066</v>
      </c>
      <c r="Q159" s="1747"/>
      <c r="R159" s="1747"/>
      <c r="S159" s="1748"/>
      <c r="U159" s="1755" t="s">
        <v>2073</v>
      </c>
      <c r="V159" s="1756"/>
      <c r="W159" s="1756"/>
      <c r="X159" s="1756"/>
      <c r="Y159" s="1756"/>
      <c r="Z159" s="1757"/>
    </row>
    <row r="160" spans="2:26" s="40" customFormat="1" ht="13" outlineLevel="1" x14ac:dyDescent="0.2">
      <c r="B160" s="417"/>
      <c r="C160" s="225"/>
      <c r="D160" s="352"/>
      <c r="E160" s="352"/>
      <c r="F160" s="269"/>
      <c r="G160" s="214"/>
      <c r="H160" s="201"/>
      <c r="I160" s="201"/>
      <c r="J160" s="203"/>
      <c r="L160" s="204"/>
      <c r="M160" s="351"/>
      <c r="N160" s="203"/>
      <c r="O160" s="319"/>
      <c r="P160" s="204"/>
      <c r="Q160" s="351"/>
      <c r="R160" s="351"/>
      <c r="S160" s="203"/>
      <c r="U160" s="778"/>
      <c r="V160" s="779"/>
      <c r="W160" s="779"/>
      <c r="X160" s="779"/>
      <c r="Y160" s="741"/>
      <c r="Z160" s="780"/>
    </row>
    <row r="161" spans="2:26" s="40" customFormat="1" ht="13" outlineLevel="1" x14ac:dyDescent="0.2">
      <c r="B161" s="200"/>
      <c r="C161" s="201"/>
      <c r="D161" s="351" t="s">
        <v>56</v>
      </c>
      <c r="E161" s="351" t="s">
        <v>56</v>
      </c>
      <c r="F161" s="205"/>
      <c r="G161" s="205" t="s">
        <v>2606</v>
      </c>
      <c r="H161" s="1542" t="s">
        <v>64</v>
      </c>
      <c r="I161" s="205" t="s">
        <v>2607</v>
      </c>
      <c r="J161" s="207" t="s">
        <v>61</v>
      </c>
      <c r="L161" s="1618" t="s">
        <v>2605</v>
      </c>
      <c r="M161" s="351" t="s">
        <v>2110</v>
      </c>
      <c r="N161" s="207" t="s">
        <v>61</v>
      </c>
      <c r="O161" s="42"/>
      <c r="P161" s="204" t="s">
        <v>2065</v>
      </c>
      <c r="Q161" s="352" t="s">
        <v>61</v>
      </c>
      <c r="R161" s="351" t="s">
        <v>2558</v>
      </c>
      <c r="S161" s="207" t="s">
        <v>61</v>
      </c>
      <c r="U161" s="1739" t="s">
        <v>61</v>
      </c>
      <c r="V161" s="1740"/>
      <c r="W161" s="1740"/>
      <c r="X161" s="1740"/>
      <c r="Y161" s="741" t="s">
        <v>61</v>
      </c>
      <c r="Z161" s="742"/>
    </row>
    <row r="162" spans="2:26" s="40" customFormat="1" ht="13" outlineLevel="1" x14ac:dyDescent="0.2">
      <c r="B162" s="204"/>
      <c r="C162" s="351"/>
      <c r="D162" s="351" t="s">
        <v>61</v>
      </c>
      <c r="E162" s="351" t="s">
        <v>63</v>
      </c>
      <c r="F162" s="208" t="s">
        <v>1555</v>
      </c>
      <c r="G162" s="208" t="s">
        <v>2601</v>
      </c>
      <c r="H162" s="1542" t="s">
        <v>2612</v>
      </c>
      <c r="I162" s="208" t="s">
        <v>2609</v>
      </c>
      <c r="J162" s="207"/>
      <c r="L162" s="1618" t="s">
        <v>2109</v>
      </c>
      <c r="M162" s="351"/>
      <c r="N162" s="207"/>
      <c r="O162" s="42"/>
      <c r="P162" s="204"/>
      <c r="Q162" s="361"/>
      <c r="R162" s="351"/>
      <c r="S162" s="207"/>
      <c r="U162" s="744" t="s">
        <v>14</v>
      </c>
      <c r="V162" s="745" t="s">
        <v>60</v>
      </c>
      <c r="W162" s="745" t="s">
        <v>27</v>
      </c>
      <c r="X162" s="745" t="s">
        <v>2074</v>
      </c>
      <c r="Y162" s="746" t="s">
        <v>41</v>
      </c>
      <c r="Z162" s="747" t="s">
        <v>85</v>
      </c>
    </row>
    <row r="163" spans="2:26" s="40" customFormat="1" ht="13" outlineLevel="1" x14ac:dyDescent="0.2">
      <c r="B163" s="200" t="s">
        <v>1667</v>
      </c>
      <c r="C163" s="201"/>
      <c r="D163" s="262">
        <f>J163</f>
        <v>0</v>
      </c>
      <c r="E163" s="265">
        <f>D163*12/44</f>
        <v>0</v>
      </c>
      <c r="F163" s="205" t="str">
        <f>VLOOKUP($B163,'Emissions factors'!$B$1877:$J$1891,2,FALSE)</f>
        <v>unit</v>
      </c>
      <c r="G163" s="182"/>
      <c r="H163" s="560">
        <f>VLOOKUP($B163,'Emissions factors'!$B$1877:$J$1891,3,FALSE)</f>
        <v>6.5267390000000008E-2</v>
      </c>
      <c r="I163" s="439"/>
      <c r="J163" s="211">
        <f>G163*H163*(1+I163)</f>
        <v>0</v>
      </c>
      <c r="L163" s="282">
        <f>VLOOKUP($B163,'Emissions factors'!$B$1877:$J$1891,9,FALSE)</f>
        <v>0.5</v>
      </c>
      <c r="M163" s="183"/>
      <c r="N163" s="211">
        <f>J163*SQRT(L163^2+M163^2)</f>
        <v>0</v>
      </c>
      <c r="O163" s="42"/>
      <c r="P163" s="184"/>
      <c r="Q163" s="210">
        <f>P163*J163</f>
        <v>0</v>
      </c>
      <c r="R163" s="184"/>
      <c r="S163" s="211">
        <f>R163*J163</f>
        <v>0</v>
      </c>
      <c r="U163" s="717"/>
      <c r="V163" s="718"/>
      <c r="W163" s="718"/>
      <c r="X163" s="718"/>
      <c r="Y163" s="720">
        <f>J163</f>
        <v>0</v>
      </c>
      <c r="Z163" s="748"/>
    </row>
    <row r="164" spans="2:26" s="40" customFormat="1" ht="13" outlineLevel="1" x14ac:dyDescent="0.2">
      <c r="B164" s="200" t="s">
        <v>1662</v>
      </c>
      <c r="C164" s="201"/>
      <c r="D164" s="262">
        <f>J164</f>
        <v>0</v>
      </c>
      <c r="E164" s="265">
        <f>D164*12/44</f>
        <v>0</v>
      </c>
      <c r="F164" s="212" t="str">
        <f>VLOOKUP($B164,'Emissions factors'!$B$1877:$J$1891,2,FALSE)</f>
        <v>kg</v>
      </c>
      <c r="G164" s="185"/>
      <c r="H164" s="560">
        <f>VLOOKUP($B164,'Emissions factors'!$B$1877:$J$1891,3,FALSE)</f>
        <v>26.001099999999997</v>
      </c>
      <c r="I164" s="440"/>
      <c r="J164" s="211">
        <f>G164*H164*(1+I164)</f>
        <v>0</v>
      </c>
      <c r="L164" s="282">
        <f>VLOOKUP($B164,'Emissions factors'!$B$1877:$J$1891,9,FALSE)</f>
        <v>0.5</v>
      </c>
      <c r="M164" s="186"/>
      <c r="N164" s="211">
        <f>J164*SQRT(L164^2+M164^2)</f>
        <v>0</v>
      </c>
      <c r="O164" s="42"/>
      <c r="P164" s="187"/>
      <c r="Q164" s="210">
        <f>P164*J164</f>
        <v>0</v>
      </c>
      <c r="R164" s="187"/>
      <c r="S164" s="211">
        <f>R164*J164</f>
        <v>0</v>
      </c>
      <c r="U164" s="717"/>
      <c r="V164" s="718"/>
      <c r="W164" s="718"/>
      <c r="X164" s="718"/>
      <c r="Y164" s="720">
        <f>J164</f>
        <v>0</v>
      </c>
      <c r="Z164" s="748"/>
    </row>
    <row r="165" spans="2:26" s="40" customFormat="1" ht="13" outlineLevel="1" x14ac:dyDescent="0.2">
      <c r="B165" s="200" t="s">
        <v>1665</v>
      </c>
      <c r="C165" s="201"/>
      <c r="D165" s="262">
        <f>J165</f>
        <v>0</v>
      </c>
      <c r="E165" s="265">
        <f>D165*12/44</f>
        <v>0</v>
      </c>
      <c r="F165" s="208" t="str">
        <f>VLOOKUP($B165,'Emissions factors'!$B$1877:$J$1891,2,FALSE)</f>
        <v>m</v>
      </c>
      <c r="G165" s="188"/>
      <c r="H165" s="560">
        <f>VLOOKUP($B165,'Emissions factors'!$B$1877:$J$1891,3,FALSE)</f>
        <v>7.4166999999999997E-2</v>
      </c>
      <c r="I165" s="441"/>
      <c r="J165" s="211">
        <f>G165*H165*(1+I165)</f>
        <v>0</v>
      </c>
      <c r="L165" s="282">
        <f>VLOOKUP($B165,'Emissions factors'!$B$1877:$J$1891,9,FALSE)</f>
        <v>0.5</v>
      </c>
      <c r="M165" s="189"/>
      <c r="N165" s="211">
        <f>J165*SQRT(L165^2+M165^2)</f>
        <v>0</v>
      </c>
      <c r="O165" s="42"/>
      <c r="P165" s="190"/>
      <c r="Q165" s="210">
        <f>P165*J165</f>
        <v>0</v>
      </c>
      <c r="R165" s="190"/>
      <c r="S165" s="211">
        <f>R165*J165</f>
        <v>0</v>
      </c>
      <c r="U165" s="717"/>
      <c r="V165" s="718"/>
      <c r="W165" s="718"/>
      <c r="X165" s="718"/>
      <c r="Y165" s="720">
        <f>J165</f>
        <v>0</v>
      </c>
      <c r="Z165" s="748"/>
    </row>
    <row r="166" spans="2:26" s="40" customFormat="1" ht="13" outlineLevel="1" x14ac:dyDescent="0.2">
      <c r="B166" s="200"/>
      <c r="C166" s="201"/>
      <c r="D166" s="263"/>
      <c r="E166" s="266"/>
      <c r="F166" s="201"/>
      <c r="G166" s="201"/>
      <c r="H166" s="201"/>
      <c r="I166" s="201"/>
      <c r="J166" s="226"/>
      <c r="L166" s="220"/>
      <c r="M166" s="201"/>
      <c r="N166" s="211"/>
      <c r="O166" s="42"/>
      <c r="P166" s="200"/>
      <c r="Q166" s="361"/>
      <c r="R166" s="201"/>
      <c r="S166" s="211"/>
      <c r="U166" s="717"/>
      <c r="V166" s="718"/>
      <c r="W166" s="718"/>
      <c r="X166" s="718"/>
      <c r="Y166" s="720"/>
      <c r="Z166" s="749"/>
    </row>
    <row r="167" spans="2:26" s="40" customFormat="1" ht="13" outlineLevel="1" x14ac:dyDescent="0.2">
      <c r="B167" s="253" t="s">
        <v>2828</v>
      </c>
      <c r="C167" s="254"/>
      <c r="D167" s="264">
        <f>SUM(D163:D166)</f>
        <v>0</v>
      </c>
      <c r="E167" s="267">
        <f>SUM(E163:E166)</f>
        <v>0</v>
      </c>
      <c r="F167" s="254"/>
      <c r="G167" s="261"/>
      <c r="H167" s="256"/>
      <c r="I167" s="256"/>
      <c r="J167" s="257">
        <f>SUM(J163:J166)</f>
        <v>0</v>
      </c>
      <c r="L167" s="258"/>
      <c r="M167" s="256"/>
      <c r="N167" s="257">
        <f>SQRT(SUMSQ(N163:N166))</f>
        <v>0</v>
      </c>
      <c r="O167" s="42"/>
      <c r="P167" s="258"/>
      <c r="Q167" s="259">
        <f>SUM(Q163:Q166)</f>
        <v>0</v>
      </c>
      <c r="R167" s="256"/>
      <c r="S167" s="257">
        <f>SUM(S163:S166)</f>
        <v>0</v>
      </c>
      <c r="U167" s="724">
        <f t="shared" ref="U167:Z167" si="16">SUM(U163:U166)</f>
        <v>0</v>
      </c>
      <c r="V167" s="725">
        <f t="shared" si="16"/>
        <v>0</v>
      </c>
      <c r="W167" s="725">
        <f t="shared" si="16"/>
        <v>0</v>
      </c>
      <c r="X167" s="725">
        <f t="shared" si="16"/>
        <v>0</v>
      </c>
      <c r="Y167" s="727">
        <f t="shared" si="16"/>
        <v>0</v>
      </c>
      <c r="Z167" s="750">
        <f t="shared" si="16"/>
        <v>0</v>
      </c>
    </row>
    <row r="168" spans="2:26" s="40" customFormat="1" ht="13" outlineLevel="1" x14ac:dyDescent="0.2">
      <c r="G168" s="42"/>
      <c r="U168" s="602"/>
      <c r="V168" s="602"/>
      <c r="W168" s="602"/>
      <c r="X168" s="602"/>
      <c r="Y168" s="602"/>
      <c r="Z168" s="602"/>
    </row>
    <row r="169" spans="2:26" s="40" customFormat="1" ht="13" x14ac:dyDescent="0.2">
      <c r="U169" s="602"/>
      <c r="V169" s="602"/>
      <c r="W169" s="602"/>
      <c r="X169" s="602"/>
      <c r="Y169" s="602"/>
      <c r="Z169" s="602"/>
    </row>
    <row r="170" spans="2:26" s="40" customFormat="1" ht="16" collapsed="1" x14ac:dyDescent="0.2">
      <c r="B170" s="1795" t="s">
        <v>2849</v>
      </c>
      <c r="C170" s="1795"/>
      <c r="D170" s="1795"/>
      <c r="E170" s="1795"/>
      <c r="F170" s="1795"/>
      <c r="G170" s="1795"/>
      <c r="H170" s="1795"/>
      <c r="I170" s="1795"/>
      <c r="J170" s="1795"/>
      <c r="K170" s="1795"/>
      <c r="L170" s="1795"/>
      <c r="M170" s="1795"/>
      <c r="N170" s="1795"/>
      <c r="O170" s="1795"/>
      <c r="U170" s="602"/>
      <c r="V170" s="602"/>
      <c r="W170" s="602"/>
      <c r="X170" s="602"/>
      <c r="Y170" s="602"/>
      <c r="Z170" s="602"/>
    </row>
    <row r="171" spans="2:26" s="40" customFormat="1" ht="13" hidden="1" outlineLevel="1" x14ac:dyDescent="0.2">
      <c r="G171" s="42"/>
      <c r="U171" s="602"/>
      <c r="V171" s="602"/>
      <c r="W171" s="602"/>
      <c r="X171" s="602"/>
      <c r="Y171" s="602"/>
      <c r="Z171" s="602"/>
    </row>
    <row r="172" spans="2:26" s="40" customFormat="1" ht="13" hidden="1" outlineLevel="1" x14ac:dyDescent="0.2">
      <c r="B172" s="195" t="s">
        <v>3054</v>
      </c>
      <c r="C172" s="196"/>
      <c r="D172" s="350"/>
      <c r="E172" s="350"/>
      <c r="F172" s="198"/>
      <c r="G172" s="198"/>
      <c r="H172" s="198"/>
      <c r="I172" s="199"/>
      <c r="K172" s="42"/>
      <c r="L172" s="1746" t="s">
        <v>723</v>
      </c>
      <c r="M172" s="1747"/>
      <c r="N172" s="1748"/>
      <c r="O172" s="42"/>
      <c r="P172" s="1746" t="s">
        <v>2066</v>
      </c>
      <c r="Q172" s="1747"/>
      <c r="R172" s="1747"/>
      <c r="S172" s="1748"/>
      <c r="U172" s="1755" t="s">
        <v>2073</v>
      </c>
      <c r="V172" s="1756"/>
      <c r="W172" s="1756"/>
      <c r="X172" s="1756"/>
      <c r="Y172" s="1756"/>
      <c r="Z172" s="1757"/>
    </row>
    <row r="173" spans="2:26" s="40" customFormat="1" ht="13" hidden="1" outlineLevel="1" x14ac:dyDescent="0.2">
      <c r="B173" s="417"/>
      <c r="C173" s="225"/>
      <c r="D173" s="352"/>
      <c r="E173" s="352"/>
      <c r="F173" s="214"/>
      <c r="G173" s="201"/>
      <c r="H173" s="201"/>
      <c r="I173" s="203"/>
      <c r="K173" s="42"/>
      <c r="L173" s="204"/>
      <c r="M173" s="351"/>
      <c r="N173" s="203"/>
      <c r="O173" s="42"/>
      <c r="P173" s="204"/>
      <c r="Q173" s="351"/>
      <c r="R173" s="351"/>
      <c r="S173" s="203"/>
      <c r="U173" s="778"/>
      <c r="V173" s="779"/>
      <c r="W173" s="779"/>
      <c r="X173" s="779"/>
      <c r="Y173" s="741"/>
      <c r="Z173" s="780"/>
    </row>
    <row r="174" spans="2:26" s="40" customFormat="1" ht="13" hidden="1" outlineLevel="1" x14ac:dyDescent="0.2">
      <c r="B174" s="200"/>
      <c r="C174" s="201"/>
      <c r="D174" s="351" t="s">
        <v>56</v>
      </c>
      <c r="E174" s="351" t="s">
        <v>56</v>
      </c>
      <c r="F174" s="205" t="s">
        <v>79</v>
      </c>
      <c r="G174" s="1619" t="s">
        <v>61</v>
      </c>
      <c r="H174" s="205" t="s">
        <v>2607</v>
      </c>
      <c r="I174" s="207" t="s">
        <v>61</v>
      </c>
      <c r="K174" s="42"/>
      <c r="L174" s="1618" t="s">
        <v>2605</v>
      </c>
      <c r="M174" s="351" t="s">
        <v>2110</v>
      </c>
      <c r="N174" s="207" t="s">
        <v>61</v>
      </c>
      <c r="O174" s="42"/>
      <c r="P174" s="204" t="s">
        <v>2065</v>
      </c>
      <c r="Q174" s="352" t="s">
        <v>61</v>
      </c>
      <c r="R174" s="351" t="s">
        <v>2558</v>
      </c>
      <c r="S174" s="207" t="s">
        <v>61</v>
      </c>
      <c r="U174" s="1739" t="s">
        <v>61</v>
      </c>
      <c r="V174" s="1740"/>
      <c r="W174" s="1740"/>
      <c r="X174" s="1740"/>
      <c r="Y174" s="741" t="s">
        <v>61</v>
      </c>
      <c r="Z174" s="742"/>
    </row>
    <row r="175" spans="2:26" s="40" customFormat="1" ht="13" hidden="1" outlineLevel="1" x14ac:dyDescent="0.2">
      <c r="B175" s="204"/>
      <c r="C175" s="351"/>
      <c r="D175" s="351" t="s">
        <v>61</v>
      </c>
      <c r="E175" s="351" t="s">
        <v>63</v>
      </c>
      <c r="F175" s="212" t="s">
        <v>2613</v>
      </c>
      <c r="G175" s="1619" t="s">
        <v>2536</v>
      </c>
      <c r="H175" s="208" t="s">
        <v>2609</v>
      </c>
      <c r="I175" s="207"/>
      <c r="K175" s="42"/>
      <c r="L175" s="1618" t="s">
        <v>2109</v>
      </c>
      <c r="M175" s="351"/>
      <c r="N175" s="207"/>
      <c r="O175" s="42"/>
      <c r="P175" s="204"/>
      <c r="Q175" s="361"/>
      <c r="R175" s="351"/>
      <c r="S175" s="207"/>
      <c r="U175" s="744" t="s">
        <v>14</v>
      </c>
      <c r="V175" s="745" t="s">
        <v>60</v>
      </c>
      <c r="W175" s="745" t="s">
        <v>27</v>
      </c>
      <c r="X175" s="745" t="s">
        <v>2074</v>
      </c>
      <c r="Y175" s="746" t="s">
        <v>41</v>
      </c>
      <c r="Z175" s="747" t="s">
        <v>85</v>
      </c>
    </row>
    <row r="176" spans="2:26" s="40" customFormat="1" ht="13" hidden="1" outlineLevel="1" x14ac:dyDescent="0.2">
      <c r="B176" s="200" t="s">
        <v>1656</v>
      </c>
      <c r="C176" s="201"/>
      <c r="D176" s="262">
        <f>I176</f>
        <v>0</v>
      </c>
      <c r="E176" s="265">
        <f>D176*12/44</f>
        <v>0</v>
      </c>
      <c r="F176" s="182"/>
      <c r="G176" s="273">
        <f>VLOOKUP($B176,'Emissions factors'!$B$1894:$D$1906,2,FALSE)</f>
        <v>367</v>
      </c>
      <c r="H176" s="439"/>
      <c r="I176" s="211">
        <f>F176*G176*(1+H176)</f>
        <v>0</v>
      </c>
      <c r="K176" s="42"/>
      <c r="L176" s="282">
        <f>VLOOKUP($B176,'Emissions factors'!$B$1894:$D$1906,3,FALSE)</f>
        <v>0.5</v>
      </c>
      <c r="M176" s="183"/>
      <c r="N176" s="211">
        <f>I176*SQRT(L176^2+M176^2)</f>
        <v>0</v>
      </c>
      <c r="O176" s="42"/>
      <c r="P176" s="183"/>
      <c r="Q176" s="210">
        <f>P176*I176</f>
        <v>0</v>
      </c>
      <c r="R176" s="183"/>
      <c r="S176" s="211">
        <f>R176*I176</f>
        <v>0</v>
      </c>
      <c r="U176" s="717"/>
      <c r="V176" s="718"/>
      <c r="W176" s="718"/>
      <c r="X176" s="718"/>
      <c r="Y176" s="720">
        <f>I176</f>
        <v>0</v>
      </c>
      <c r="Z176" s="748"/>
    </row>
    <row r="177" spans="2:26" s="40" customFormat="1" ht="13" hidden="1" outlineLevel="1" x14ac:dyDescent="0.2">
      <c r="B177" s="200" t="s">
        <v>1654</v>
      </c>
      <c r="C177" s="201"/>
      <c r="D177" s="262">
        <f>I177</f>
        <v>0</v>
      </c>
      <c r="E177" s="265">
        <f>D177*12/44</f>
        <v>0</v>
      </c>
      <c r="F177" s="185"/>
      <c r="G177" s="273">
        <f>VLOOKUP($B177,'Emissions factors'!$B$1894:$D$1906,2,FALSE)</f>
        <v>917</v>
      </c>
      <c r="H177" s="440"/>
      <c r="I177" s="211">
        <f>F177*G177*(1+H177)</f>
        <v>0</v>
      </c>
      <c r="K177" s="42"/>
      <c r="L177" s="282">
        <f>VLOOKUP($B177,'Emissions factors'!$B$1894:$D$1906,3,FALSE)</f>
        <v>0.5</v>
      </c>
      <c r="M177" s="186"/>
      <c r="N177" s="211">
        <f>I177*SQRT(L177^2+M177^2)</f>
        <v>0</v>
      </c>
      <c r="O177" s="42"/>
      <c r="P177" s="186"/>
      <c r="Q177" s="210">
        <f>P177*I177</f>
        <v>0</v>
      </c>
      <c r="R177" s="186"/>
      <c r="S177" s="211">
        <f>R177*I177</f>
        <v>0</v>
      </c>
      <c r="U177" s="717"/>
      <c r="V177" s="718"/>
      <c r="W177" s="718"/>
      <c r="X177" s="718"/>
      <c r="Y177" s="720">
        <f>I177</f>
        <v>0</v>
      </c>
      <c r="Z177" s="748"/>
    </row>
    <row r="178" spans="2:26" s="40" customFormat="1" ht="13" hidden="1" outlineLevel="1" x14ac:dyDescent="0.2">
      <c r="B178" s="200" t="s">
        <v>1676</v>
      </c>
      <c r="C178" s="201"/>
      <c r="D178" s="262">
        <f>I178</f>
        <v>0</v>
      </c>
      <c r="E178" s="265">
        <f>D178*12/44</f>
        <v>0</v>
      </c>
      <c r="F178" s="188"/>
      <c r="G178" s="273">
        <f>VLOOKUP($B178,'Emissions factors'!$B$1894:$D$1906,2,FALSE)</f>
        <v>110</v>
      </c>
      <c r="H178" s="441"/>
      <c r="I178" s="211">
        <f>F178*G178*(1+H178)</f>
        <v>0</v>
      </c>
      <c r="K178" s="42"/>
      <c r="L178" s="282">
        <f>VLOOKUP($B178,'Emissions factors'!$B$1894:$D$1906,3,FALSE)</f>
        <v>0.5</v>
      </c>
      <c r="M178" s="189"/>
      <c r="N178" s="211">
        <f>I178*SQRT(L178^2+M178^2)</f>
        <v>0</v>
      </c>
      <c r="O178" s="42"/>
      <c r="P178" s="189"/>
      <c r="Q178" s="210">
        <f>P178*I178</f>
        <v>0</v>
      </c>
      <c r="R178" s="189"/>
      <c r="S178" s="211">
        <f>R178*I178</f>
        <v>0</v>
      </c>
      <c r="U178" s="717"/>
      <c r="V178" s="718"/>
      <c r="W178" s="718"/>
      <c r="X178" s="718"/>
      <c r="Y178" s="720">
        <f>I178</f>
        <v>0</v>
      </c>
      <c r="Z178" s="748"/>
    </row>
    <row r="179" spans="2:26" s="40" customFormat="1" ht="13" hidden="1" outlineLevel="1" x14ac:dyDescent="0.2">
      <c r="B179" s="200"/>
      <c r="C179" s="201"/>
      <c r="D179" s="263"/>
      <c r="E179" s="266"/>
      <c r="F179" s="201"/>
      <c r="G179" s="201"/>
      <c r="H179" s="201"/>
      <c r="I179" s="226"/>
      <c r="K179" s="42"/>
      <c r="L179" s="220"/>
      <c r="M179" s="201"/>
      <c r="N179" s="211"/>
      <c r="O179" s="42"/>
      <c r="P179" s="200"/>
      <c r="Q179" s="361"/>
      <c r="R179" s="201"/>
      <c r="S179" s="211"/>
      <c r="U179" s="717"/>
      <c r="V179" s="718"/>
      <c r="W179" s="718"/>
      <c r="X179" s="718"/>
      <c r="Y179" s="720"/>
      <c r="Z179" s="749"/>
    </row>
    <row r="180" spans="2:26" s="40" customFormat="1" ht="13" hidden="1" outlineLevel="1" x14ac:dyDescent="0.2">
      <c r="B180" s="253" t="s">
        <v>2828</v>
      </c>
      <c r="C180" s="254"/>
      <c r="D180" s="264">
        <f>SUM(D176:D179)</f>
        <v>0</v>
      </c>
      <c r="E180" s="267">
        <f>SUM(E176:E179)</f>
        <v>0</v>
      </c>
      <c r="F180" s="256"/>
      <c r="G180" s="256"/>
      <c r="H180" s="256"/>
      <c r="I180" s="257">
        <f>SUM(I176:I179)</f>
        <v>0</v>
      </c>
      <c r="K180" s="42"/>
      <c r="L180" s="258"/>
      <c r="M180" s="256"/>
      <c r="N180" s="257">
        <f>SQRT(SUMSQ(N176:N179))</f>
        <v>0</v>
      </c>
      <c r="O180" s="42"/>
      <c r="P180" s="258"/>
      <c r="Q180" s="259">
        <f>SUM(Q176:Q179)</f>
        <v>0</v>
      </c>
      <c r="R180" s="256"/>
      <c r="S180" s="257">
        <f>SUM(S176:S179)</f>
        <v>0</v>
      </c>
      <c r="U180" s="724">
        <f t="shared" ref="U180:Z180" si="17">SUM(U176:U179)</f>
        <v>0</v>
      </c>
      <c r="V180" s="725">
        <f t="shared" si="17"/>
        <v>0</v>
      </c>
      <c r="W180" s="725">
        <f t="shared" si="17"/>
        <v>0</v>
      </c>
      <c r="X180" s="725">
        <f t="shared" si="17"/>
        <v>0</v>
      </c>
      <c r="Y180" s="727">
        <f t="shared" si="17"/>
        <v>0</v>
      </c>
      <c r="Z180" s="750">
        <f t="shared" si="17"/>
        <v>0</v>
      </c>
    </row>
    <row r="181" spans="2:26" s="40" customFormat="1" ht="13" hidden="1" outlineLevel="1" x14ac:dyDescent="0.2">
      <c r="G181" s="42"/>
      <c r="U181" s="602"/>
      <c r="V181" s="602"/>
      <c r="W181" s="602"/>
      <c r="X181" s="602"/>
      <c r="Y181" s="602"/>
      <c r="Z181" s="602"/>
    </row>
    <row r="182" spans="2:26" s="40" customFormat="1" ht="13" x14ac:dyDescent="0.2">
      <c r="G182" s="42"/>
      <c r="K182" s="42"/>
      <c r="U182" s="602"/>
      <c r="V182" s="602"/>
      <c r="W182" s="602"/>
      <c r="X182" s="602"/>
      <c r="Y182" s="602"/>
      <c r="Z182" s="602"/>
    </row>
    <row r="183" spans="2:26" s="40" customFormat="1" ht="16" x14ac:dyDescent="0.2">
      <c r="B183" s="1820" t="s">
        <v>3005</v>
      </c>
      <c r="C183" s="1821"/>
      <c r="D183" s="1821"/>
      <c r="E183" s="1821"/>
      <c r="F183" s="1821"/>
      <c r="G183" s="1821"/>
      <c r="H183" s="1821"/>
      <c r="I183" s="1821"/>
      <c r="J183" s="1821"/>
      <c r="K183" s="1821"/>
      <c r="L183" s="1821"/>
      <c r="M183" s="1821"/>
      <c r="N183" s="1821"/>
      <c r="O183" s="1822"/>
      <c r="U183" s="602"/>
      <c r="V183" s="602"/>
      <c r="W183" s="602"/>
      <c r="X183" s="602"/>
      <c r="Y183" s="602"/>
      <c r="Z183" s="602"/>
    </row>
    <row r="184" spans="2:26" s="40" customFormat="1" ht="13" outlineLevel="1" x14ac:dyDescent="0.2">
      <c r="U184" s="602"/>
      <c r="V184" s="602"/>
      <c r="W184" s="602"/>
      <c r="X184" s="602"/>
      <c r="Y184" s="602"/>
      <c r="Z184" s="602"/>
    </row>
    <row r="185" spans="2:26" s="40" customFormat="1" ht="13" outlineLevel="1" x14ac:dyDescent="0.2">
      <c r="B185" s="195" t="s">
        <v>2851</v>
      </c>
      <c r="C185" s="196"/>
      <c r="D185" s="198"/>
      <c r="E185" s="198"/>
      <c r="F185" s="416"/>
      <c r="U185" s="602"/>
      <c r="V185" s="602"/>
      <c r="W185" s="602"/>
      <c r="X185" s="602"/>
      <c r="Y185" s="602"/>
      <c r="Z185" s="602"/>
    </row>
    <row r="186" spans="2:26" s="40" customFormat="1" ht="13" outlineLevel="1" x14ac:dyDescent="0.2">
      <c r="B186" s="204"/>
      <c r="C186" s="351"/>
      <c r="D186" s="205" t="s">
        <v>11</v>
      </c>
      <c r="E186" s="351" t="s">
        <v>64</v>
      </c>
      <c r="F186" s="445" t="s">
        <v>61</v>
      </c>
      <c r="U186" s="602"/>
      <c r="V186" s="602"/>
      <c r="W186" s="602"/>
      <c r="X186" s="602"/>
      <c r="Y186" s="602"/>
      <c r="Z186" s="602"/>
    </row>
    <row r="187" spans="2:26" s="40" customFormat="1" ht="13" outlineLevel="1" x14ac:dyDescent="0.2">
      <c r="B187" s="204"/>
      <c r="C187" s="351"/>
      <c r="D187" s="208" t="s">
        <v>2601</v>
      </c>
      <c r="E187" s="351" t="s">
        <v>2058</v>
      </c>
      <c r="F187" s="445"/>
      <c r="U187" s="602"/>
      <c r="V187" s="602"/>
      <c r="W187" s="602"/>
      <c r="X187" s="602"/>
      <c r="Y187" s="602"/>
      <c r="Z187" s="602"/>
    </row>
    <row r="188" spans="2:26" s="40" customFormat="1" ht="13" outlineLevel="1" x14ac:dyDescent="0.2">
      <c r="B188" s="200" t="str">
        <f>'Emissions factors'!B1807</f>
        <v>Lumber [1]</v>
      </c>
      <c r="C188" s="201"/>
      <c r="D188" s="238">
        <f>SUMIF(B80:B83,B188,F80:F83)</f>
        <v>0</v>
      </c>
      <c r="E188" s="446">
        <f>-500*44/12</f>
        <v>-1833.3333333333333</v>
      </c>
      <c r="F188" s="447">
        <f>D188*E188</f>
        <v>0</v>
      </c>
      <c r="U188" s="602"/>
      <c r="V188" s="602"/>
      <c r="W188" s="602"/>
      <c r="X188" s="602"/>
      <c r="Y188" s="602"/>
      <c r="Z188" s="602"/>
    </row>
    <row r="189" spans="2:26" s="40" customFormat="1" ht="13" outlineLevel="1" x14ac:dyDescent="0.2">
      <c r="B189" s="200"/>
      <c r="C189" s="201"/>
      <c r="D189" s="201"/>
      <c r="E189" s="201"/>
      <c r="F189" s="454"/>
      <c r="U189" s="602"/>
      <c r="V189" s="602"/>
      <c r="W189" s="602"/>
      <c r="X189" s="602"/>
      <c r="Y189" s="602"/>
      <c r="Z189" s="602"/>
    </row>
    <row r="190" spans="2:26" s="40" customFormat="1" ht="13" outlineLevel="1" x14ac:dyDescent="0.2">
      <c r="B190" s="253" t="s">
        <v>44</v>
      </c>
      <c r="C190" s="254"/>
      <c r="D190" s="256"/>
      <c r="E190" s="256"/>
      <c r="F190" s="451">
        <f>SUM(F188:F189)</f>
        <v>0</v>
      </c>
      <c r="U190" s="602"/>
      <c r="V190" s="602"/>
      <c r="W190" s="602"/>
      <c r="X190" s="602"/>
      <c r="Y190" s="602"/>
      <c r="Z190" s="602"/>
    </row>
    <row r="191" spans="2:26" s="40" customFormat="1" ht="13" outlineLevel="1" x14ac:dyDescent="0.2">
      <c r="K191" s="319"/>
      <c r="U191" s="602"/>
      <c r="V191" s="602"/>
      <c r="W191" s="602"/>
      <c r="X191" s="602"/>
      <c r="Y191" s="602"/>
      <c r="Z191" s="729"/>
    </row>
    <row r="192" spans="2:26" s="40" customFormat="1" ht="13" x14ac:dyDescent="0.2">
      <c r="K192" s="319"/>
      <c r="U192" s="729"/>
      <c r="V192" s="729"/>
      <c r="W192" s="729"/>
      <c r="X192" s="729"/>
      <c r="Y192" s="729"/>
      <c r="Z192" s="602"/>
    </row>
    <row r="193" spans="2:26" s="40" customFormat="1" ht="13" x14ac:dyDescent="0.2">
      <c r="K193" s="319"/>
      <c r="U193" s="729"/>
      <c r="V193" s="729"/>
      <c r="W193" s="729"/>
      <c r="X193" s="729"/>
      <c r="Y193" s="729"/>
      <c r="Z193" s="602"/>
    </row>
    <row r="194" spans="2:26" s="40" customFormat="1" ht="13" x14ac:dyDescent="0.2">
      <c r="K194" s="319"/>
      <c r="U194" s="729"/>
      <c r="V194" s="729"/>
      <c r="W194" s="729"/>
      <c r="X194" s="729"/>
      <c r="Y194" s="729"/>
      <c r="Z194" s="602"/>
    </row>
    <row r="195" spans="2:26" ht="20" customHeight="1" x14ac:dyDescent="0.2">
      <c r="B195" s="1780" t="str">
        <f>+Energia!B137</f>
        <v>Panoramica delle sorgenti di emissione di CO2e</v>
      </c>
      <c r="C195" s="1780"/>
      <c r="D195" s="1780"/>
      <c r="E195" s="1780"/>
      <c r="F195" s="1780"/>
      <c r="G195" s="1780"/>
      <c r="H195" s="1780"/>
      <c r="I195" s="1780"/>
      <c r="J195" s="1780"/>
      <c r="K195" s="1780"/>
      <c r="L195" s="1780"/>
      <c r="M195" s="1780"/>
      <c r="N195" s="1780"/>
      <c r="O195" s="1780"/>
      <c r="U195" s="602"/>
      <c r="V195" s="602"/>
      <c r="W195" s="602"/>
      <c r="X195" s="602"/>
      <c r="Y195" s="602"/>
      <c r="Z195" s="602"/>
    </row>
    <row r="196" spans="2:26" s="40" customFormat="1" ht="13" x14ac:dyDescent="0.2">
      <c r="U196" s="602"/>
      <c r="V196" s="602"/>
      <c r="W196" s="602"/>
      <c r="X196" s="602"/>
      <c r="Y196" s="602"/>
      <c r="Z196" s="602"/>
    </row>
    <row r="197" spans="2:26" s="40" customFormat="1" ht="13" x14ac:dyDescent="0.2">
      <c r="B197" s="1781" t="str">
        <f>Description!C18</f>
        <v>Input</v>
      </c>
      <c r="C197" s="1782"/>
      <c r="D197" s="1794" t="s">
        <v>56</v>
      </c>
      <c r="E197" s="1794"/>
      <c r="F197" s="1794"/>
      <c r="G197" s="52"/>
      <c r="H197" s="1794" t="s">
        <v>723</v>
      </c>
      <c r="I197" s="1794"/>
      <c r="J197" s="228"/>
      <c r="K197" s="1792" t="s">
        <v>2489</v>
      </c>
      <c r="L197" s="1793"/>
      <c r="M197" s="228"/>
      <c r="N197" s="194" t="s">
        <v>2491</v>
      </c>
      <c r="O197" s="194" t="s">
        <v>2492</v>
      </c>
      <c r="P197" s="229"/>
      <c r="Q197" s="1812" t="s">
        <v>2493</v>
      </c>
      <c r="R197" s="1812"/>
      <c r="S197" s="1812"/>
      <c r="T197" s="1812"/>
      <c r="U197" s="602"/>
      <c r="V197" s="602"/>
      <c r="W197" s="602"/>
      <c r="X197" s="602"/>
      <c r="Y197" s="602"/>
      <c r="Z197" s="602"/>
    </row>
    <row r="198" spans="2:26" s="40" customFormat="1" ht="13" x14ac:dyDescent="0.2">
      <c r="B198" s="1783"/>
      <c r="C198" s="1784"/>
      <c r="D198" s="342" t="s">
        <v>61</v>
      </c>
      <c r="E198" s="343" t="s">
        <v>66</v>
      </c>
      <c r="F198" s="342" t="s">
        <v>73</v>
      </c>
      <c r="G198" s="52"/>
      <c r="H198" s="342" t="s">
        <v>61</v>
      </c>
      <c r="I198" s="342" t="s">
        <v>47</v>
      </c>
      <c r="J198" s="228"/>
      <c r="K198" s="342" t="s">
        <v>2065</v>
      </c>
      <c r="L198" s="342" t="s">
        <v>2558</v>
      </c>
      <c r="M198" s="228"/>
      <c r="N198" s="230" t="s">
        <v>66</v>
      </c>
      <c r="O198" s="230" t="s">
        <v>66</v>
      </c>
      <c r="P198" s="229"/>
      <c r="Q198" s="344" t="s">
        <v>2494</v>
      </c>
      <c r="R198" s="344" t="s">
        <v>72</v>
      </c>
      <c r="S198" s="344" t="s">
        <v>72</v>
      </c>
      <c r="T198" s="344" t="s">
        <v>2495</v>
      </c>
      <c r="U198" s="602"/>
      <c r="V198" s="602"/>
      <c r="W198" s="602"/>
      <c r="X198" s="602"/>
      <c r="Y198" s="602"/>
      <c r="Z198" s="602"/>
    </row>
    <row r="199" spans="2:26" s="4" customFormat="1" ht="13" x14ac:dyDescent="0.15">
      <c r="B199" s="1788" t="str">
        <f>+B10</f>
        <v>Metalli</v>
      </c>
      <c r="C199" s="1789"/>
      <c r="D199" s="241">
        <f>D19</f>
        <v>0</v>
      </c>
      <c r="E199" s="242">
        <f t="shared" ref="E199:E207" si="18">D199/1000</f>
        <v>0</v>
      </c>
      <c r="F199" s="243">
        <f>IF($D$208=0,"",D199/$D$208)</f>
        <v>0</v>
      </c>
      <c r="G199" s="51"/>
      <c r="H199" s="193">
        <f>N19</f>
        <v>0</v>
      </c>
      <c r="I199" s="243" t="str">
        <f t="shared" ref="I199:I208" si="19">IF(D199=0,"",H199/D199)</f>
        <v/>
      </c>
      <c r="J199" s="229"/>
      <c r="K199" s="193">
        <f>Q19</f>
        <v>0</v>
      </c>
      <c r="L199" s="193">
        <f>S19</f>
        <v>0</v>
      </c>
      <c r="M199" s="229"/>
      <c r="N199" s="193">
        <f>L199/1000</f>
        <v>0</v>
      </c>
      <c r="O199" s="233">
        <f t="shared" ref="O199:O207" si="20">E199-N199</f>
        <v>0</v>
      </c>
      <c r="P199" s="229"/>
      <c r="Q199" s="245">
        <f t="shared" ref="Q199:Q208" si="21">(D199-H199)/1000</f>
        <v>0</v>
      </c>
      <c r="R199" s="245">
        <f>E199</f>
        <v>0</v>
      </c>
      <c r="S199" s="245">
        <f>E199</f>
        <v>0</v>
      </c>
      <c r="T199" s="245">
        <f t="shared" ref="T199:T208" si="22">(D199+H199)/1000</f>
        <v>0</v>
      </c>
      <c r="U199" s="754"/>
      <c r="V199" s="754"/>
      <c r="W199" s="754"/>
      <c r="X199" s="754"/>
      <c r="Y199" s="754"/>
      <c r="Z199" s="754"/>
    </row>
    <row r="200" spans="2:26" s="4" customFormat="1" ht="13" x14ac:dyDescent="0.15">
      <c r="B200" s="1788" t="str">
        <f>+B24</f>
        <v>Plastica</v>
      </c>
      <c r="C200" s="1789"/>
      <c r="D200" s="241">
        <f>D33</f>
        <v>0</v>
      </c>
      <c r="E200" s="242">
        <f t="shared" si="18"/>
        <v>0</v>
      </c>
      <c r="F200" s="243">
        <f t="shared" ref="F200:F208" si="23">IF($D$208=0,"",D200/$D$208)</f>
        <v>0</v>
      </c>
      <c r="G200" s="51"/>
      <c r="H200" s="193">
        <f>N33</f>
        <v>0</v>
      </c>
      <c r="I200" s="243" t="str">
        <f t="shared" si="19"/>
        <v/>
      </c>
      <c r="J200" s="229"/>
      <c r="K200" s="193">
        <f>Q33</f>
        <v>0</v>
      </c>
      <c r="L200" s="193">
        <f>S33</f>
        <v>0</v>
      </c>
      <c r="M200" s="229"/>
      <c r="N200" s="193">
        <f t="shared" ref="N200:N207" si="24">L200/1000</f>
        <v>0</v>
      </c>
      <c r="O200" s="233">
        <f t="shared" si="20"/>
        <v>0</v>
      </c>
      <c r="P200" s="229"/>
      <c r="Q200" s="245">
        <f t="shared" si="21"/>
        <v>0</v>
      </c>
      <c r="R200" s="245">
        <f>E200</f>
        <v>0</v>
      </c>
      <c r="S200" s="245">
        <f>E200</f>
        <v>0</v>
      </c>
      <c r="T200" s="245">
        <f t="shared" si="22"/>
        <v>0</v>
      </c>
      <c r="U200" s="754"/>
      <c r="V200" s="754"/>
      <c r="W200" s="754"/>
      <c r="X200" s="754"/>
      <c r="Y200" s="754"/>
      <c r="Z200" s="754"/>
    </row>
    <row r="201" spans="2:26" s="4" customFormat="1" ht="13" x14ac:dyDescent="0.15">
      <c r="B201" s="1788" t="str">
        <f>+B38</f>
        <v>Vetro</v>
      </c>
      <c r="C201" s="1789"/>
      <c r="D201" s="241">
        <f>D47</f>
        <v>0</v>
      </c>
      <c r="E201" s="242">
        <f t="shared" si="18"/>
        <v>0</v>
      </c>
      <c r="F201" s="243">
        <f t="shared" si="23"/>
        <v>0</v>
      </c>
      <c r="G201" s="51"/>
      <c r="H201" s="193">
        <f>N47</f>
        <v>0</v>
      </c>
      <c r="I201" s="243" t="str">
        <f t="shared" si="19"/>
        <v/>
      </c>
      <c r="J201" s="229"/>
      <c r="K201" s="193">
        <f>Q47</f>
        <v>0</v>
      </c>
      <c r="L201" s="193">
        <f>S47</f>
        <v>0</v>
      </c>
      <c r="M201" s="229"/>
      <c r="N201" s="193">
        <f t="shared" si="24"/>
        <v>0</v>
      </c>
      <c r="O201" s="233">
        <f t="shared" si="20"/>
        <v>0</v>
      </c>
      <c r="P201" s="229"/>
      <c r="Q201" s="245">
        <f t="shared" si="21"/>
        <v>0</v>
      </c>
      <c r="R201" s="245">
        <f t="shared" ref="R201:R208" si="25">E201</f>
        <v>0</v>
      </c>
      <c r="S201" s="245">
        <f t="shared" ref="S201:S208" si="26">E201</f>
        <v>0</v>
      </c>
      <c r="T201" s="245">
        <f t="shared" si="22"/>
        <v>0</v>
      </c>
      <c r="U201" s="754"/>
      <c r="V201" s="754"/>
      <c r="W201" s="754"/>
      <c r="X201" s="754"/>
      <c r="Y201" s="754"/>
      <c r="Z201" s="754"/>
    </row>
    <row r="202" spans="2:26" s="4" customFormat="1" ht="13" x14ac:dyDescent="0.15">
      <c r="B202" s="1788" t="str">
        <f>+B52</f>
        <v>Carta, Cartone</v>
      </c>
      <c r="C202" s="1789"/>
      <c r="D202" s="241">
        <f>D60</f>
        <v>0</v>
      </c>
      <c r="E202" s="242">
        <f t="shared" si="18"/>
        <v>0</v>
      </c>
      <c r="F202" s="243">
        <f t="shared" si="23"/>
        <v>0</v>
      </c>
      <c r="G202" s="51"/>
      <c r="H202" s="193">
        <f>N60</f>
        <v>0</v>
      </c>
      <c r="I202" s="243" t="str">
        <f t="shared" si="19"/>
        <v/>
      </c>
      <c r="J202" s="229"/>
      <c r="K202" s="193">
        <f>Q60</f>
        <v>0</v>
      </c>
      <c r="L202" s="193">
        <f>S60</f>
        <v>0</v>
      </c>
      <c r="M202" s="229"/>
      <c r="N202" s="193">
        <f t="shared" si="24"/>
        <v>0</v>
      </c>
      <c r="O202" s="233">
        <f t="shared" si="20"/>
        <v>0</v>
      </c>
      <c r="P202" s="229"/>
      <c r="Q202" s="245">
        <f t="shared" si="21"/>
        <v>0</v>
      </c>
      <c r="R202" s="245">
        <f t="shared" si="25"/>
        <v>0</v>
      </c>
      <c r="S202" s="245">
        <f t="shared" si="26"/>
        <v>0</v>
      </c>
      <c r="T202" s="245">
        <f t="shared" si="22"/>
        <v>0</v>
      </c>
      <c r="U202" s="754"/>
      <c r="V202" s="754"/>
      <c r="W202" s="754"/>
      <c r="X202" s="754"/>
      <c r="Y202" s="754"/>
      <c r="Z202" s="754"/>
    </row>
    <row r="203" spans="2:26" s="4" customFormat="1" ht="13" x14ac:dyDescent="0.15">
      <c r="B203" s="1788" t="str">
        <f>+B63</f>
        <v>Materiali da costruzione</v>
      </c>
      <c r="C203" s="1789"/>
      <c r="D203" s="241">
        <f>D74+D85</f>
        <v>96800.000000000015</v>
      </c>
      <c r="E203" s="242">
        <f t="shared" si="18"/>
        <v>96.800000000000011</v>
      </c>
      <c r="F203" s="243">
        <f t="shared" si="23"/>
        <v>1</v>
      </c>
      <c r="G203" s="51"/>
      <c r="H203" s="193">
        <f>SQRT(N74^2+N85^2)</f>
        <v>19360.000000000004</v>
      </c>
      <c r="I203" s="243">
        <f t="shared" si="19"/>
        <v>0.2</v>
      </c>
      <c r="J203" s="229"/>
      <c r="K203" s="193">
        <f>Q74+Q85</f>
        <v>0</v>
      </c>
      <c r="L203" s="193">
        <f>S74+S85</f>
        <v>0</v>
      </c>
      <c r="M203" s="229"/>
      <c r="N203" s="193">
        <f t="shared" si="24"/>
        <v>0</v>
      </c>
      <c r="O203" s="233">
        <f t="shared" si="20"/>
        <v>96.800000000000011</v>
      </c>
      <c r="P203" s="229"/>
      <c r="Q203" s="245">
        <f t="shared" si="21"/>
        <v>77.440000000000012</v>
      </c>
      <c r="R203" s="245">
        <f t="shared" si="25"/>
        <v>96.800000000000011</v>
      </c>
      <c r="S203" s="245">
        <f t="shared" si="26"/>
        <v>96.800000000000011</v>
      </c>
      <c r="T203" s="245">
        <f t="shared" si="22"/>
        <v>116.16000000000001</v>
      </c>
      <c r="U203" s="754"/>
      <c r="V203" s="754"/>
      <c r="W203" s="754"/>
      <c r="X203" s="754"/>
      <c r="Y203" s="754"/>
      <c r="Z203" s="754"/>
    </row>
    <row r="204" spans="2:26" s="4" customFormat="1" ht="13" x14ac:dyDescent="0.15">
      <c r="B204" s="1788" t="str">
        <f>+B88</f>
        <v>Prodotti chimici e tessuti sintetici</v>
      </c>
      <c r="C204" s="1789"/>
      <c r="D204" s="241">
        <f>D99</f>
        <v>0</v>
      </c>
      <c r="E204" s="242">
        <f t="shared" si="18"/>
        <v>0</v>
      </c>
      <c r="F204" s="243">
        <f t="shared" si="23"/>
        <v>0</v>
      </c>
      <c r="G204" s="51"/>
      <c r="H204" s="193">
        <f>N99</f>
        <v>0</v>
      </c>
      <c r="I204" s="243" t="str">
        <f t="shared" si="19"/>
        <v/>
      </c>
      <c r="J204" s="229"/>
      <c r="K204" s="193">
        <f>Q99</f>
        <v>0</v>
      </c>
      <c r="L204" s="193">
        <f>S99</f>
        <v>0</v>
      </c>
      <c r="M204" s="229"/>
      <c r="N204" s="193">
        <f t="shared" si="24"/>
        <v>0</v>
      </c>
      <c r="O204" s="233">
        <f t="shared" si="20"/>
        <v>0</v>
      </c>
      <c r="P204" s="229"/>
      <c r="Q204" s="245">
        <f t="shared" si="21"/>
        <v>0</v>
      </c>
      <c r="R204" s="245">
        <f t="shared" si="25"/>
        <v>0</v>
      </c>
      <c r="S204" s="245">
        <f t="shared" si="26"/>
        <v>0</v>
      </c>
      <c r="T204" s="245">
        <f t="shared" si="22"/>
        <v>0</v>
      </c>
      <c r="U204" s="754"/>
      <c r="V204" s="754"/>
      <c r="W204" s="754"/>
      <c r="X204" s="754"/>
      <c r="Y204" s="754"/>
      <c r="Z204" s="754"/>
    </row>
    <row r="205" spans="2:26" s="4" customFormat="1" ht="13" x14ac:dyDescent="0.15">
      <c r="B205" s="1788" t="str">
        <f>+B102</f>
        <v>Prodotti agricoli</v>
      </c>
      <c r="C205" s="1789"/>
      <c r="D205" s="241">
        <f>D135+D154</f>
        <v>0</v>
      </c>
      <c r="E205" s="242">
        <f t="shared" si="18"/>
        <v>0</v>
      </c>
      <c r="F205" s="243">
        <f t="shared" si="23"/>
        <v>0</v>
      </c>
      <c r="G205" s="51"/>
      <c r="H205" s="193">
        <f>SQRT(N135^2+N154^2)</f>
        <v>0</v>
      </c>
      <c r="I205" s="243" t="str">
        <f t="shared" si="19"/>
        <v/>
      </c>
      <c r="J205" s="229"/>
      <c r="K205" s="193">
        <f>Q135+Q154</f>
        <v>0</v>
      </c>
      <c r="L205" s="193">
        <f>S135+S154</f>
        <v>0</v>
      </c>
      <c r="M205" s="229"/>
      <c r="N205" s="193">
        <f>L205/1000</f>
        <v>0</v>
      </c>
      <c r="O205" s="233">
        <f t="shared" si="20"/>
        <v>0</v>
      </c>
      <c r="P205" s="229"/>
      <c r="Q205" s="245">
        <f t="shared" si="21"/>
        <v>0</v>
      </c>
      <c r="R205" s="245">
        <f>E205</f>
        <v>0</v>
      </c>
      <c r="S205" s="245">
        <f>E205</f>
        <v>0</v>
      </c>
      <c r="T205" s="245">
        <f t="shared" si="22"/>
        <v>0</v>
      </c>
      <c r="U205" s="754"/>
      <c r="V205" s="754"/>
      <c r="W205" s="754"/>
      <c r="X205" s="754"/>
      <c r="Y205" s="754"/>
      <c r="Z205" s="754"/>
    </row>
    <row r="206" spans="2:26" s="4" customFormat="1" ht="13" x14ac:dyDescent="0.15">
      <c r="B206" s="1788" t="str">
        <f>+B157</f>
        <v>Altri input</v>
      </c>
      <c r="C206" s="1789"/>
      <c r="D206" s="241">
        <f>D167</f>
        <v>0</v>
      </c>
      <c r="E206" s="242">
        <f t="shared" si="18"/>
        <v>0</v>
      </c>
      <c r="F206" s="243">
        <f t="shared" si="23"/>
        <v>0</v>
      </c>
      <c r="G206" s="51"/>
      <c r="H206" s="193">
        <f>N167</f>
        <v>0</v>
      </c>
      <c r="I206" s="243" t="str">
        <f t="shared" si="19"/>
        <v/>
      </c>
      <c r="J206" s="229"/>
      <c r="K206" s="193">
        <f>Q167</f>
        <v>0</v>
      </c>
      <c r="L206" s="193">
        <f>S167</f>
        <v>0</v>
      </c>
      <c r="M206" s="229"/>
      <c r="N206" s="193">
        <f t="shared" si="24"/>
        <v>0</v>
      </c>
      <c r="O206" s="233">
        <f t="shared" si="20"/>
        <v>0</v>
      </c>
      <c r="P206" s="229"/>
      <c r="Q206" s="245">
        <f t="shared" si="21"/>
        <v>0</v>
      </c>
      <c r="R206" s="245">
        <f t="shared" si="25"/>
        <v>0</v>
      </c>
      <c r="S206" s="245">
        <f t="shared" si="26"/>
        <v>0</v>
      </c>
      <c r="T206" s="245">
        <f t="shared" si="22"/>
        <v>0</v>
      </c>
      <c r="U206" s="754"/>
      <c r="V206" s="754"/>
      <c r="W206" s="754"/>
      <c r="X206" s="754"/>
      <c r="Y206" s="754"/>
      <c r="Z206" s="754"/>
    </row>
    <row r="207" spans="2:26" s="4" customFormat="1" ht="13" x14ac:dyDescent="0.15">
      <c r="B207" s="1788" t="str">
        <f>+B170</f>
        <v>Uso del valore monetario</v>
      </c>
      <c r="C207" s="1789"/>
      <c r="D207" s="241">
        <f>D180</f>
        <v>0</v>
      </c>
      <c r="E207" s="242">
        <f t="shared" si="18"/>
        <v>0</v>
      </c>
      <c r="F207" s="243">
        <f t="shared" si="23"/>
        <v>0</v>
      </c>
      <c r="G207" s="51"/>
      <c r="H207" s="193">
        <f>N180</f>
        <v>0</v>
      </c>
      <c r="I207" s="243" t="str">
        <f t="shared" si="19"/>
        <v/>
      </c>
      <c r="J207" s="229"/>
      <c r="K207" s="193">
        <f>Q180</f>
        <v>0</v>
      </c>
      <c r="L207" s="193">
        <f>S180</f>
        <v>0</v>
      </c>
      <c r="M207" s="229"/>
      <c r="N207" s="193">
        <f t="shared" si="24"/>
        <v>0</v>
      </c>
      <c r="O207" s="233">
        <f t="shared" si="20"/>
        <v>0</v>
      </c>
      <c r="P207" s="229"/>
      <c r="Q207" s="245">
        <f t="shared" si="21"/>
        <v>0</v>
      </c>
      <c r="R207" s="245">
        <f t="shared" si="25"/>
        <v>0</v>
      </c>
      <c r="S207" s="245">
        <f t="shared" si="26"/>
        <v>0</v>
      </c>
      <c r="T207" s="245">
        <f t="shared" si="22"/>
        <v>0</v>
      </c>
      <c r="U207" s="754"/>
      <c r="V207" s="754"/>
      <c r="W207" s="754"/>
      <c r="X207" s="754"/>
      <c r="Y207" s="754"/>
      <c r="Z207" s="754"/>
    </row>
    <row r="208" spans="2:26" s="14" customFormat="1" ht="16" x14ac:dyDescent="0.2">
      <c r="B208" s="1790" t="s">
        <v>2828</v>
      </c>
      <c r="C208" s="1791"/>
      <c r="D208" s="246">
        <f>SUM(D199:D207)</f>
        <v>96800.000000000015</v>
      </c>
      <c r="E208" s="247">
        <f>SUM(E199:E207)</f>
        <v>96.800000000000011</v>
      </c>
      <c r="F208" s="248">
        <f t="shared" si="23"/>
        <v>1</v>
      </c>
      <c r="G208" s="249"/>
      <c r="H208" s="246">
        <f>SQRT(SUMSQ(H199:H207))</f>
        <v>19360.000000000004</v>
      </c>
      <c r="I208" s="248">
        <f t="shared" si="19"/>
        <v>0.2</v>
      </c>
      <c r="J208" s="229"/>
      <c r="K208" s="246">
        <f>SUM(K199:K207)</f>
        <v>0</v>
      </c>
      <c r="L208" s="246">
        <f>SUM(L199:L207)</f>
        <v>0</v>
      </c>
      <c r="M208" s="250"/>
      <c r="N208" s="246">
        <f>SUM(N199:N207)</f>
        <v>0</v>
      </c>
      <c r="O208" s="251">
        <f>SUM(O199:O207)</f>
        <v>96.800000000000011</v>
      </c>
      <c r="P208" s="252"/>
      <c r="Q208" s="245">
        <f t="shared" si="21"/>
        <v>77.440000000000012</v>
      </c>
      <c r="R208" s="245">
        <f t="shared" si="25"/>
        <v>96.800000000000011</v>
      </c>
      <c r="S208" s="245">
        <f t="shared" si="26"/>
        <v>96.800000000000011</v>
      </c>
      <c r="T208" s="245">
        <f t="shared" si="22"/>
        <v>116.16000000000001</v>
      </c>
      <c r="U208" s="776"/>
      <c r="V208" s="776"/>
      <c r="W208" s="776"/>
      <c r="X208" s="776"/>
      <c r="Y208" s="776"/>
      <c r="Z208" s="776"/>
    </row>
    <row r="209" spans="2:51" s="4" customFormat="1" ht="13" x14ac:dyDescent="0.15">
      <c r="B209" s="192"/>
      <c r="C209" s="192"/>
      <c r="D209" s="192"/>
      <c r="E209" s="192"/>
      <c r="F209" s="192"/>
      <c r="G209" s="192"/>
      <c r="H209" s="231"/>
      <c r="I209" s="231"/>
      <c r="J209" s="287" t="s">
        <v>2496</v>
      </c>
      <c r="K209" s="288">
        <f>IF($D208=0,"",K208/$D208)</f>
        <v>0</v>
      </c>
      <c r="L209" s="288">
        <f>IF($D208=0,"",L208/$D208)</f>
        <v>0</v>
      </c>
      <c r="M209" s="231"/>
      <c r="N209" s="231"/>
      <c r="O209" s="231"/>
      <c r="P209" s="232"/>
      <c r="Q209" s="232"/>
      <c r="R209" s="232"/>
      <c r="S209" s="232"/>
      <c r="T209" s="232"/>
      <c r="U209" s="754"/>
      <c r="V209" s="754"/>
      <c r="W209" s="754"/>
      <c r="X209" s="754"/>
      <c r="Y209" s="754"/>
      <c r="Z209" s="754"/>
    </row>
    <row r="210" spans="2:51" ht="13" customHeight="1" x14ac:dyDescent="0.2">
      <c r="J210" s="295"/>
      <c r="K210" s="295"/>
      <c r="L210" s="295"/>
      <c r="U210" s="602"/>
      <c r="V210" s="602"/>
      <c r="W210" s="602"/>
      <c r="X210" s="602"/>
      <c r="Y210" s="602"/>
    </row>
    <row r="211" spans="2:51" s="40" customFormat="1" ht="13" customHeight="1" x14ac:dyDescent="0.2">
      <c r="B211" s="1816" t="s">
        <v>2850</v>
      </c>
      <c r="C211" s="1817"/>
      <c r="D211" s="595" t="s">
        <v>61</v>
      </c>
      <c r="E211" s="595" t="s">
        <v>66</v>
      </c>
      <c r="F211" s="348"/>
      <c r="G211" s="39"/>
      <c r="H211" s="39"/>
      <c r="I211" s="39"/>
      <c r="J211" s="293"/>
      <c r="K211" s="295"/>
      <c r="L211" s="295"/>
      <c r="M211" s="293"/>
      <c r="N211" s="39"/>
      <c r="O211" s="39"/>
      <c r="Q211" s="39"/>
      <c r="R211" s="39"/>
      <c r="S211" s="39"/>
      <c r="T211" s="39"/>
      <c r="U211" s="729"/>
      <c r="V211" s="729"/>
      <c r="W211" s="729"/>
      <c r="X211" s="729"/>
      <c r="Y211" s="729"/>
      <c r="Z211" s="729"/>
    </row>
    <row r="212" spans="2:51" ht="13" customHeight="1" x14ac:dyDescent="0.2">
      <c r="B212" s="1818" t="s">
        <v>2851</v>
      </c>
      <c r="C212" s="1819"/>
      <c r="D212" s="596">
        <f>F190</f>
        <v>0</v>
      </c>
      <c r="E212" s="597">
        <f>D212/1000</f>
        <v>0</v>
      </c>
      <c r="F212" s="349"/>
      <c r="G212" s="293"/>
      <c r="J212" s="295"/>
      <c r="K212" s="295"/>
      <c r="L212" s="295"/>
    </row>
    <row r="213" spans="2:51" ht="13" customHeight="1" x14ac:dyDescent="0.2">
      <c r="D213" s="295"/>
      <c r="E213" s="320"/>
      <c r="G213" s="295"/>
      <c r="I213" s="295"/>
      <c r="J213" s="295"/>
      <c r="K213" s="295"/>
    </row>
    <row r="214" spans="2:51" ht="13" customHeight="1" x14ac:dyDescent="0.2">
      <c r="U214" s="752"/>
      <c r="V214" s="752"/>
      <c r="W214" s="752"/>
      <c r="X214" s="752"/>
      <c r="Y214" s="752"/>
      <c r="Z214" s="602"/>
    </row>
    <row r="215" spans="2:51" ht="16" x14ac:dyDescent="0.2">
      <c r="B215" s="1774" t="str">
        <f>+Energia!B150</f>
        <v>Panoramica delle categorie definite nel  GHG Protocol</v>
      </c>
      <c r="C215" s="1775"/>
      <c r="D215" s="1775"/>
      <c r="E215" s="1775"/>
      <c r="F215" s="1775"/>
      <c r="G215" s="1775"/>
      <c r="H215" s="1775"/>
      <c r="I215" s="1775"/>
      <c r="J215" s="1775"/>
      <c r="K215" s="1775"/>
      <c r="L215" s="1775"/>
      <c r="M215" s="1775"/>
      <c r="N215" s="1775"/>
      <c r="O215" s="1776"/>
      <c r="U215" s="39"/>
      <c r="V215" s="39"/>
      <c r="W215" s="1162"/>
      <c r="X215" s="39"/>
      <c r="Y215" s="39"/>
      <c r="Z215" s="39"/>
      <c r="AB215" s="1162"/>
      <c r="AF215" s="1162"/>
      <c r="AK215" s="729"/>
      <c r="AL215" s="729"/>
      <c r="AM215" s="729"/>
      <c r="AN215" s="729"/>
      <c r="AO215" s="729"/>
      <c r="AP215" s="729"/>
      <c r="AQ215" s="729"/>
      <c r="AR215" s="729"/>
      <c r="AS215" s="729"/>
      <c r="AT215" s="729"/>
      <c r="AU215" s="729"/>
      <c r="AV215" s="729"/>
    </row>
    <row r="216" spans="2:51" outlineLevel="1" x14ac:dyDescent="0.2">
      <c r="U216" s="39"/>
      <c r="V216" s="39"/>
      <c r="W216" s="1162"/>
      <c r="X216" s="39"/>
      <c r="Y216" s="39"/>
      <c r="Z216" s="39"/>
      <c r="AB216" s="1162"/>
      <c r="AF216" s="1162"/>
      <c r="AK216" s="729"/>
      <c r="AL216" s="729"/>
      <c r="AM216" s="729"/>
      <c r="AN216" s="729"/>
      <c r="AO216" s="729"/>
      <c r="AP216" s="729"/>
      <c r="AQ216" s="729"/>
      <c r="AR216" s="729"/>
      <c r="AS216" s="729"/>
      <c r="AT216" s="729"/>
      <c r="AU216" s="729"/>
      <c r="AV216" s="729"/>
    </row>
    <row r="217" spans="2:51" ht="28" outlineLevel="1" x14ac:dyDescent="0.2">
      <c r="B217" s="118"/>
      <c r="C217" s="118"/>
      <c r="D217" s="118"/>
      <c r="E217" s="1777" t="s">
        <v>2498</v>
      </c>
      <c r="F217" s="1779"/>
      <c r="G217" s="1779"/>
      <c r="H217" s="1779"/>
      <c r="I217" s="1779"/>
      <c r="J217" s="1779"/>
      <c r="K217" s="1779"/>
      <c r="L217" s="1779"/>
      <c r="M217" s="1779"/>
      <c r="N217" s="1778"/>
      <c r="O217" s="1249" t="s">
        <v>2517</v>
      </c>
      <c r="U217" s="39"/>
      <c r="V217" s="39"/>
      <c r="W217" s="1162"/>
      <c r="X217" s="39"/>
      <c r="Y217" s="39"/>
      <c r="Z217" s="39"/>
      <c r="AB217" s="1162"/>
      <c r="AF217" s="1162"/>
      <c r="AK217" s="729"/>
      <c r="AL217" s="729"/>
      <c r="AM217" s="729"/>
      <c r="AN217" s="729"/>
      <c r="AO217" s="729"/>
      <c r="AP217" s="729"/>
      <c r="AQ217" s="729"/>
      <c r="AR217" s="729"/>
      <c r="AS217" s="729"/>
      <c r="AT217" s="729"/>
      <c r="AU217" s="729"/>
      <c r="AV217" s="729"/>
    </row>
    <row r="218" spans="2:51" ht="28" outlineLevel="1" x14ac:dyDescent="0.2">
      <c r="B218" s="1777" t="str">
        <f>+Energia!B153</f>
        <v>Sorgenti di emissione</v>
      </c>
      <c r="C218" s="1778"/>
      <c r="D218" s="1251" t="s">
        <v>2500</v>
      </c>
      <c r="E218" s="1250" t="s">
        <v>666</v>
      </c>
      <c r="F218" s="1250" t="s">
        <v>667</v>
      </c>
      <c r="G218" s="1250" t="s">
        <v>668</v>
      </c>
      <c r="H218" s="1250" t="s">
        <v>670</v>
      </c>
      <c r="I218" s="1250" t="s">
        <v>671</v>
      </c>
      <c r="J218" s="1250" t="s">
        <v>672</v>
      </c>
      <c r="K218" s="1250" t="s">
        <v>2584</v>
      </c>
      <c r="L218" s="1251" t="s">
        <v>69</v>
      </c>
      <c r="M218" s="1250" t="s">
        <v>669</v>
      </c>
      <c r="N218" s="1250" t="s">
        <v>2586</v>
      </c>
      <c r="O218" s="1251" t="s">
        <v>69</v>
      </c>
      <c r="U218" s="39"/>
      <c r="V218" s="39"/>
      <c r="W218" s="39"/>
      <c r="X218" s="39"/>
      <c r="Y218" s="39"/>
      <c r="Z218" s="1162"/>
      <c r="AE218" s="1162"/>
      <c r="AI218" s="1162"/>
      <c r="AN218" s="729"/>
      <c r="AO218" s="729"/>
      <c r="AP218" s="729"/>
      <c r="AQ218" s="729"/>
      <c r="AR218" s="729"/>
      <c r="AS218" s="729"/>
      <c r="AT218" s="729"/>
      <c r="AU218" s="729"/>
      <c r="AV218" s="729"/>
      <c r="AW218" s="729"/>
      <c r="AX218" s="729"/>
      <c r="AY218" s="729"/>
    </row>
    <row r="219" spans="2:51" ht="14" outlineLevel="1" x14ac:dyDescent="0.2">
      <c r="B219" s="1749" t="str">
        <f>+Energia!B154</f>
        <v xml:space="preserve">Emissioni dirette da sorgenti di combustione stazionarie </v>
      </c>
      <c r="C219" s="1749"/>
      <c r="D219" s="1245" t="s">
        <v>99</v>
      </c>
      <c r="E219" s="1239"/>
      <c r="F219" s="1239"/>
      <c r="G219" s="1239"/>
      <c r="H219" s="1239"/>
      <c r="I219" s="1239"/>
      <c r="J219" s="1239"/>
      <c r="K219" s="1239"/>
      <c r="L219" s="1248"/>
      <c r="M219" s="1237"/>
      <c r="N219" s="1242"/>
      <c r="O219" s="1241"/>
      <c r="U219" s="39"/>
      <c r="V219" s="39"/>
      <c r="W219" s="39"/>
      <c r="X219" s="39"/>
      <c r="Y219" s="39"/>
      <c r="Z219" s="1162"/>
      <c r="AE219" s="1162"/>
      <c r="AI219" s="1162"/>
      <c r="AN219" s="729"/>
      <c r="AO219" s="729"/>
      <c r="AP219" s="729"/>
      <c r="AQ219" s="729"/>
      <c r="AR219" s="729"/>
      <c r="AS219" s="729"/>
      <c r="AT219" s="729"/>
      <c r="AU219" s="729"/>
      <c r="AV219" s="729"/>
      <c r="AW219" s="729"/>
      <c r="AX219" s="729"/>
      <c r="AY219" s="729"/>
    </row>
    <row r="220" spans="2:51" ht="14" outlineLevel="1" x14ac:dyDescent="0.2">
      <c r="B220" s="1749" t="str">
        <f>+Energia!B155</f>
        <v>Emissioni dirette da sorgenti di combustione mobili</v>
      </c>
      <c r="C220" s="1749"/>
      <c r="D220" s="1246" t="s">
        <v>100</v>
      </c>
      <c r="E220" s="1239"/>
      <c r="F220" s="1239"/>
      <c r="G220" s="1239"/>
      <c r="H220" s="1239"/>
      <c r="I220" s="1239"/>
      <c r="J220" s="1239"/>
      <c r="K220" s="1239"/>
      <c r="L220" s="1248"/>
      <c r="M220" s="1237"/>
      <c r="N220" s="1242"/>
      <c r="O220" s="1241"/>
      <c r="U220" s="39"/>
      <c r="V220" s="39"/>
      <c r="W220" s="39"/>
      <c r="X220" s="39"/>
      <c r="Y220" s="39"/>
      <c r="Z220" s="1162"/>
      <c r="AE220" s="1162"/>
      <c r="AI220" s="1162"/>
      <c r="AN220" s="729"/>
      <c r="AO220" s="729"/>
      <c r="AP220" s="729"/>
      <c r="AQ220" s="729"/>
      <c r="AR220" s="729"/>
      <c r="AS220" s="729"/>
      <c r="AT220" s="729"/>
      <c r="AU220" s="729"/>
      <c r="AV220" s="729"/>
      <c r="AW220" s="729"/>
      <c r="AX220" s="729"/>
      <c r="AY220" s="729"/>
    </row>
    <row r="221" spans="2:51" ht="14" outlineLevel="1" x14ac:dyDescent="0.2">
      <c r="B221" s="1749" t="str">
        <f>+Energia!B156</f>
        <v>Emissioni dirette da  processi</v>
      </c>
      <c r="C221" s="1749"/>
      <c r="D221" s="1246" t="s">
        <v>101</v>
      </c>
      <c r="E221" s="1239"/>
      <c r="F221" s="1239"/>
      <c r="G221" s="1239"/>
      <c r="H221" s="1239"/>
      <c r="I221" s="1239"/>
      <c r="J221" s="1239"/>
      <c r="K221" s="1239"/>
      <c r="L221" s="1248"/>
      <c r="M221" s="1237"/>
      <c r="N221" s="1242"/>
      <c r="O221" s="1241"/>
      <c r="U221" s="39"/>
      <c r="V221" s="39"/>
      <c r="W221" s="39"/>
      <c r="X221" s="39"/>
      <c r="Y221" s="39"/>
      <c r="Z221" s="1162"/>
      <c r="AE221" s="1162"/>
      <c r="AI221" s="1162"/>
      <c r="AN221" s="729"/>
      <c r="AO221" s="729"/>
      <c r="AP221" s="729"/>
      <c r="AQ221" s="729"/>
      <c r="AR221" s="729"/>
      <c r="AS221" s="729"/>
      <c r="AT221" s="729"/>
      <c r="AU221" s="729"/>
      <c r="AV221" s="729"/>
      <c r="AW221" s="729"/>
      <c r="AX221" s="729"/>
      <c r="AY221" s="729"/>
    </row>
    <row r="222" spans="2:51" ht="14" outlineLevel="1" x14ac:dyDescent="0.2">
      <c r="B222" s="1749" t="str">
        <f>+Energia!B157</f>
        <v>Emissioni dirette da  fonti fugitive</v>
      </c>
      <c r="C222" s="1749"/>
      <c r="D222" s="1246" t="s">
        <v>102</v>
      </c>
      <c r="E222" s="1239"/>
      <c r="F222" s="1239"/>
      <c r="G222" s="1239"/>
      <c r="H222" s="1239"/>
      <c r="I222" s="1239"/>
      <c r="J222" s="1239"/>
      <c r="K222" s="1239"/>
      <c r="L222" s="1248"/>
      <c r="M222" s="1237"/>
      <c r="N222" s="1242"/>
      <c r="O222" s="1241"/>
      <c r="U222" s="39"/>
      <c r="V222" s="39"/>
      <c r="W222" s="39"/>
      <c r="X222" s="39"/>
      <c r="Y222" s="39"/>
      <c r="Z222" s="1162"/>
      <c r="AE222" s="1162"/>
      <c r="AI222" s="1162"/>
      <c r="AN222" s="729"/>
      <c r="AO222" s="729"/>
      <c r="AP222" s="729"/>
      <c r="AQ222" s="729"/>
      <c r="AR222" s="729"/>
      <c r="AS222" s="729"/>
      <c r="AT222" s="729"/>
      <c r="AU222" s="729"/>
      <c r="AV222" s="729"/>
      <c r="AW222" s="729"/>
      <c r="AX222" s="729"/>
      <c r="AY222" s="729"/>
    </row>
    <row r="223" spans="2:51" ht="13" outlineLevel="1" x14ac:dyDescent="0.2">
      <c r="B223" s="1766" t="s">
        <v>98</v>
      </c>
      <c r="C223" s="1767"/>
      <c r="D223" s="1768"/>
      <c r="E223" s="1236">
        <f t="shared" ref="E223:O223" si="27">SUM(E219:E222)</f>
        <v>0</v>
      </c>
      <c r="F223" s="1236">
        <f t="shared" si="27"/>
        <v>0</v>
      </c>
      <c r="G223" s="1236">
        <f t="shared" si="27"/>
        <v>0</v>
      </c>
      <c r="H223" s="1236">
        <f t="shared" si="27"/>
        <v>0</v>
      </c>
      <c r="I223" s="1236">
        <f t="shared" si="27"/>
        <v>0</v>
      </c>
      <c r="J223" s="1236">
        <f t="shared" si="27"/>
        <v>0</v>
      </c>
      <c r="K223" s="1236">
        <f t="shared" si="27"/>
        <v>0</v>
      </c>
      <c r="L223" s="1236">
        <f t="shared" si="27"/>
        <v>0</v>
      </c>
      <c r="M223" s="1247">
        <f t="shared" si="27"/>
        <v>0</v>
      </c>
      <c r="N223" s="1243">
        <f>SQRT(SUMSQ(N219:N222))</f>
        <v>0</v>
      </c>
      <c r="O223" s="1244">
        <f t="shared" si="27"/>
        <v>0</v>
      </c>
      <c r="U223" s="39"/>
      <c r="V223" s="39"/>
      <c r="W223" s="39"/>
      <c r="X223" s="39"/>
      <c r="Y223" s="39"/>
      <c r="Z223" s="1162"/>
      <c r="AE223" s="1162"/>
      <c r="AI223" s="1162"/>
      <c r="AN223" s="729"/>
      <c r="AO223" s="729"/>
      <c r="AP223" s="729"/>
      <c r="AQ223" s="729"/>
      <c r="AR223" s="729"/>
      <c r="AS223" s="729"/>
      <c r="AT223" s="729"/>
      <c r="AU223" s="729"/>
      <c r="AV223" s="729"/>
      <c r="AW223" s="729"/>
      <c r="AX223" s="729"/>
      <c r="AY223" s="729"/>
    </row>
    <row r="224" spans="2:51" ht="14" outlineLevel="1" x14ac:dyDescent="0.2">
      <c r="B224" s="1749" t="str">
        <f>+Energia!B159</f>
        <v xml:space="preserve">Emissioni indirette da consumo di elettricità </v>
      </c>
      <c r="C224" s="1749"/>
      <c r="D224" s="1246" t="s">
        <v>103</v>
      </c>
      <c r="E224" s="1239"/>
      <c r="F224" s="1239"/>
      <c r="G224" s="1239"/>
      <c r="H224" s="1239"/>
      <c r="I224" s="1239"/>
      <c r="J224" s="1239"/>
      <c r="K224" s="1239"/>
      <c r="L224" s="1248"/>
      <c r="M224" s="1237"/>
      <c r="N224" s="1242"/>
      <c r="O224" s="1240"/>
      <c r="U224" s="39"/>
      <c r="V224" s="39"/>
      <c r="W224" s="39"/>
      <c r="X224" s="39"/>
      <c r="Y224" s="39"/>
      <c r="Z224" s="1162"/>
      <c r="AE224" s="1162"/>
      <c r="AI224" s="1162"/>
      <c r="AN224" s="729"/>
      <c r="AO224" s="729"/>
      <c r="AP224" s="729"/>
      <c r="AQ224" s="729"/>
      <c r="AR224" s="729"/>
      <c r="AS224" s="729"/>
      <c r="AT224" s="729"/>
      <c r="AU224" s="729"/>
      <c r="AV224" s="729"/>
      <c r="AW224" s="729"/>
      <c r="AX224" s="729"/>
      <c r="AY224" s="729"/>
    </row>
    <row r="225" spans="2:51" ht="12.75" customHeight="1" outlineLevel="1" x14ac:dyDescent="0.2">
      <c r="B225" s="1749" t="str">
        <f>+Energia!B160</f>
        <v xml:space="preserve">Emissioni indirette da consumo di vapore, calore o raffrescamento </v>
      </c>
      <c r="C225" s="1749"/>
      <c r="D225" s="1246" t="s">
        <v>104</v>
      </c>
      <c r="E225" s="1239"/>
      <c r="F225" s="1239"/>
      <c r="G225" s="1239"/>
      <c r="H225" s="1239"/>
      <c r="I225" s="1239"/>
      <c r="J225" s="1239"/>
      <c r="K225" s="1239"/>
      <c r="L225" s="1248"/>
      <c r="M225" s="1237"/>
      <c r="N225" s="1242"/>
      <c r="O225" s="1240"/>
      <c r="U225" s="39"/>
      <c r="V225" s="39"/>
      <c r="W225" s="39"/>
      <c r="X225" s="39"/>
      <c r="Y225" s="39"/>
      <c r="Z225" s="1162"/>
      <c r="AE225" s="1162"/>
      <c r="AI225" s="1162"/>
      <c r="AN225" s="729"/>
      <c r="AO225" s="729"/>
      <c r="AP225" s="729"/>
      <c r="AQ225" s="729"/>
      <c r="AR225" s="729"/>
      <c r="AS225" s="729"/>
      <c r="AT225" s="729"/>
      <c r="AU225" s="729"/>
      <c r="AV225" s="729"/>
      <c r="AW225" s="729"/>
      <c r="AX225" s="729"/>
      <c r="AY225" s="729"/>
    </row>
    <row r="226" spans="2:51" ht="13" outlineLevel="1" x14ac:dyDescent="0.2">
      <c r="B226" s="1766" t="s">
        <v>97</v>
      </c>
      <c r="C226" s="1767"/>
      <c r="D226" s="1768"/>
      <c r="E226" s="1236">
        <f t="shared" ref="E226:L226" si="28">SUM(E224:E225)</f>
        <v>0</v>
      </c>
      <c r="F226" s="1236">
        <f t="shared" si="28"/>
        <v>0</v>
      </c>
      <c r="G226" s="1236">
        <f t="shared" si="28"/>
        <v>0</v>
      </c>
      <c r="H226" s="1236">
        <f t="shared" si="28"/>
        <v>0</v>
      </c>
      <c r="I226" s="1236">
        <f t="shared" si="28"/>
        <v>0</v>
      </c>
      <c r="J226" s="1236">
        <f t="shared" si="28"/>
        <v>0</v>
      </c>
      <c r="K226" s="1236">
        <f t="shared" si="28"/>
        <v>0</v>
      </c>
      <c r="L226" s="1236">
        <f t="shared" si="28"/>
        <v>0</v>
      </c>
      <c r="M226" s="1247">
        <f>SUM(M224:M225)</f>
        <v>0</v>
      </c>
      <c r="N226" s="1243">
        <f>SQRT(SUMSQ(N224:N225))</f>
        <v>0</v>
      </c>
      <c r="O226" s="1244">
        <f>SUM(O224:O225)</f>
        <v>0</v>
      </c>
      <c r="U226" s="39"/>
      <c r="V226" s="39"/>
      <c r="W226" s="39"/>
      <c r="X226" s="39"/>
      <c r="Y226" s="39"/>
      <c r="Z226" s="1162"/>
      <c r="AE226" s="1162"/>
      <c r="AI226" s="1162"/>
      <c r="AN226" s="729"/>
      <c r="AO226" s="729"/>
      <c r="AP226" s="729"/>
      <c r="AQ226" s="729"/>
      <c r="AR226" s="729"/>
      <c r="AS226" s="729"/>
      <c r="AT226" s="729"/>
      <c r="AU226" s="729"/>
      <c r="AV226" s="729"/>
      <c r="AW226" s="729"/>
      <c r="AX226" s="729"/>
      <c r="AY226" s="729"/>
    </row>
    <row r="227" spans="2:51" ht="13" outlineLevel="1" x14ac:dyDescent="0.2">
      <c r="B227" s="1771" t="s">
        <v>2527</v>
      </c>
      <c r="C227" s="1772"/>
      <c r="D227" s="1772"/>
      <c r="E227" s="1772"/>
      <c r="F227" s="1772"/>
      <c r="G227" s="1772"/>
      <c r="H227" s="1772"/>
      <c r="I227" s="1772"/>
      <c r="J227" s="1772"/>
      <c r="K227" s="1772"/>
      <c r="L227" s="1772"/>
      <c r="M227" s="1772"/>
      <c r="N227" s="1772"/>
      <c r="O227" s="1773"/>
      <c r="U227" s="39"/>
      <c r="V227" s="39"/>
      <c r="W227" s="39"/>
      <c r="X227" s="39"/>
      <c r="Y227" s="39"/>
      <c r="Z227" s="1162"/>
      <c r="AE227" s="1162"/>
      <c r="AI227" s="1162"/>
      <c r="AN227" s="729"/>
      <c r="AO227" s="729"/>
      <c r="AP227" s="729"/>
      <c r="AQ227" s="729"/>
      <c r="AR227" s="729"/>
      <c r="AS227" s="729"/>
      <c r="AT227" s="729"/>
      <c r="AU227" s="729"/>
      <c r="AV227" s="729"/>
      <c r="AW227" s="729"/>
      <c r="AX227" s="729"/>
      <c r="AY227" s="729"/>
    </row>
    <row r="228" spans="2:51" ht="14" outlineLevel="1" x14ac:dyDescent="0.2">
      <c r="B228" s="1749" t="str">
        <f>+Energia!B163</f>
        <v xml:space="preserve">Beni o servizi acquistati </v>
      </c>
      <c r="C228" s="1749"/>
      <c r="D228" s="1246" t="s">
        <v>106</v>
      </c>
      <c r="E228" s="1239">
        <f>U19+U33+U47+U60+U74+U85+U99+U135+U154+U167+U180</f>
        <v>0</v>
      </c>
      <c r="F228" s="1239">
        <f>V19+V33+V47+V60+V74+V85+V99+V135+V154+V167+V180</f>
        <v>0</v>
      </c>
      <c r="G228" s="1239">
        <f>W19+W33+W47+W60+W74+W85+W99+W135+W154+W167+W180</f>
        <v>0</v>
      </c>
      <c r="H228" s="1239">
        <v>0</v>
      </c>
      <c r="I228" s="1239">
        <v>0</v>
      </c>
      <c r="J228" s="1239">
        <v>0</v>
      </c>
      <c r="K228" s="1239">
        <v>0</v>
      </c>
      <c r="L228" s="1248">
        <f>Y19+Y33+Y47+Y60+Y74+Y85+Y99+Y135+Y154+Y167+Y180</f>
        <v>96800.000000000015</v>
      </c>
      <c r="M228" s="1237">
        <f>Z19+Z33+Z47+Z60+Z74+Z85+Z99+Z135+Z154+Z167+Z180</f>
        <v>0</v>
      </c>
      <c r="N228" s="1242">
        <f>SQRT(N19^2+N33^2+N47^2+N60^2+N74^2+N85^2+N99^2+N135^2+N154^2+N167^2+N180^2)</f>
        <v>19360.000000000004</v>
      </c>
      <c r="O228" s="1240"/>
      <c r="U228" s="39"/>
      <c r="V228" s="39"/>
      <c r="W228" s="39"/>
      <c r="X228" s="39"/>
      <c r="Y228" s="39"/>
      <c r="Z228" s="1162"/>
      <c r="AE228" s="1162"/>
      <c r="AI228" s="1162"/>
      <c r="AN228" s="729"/>
      <c r="AO228" s="729"/>
      <c r="AP228" s="729"/>
      <c r="AQ228" s="729"/>
      <c r="AR228" s="729"/>
      <c r="AS228" s="729"/>
      <c r="AT228" s="729"/>
      <c r="AU228" s="729"/>
      <c r="AV228" s="729"/>
      <c r="AW228" s="729"/>
      <c r="AX228" s="729"/>
      <c r="AY228" s="729"/>
    </row>
    <row r="229" spans="2:51" ht="14" outlineLevel="1" x14ac:dyDescent="0.2">
      <c r="B229" s="1749" t="str">
        <f>+Energia!B164</f>
        <v xml:space="preserve">Beni di consumo </v>
      </c>
      <c r="C229" s="1749"/>
      <c r="D229" s="1246" t="s">
        <v>107</v>
      </c>
      <c r="E229" s="1239"/>
      <c r="F229" s="1239"/>
      <c r="G229" s="1239"/>
      <c r="H229" s="1239"/>
      <c r="I229" s="1239"/>
      <c r="J229" s="1239"/>
      <c r="K229" s="1239"/>
      <c r="L229" s="1248"/>
      <c r="M229" s="1237"/>
      <c r="N229" s="1242"/>
      <c r="O229" s="1240"/>
      <c r="U229" s="39"/>
      <c r="V229" s="39"/>
      <c r="W229" s="39"/>
      <c r="X229" s="39"/>
      <c r="Y229" s="39"/>
      <c r="Z229" s="1162"/>
      <c r="AE229" s="1162"/>
      <c r="AI229" s="1162"/>
      <c r="AN229" s="729"/>
      <c r="AO229" s="729"/>
      <c r="AP229" s="729"/>
      <c r="AQ229" s="729"/>
      <c r="AR229" s="729"/>
      <c r="AS229" s="729"/>
      <c r="AT229" s="729"/>
      <c r="AU229" s="729"/>
      <c r="AV229" s="729"/>
      <c r="AW229" s="729"/>
      <c r="AX229" s="729"/>
      <c r="AY229" s="729"/>
    </row>
    <row r="230" spans="2:51" ht="14" outlineLevel="1" x14ac:dyDescent="0.2">
      <c r="B230" s="1749" t="str">
        <f>+Energia!B165</f>
        <v xml:space="preserve">Emissioni dovute a combustibili e energia (non incluse nello scope 1 e 2) </v>
      </c>
      <c r="C230" s="1749"/>
      <c r="D230" s="1246" t="s">
        <v>108</v>
      </c>
      <c r="E230" s="1239"/>
      <c r="F230" s="1239"/>
      <c r="G230" s="1239"/>
      <c r="H230" s="1239"/>
      <c r="I230" s="1239"/>
      <c r="J230" s="1239"/>
      <c r="K230" s="1239"/>
      <c r="L230" s="1248"/>
      <c r="M230" s="1237"/>
      <c r="N230" s="1242"/>
      <c r="O230" s="1240"/>
      <c r="U230" s="39"/>
      <c r="V230" s="39"/>
      <c r="W230" s="39"/>
      <c r="X230" s="39"/>
      <c r="Y230" s="39"/>
      <c r="Z230" s="1162"/>
      <c r="AE230" s="1162"/>
      <c r="AI230" s="1162"/>
      <c r="AN230" s="729"/>
      <c r="AO230" s="729"/>
      <c r="AP230" s="729"/>
      <c r="AQ230" s="729"/>
      <c r="AR230" s="729"/>
      <c r="AS230" s="729"/>
      <c r="AT230" s="729"/>
      <c r="AU230" s="729"/>
      <c r="AV230" s="729"/>
      <c r="AW230" s="729"/>
      <c r="AX230" s="729"/>
      <c r="AY230" s="729"/>
    </row>
    <row r="231" spans="2:51" ht="14" outlineLevel="1" x14ac:dyDescent="0.2">
      <c r="B231" s="1749" t="str">
        <f>+Energia!B166</f>
        <v>Trasporto e distribuzione premanifattura</v>
      </c>
      <c r="C231" s="1749"/>
      <c r="D231" s="1246" t="s">
        <v>109</v>
      </c>
      <c r="E231" s="1239"/>
      <c r="F231" s="1239"/>
      <c r="G231" s="1239"/>
      <c r="H231" s="1239"/>
      <c r="I231" s="1239"/>
      <c r="J231" s="1239"/>
      <c r="K231" s="1239"/>
      <c r="L231" s="1248"/>
      <c r="M231" s="1237"/>
      <c r="N231" s="1242"/>
      <c r="O231" s="1240"/>
      <c r="U231" s="39"/>
      <c r="V231" s="39"/>
      <c r="W231" s="39"/>
      <c r="X231" s="39"/>
      <c r="Y231" s="39"/>
      <c r="Z231" s="1162"/>
      <c r="AE231" s="1162"/>
      <c r="AI231" s="1162"/>
      <c r="AN231" s="729"/>
      <c r="AO231" s="729"/>
      <c r="AP231" s="729"/>
      <c r="AQ231" s="729"/>
      <c r="AR231" s="729"/>
      <c r="AS231" s="729"/>
      <c r="AT231" s="729"/>
      <c r="AU231" s="729"/>
      <c r="AV231" s="729"/>
      <c r="AW231" s="729"/>
      <c r="AX231" s="729"/>
      <c r="AY231" s="729"/>
    </row>
    <row r="232" spans="2:51" ht="14" outlineLevel="1" x14ac:dyDescent="0.2">
      <c r="B232" s="1749" t="str">
        <f>+Energia!B167</f>
        <v>Rifiuti prodotti</v>
      </c>
      <c r="C232" s="1749"/>
      <c r="D232" s="1246" t="s">
        <v>110</v>
      </c>
      <c r="E232" s="1239"/>
      <c r="F232" s="1239"/>
      <c r="G232" s="1239"/>
      <c r="H232" s="1239"/>
      <c r="I232" s="1239"/>
      <c r="J232" s="1239"/>
      <c r="K232" s="1239"/>
      <c r="L232" s="1248"/>
      <c r="M232" s="1237"/>
      <c r="N232" s="1242"/>
      <c r="O232" s="1240"/>
      <c r="U232" s="39"/>
      <c r="V232" s="39"/>
      <c r="W232" s="39"/>
      <c r="X232" s="39"/>
      <c r="Y232" s="39"/>
      <c r="Z232" s="1162"/>
      <c r="AE232" s="1162"/>
      <c r="AI232" s="1162"/>
      <c r="AN232" s="729"/>
      <c r="AO232" s="729"/>
      <c r="AP232" s="729"/>
      <c r="AQ232" s="729"/>
      <c r="AR232" s="729"/>
      <c r="AS232" s="729"/>
      <c r="AT232" s="729"/>
      <c r="AU232" s="729"/>
      <c r="AV232" s="729"/>
      <c r="AW232" s="729"/>
      <c r="AX232" s="729"/>
      <c r="AY232" s="729"/>
    </row>
    <row r="233" spans="2:51" ht="14" outlineLevel="1" x14ac:dyDescent="0.2">
      <c r="B233" s="1749" t="str">
        <f>+Energia!B168</f>
        <v>Viaggi di lavoro</v>
      </c>
      <c r="C233" s="1749"/>
      <c r="D233" s="1246" t="s">
        <v>111</v>
      </c>
      <c r="E233" s="1239"/>
      <c r="F233" s="1239"/>
      <c r="G233" s="1239"/>
      <c r="H233" s="1239"/>
      <c r="I233" s="1239"/>
      <c r="J233" s="1239"/>
      <c r="K233" s="1239"/>
      <c r="L233" s="1248"/>
      <c r="M233" s="1237"/>
      <c r="N233" s="1242"/>
      <c r="O233" s="1240"/>
      <c r="U233" s="39"/>
      <c r="V233" s="39"/>
      <c r="W233" s="39"/>
      <c r="X233" s="39"/>
      <c r="Y233" s="39"/>
      <c r="Z233" s="1162"/>
      <c r="AE233" s="1162"/>
      <c r="AI233" s="1162"/>
      <c r="AN233" s="729"/>
      <c r="AO233" s="729"/>
      <c r="AP233" s="729"/>
      <c r="AQ233" s="729"/>
      <c r="AR233" s="729"/>
      <c r="AS233" s="729"/>
      <c r="AT233" s="729"/>
      <c r="AU233" s="729"/>
      <c r="AV233" s="729"/>
      <c r="AW233" s="729"/>
      <c r="AX233" s="729"/>
      <c r="AY233" s="729"/>
    </row>
    <row r="234" spans="2:51" ht="14" outlineLevel="1" x14ac:dyDescent="0.2">
      <c r="B234" s="1749" t="str">
        <f>+Energia!B169</f>
        <v>Impiegati pendolari</v>
      </c>
      <c r="C234" s="1749"/>
      <c r="D234" s="1246" t="s">
        <v>112</v>
      </c>
      <c r="E234" s="1239"/>
      <c r="F234" s="1239"/>
      <c r="G234" s="1239"/>
      <c r="H234" s="1239"/>
      <c r="I234" s="1239"/>
      <c r="J234" s="1239"/>
      <c r="K234" s="1239"/>
      <c r="L234" s="1248"/>
      <c r="M234" s="1237"/>
      <c r="N234" s="1242"/>
      <c r="O234" s="1240"/>
      <c r="U234" s="39"/>
      <c r="V234" s="39"/>
      <c r="W234" s="39"/>
      <c r="X234" s="39"/>
      <c r="Y234" s="39"/>
      <c r="Z234" s="1162"/>
      <c r="AE234" s="1162"/>
      <c r="AI234" s="1162"/>
      <c r="AN234" s="729"/>
      <c r="AO234" s="729"/>
      <c r="AP234" s="729"/>
      <c r="AQ234" s="729"/>
      <c r="AR234" s="729"/>
      <c r="AS234" s="729"/>
      <c r="AT234" s="729"/>
      <c r="AU234" s="729"/>
      <c r="AV234" s="729"/>
      <c r="AW234" s="729"/>
      <c r="AX234" s="729"/>
      <c r="AY234" s="729"/>
    </row>
    <row r="235" spans="2:51" ht="14" outlineLevel="1" x14ac:dyDescent="0.2">
      <c r="B235" s="1749" t="str">
        <f>+Energia!B170</f>
        <v>Upstream leased assets</v>
      </c>
      <c r="C235" s="1749"/>
      <c r="D235" s="1246" t="s">
        <v>113</v>
      </c>
      <c r="E235" s="1239"/>
      <c r="F235" s="1239"/>
      <c r="G235" s="1239"/>
      <c r="H235" s="1239"/>
      <c r="I235" s="1239"/>
      <c r="J235" s="1239"/>
      <c r="K235" s="1239"/>
      <c r="L235" s="1248"/>
      <c r="M235" s="1237"/>
      <c r="N235" s="1242"/>
      <c r="O235" s="1240"/>
      <c r="U235" s="39"/>
      <c r="V235" s="39"/>
      <c r="W235" s="39"/>
      <c r="X235" s="39"/>
      <c r="Y235" s="39"/>
      <c r="Z235" s="1162"/>
      <c r="AE235" s="1162"/>
      <c r="AI235" s="1162"/>
      <c r="AN235" s="729"/>
      <c r="AO235" s="729"/>
      <c r="AP235" s="729"/>
      <c r="AQ235" s="729"/>
      <c r="AR235" s="729"/>
      <c r="AS235" s="729"/>
      <c r="AT235" s="729"/>
      <c r="AU235" s="729"/>
      <c r="AV235" s="729"/>
      <c r="AW235" s="729"/>
      <c r="AX235" s="729"/>
      <c r="AY235" s="729"/>
    </row>
    <row r="236" spans="2:51" ht="13" outlineLevel="1" x14ac:dyDescent="0.2">
      <c r="B236" s="1749" t="str">
        <f>+Energia!B171</f>
        <v>Altre emissioni indirette premanifattura</v>
      </c>
      <c r="C236" s="1749"/>
      <c r="D236" s="1238"/>
      <c r="E236" s="1239"/>
      <c r="F236" s="1239"/>
      <c r="G236" s="1239"/>
      <c r="H236" s="1239"/>
      <c r="I236" s="1239"/>
      <c r="J236" s="1239"/>
      <c r="K236" s="1239"/>
      <c r="L236" s="1248"/>
      <c r="M236" s="1237"/>
      <c r="N236" s="1242"/>
      <c r="O236" s="1240"/>
      <c r="U236" s="39"/>
      <c r="V236" s="39"/>
      <c r="W236" s="39"/>
      <c r="X236" s="39"/>
      <c r="Y236" s="39"/>
      <c r="Z236" s="1162"/>
      <c r="AE236" s="1162"/>
      <c r="AI236" s="1162"/>
      <c r="AN236" s="729"/>
      <c r="AO236" s="729"/>
      <c r="AP236" s="729"/>
      <c r="AQ236" s="729"/>
      <c r="AR236" s="729"/>
      <c r="AS236" s="729"/>
      <c r="AT236" s="729"/>
      <c r="AU236" s="729"/>
      <c r="AV236" s="729"/>
      <c r="AW236" s="729"/>
      <c r="AX236" s="729"/>
      <c r="AY236" s="729"/>
    </row>
    <row r="237" spans="2:51" ht="13" outlineLevel="1" x14ac:dyDescent="0.2">
      <c r="B237" s="1771" t="s">
        <v>2744</v>
      </c>
      <c r="C237" s="1772"/>
      <c r="D237" s="1772"/>
      <c r="E237" s="1772"/>
      <c r="F237" s="1772"/>
      <c r="G237" s="1772"/>
      <c r="H237" s="1772"/>
      <c r="I237" s="1772"/>
      <c r="J237" s="1772"/>
      <c r="K237" s="1772"/>
      <c r="L237" s="1772"/>
      <c r="M237" s="1772"/>
      <c r="N237" s="1772"/>
      <c r="O237" s="1773"/>
      <c r="U237" s="39"/>
      <c r="V237" s="39"/>
      <c r="W237" s="39"/>
      <c r="X237" s="39"/>
      <c r="Y237" s="39"/>
      <c r="Z237" s="1162"/>
      <c r="AE237" s="1162"/>
      <c r="AI237" s="1162"/>
      <c r="AN237" s="729"/>
      <c r="AO237" s="729"/>
      <c r="AP237" s="729"/>
      <c r="AQ237" s="729"/>
      <c r="AR237" s="729"/>
      <c r="AS237" s="729"/>
      <c r="AT237" s="729"/>
      <c r="AU237" s="729"/>
      <c r="AV237" s="729"/>
      <c r="AW237" s="729"/>
      <c r="AX237" s="729"/>
      <c r="AY237" s="729"/>
    </row>
    <row r="238" spans="2:51" ht="14" outlineLevel="1" x14ac:dyDescent="0.2">
      <c r="B238" s="1749" t="str">
        <f>+Energia!B173</f>
        <v>Trasporto di merci e distribuzione in fase d’uso e fine vita</v>
      </c>
      <c r="C238" s="1749"/>
      <c r="D238" s="1246" t="s">
        <v>114</v>
      </c>
      <c r="E238" s="1239"/>
      <c r="F238" s="1239"/>
      <c r="G238" s="1239"/>
      <c r="H238" s="1239"/>
      <c r="I238" s="1239"/>
      <c r="J238" s="1239"/>
      <c r="K238" s="1239"/>
      <c r="L238" s="1248"/>
      <c r="M238" s="1237"/>
      <c r="N238" s="1242"/>
      <c r="O238" s="1240"/>
      <c r="U238" s="39"/>
      <c r="V238" s="39"/>
      <c r="W238" s="39"/>
      <c r="X238" s="39"/>
      <c r="Y238" s="39"/>
      <c r="Z238" s="1162"/>
      <c r="AE238" s="1162"/>
      <c r="AI238" s="1162"/>
      <c r="AN238" s="729"/>
      <c r="AO238" s="729"/>
      <c r="AP238" s="729"/>
      <c r="AQ238" s="729"/>
      <c r="AR238" s="729"/>
      <c r="AS238" s="729"/>
      <c r="AT238" s="729"/>
      <c r="AU238" s="729"/>
      <c r="AV238" s="729"/>
      <c r="AW238" s="729"/>
      <c r="AX238" s="729"/>
      <c r="AY238" s="729"/>
    </row>
    <row r="239" spans="2:51" ht="14" outlineLevel="1" x14ac:dyDescent="0.2">
      <c r="B239" s="1749" t="str">
        <f>+Energia!B174</f>
        <v>Lavorazioni dei prodotti venduti</v>
      </c>
      <c r="C239" s="1749"/>
      <c r="D239" s="1246" t="s">
        <v>115</v>
      </c>
      <c r="E239" s="1239"/>
      <c r="F239" s="1239"/>
      <c r="G239" s="1239"/>
      <c r="H239" s="1239"/>
      <c r="I239" s="1239"/>
      <c r="J239" s="1239"/>
      <c r="K239" s="1239"/>
      <c r="L239" s="1248"/>
      <c r="M239" s="1237"/>
      <c r="N239" s="1242"/>
      <c r="O239" s="1240"/>
      <c r="U239" s="39"/>
      <c r="V239" s="39"/>
      <c r="W239" s="39"/>
      <c r="X239" s="39"/>
      <c r="Y239" s="39"/>
      <c r="Z239" s="1162"/>
      <c r="AE239" s="1162"/>
      <c r="AI239" s="1162"/>
      <c r="AN239" s="729"/>
      <c r="AO239" s="729"/>
      <c r="AP239" s="729"/>
      <c r="AQ239" s="729"/>
      <c r="AR239" s="729"/>
      <c r="AS239" s="729"/>
      <c r="AT239" s="729"/>
      <c r="AU239" s="729"/>
      <c r="AV239" s="729"/>
      <c r="AW239" s="729"/>
      <c r="AX239" s="729"/>
      <c r="AY239" s="729"/>
    </row>
    <row r="240" spans="2:51" ht="14" outlineLevel="1" x14ac:dyDescent="0.2">
      <c r="B240" s="1749" t="str">
        <f>+Energia!B175</f>
        <v xml:space="preserve">Uso dei prodotto venduti  </v>
      </c>
      <c r="C240" s="1749"/>
      <c r="D240" s="1246" t="s">
        <v>116</v>
      </c>
      <c r="E240" s="1239"/>
      <c r="F240" s="1239"/>
      <c r="G240" s="1239"/>
      <c r="H240" s="1239"/>
      <c r="I240" s="1239"/>
      <c r="J240" s="1239"/>
      <c r="K240" s="1239"/>
      <c r="L240" s="1248"/>
      <c r="M240" s="1237"/>
      <c r="N240" s="1242"/>
      <c r="O240" s="1240"/>
      <c r="U240" s="39"/>
      <c r="V240" s="39"/>
      <c r="W240" s="39"/>
      <c r="X240" s="39"/>
      <c r="Y240" s="39"/>
      <c r="Z240" s="1162"/>
      <c r="AE240" s="1162"/>
      <c r="AI240" s="1162"/>
      <c r="AN240" s="729"/>
      <c r="AO240" s="729"/>
      <c r="AP240" s="729"/>
      <c r="AQ240" s="729"/>
      <c r="AR240" s="729"/>
      <c r="AS240" s="729"/>
      <c r="AT240" s="729"/>
      <c r="AU240" s="729"/>
      <c r="AV240" s="729"/>
      <c r="AW240" s="729"/>
      <c r="AX240" s="729"/>
      <c r="AY240" s="729"/>
    </row>
    <row r="241" spans="2:51" ht="14" outlineLevel="1" x14ac:dyDescent="0.2">
      <c r="B241" s="1749" t="str">
        <f>+Energia!B176</f>
        <v>Fine vita dei prodotti venduti</v>
      </c>
      <c r="C241" s="1749"/>
      <c r="D241" s="1246" t="s">
        <v>117</v>
      </c>
      <c r="E241" s="1239"/>
      <c r="F241" s="1239"/>
      <c r="G241" s="1239"/>
      <c r="H241" s="1239"/>
      <c r="I241" s="1239"/>
      <c r="J241" s="1239"/>
      <c r="K241" s="1239"/>
      <c r="L241" s="1248"/>
      <c r="M241" s="1237"/>
      <c r="N241" s="1242"/>
      <c r="O241" s="1240"/>
      <c r="U241" s="39"/>
      <c r="V241" s="39"/>
      <c r="W241" s="39"/>
      <c r="X241" s="39"/>
      <c r="Y241" s="39"/>
      <c r="Z241" s="1162"/>
      <c r="AE241" s="1162"/>
      <c r="AI241" s="1162"/>
      <c r="AN241" s="729"/>
      <c r="AO241" s="729"/>
      <c r="AP241" s="729"/>
      <c r="AQ241" s="729"/>
      <c r="AR241" s="729"/>
      <c r="AS241" s="729"/>
      <c r="AT241" s="729"/>
      <c r="AU241" s="729"/>
      <c r="AV241" s="729"/>
      <c r="AW241" s="729"/>
      <c r="AX241" s="729"/>
      <c r="AY241" s="729"/>
    </row>
    <row r="242" spans="2:51" ht="14" outlineLevel="1" x14ac:dyDescent="0.2">
      <c r="B242" s="1749" t="str">
        <f>+Energia!B177</f>
        <v>Downstream leased assets</v>
      </c>
      <c r="C242" s="1749"/>
      <c r="D242" s="1246" t="s">
        <v>118</v>
      </c>
      <c r="E242" s="1239"/>
      <c r="F242" s="1239"/>
      <c r="G242" s="1239"/>
      <c r="H242" s="1239"/>
      <c r="I242" s="1239"/>
      <c r="J242" s="1239"/>
      <c r="K242" s="1239"/>
      <c r="L242" s="1248"/>
      <c r="M242" s="1237"/>
      <c r="N242" s="1242"/>
      <c r="O242" s="1240"/>
      <c r="U242" s="39"/>
      <c r="V242" s="39"/>
      <c r="W242" s="39"/>
      <c r="X242" s="39"/>
      <c r="Y242" s="39"/>
      <c r="Z242" s="1162"/>
      <c r="AE242" s="1162"/>
      <c r="AI242" s="1162"/>
      <c r="AN242" s="729"/>
      <c r="AO242" s="729"/>
      <c r="AP242" s="729"/>
      <c r="AQ242" s="729"/>
      <c r="AR242" s="729"/>
      <c r="AS242" s="729"/>
      <c r="AT242" s="729"/>
      <c r="AU242" s="729"/>
      <c r="AV242" s="729"/>
      <c r="AW242" s="729"/>
      <c r="AX242" s="729"/>
      <c r="AY242" s="729"/>
    </row>
    <row r="243" spans="2:51" ht="14" outlineLevel="1" x14ac:dyDescent="0.2">
      <c r="B243" s="1749" t="str">
        <f>+Energia!B178</f>
        <v>Franchises</v>
      </c>
      <c r="C243" s="1749"/>
      <c r="D243" s="1246" t="s">
        <v>119</v>
      </c>
      <c r="E243" s="1239"/>
      <c r="F243" s="1239"/>
      <c r="G243" s="1239"/>
      <c r="H243" s="1239"/>
      <c r="I243" s="1239"/>
      <c r="J243" s="1239"/>
      <c r="K243" s="1239"/>
      <c r="L243" s="1248"/>
      <c r="M243" s="1237"/>
      <c r="N243" s="1242"/>
      <c r="O243" s="1240"/>
      <c r="U243" s="39"/>
      <c r="V243" s="39"/>
      <c r="W243" s="39"/>
      <c r="X243" s="39"/>
      <c r="Y243" s="39"/>
      <c r="Z243" s="1162"/>
      <c r="AE243" s="1162"/>
      <c r="AI243" s="1162"/>
      <c r="AN243" s="729"/>
      <c r="AO243" s="729"/>
      <c r="AP243" s="729"/>
      <c r="AQ243" s="729"/>
      <c r="AR243" s="729"/>
      <c r="AS243" s="729"/>
      <c r="AT243" s="729"/>
      <c r="AU243" s="729"/>
      <c r="AV243" s="729"/>
      <c r="AW243" s="729"/>
      <c r="AX243" s="729"/>
      <c r="AY243" s="729"/>
    </row>
    <row r="244" spans="2:51" ht="14" outlineLevel="1" x14ac:dyDescent="0.2">
      <c r="B244" s="1749" t="str">
        <f>+Energia!B179</f>
        <v>Investimenti</v>
      </c>
      <c r="C244" s="1749"/>
      <c r="D244" s="1246" t="s">
        <v>120</v>
      </c>
      <c r="E244" s="1239"/>
      <c r="F244" s="1239"/>
      <c r="G244" s="1239"/>
      <c r="H244" s="1239"/>
      <c r="I244" s="1239"/>
      <c r="J244" s="1239"/>
      <c r="K244" s="1239"/>
      <c r="L244" s="1248"/>
      <c r="M244" s="1237"/>
      <c r="N244" s="1242"/>
      <c r="O244" s="1240"/>
      <c r="U244" s="39"/>
      <c r="V244" s="39"/>
      <c r="W244" s="39"/>
      <c r="X244" s="39"/>
      <c r="Y244" s="39"/>
      <c r="Z244" s="1162"/>
      <c r="AE244" s="1162"/>
      <c r="AI244" s="1162"/>
      <c r="AN244" s="729"/>
      <c r="AO244" s="729"/>
      <c r="AP244" s="729"/>
      <c r="AQ244" s="729"/>
      <c r="AR244" s="729"/>
      <c r="AS244" s="729"/>
      <c r="AT244" s="729"/>
      <c r="AU244" s="729"/>
      <c r="AV244" s="729"/>
      <c r="AW244" s="729"/>
      <c r="AX244" s="729"/>
      <c r="AY244" s="729"/>
    </row>
    <row r="245" spans="2:51" ht="13" outlineLevel="1" x14ac:dyDescent="0.2">
      <c r="B245" s="1749" t="str">
        <f>+Energia!B180</f>
        <v xml:space="preserve">Altre emissioni indirette in fase d'uso e fine vita </v>
      </c>
      <c r="C245" s="1749"/>
      <c r="D245" s="1238"/>
      <c r="E245" s="1239"/>
      <c r="F245" s="1239"/>
      <c r="G245" s="1239"/>
      <c r="H245" s="1239"/>
      <c r="I245" s="1239"/>
      <c r="J245" s="1239"/>
      <c r="K245" s="1239"/>
      <c r="L245" s="1248"/>
      <c r="M245" s="1237"/>
      <c r="N245" s="1242"/>
      <c r="O245" s="1240"/>
      <c r="U245" s="39"/>
      <c r="V245" s="39"/>
      <c r="W245" s="39"/>
      <c r="X245" s="39"/>
      <c r="Y245" s="39"/>
      <c r="Z245" s="1162"/>
      <c r="AE245" s="1162"/>
      <c r="AI245" s="1162"/>
      <c r="AN245" s="729"/>
      <c r="AO245" s="729"/>
      <c r="AP245" s="729"/>
      <c r="AQ245" s="729"/>
      <c r="AR245" s="729"/>
      <c r="AS245" s="729"/>
      <c r="AT245" s="729"/>
      <c r="AU245" s="729"/>
      <c r="AV245" s="729"/>
      <c r="AW245" s="729"/>
      <c r="AX245" s="729"/>
      <c r="AY245" s="729"/>
    </row>
    <row r="246" spans="2:51" ht="13" outlineLevel="1" x14ac:dyDescent="0.2">
      <c r="B246" s="1766" t="s">
        <v>96</v>
      </c>
      <c r="C246" s="1767"/>
      <c r="D246" s="1768"/>
      <c r="E246" s="1236">
        <f t="shared" ref="E246:O246" si="29">SUM(E228:E245)</f>
        <v>0</v>
      </c>
      <c r="F246" s="1236">
        <f t="shared" si="29"/>
        <v>0</v>
      </c>
      <c r="G246" s="1236">
        <f t="shared" si="29"/>
        <v>0</v>
      </c>
      <c r="H246" s="1236">
        <f t="shared" si="29"/>
        <v>0</v>
      </c>
      <c r="I246" s="1236">
        <f t="shared" si="29"/>
        <v>0</v>
      </c>
      <c r="J246" s="1236">
        <f t="shared" si="29"/>
        <v>0</v>
      </c>
      <c r="K246" s="1236">
        <f t="shared" si="29"/>
        <v>0</v>
      </c>
      <c r="L246" s="1236">
        <f t="shared" si="29"/>
        <v>96800.000000000015</v>
      </c>
      <c r="M246" s="1247">
        <f t="shared" si="29"/>
        <v>0</v>
      </c>
      <c r="N246" s="1243">
        <f>SQRT(SUMSQ(N228:N245))</f>
        <v>19360.000000000004</v>
      </c>
      <c r="O246" s="1244">
        <f t="shared" si="29"/>
        <v>0</v>
      </c>
      <c r="U246" s="39"/>
      <c r="V246" s="39"/>
      <c r="W246" s="39"/>
      <c r="X246" s="39"/>
      <c r="Y246" s="39"/>
      <c r="Z246" s="1162"/>
      <c r="AE246" s="1162"/>
      <c r="AI246" s="1162"/>
      <c r="AN246" s="729"/>
      <c r="AO246" s="729"/>
      <c r="AP246" s="729"/>
      <c r="AQ246" s="729"/>
      <c r="AR246" s="729"/>
      <c r="AS246" s="729"/>
      <c r="AT246" s="729"/>
      <c r="AU246" s="729"/>
      <c r="AV246" s="729"/>
      <c r="AW246" s="729"/>
      <c r="AX246" s="729"/>
      <c r="AY246" s="729"/>
    </row>
    <row r="247" spans="2:51" outlineLevel="1" x14ac:dyDescent="0.2">
      <c r="U247" s="39"/>
      <c r="V247" s="39"/>
      <c r="W247" s="1162"/>
      <c r="X247" s="39"/>
      <c r="Y247" s="39"/>
      <c r="Z247" s="39"/>
      <c r="AB247" s="1162"/>
      <c r="AF247" s="1162"/>
      <c r="AK247" s="729"/>
      <c r="AL247" s="729"/>
      <c r="AM247" s="729"/>
      <c r="AN247" s="729"/>
      <c r="AO247" s="729"/>
      <c r="AP247" s="729"/>
      <c r="AQ247" s="729"/>
      <c r="AR247" s="729"/>
      <c r="AS247" s="729"/>
      <c r="AT247" s="729"/>
      <c r="AU247" s="729"/>
      <c r="AV247" s="729"/>
    </row>
    <row r="249" spans="2:51" ht="15.75" customHeight="1" x14ac:dyDescent="0.2">
      <c r="B249" s="1741" t="str">
        <f>+Energia!B184</f>
        <v xml:space="preserve">Panoramica delle categorie definite nella  ISO/TR 14069:2013 </v>
      </c>
      <c r="C249" s="1742"/>
      <c r="D249" s="1742"/>
      <c r="E249" s="1742"/>
      <c r="F249" s="1742"/>
      <c r="G249" s="1742"/>
      <c r="H249" s="1742"/>
      <c r="I249" s="1742"/>
      <c r="J249" s="1742"/>
      <c r="K249" s="1742"/>
      <c r="L249" s="1742"/>
      <c r="M249" s="1742"/>
      <c r="N249" s="1742"/>
      <c r="O249" s="1743"/>
      <c r="U249" s="39"/>
      <c r="V249" s="39"/>
      <c r="W249" s="1162"/>
      <c r="X249" s="39"/>
      <c r="Y249" s="39"/>
      <c r="Z249" s="39"/>
      <c r="AB249" s="1162"/>
      <c r="AF249" s="1162"/>
      <c r="AK249" s="729"/>
      <c r="AL249" s="729"/>
      <c r="AM249" s="729"/>
      <c r="AN249" s="729"/>
      <c r="AO249" s="729"/>
      <c r="AP249" s="729"/>
      <c r="AQ249" s="729"/>
      <c r="AR249" s="729"/>
      <c r="AS249" s="729"/>
      <c r="AT249" s="729"/>
      <c r="AU249" s="729"/>
      <c r="AV249" s="729"/>
    </row>
    <row r="250" spans="2:51" outlineLevel="1" x14ac:dyDescent="0.2">
      <c r="Q250" s="1317"/>
      <c r="R250" s="1317"/>
      <c r="U250" s="39"/>
      <c r="V250" s="39"/>
      <c r="W250" s="1162"/>
      <c r="X250" s="39"/>
      <c r="Y250" s="39"/>
      <c r="Z250" s="39"/>
      <c r="AB250" s="1162"/>
      <c r="AF250" s="1162"/>
      <c r="AK250" s="729"/>
      <c r="AL250" s="729"/>
      <c r="AM250" s="729"/>
      <c r="AN250" s="729"/>
      <c r="AO250" s="729"/>
      <c r="AP250" s="729"/>
      <c r="AQ250" s="729"/>
      <c r="AR250" s="729"/>
      <c r="AS250" s="729"/>
      <c r="AT250" s="729"/>
      <c r="AU250" s="729"/>
      <c r="AV250" s="729"/>
    </row>
    <row r="251" spans="2:51" ht="42" outlineLevel="1" x14ac:dyDescent="0.2">
      <c r="B251" s="118"/>
      <c r="C251" s="118"/>
      <c r="D251" s="118"/>
      <c r="E251" s="1735" t="s">
        <v>2498</v>
      </c>
      <c r="F251" s="1737"/>
      <c r="G251" s="1737"/>
      <c r="H251" s="1737"/>
      <c r="I251" s="1737"/>
      <c r="J251" s="1737"/>
      <c r="K251" s="1737"/>
      <c r="L251" s="1737"/>
      <c r="M251" s="1736"/>
      <c r="N251" s="1433" t="s">
        <v>2615</v>
      </c>
      <c r="O251" s="1430" t="s">
        <v>2517</v>
      </c>
      <c r="Q251" s="1317"/>
      <c r="R251" s="1317"/>
      <c r="U251" s="39"/>
      <c r="V251" s="39"/>
      <c r="W251" s="1162"/>
      <c r="X251" s="39"/>
      <c r="Y251" s="39"/>
      <c r="Z251" s="39"/>
      <c r="AB251" s="1162"/>
      <c r="AF251" s="1162"/>
      <c r="AK251" s="729"/>
      <c r="AL251" s="729"/>
      <c r="AM251" s="729"/>
      <c r="AN251" s="729"/>
      <c r="AO251" s="729"/>
      <c r="AP251" s="729"/>
      <c r="AQ251" s="729"/>
      <c r="AR251" s="729"/>
      <c r="AS251" s="729"/>
      <c r="AT251" s="729"/>
      <c r="AU251" s="729"/>
      <c r="AV251" s="729"/>
    </row>
    <row r="252" spans="2:51" ht="42" outlineLevel="1" x14ac:dyDescent="0.2">
      <c r="B252" s="1735" t="str">
        <f>+Energia!B187</f>
        <v>Sorgenti di emissione</v>
      </c>
      <c r="C252" s="1736"/>
      <c r="D252" s="1432" t="s">
        <v>2500</v>
      </c>
      <c r="E252" s="1431" t="s">
        <v>666</v>
      </c>
      <c r="F252" s="1431" t="s">
        <v>667</v>
      </c>
      <c r="G252" s="1431" t="s">
        <v>668</v>
      </c>
      <c r="H252" s="1431" t="s">
        <v>2582</v>
      </c>
      <c r="I252" s="1431" t="s">
        <v>2584</v>
      </c>
      <c r="J252" s="1432" t="s">
        <v>69</v>
      </c>
      <c r="K252" s="1431" t="s">
        <v>2520</v>
      </c>
      <c r="L252" s="1431" t="s">
        <v>2588</v>
      </c>
      <c r="M252" s="1431" t="s">
        <v>2586</v>
      </c>
      <c r="N252" s="1434" t="s">
        <v>669</v>
      </c>
      <c r="O252" s="1436" t="s">
        <v>69</v>
      </c>
      <c r="Q252" s="1317"/>
      <c r="R252" s="1317"/>
      <c r="U252" s="39"/>
      <c r="V252" s="39"/>
      <c r="W252" s="1162"/>
      <c r="X252" s="39"/>
      <c r="Y252" s="39"/>
      <c r="Z252" s="39"/>
      <c r="AB252" s="1162"/>
      <c r="AF252" s="1162"/>
      <c r="AK252" s="729"/>
      <c r="AL252" s="729"/>
      <c r="AM252" s="729"/>
      <c r="AN252" s="729"/>
      <c r="AO252" s="729"/>
      <c r="AP252" s="729"/>
      <c r="AQ252" s="729"/>
      <c r="AR252" s="729"/>
      <c r="AS252" s="729"/>
      <c r="AT252" s="729"/>
      <c r="AU252" s="729"/>
      <c r="AV252" s="729"/>
    </row>
    <row r="253" spans="2:51" ht="12.75" customHeight="1" outlineLevel="1" x14ac:dyDescent="0.2">
      <c r="B253" s="1733" t="str">
        <f>+Energia!B188</f>
        <v xml:space="preserve">Emissioni dirette da sorgenti di combustione stazionarie </v>
      </c>
      <c r="C253" s="1734"/>
      <c r="D253" s="1435">
        <v>1</v>
      </c>
      <c r="E253" s="1441"/>
      <c r="F253" s="1441"/>
      <c r="G253" s="1441"/>
      <c r="H253" s="1441"/>
      <c r="I253" s="1441"/>
      <c r="J253" s="1442"/>
      <c r="K253" s="1443"/>
      <c r="L253" s="1443"/>
      <c r="M253" s="1444"/>
      <c r="N253" s="1445"/>
      <c r="O253" s="1730" t="s">
        <v>2773</v>
      </c>
      <c r="Q253" s="1317"/>
      <c r="R253" s="1317"/>
      <c r="U253" s="39"/>
      <c r="V253" s="39"/>
      <c r="W253" s="1162"/>
      <c r="X253" s="39"/>
      <c r="Y253" s="39"/>
      <c r="Z253" s="39"/>
      <c r="AB253" s="1162"/>
      <c r="AF253" s="1162"/>
      <c r="AK253" s="729"/>
      <c r="AL253" s="729"/>
      <c r="AM253" s="729"/>
      <c r="AN253" s="729"/>
      <c r="AO253" s="729"/>
      <c r="AP253" s="729"/>
      <c r="AQ253" s="729"/>
      <c r="AR253" s="729"/>
      <c r="AS253" s="729"/>
      <c r="AT253" s="729"/>
      <c r="AU253" s="729"/>
      <c r="AV253" s="729"/>
    </row>
    <row r="254" spans="2:51" ht="13" outlineLevel="1" x14ac:dyDescent="0.2">
      <c r="B254" s="1733" t="str">
        <f>+Energia!B189</f>
        <v>Emissioni dirette da sorgenti di combustione mobili</v>
      </c>
      <c r="C254" s="1734"/>
      <c r="D254" s="1435">
        <v>2</v>
      </c>
      <c r="E254" s="1441"/>
      <c r="F254" s="1441"/>
      <c r="G254" s="1441"/>
      <c r="H254" s="1441"/>
      <c r="I254" s="1441"/>
      <c r="J254" s="1442"/>
      <c r="K254" s="1443"/>
      <c r="L254" s="1443"/>
      <c r="M254" s="1444"/>
      <c r="N254" s="1445"/>
      <c r="O254" s="1731"/>
      <c r="Q254" s="1317"/>
      <c r="R254" s="1317"/>
      <c r="U254" s="39"/>
      <c r="V254" s="39"/>
      <c r="W254" s="1162"/>
      <c r="X254" s="39"/>
      <c r="Y254" s="39"/>
      <c r="Z254" s="39"/>
      <c r="AB254" s="1162"/>
      <c r="AF254" s="1162"/>
      <c r="AK254" s="729"/>
      <c r="AL254" s="729"/>
      <c r="AM254" s="729"/>
      <c r="AN254" s="729"/>
      <c r="AO254" s="729"/>
      <c r="AP254" s="729"/>
      <c r="AQ254" s="729"/>
      <c r="AR254" s="729"/>
      <c r="AS254" s="729"/>
      <c r="AT254" s="729"/>
      <c r="AU254" s="729"/>
      <c r="AV254" s="729"/>
    </row>
    <row r="255" spans="2:51" ht="13" outlineLevel="1" x14ac:dyDescent="0.2">
      <c r="B255" s="1733" t="str">
        <f>+Energia!B190</f>
        <v>Emissioni dirette da  processi</v>
      </c>
      <c r="C255" s="1734"/>
      <c r="D255" s="1435">
        <v>3</v>
      </c>
      <c r="E255" s="1441"/>
      <c r="F255" s="1441"/>
      <c r="G255" s="1441"/>
      <c r="H255" s="1441"/>
      <c r="I255" s="1441"/>
      <c r="J255" s="1442"/>
      <c r="K255" s="1443"/>
      <c r="L255" s="1443"/>
      <c r="M255" s="1444"/>
      <c r="N255" s="1445"/>
      <c r="O255" s="1731"/>
      <c r="Q255" s="1317"/>
      <c r="R255" s="1317"/>
      <c r="U255" s="39"/>
      <c r="V255" s="39"/>
      <c r="W255" s="1162"/>
      <c r="X255" s="39"/>
      <c r="Y255" s="39"/>
      <c r="Z255" s="39"/>
      <c r="AB255" s="1162"/>
      <c r="AF255" s="1162"/>
      <c r="AK255" s="729"/>
      <c r="AL255" s="729"/>
      <c r="AM255" s="729"/>
      <c r="AN255" s="729"/>
      <c r="AO255" s="729"/>
      <c r="AP255" s="729"/>
      <c r="AQ255" s="729"/>
      <c r="AR255" s="729"/>
      <c r="AS255" s="729"/>
      <c r="AT255" s="729"/>
      <c r="AU255" s="729"/>
      <c r="AV255" s="729"/>
    </row>
    <row r="256" spans="2:51" ht="13" outlineLevel="1" x14ac:dyDescent="0.2">
      <c r="B256" s="1733" t="str">
        <f>+Energia!B191</f>
        <v>Emissioni dirette da  fonti fugitive</v>
      </c>
      <c r="C256" s="1734"/>
      <c r="D256" s="1435">
        <v>4</v>
      </c>
      <c r="E256" s="1441"/>
      <c r="F256" s="1441"/>
      <c r="G256" s="1441"/>
      <c r="H256" s="1441"/>
      <c r="I256" s="1441"/>
      <c r="J256" s="1442"/>
      <c r="K256" s="1443"/>
      <c r="L256" s="1443"/>
      <c r="M256" s="1444"/>
      <c r="N256" s="1445"/>
      <c r="O256" s="1731"/>
      <c r="Q256" s="1317"/>
      <c r="R256" s="1317"/>
      <c r="U256" s="39"/>
      <c r="V256" s="39"/>
      <c r="W256" s="1162"/>
      <c r="X256" s="39"/>
      <c r="Y256" s="39"/>
      <c r="Z256" s="39"/>
      <c r="AB256" s="1162"/>
      <c r="AF256" s="1162"/>
      <c r="AK256" s="729"/>
      <c r="AL256" s="729"/>
      <c r="AM256" s="729"/>
      <c r="AN256" s="729"/>
      <c r="AO256" s="729"/>
      <c r="AP256" s="729"/>
      <c r="AQ256" s="729"/>
      <c r="AR256" s="729"/>
      <c r="AS256" s="729"/>
      <c r="AT256" s="729"/>
      <c r="AU256" s="729"/>
      <c r="AV256" s="729"/>
    </row>
    <row r="257" spans="2:48" ht="13" outlineLevel="1" x14ac:dyDescent="0.2">
      <c r="B257" s="1733" t="str">
        <f>+Energia!B192</f>
        <v>Emissioni dirette da LULUCF</v>
      </c>
      <c r="C257" s="1734"/>
      <c r="D257" s="1435">
        <v>5</v>
      </c>
      <c r="E257" s="1441"/>
      <c r="F257" s="1441"/>
      <c r="G257" s="1441"/>
      <c r="H257" s="1441"/>
      <c r="I257" s="1441"/>
      <c r="J257" s="1442"/>
      <c r="K257" s="1443"/>
      <c r="L257" s="1443"/>
      <c r="M257" s="1444"/>
      <c r="N257" s="1446"/>
      <c r="O257" s="1731"/>
      <c r="Q257" s="1317"/>
      <c r="R257" s="1317"/>
      <c r="U257" s="39"/>
      <c r="V257" s="39"/>
      <c r="W257" s="1162"/>
      <c r="X257" s="39"/>
      <c r="Y257" s="39"/>
      <c r="Z257" s="39"/>
      <c r="AB257" s="1162"/>
      <c r="AF257" s="1162"/>
      <c r="AK257" s="729"/>
      <c r="AL257" s="729"/>
      <c r="AM257" s="729"/>
      <c r="AN257" s="729"/>
      <c r="AO257" s="729"/>
      <c r="AP257" s="729"/>
      <c r="AQ257" s="729"/>
      <c r="AR257" s="729"/>
      <c r="AS257" s="729"/>
      <c r="AT257" s="729"/>
      <c r="AU257" s="729"/>
      <c r="AV257" s="729"/>
    </row>
    <row r="258" spans="2:48" ht="13" outlineLevel="1" x14ac:dyDescent="0.2">
      <c r="B258" s="1738" t="s">
        <v>98</v>
      </c>
      <c r="C258" s="1738"/>
      <c r="D258" s="1738"/>
      <c r="E258" s="1447">
        <f>SUM(E253:E257)</f>
        <v>0</v>
      </c>
      <c r="F258" s="1447">
        <f t="shared" ref="F258:N258" si="30">SUM(F253:F257)</f>
        <v>0</v>
      </c>
      <c r="G258" s="1447">
        <f t="shared" si="30"/>
        <v>0</v>
      </c>
      <c r="H258" s="1447">
        <f t="shared" si="30"/>
        <v>0</v>
      </c>
      <c r="I258" s="1447">
        <f t="shared" si="30"/>
        <v>0</v>
      </c>
      <c r="J258" s="1447">
        <f t="shared" si="30"/>
        <v>0</v>
      </c>
      <c r="K258" s="1448">
        <f t="shared" si="30"/>
        <v>0</v>
      </c>
      <c r="L258" s="1448">
        <f t="shared" si="30"/>
        <v>0</v>
      </c>
      <c r="M258" s="1449">
        <f>SQRT(SUMSQ(M253:M257))</f>
        <v>0</v>
      </c>
      <c r="N258" s="1450">
        <f t="shared" si="30"/>
        <v>0</v>
      </c>
      <c r="O258" s="1732"/>
      <c r="Q258" s="1317"/>
      <c r="R258" s="1317"/>
      <c r="U258" s="39"/>
      <c r="V258" s="39"/>
      <c r="W258" s="1162"/>
      <c r="X258" s="39"/>
      <c r="Y258" s="39"/>
      <c r="Z258" s="39"/>
      <c r="AB258" s="1162"/>
      <c r="AF258" s="1162"/>
      <c r="AK258" s="729"/>
      <c r="AL258" s="729"/>
      <c r="AM258" s="729"/>
      <c r="AN258" s="729"/>
      <c r="AO258" s="729"/>
      <c r="AP258" s="729"/>
      <c r="AQ258" s="729"/>
      <c r="AR258" s="729"/>
      <c r="AS258" s="729"/>
      <c r="AT258" s="729"/>
      <c r="AU258" s="729"/>
      <c r="AV258" s="729"/>
    </row>
    <row r="259" spans="2:48" ht="13" outlineLevel="1" x14ac:dyDescent="0.2">
      <c r="B259" s="1733" t="str">
        <f>+Energia!B194</f>
        <v xml:space="preserve">Emissioni indirette da consumo di elettricità </v>
      </c>
      <c r="C259" s="1734"/>
      <c r="D259" s="1435">
        <v>6</v>
      </c>
      <c r="E259" s="1441"/>
      <c r="F259" s="1441"/>
      <c r="G259" s="1441"/>
      <c r="H259" s="1441"/>
      <c r="I259" s="1441"/>
      <c r="J259" s="1442"/>
      <c r="K259" s="1443"/>
      <c r="L259" s="1443"/>
      <c r="M259" s="1444"/>
      <c r="N259" s="1445"/>
      <c r="O259" s="1451"/>
      <c r="Q259" s="1317"/>
      <c r="R259" s="1317"/>
      <c r="U259" s="39"/>
      <c r="V259" s="39"/>
      <c r="W259" s="1162"/>
      <c r="X259" s="39"/>
      <c r="Y259" s="39"/>
      <c r="Z259" s="39"/>
      <c r="AB259" s="1162"/>
      <c r="AF259" s="1162"/>
      <c r="AK259" s="729"/>
      <c r="AL259" s="729"/>
      <c r="AM259" s="729"/>
      <c r="AN259" s="729"/>
      <c r="AO259" s="729"/>
      <c r="AP259" s="729"/>
      <c r="AQ259" s="729"/>
      <c r="AR259" s="729"/>
      <c r="AS259" s="729"/>
      <c r="AT259" s="729"/>
      <c r="AU259" s="729"/>
      <c r="AV259" s="729"/>
    </row>
    <row r="260" spans="2:48" ht="13" outlineLevel="1" x14ac:dyDescent="0.2">
      <c r="B260" s="1733" t="str">
        <f>+Energia!B195</f>
        <v xml:space="preserve">Emissioni indirette da consumi di energia di rete (senza l'eletricita) </v>
      </c>
      <c r="C260" s="1734"/>
      <c r="D260" s="1435">
        <v>7</v>
      </c>
      <c r="E260" s="1441"/>
      <c r="F260" s="1441"/>
      <c r="G260" s="1441"/>
      <c r="H260" s="1441"/>
      <c r="I260" s="1441"/>
      <c r="J260" s="1442"/>
      <c r="K260" s="1443"/>
      <c r="L260" s="1443"/>
      <c r="M260" s="1444"/>
      <c r="N260" s="1445"/>
      <c r="O260" s="1445"/>
      <c r="Q260" s="1317"/>
      <c r="R260" s="1317"/>
      <c r="U260" s="39"/>
      <c r="V260" s="39"/>
      <c r="W260" s="1162"/>
      <c r="X260" s="39"/>
      <c r="Y260" s="39"/>
      <c r="Z260" s="39"/>
      <c r="AB260" s="1162"/>
      <c r="AF260" s="1162"/>
      <c r="AK260" s="729"/>
      <c r="AL260" s="729"/>
      <c r="AM260" s="729"/>
      <c r="AN260" s="729"/>
      <c r="AO260" s="729"/>
      <c r="AP260" s="729"/>
      <c r="AQ260" s="729"/>
      <c r="AR260" s="729"/>
      <c r="AS260" s="729"/>
      <c r="AT260" s="729"/>
      <c r="AU260" s="729"/>
      <c r="AV260" s="729"/>
    </row>
    <row r="261" spans="2:48" ht="13" outlineLevel="1" x14ac:dyDescent="0.2">
      <c r="B261" s="1738" t="s">
        <v>97</v>
      </c>
      <c r="C261" s="1738"/>
      <c r="D261" s="1738"/>
      <c r="E261" s="1447">
        <f>SUM(E259:E260)</f>
        <v>0</v>
      </c>
      <c r="F261" s="1447">
        <f t="shared" ref="F261:O261" si="31">SUM(F259:F260)</f>
        <v>0</v>
      </c>
      <c r="G261" s="1447">
        <f t="shared" si="31"/>
        <v>0</v>
      </c>
      <c r="H261" s="1447">
        <f t="shared" si="31"/>
        <v>0</v>
      </c>
      <c r="I261" s="1447">
        <f t="shared" si="31"/>
        <v>0</v>
      </c>
      <c r="J261" s="1447">
        <f t="shared" si="31"/>
        <v>0</v>
      </c>
      <c r="K261" s="1448">
        <f t="shared" si="31"/>
        <v>0</v>
      </c>
      <c r="L261" s="1448">
        <f t="shared" si="31"/>
        <v>0</v>
      </c>
      <c r="M261" s="1449">
        <f>SQRT(SUMSQ(M259:M260))</f>
        <v>0</v>
      </c>
      <c r="N261" s="1450">
        <f t="shared" si="31"/>
        <v>0</v>
      </c>
      <c r="O261" s="1450">
        <f t="shared" si="31"/>
        <v>0</v>
      </c>
      <c r="Q261" s="1317"/>
      <c r="R261" s="1317"/>
      <c r="U261" s="39"/>
      <c r="V261" s="39"/>
      <c r="W261" s="1162"/>
      <c r="X261" s="39"/>
      <c r="Y261" s="39"/>
      <c r="Z261" s="39"/>
      <c r="AB261" s="1162"/>
      <c r="AF261" s="1162"/>
      <c r="AK261" s="729"/>
      <c r="AL261" s="729"/>
      <c r="AM261" s="729"/>
      <c r="AN261" s="729"/>
      <c r="AO261" s="729"/>
      <c r="AP261" s="729"/>
      <c r="AQ261" s="729"/>
      <c r="AR261" s="729"/>
      <c r="AS261" s="729"/>
      <c r="AT261" s="729"/>
      <c r="AU261" s="729"/>
      <c r="AV261" s="729"/>
    </row>
    <row r="262" spans="2:48" ht="13" outlineLevel="1" x14ac:dyDescent="0.2">
      <c r="B262" s="1733" t="str">
        <f>+Energia!B197</f>
        <v>Emissioni dovute all'energia non coperte dalle sorgenti da 1 a 7</v>
      </c>
      <c r="C262" s="1734"/>
      <c r="D262" s="1435">
        <v>8</v>
      </c>
      <c r="E262" s="1441"/>
      <c r="F262" s="1441"/>
      <c r="G262" s="1441"/>
      <c r="H262" s="1441"/>
      <c r="I262" s="1441"/>
      <c r="J262" s="1442"/>
      <c r="K262" s="1443"/>
      <c r="L262" s="1443"/>
      <c r="M262" s="1444"/>
      <c r="N262" s="1445"/>
      <c r="O262" s="1445"/>
      <c r="Q262" s="1317"/>
      <c r="R262" s="1317"/>
      <c r="U262" s="39"/>
      <c r="V262" s="39"/>
      <c r="W262" s="1162"/>
      <c r="X262" s="39"/>
      <c r="Y262" s="39"/>
      <c r="Z262" s="39"/>
      <c r="AB262" s="1162"/>
      <c r="AF262" s="1162"/>
      <c r="AK262" s="729"/>
      <c r="AL262" s="729"/>
      <c r="AM262" s="729"/>
      <c r="AN262" s="729"/>
      <c r="AO262" s="729"/>
      <c r="AP262" s="729"/>
      <c r="AQ262" s="729"/>
      <c r="AR262" s="729"/>
      <c r="AS262" s="729"/>
      <c r="AT262" s="729"/>
      <c r="AU262" s="729"/>
      <c r="AV262" s="729"/>
    </row>
    <row r="263" spans="2:48" ht="13" outlineLevel="1" x14ac:dyDescent="0.2">
      <c r="B263" s="1733" t="str">
        <f>+Energia!B198</f>
        <v>Beni acquistati</v>
      </c>
      <c r="C263" s="1734"/>
      <c r="D263" s="1435">
        <v>9</v>
      </c>
      <c r="E263" s="1441">
        <f>U19+U33+U47+U60+U74+U85+U99+U135+U154+U167+U180</f>
        <v>0</v>
      </c>
      <c r="F263" s="1441">
        <f>V19+V33+V47+V60+V74+V85+V99+V135+V154+V167+V180</f>
        <v>0</v>
      </c>
      <c r="G263" s="1441">
        <f>W19+W33+W47+W60+W74+W85+W99+W135+W154+W167+W180</f>
        <v>0</v>
      </c>
      <c r="H263" s="1441">
        <v>0</v>
      </c>
      <c r="I263" s="1441">
        <v>0</v>
      </c>
      <c r="J263" s="1442">
        <f>Y19+Y33+Y47+Y60+Y74+Y85+Y99+Y135+Y154+Y167+Y180</f>
        <v>96800.000000000015</v>
      </c>
      <c r="K263" s="1443">
        <f>Z19+Z33+Z47+Z60+Z74+Z85+Z99+Z135+Z154+Z167+Z180</f>
        <v>0</v>
      </c>
      <c r="L263" s="1443">
        <v>0</v>
      </c>
      <c r="M263" s="1444">
        <f>SQRT(N19^2+N33^2+N47^2+N60^2+N74^2+N85^2+N99^2+N135^2+N154^2+N167^2+N180^2)</f>
        <v>19360.000000000004</v>
      </c>
      <c r="N263" s="1445"/>
      <c r="O263" s="1445"/>
      <c r="Q263" s="1317"/>
      <c r="R263" s="1317"/>
      <c r="U263" s="39"/>
      <c r="V263" s="39"/>
      <c r="W263" s="1162"/>
      <c r="X263" s="39"/>
      <c r="Y263" s="39"/>
      <c r="Z263" s="39"/>
      <c r="AB263" s="1162"/>
      <c r="AF263" s="1162"/>
      <c r="AK263" s="729"/>
      <c r="AL263" s="729"/>
      <c r="AM263" s="729"/>
      <c r="AN263" s="729"/>
      <c r="AO263" s="729"/>
      <c r="AP263" s="729"/>
      <c r="AQ263" s="729"/>
      <c r="AR263" s="729"/>
      <c r="AS263" s="729"/>
      <c r="AT263" s="729"/>
      <c r="AU263" s="729"/>
      <c r="AV263" s="729"/>
    </row>
    <row r="264" spans="2:48" ht="13" outlineLevel="1" x14ac:dyDescent="0.2">
      <c r="B264" s="1733" t="str">
        <f>+Energia!B199</f>
        <v>Beni di consumo</v>
      </c>
      <c r="C264" s="1734"/>
      <c r="D264" s="1435">
        <v>10</v>
      </c>
      <c r="E264" s="1441"/>
      <c r="F264" s="1441"/>
      <c r="G264" s="1441"/>
      <c r="H264" s="1441"/>
      <c r="I264" s="1441"/>
      <c r="J264" s="1442"/>
      <c r="K264" s="1443"/>
      <c r="L264" s="1443"/>
      <c r="M264" s="1444"/>
      <c r="N264" s="1445"/>
      <c r="O264" s="1445"/>
      <c r="Q264" s="1317"/>
      <c r="R264" s="1317"/>
      <c r="U264" s="39"/>
      <c r="V264" s="39"/>
      <c r="W264" s="1162"/>
      <c r="X264" s="39"/>
      <c r="Y264" s="39"/>
      <c r="Z264" s="39"/>
      <c r="AB264" s="1162"/>
      <c r="AF264" s="1162"/>
      <c r="AK264" s="729"/>
      <c r="AL264" s="729"/>
      <c r="AM264" s="729"/>
      <c r="AN264" s="729"/>
      <c r="AO264" s="729"/>
      <c r="AP264" s="729"/>
      <c r="AQ264" s="729"/>
      <c r="AR264" s="729"/>
      <c r="AS264" s="729"/>
      <c r="AT264" s="729"/>
      <c r="AU264" s="729"/>
      <c r="AV264" s="729"/>
    </row>
    <row r="265" spans="2:48" ht="13" outlineLevel="1" x14ac:dyDescent="0.2">
      <c r="B265" s="1733" t="str">
        <f>+Energia!B200</f>
        <v xml:space="preserve">Rifiuti prodotti </v>
      </c>
      <c r="C265" s="1734"/>
      <c r="D265" s="1435">
        <v>11</v>
      </c>
      <c r="E265" s="1441"/>
      <c r="F265" s="1441"/>
      <c r="G265" s="1441"/>
      <c r="H265" s="1441"/>
      <c r="I265" s="1441"/>
      <c r="J265" s="1442"/>
      <c r="K265" s="1443"/>
      <c r="L265" s="1443"/>
      <c r="M265" s="1444"/>
      <c r="N265" s="1445"/>
      <c r="O265" s="1445"/>
      <c r="Q265" s="1317"/>
      <c r="R265" s="1317"/>
      <c r="U265" s="39"/>
      <c r="V265" s="39"/>
      <c r="W265" s="1162"/>
      <c r="X265" s="39"/>
      <c r="Y265" s="39"/>
      <c r="Z265" s="39"/>
      <c r="AB265" s="1162"/>
      <c r="AF265" s="1162"/>
      <c r="AK265" s="729"/>
      <c r="AL265" s="729"/>
      <c r="AM265" s="729"/>
      <c r="AN265" s="729"/>
      <c r="AO265" s="729"/>
      <c r="AP265" s="729"/>
      <c r="AQ265" s="729"/>
      <c r="AR265" s="729"/>
      <c r="AS265" s="729"/>
      <c r="AT265" s="729"/>
      <c r="AU265" s="729"/>
      <c r="AV265" s="729"/>
    </row>
    <row r="266" spans="2:48" ht="13" outlineLevel="1" x14ac:dyDescent="0.2">
      <c r="B266" s="1733" t="str">
        <f>+Energia!B201</f>
        <v>Trasporto e distribuzione premanifattura</v>
      </c>
      <c r="C266" s="1734"/>
      <c r="D266" s="1435">
        <v>12</v>
      </c>
      <c r="E266" s="1441"/>
      <c r="F266" s="1441"/>
      <c r="G266" s="1441"/>
      <c r="H266" s="1441"/>
      <c r="I266" s="1441"/>
      <c r="J266" s="1442"/>
      <c r="K266" s="1443"/>
      <c r="L266" s="1443"/>
      <c r="M266" s="1444"/>
      <c r="N266" s="1445"/>
      <c r="O266" s="1445"/>
      <c r="Q266" s="1317"/>
      <c r="R266" s="1317"/>
      <c r="U266" s="39"/>
      <c r="V266" s="39"/>
      <c r="W266" s="1162"/>
      <c r="X266" s="39"/>
      <c r="Y266" s="39"/>
      <c r="Z266" s="39"/>
      <c r="AB266" s="1162"/>
      <c r="AF266" s="1162"/>
      <c r="AK266" s="729"/>
      <c r="AL266" s="729"/>
      <c r="AM266" s="729"/>
      <c r="AN266" s="729"/>
      <c r="AO266" s="729"/>
      <c r="AP266" s="729"/>
      <c r="AQ266" s="729"/>
      <c r="AR266" s="729"/>
      <c r="AS266" s="729"/>
      <c r="AT266" s="729"/>
      <c r="AU266" s="729"/>
      <c r="AV266" s="729"/>
    </row>
    <row r="267" spans="2:48" ht="13" outlineLevel="1" x14ac:dyDescent="0.2">
      <c r="B267" s="1733" t="str">
        <f>+Energia!B202</f>
        <v>Viaggi di lavoro</v>
      </c>
      <c r="C267" s="1734"/>
      <c r="D267" s="1435">
        <v>13</v>
      </c>
      <c r="E267" s="1441"/>
      <c r="F267" s="1441"/>
      <c r="G267" s="1441"/>
      <c r="H267" s="1441"/>
      <c r="I267" s="1441"/>
      <c r="J267" s="1442"/>
      <c r="K267" s="1443"/>
      <c r="L267" s="1443"/>
      <c r="M267" s="1444"/>
      <c r="N267" s="1445"/>
      <c r="O267" s="1445"/>
      <c r="Q267" s="1317"/>
      <c r="R267" s="1317"/>
      <c r="U267" s="39"/>
      <c r="V267" s="39"/>
      <c r="W267" s="1162"/>
      <c r="X267" s="39"/>
      <c r="Y267" s="39"/>
      <c r="Z267" s="39"/>
      <c r="AB267" s="1162"/>
      <c r="AF267" s="1162"/>
      <c r="AK267" s="729"/>
      <c r="AL267" s="729"/>
      <c r="AM267" s="729"/>
      <c r="AN267" s="729"/>
      <c r="AO267" s="729"/>
      <c r="AP267" s="729"/>
      <c r="AQ267" s="729"/>
      <c r="AR267" s="729"/>
      <c r="AS267" s="729"/>
      <c r="AT267" s="729"/>
      <c r="AU267" s="729"/>
      <c r="AV267" s="729"/>
    </row>
    <row r="268" spans="2:48" ht="13" outlineLevel="1" x14ac:dyDescent="0.2">
      <c r="B268" s="1733" t="str">
        <f>+Energia!B203</f>
        <v>Upstream leased assets</v>
      </c>
      <c r="C268" s="1734"/>
      <c r="D268" s="1435">
        <v>14</v>
      </c>
      <c r="E268" s="1441"/>
      <c r="F268" s="1441"/>
      <c r="G268" s="1441"/>
      <c r="H268" s="1441"/>
      <c r="I268" s="1441"/>
      <c r="J268" s="1442"/>
      <c r="K268" s="1443"/>
      <c r="L268" s="1443"/>
      <c r="M268" s="1444"/>
      <c r="N268" s="1445"/>
      <c r="O268" s="1445"/>
      <c r="Q268" s="1317"/>
      <c r="R268" s="1317"/>
      <c r="U268" s="39"/>
      <c r="V268" s="39"/>
      <c r="W268" s="1162"/>
      <c r="X268" s="39"/>
      <c r="Y268" s="39"/>
      <c r="Z268" s="39"/>
      <c r="AB268" s="1162"/>
      <c r="AF268" s="1162"/>
      <c r="AK268" s="729"/>
      <c r="AL268" s="729"/>
      <c r="AM268" s="729"/>
      <c r="AN268" s="729"/>
      <c r="AO268" s="729"/>
      <c r="AP268" s="729"/>
      <c r="AQ268" s="729"/>
      <c r="AR268" s="729"/>
      <c r="AS268" s="729"/>
      <c r="AT268" s="729"/>
      <c r="AU268" s="729"/>
      <c r="AV268" s="729"/>
    </row>
    <row r="269" spans="2:48" ht="13" outlineLevel="1" x14ac:dyDescent="0.2">
      <c r="B269" s="1733" t="str">
        <f>+Energia!B204</f>
        <v>Investimenti</v>
      </c>
      <c r="C269" s="1734"/>
      <c r="D269" s="1435">
        <v>15</v>
      </c>
      <c r="E269" s="1441"/>
      <c r="F269" s="1441"/>
      <c r="G269" s="1441"/>
      <c r="H269" s="1441"/>
      <c r="I269" s="1441"/>
      <c r="J269" s="1442"/>
      <c r="K269" s="1443"/>
      <c r="L269" s="1443"/>
      <c r="M269" s="1444"/>
      <c r="N269" s="1445"/>
      <c r="O269" s="1445"/>
      <c r="Q269" s="1317"/>
      <c r="R269" s="1317"/>
      <c r="U269" s="39"/>
      <c r="V269" s="39"/>
      <c r="W269" s="1162"/>
      <c r="X269" s="39"/>
      <c r="Y269" s="39"/>
      <c r="Z269" s="39"/>
      <c r="AB269" s="1162"/>
      <c r="AF269" s="1162"/>
      <c r="AK269" s="729"/>
      <c r="AL269" s="729"/>
      <c r="AM269" s="729"/>
      <c r="AN269" s="729"/>
      <c r="AO269" s="729"/>
      <c r="AP269" s="729"/>
      <c r="AQ269" s="729"/>
      <c r="AR269" s="729"/>
      <c r="AS269" s="729"/>
      <c r="AT269" s="729"/>
      <c r="AU269" s="729"/>
      <c r="AV269" s="729"/>
    </row>
    <row r="270" spans="2:48" ht="13" outlineLevel="1" x14ac:dyDescent="0.2">
      <c r="B270" s="1733" t="str">
        <f>+Energia!B205</f>
        <v xml:space="preserve">Trasporto di clienti e visitatori </v>
      </c>
      <c r="C270" s="1734"/>
      <c r="D270" s="1435">
        <v>16</v>
      </c>
      <c r="E270" s="1441"/>
      <c r="F270" s="1441"/>
      <c r="G270" s="1441"/>
      <c r="H270" s="1441"/>
      <c r="I270" s="1441"/>
      <c r="J270" s="1442"/>
      <c r="K270" s="1443"/>
      <c r="L270" s="1443"/>
      <c r="M270" s="1444"/>
      <c r="N270" s="1445"/>
      <c r="O270" s="1445"/>
      <c r="Q270" s="1317"/>
      <c r="R270" s="1317"/>
      <c r="U270" s="39"/>
      <c r="V270" s="39"/>
      <c r="W270" s="1162"/>
      <c r="X270" s="39"/>
      <c r="Y270" s="39"/>
      <c r="Z270" s="39"/>
      <c r="AB270" s="1162"/>
      <c r="AF270" s="1162"/>
      <c r="AK270" s="729"/>
      <c r="AL270" s="729"/>
      <c r="AM270" s="729"/>
      <c r="AN270" s="729"/>
      <c r="AO270" s="729"/>
      <c r="AP270" s="729"/>
      <c r="AQ270" s="729"/>
      <c r="AR270" s="729"/>
      <c r="AS270" s="729"/>
      <c r="AT270" s="729"/>
      <c r="AU270" s="729"/>
      <c r="AV270" s="729"/>
    </row>
    <row r="271" spans="2:48" ht="13" outlineLevel="1" x14ac:dyDescent="0.2">
      <c r="B271" s="1733" t="str">
        <f>+Energia!B206</f>
        <v>Trasporto di merci e distribuzione in fase d’uso e fine vita</v>
      </c>
      <c r="C271" s="1734"/>
      <c r="D271" s="1435">
        <v>17</v>
      </c>
      <c r="E271" s="1441"/>
      <c r="F271" s="1441"/>
      <c r="G271" s="1441"/>
      <c r="H271" s="1441"/>
      <c r="I271" s="1441"/>
      <c r="J271" s="1442"/>
      <c r="K271" s="1443"/>
      <c r="L271" s="1443"/>
      <c r="M271" s="1444"/>
      <c r="N271" s="1445"/>
      <c r="O271" s="1445"/>
      <c r="Q271" s="1317"/>
      <c r="R271" s="1317"/>
      <c r="U271" s="39"/>
      <c r="V271" s="39"/>
      <c r="W271" s="1162"/>
      <c r="X271" s="39"/>
      <c r="Y271" s="39"/>
      <c r="Z271" s="39"/>
      <c r="AB271" s="1162"/>
      <c r="AF271" s="1162"/>
      <c r="AK271" s="729"/>
      <c r="AL271" s="729"/>
      <c r="AM271" s="729"/>
      <c r="AN271" s="729"/>
      <c r="AO271" s="729"/>
      <c r="AP271" s="729"/>
      <c r="AQ271" s="729"/>
      <c r="AR271" s="729"/>
      <c r="AS271" s="729"/>
      <c r="AT271" s="729"/>
      <c r="AU271" s="729"/>
      <c r="AV271" s="729"/>
    </row>
    <row r="272" spans="2:48" ht="13" outlineLevel="1" x14ac:dyDescent="0.2">
      <c r="B272" s="1733" t="str">
        <f>+Energia!B207</f>
        <v xml:space="preserve">Uso dei prodotto venduti  </v>
      </c>
      <c r="C272" s="1734"/>
      <c r="D272" s="1435">
        <v>18</v>
      </c>
      <c r="E272" s="1441"/>
      <c r="F272" s="1441"/>
      <c r="G272" s="1441"/>
      <c r="H272" s="1441"/>
      <c r="I272" s="1441"/>
      <c r="J272" s="1442"/>
      <c r="K272" s="1443"/>
      <c r="L272" s="1443"/>
      <c r="M272" s="1444"/>
      <c r="N272" s="1445"/>
      <c r="O272" s="1445"/>
      <c r="Q272" s="1317"/>
      <c r="R272" s="1317"/>
      <c r="U272" s="39"/>
      <c r="V272" s="39"/>
      <c r="W272" s="1162"/>
      <c r="X272" s="39"/>
      <c r="Y272" s="39"/>
      <c r="Z272" s="39"/>
      <c r="AB272" s="1162"/>
      <c r="AF272" s="1162"/>
      <c r="AK272" s="729"/>
      <c r="AL272" s="729"/>
      <c r="AM272" s="729"/>
      <c r="AN272" s="729"/>
      <c r="AO272" s="729"/>
      <c r="AP272" s="729"/>
      <c r="AQ272" s="729"/>
      <c r="AR272" s="729"/>
      <c r="AS272" s="729"/>
      <c r="AT272" s="729"/>
      <c r="AU272" s="729"/>
      <c r="AV272" s="729"/>
    </row>
    <row r="273" spans="2:48" ht="13" outlineLevel="1" x14ac:dyDescent="0.2">
      <c r="B273" s="1733" t="str">
        <f>+Energia!B208</f>
        <v>Fine vita dei prodotti venduti</v>
      </c>
      <c r="C273" s="1734"/>
      <c r="D273" s="1435">
        <v>19</v>
      </c>
      <c r="E273" s="1441"/>
      <c r="F273" s="1441"/>
      <c r="G273" s="1441"/>
      <c r="H273" s="1441"/>
      <c r="I273" s="1441"/>
      <c r="J273" s="1442"/>
      <c r="K273" s="1443"/>
      <c r="L273" s="1443"/>
      <c r="M273" s="1444"/>
      <c r="N273" s="1445"/>
      <c r="O273" s="1445"/>
      <c r="Q273" s="1317"/>
      <c r="R273" s="1317"/>
      <c r="U273" s="39"/>
      <c r="V273" s="39"/>
      <c r="W273" s="1162"/>
      <c r="X273" s="39"/>
      <c r="Y273" s="39"/>
      <c r="Z273" s="39"/>
      <c r="AB273" s="1162"/>
      <c r="AF273" s="1162"/>
      <c r="AK273" s="729"/>
      <c r="AL273" s="729"/>
      <c r="AM273" s="729"/>
      <c r="AN273" s="729"/>
      <c r="AO273" s="729"/>
      <c r="AP273" s="729"/>
      <c r="AQ273" s="729"/>
      <c r="AR273" s="729"/>
      <c r="AS273" s="729"/>
      <c r="AT273" s="729"/>
      <c r="AU273" s="729"/>
      <c r="AV273" s="729"/>
    </row>
    <row r="274" spans="2:48" ht="13" outlineLevel="1" x14ac:dyDescent="0.2">
      <c r="B274" s="1733" t="str">
        <f>+Energia!B209</f>
        <v xml:space="preserve">Downstream franchises </v>
      </c>
      <c r="C274" s="1734"/>
      <c r="D274" s="1435">
        <v>20</v>
      </c>
      <c r="E274" s="1441"/>
      <c r="F274" s="1441"/>
      <c r="G274" s="1441"/>
      <c r="H274" s="1441"/>
      <c r="I274" s="1441"/>
      <c r="J274" s="1442"/>
      <c r="K274" s="1443"/>
      <c r="L274" s="1443"/>
      <c r="M274" s="1444"/>
      <c r="N274" s="1445"/>
      <c r="O274" s="1445"/>
      <c r="Q274" s="1317"/>
      <c r="R274" s="1317"/>
      <c r="U274" s="39"/>
      <c r="V274" s="39"/>
      <c r="W274" s="1162"/>
      <c r="X274" s="39"/>
      <c r="Y274" s="39"/>
      <c r="Z274" s="39"/>
      <c r="AB274" s="1162"/>
      <c r="AF274" s="1162"/>
      <c r="AK274" s="729"/>
      <c r="AL274" s="729"/>
      <c r="AM274" s="729"/>
      <c r="AN274" s="729"/>
      <c r="AO274" s="729"/>
      <c r="AP274" s="729"/>
      <c r="AQ274" s="729"/>
      <c r="AR274" s="729"/>
      <c r="AS274" s="729"/>
      <c r="AT274" s="729"/>
      <c r="AU274" s="729"/>
      <c r="AV274" s="729"/>
    </row>
    <row r="275" spans="2:48" ht="13" outlineLevel="1" x14ac:dyDescent="0.2">
      <c r="B275" s="1733" t="str">
        <f>+Energia!B210</f>
        <v>Downstream leased assets</v>
      </c>
      <c r="C275" s="1734"/>
      <c r="D275" s="1435">
        <v>21</v>
      </c>
      <c r="E275" s="1441"/>
      <c r="F275" s="1441"/>
      <c r="G275" s="1441"/>
      <c r="H275" s="1441"/>
      <c r="I275" s="1441"/>
      <c r="J275" s="1442"/>
      <c r="K275" s="1443"/>
      <c r="L275" s="1443"/>
      <c r="M275" s="1444"/>
      <c r="N275" s="1445"/>
      <c r="O275" s="1445"/>
      <c r="Q275" s="1317"/>
      <c r="R275" s="1317"/>
      <c r="U275" s="39"/>
      <c r="V275" s="39"/>
      <c r="W275" s="1162"/>
      <c r="X275" s="39"/>
      <c r="Y275" s="39"/>
      <c r="Z275" s="39"/>
      <c r="AB275" s="1162"/>
      <c r="AF275" s="1162"/>
      <c r="AK275" s="729"/>
      <c r="AL275" s="729"/>
      <c r="AM275" s="729"/>
      <c r="AN275" s="729"/>
      <c r="AO275" s="729"/>
      <c r="AP275" s="729"/>
      <c r="AQ275" s="729"/>
      <c r="AR275" s="729"/>
      <c r="AS275" s="729"/>
      <c r="AT275" s="729"/>
      <c r="AU275" s="729"/>
      <c r="AV275" s="729"/>
    </row>
    <row r="276" spans="2:48" ht="13" outlineLevel="1" x14ac:dyDescent="0.2">
      <c r="B276" s="1733" t="str">
        <f>+Energia!B211</f>
        <v>Impiegati pendolari</v>
      </c>
      <c r="C276" s="1734"/>
      <c r="D276" s="1435">
        <v>22</v>
      </c>
      <c r="E276" s="1441"/>
      <c r="F276" s="1441"/>
      <c r="G276" s="1441"/>
      <c r="H276" s="1441"/>
      <c r="I276" s="1441"/>
      <c r="J276" s="1442"/>
      <c r="K276" s="1443"/>
      <c r="L276" s="1443"/>
      <c r="M276" s="1444"/>
      <c r="N276" s="1445"/>
      <c r="O276" s="1445"/>
      <c r="Q276" s="1317"/>
      <c r="R276" s="1317"/>
      <c r="U276" s="39"/>
      <c r="V276" s="39"/>
      <c r="W276" s="1162"/>
      <c r="X276" s="39"/>
      <c r="Y276" s="39"/>
      <c r="Z276" s="39"/>
      <c r="AB276" s="1162"/>
      <c r="AF276" s="1162"/>
      <c r="AK276" s="729"/>
      <c r="AL276" s="729"/>
      <c r="AM276" s="729"/>
      <c r="AN276" s="729"/>
      <c r="AO276" s="729"/>
      <c r="AP276" s="729"/>
      <c r="AQ276" s="729"/>
      <c r="AR276" s="729"/>
      <c r="AS276" s="729"/>
      <c r="AT276" s="729"/>
      <c r="AU276" s="729"/>
      <c r="AV276" s="729"/>
    </row>
    <row r="277" spans="2:48" ht="13" outlineLevel="1" x14ac:dyDescent="0.2">
      <c r="B277" s="1733" t="str">
        <f>+Energia!B212</f>
        <v xml:space="preserve">Altre emissioni indirette </v>
      </c>
      <c r="C277" s="1734"/>
      <c r="D277" s="1435">
        <v>23</v>
      </c>
      <c r="E277" s="1441"/>
      <c r="F277" s="1441"/>
      <c r="G277" s="1441"/>
      <c r="H277" s="1441"/>
      <c r="I277" s="1441"/>
      <c r="J277" s="1442"/>
      <c r="K277" s="1443"/>
      <c r="L277" s="1443"/>
      <c r="M277" s="1444"/>
      <c r="N277" s="1445"/>
      <c r="O277" s="1445"/>
      <c r="Q277" s="1317"/>
      <c r="R277" s="1317"/>
      <c r="U277" s="39"/>
      <c r="V277" s="39"/>
      <c r="W277" s="1162"/>
      <c r="X277" s="39"/>
      <c r="Y277" s="39"/>
      <c r="Z277" s="39"/>
      <c r="AB277" s="1162"/>
      <c r="AF277" s="1162"/>
      <c r="AK277" s="729"/>
      <c r="AL277" s="729"/>
      <c r="AM277" s="729"/>
      <c r="AN277" s="729"/>
      <c r="AO277" s="729"/>
      <c r="AP277" s="729"/>
      <c r="AQ277" s="729"/>
      <c r="AR277" s="729"/>
      <c r="AS277" s="729"/>
      <c r="AT277" s="729"/>
      <c r="AU277" s="729"/>
      <c r="AV277" s="729"/>
    </row>
    <row r="278" spans="2:48" ht="13" outlineLevel="1" x14ac:dyDescent="0.2">
      <c r="B278" s="1738" t="s">
        <v>96</v>
      </c>
      <c r="C278" s="1738"/>
      <c r="D278" s="1738"/>
      <c r="E278" s="1447">
        <f>SUM(E262:E277)</f>
        <v>0</v>
      </c>
      <c r="F278" s="1447">
        <f t="shared" ref="F278:O278" si="32">SUM(F262:F277)</f>
        <v>0</v>
      </c>
      <c r="G278" s="1447">
        <f t="shared" si="32"/>
        <v>0</v>
      </c>
      <c r="H278" s="1447">
        <f t="shared" si="32"/>
        <v>0</v>
      </c>
      <c r="I278" s="1447">
        <f t="shared" si="32"/>
        <v>0</v>
      </c>
      <c r="J278" s="1447">
        <f t="shared" si="32"/>
        <v>96800.000000000015</v>
      </c>
      <c r="K278" s="1448">
        <f t="shared" si="32"/>
        <v>0</v>
      </c>
      <c r="L278" s="1448">
        <f t="shared" si="32"/>
        <v>0</v>
      </c>
      <c r="M278" s="1449">
        <f>SQRT(SUMSQ(M262:M277))</f>
        <v>19360.000000000004</v>
      </c>
      <c r="N278" s="1450">
        <f t="shared" si="32"/>
        <v>0</v>
      </c>
      <c r="O278" s="1450">
        <f t="shared" si="32"/>
        <v>0</v>
      </c>
      <c r="Q278" s="1317"/>
      <c r="R278" s="1317"/>
      <c r="U278" s="39"/>
      <c r="V278" s="39"/>
      <c r="W278" s="1162"/>
      <c r="X278" s="39"/>
      <c r="Y278" s="39"/>
      <c r="Z278" s="39"/>
      <c r="AB278" s="1162"/>
      <c r="AF278" s="1162"/>
      <c r="AK278" s="729"/>
      <c r="AL278" s="729"/>
      <c r="AM278" s="729"/>
      <c r="AN278" s="729"/>
      <c r="AO278" s="729"/>
      <c r="AP278" s="729"/>
      <c r="AQ278" s="729"/>
      <c r="AR278" s="729"/>
      <c r="AS278" s="729"/>
      <c r="AT278" s="729"/>
      <c r="AU278" s="729"/>
      <c r="AV278" s="729"/>
    </row>
    <row r="279" spans="2:48" outlineLevel="1" x14ac:dyDescent="0.2">
      <c r="Q279" s="1317"/>
      <c r="R279" s="1317"/>
      <c r="U279" s="39"/>
      <c r="V279" s="39"/>
      <c r="W279" s="1162"/>
      <c r="X279" s="39"/>
      <c r="Y279" s="39"/>
      <c r="Z279" s="39"/>
      <c r="AB279" s="1162"/>
      <c r="AF279" s="1162"/>
      <c r="AK279" s="729"/>
      <c r="AL279" s="729"/>
      <c r="AM279" s="729"/>
      <c r="AN279" s="729"/>
      <c r="AO279" s="729"/>
      <c r="AP279" s="729"/>
      <c r="AQ279" s="729"/>
      <c r="AR279" s="729"/>
      <c r="AS279" s="729"/>
      <c r="AT279" s="729"/>
      <c r="AU279" s="729"/>
      <c r="AV279" s="729"/>
    </row>
    <row r="282" spans="2:48" ht="17" x14ac:dyDescent="0.2">
      <c r="B282" s="1649" t="s">
        <v>2768</v>
      </c>
    </row>
    <row r="283" spans="2:48" ht="17" x14ac:dyDescent="0.2">
      <c r="B283" s="1649" t="s">
        <v>2769</v>
      </c>
    </row>
    <row r="284" spans="2:48" ht="17" x14ac:dyDescent="0.2">
      <c r="B284" s="1650" t="s">
        <v>2770</v>
      </c>
    </row>
    <row r="285" spans="2:48" ht="16" x14ac:dyDescent="0.2">
      <c r="B285" s="1651" t="s">
        <v>2771</v>
      </c>
    </row>
    <row r="286" spans="2:48" ht="17" x14ac:dyDescent="0.2">
      <c r="B286" s="1649" t="s">
        <v>2772</v>
      </c>
    </row>
  </sheetData>
  <mergeCells count="150">
    <mergeCell ref="U54:X54"/>
    <mergeCell ref="D6:E6"/>
    <mergeCell ref="F6:G6"/>
    <mergeCell ref="P10:S10"/>
    <mergeCell ref="P38:S38"/>
    <mergeCell ref="L10:N10"/>
    <mergeCell ref="L38:N38"/>
    <mergeCell ref="P24:S24"/>
    <mergeCell ref="P52:S52"/>
    <mergeCell ref="J6:K6"/>
    <mergeCell ref="L24:N24"/>
    <mergeCell ref="L52:N52"/>
    <mergeCell ref="H6:I6"/>
    <mergeCell ref="U10:Z10"/>
    <mergeCell ref="U24:Z24"/>
    <mergeCell ref="U38:Z38"/>
    <mergeCell ref="U52:Z52"/>
    <mergeCell ref="U12:X12"/>
    <mergeCell ref="U26:X26"/>
    <mergeCell ref="U40:X40"/>
    <mergeCell ref="U174:X174"/>
    <mergeCell ref="B197:C198"/>
    <mergeCell ref="D197:F197"/>
    <mergeCell ref="L90:N90"/>
    <mergeCell ref="P90:S90"/>
    <mergeCell ref="P104:S104"/>
    <mergeCell ref="L104:N104"/>
    <mergeCell ref="P137:S137"/>
    <mergeCell ref="B102:O102"/>
    <mergeCell ref="B157:O157"/>
    <mergeCell ref="Q197:T197"/>
    <mergeCell ref="K197:L197"/>
    <mergeCell ref="H197:I197"/>
    <mergeCell ref="U65:Z65"/>
    <mergeCell ref="U76:Z76"/>
    <mergeCell ref="U90:Z90"/>
    <mergeCell ref="U172:Z172"/>
    <mergeCell ref="P159:S159"/>
    <mergeCell ref="L137:N137"/>
    <mergeCell ref="U104:Z104"/>
    <mergeCell ref="U137:Z137"/>
    <mergeCell ref="U159:Z159"/>
    <mergeCell ref="L159:N159"/>
    <mergeCell ref="U67:X67"/>
    <mergeCell ref="U78:X78"/>
    <mergeCell ref="U92:X92"/>
    <mergeCell ref="U106:X106"/>
    <mergeCell ref="U139:X139"/>
    <mergeCell ref="U161:X161"/>
    <mergeCell ref="P76:S76"/>
    <mergeCell ref="P65:S65"/>
    <mergeCell ref="L76:N76"/>
    <mergeCell ref="L65:N65"/>
    <mergeCell ref="P172:S172"/>
    <mergeCell ref="L172:N172"/>
    <mergeCell ref="B2:O2"/>
    <mergeCell ref="B195:O195"/>
    <mergeCell ref="B8:O8"/>
    <mergeCell ref="B22:O22"/>
    <mergeCell ref="B36:O36"/>
    <mergeCell ref="B50:O50"/>
    <mergeCell ref="B63:O63"/>
    <mergeCell ref="B88:O88"/>
    <mergeCell ref="B170:O170"/>
    <mergeCell ref="B183:O183"/>
    <mergeCell ref="D4:E4"/>
    <mergeCell ref="F4:G4"/>
    <mergeCell ref="H4:I4"/>
    <mergeCell ref="J4:K4"/>
    <mergeCell ref="L4:M4"/>
    <mergeCell ref="N4:O4"/>
    <mergeCell ref="D5:E5"/>
    <mergeCell ref="F5:G5"/>
    <mergeCell ref="H5:I5"/>
    <mergeCell ref="J5:K5"/>
    <mergeCell ref="L5:M5"/>
    <mergeCell ref="N5:O5"/>
    <mergeCell ref="B239:C239"/>
    <mergeCell ref="B240:C240"/>
    <mergeCell ref="B241:C241"/>
    <mergeCell ref="B225:C225"/>
    <mergeCell ref="B226:D226"/>
    <mergeCell ref="B227:O227"/>
    <mergeCell ref="B228:C228"/>
    <mergeCell ref="B229:C229"/>
    <mergeCell ref="B230:C230"/>
    <mergeCell ref="B231:C231"/>
    <mergeCell ref="B232:C232"/>
    <mergeCell ref="B199:C199"/>
    <mergeCell ref="B208:C208"/>
    <mergeCell ref="B211:C211"/>
    <mergeCell ref="E217:N217"/>
    <mergeCell ref="B218:C218"/>
    <mergeCell ref="B219:C219"/>
    <mergeCell ref="B220:C220"/>
    <mergeCell ref="B233:C233"/>
    <mergeCell ref="B215:O215"/>
    <mergeCell ref="B223:D223"/>
    <mergeCell ref="B224:C224"/>
    <mergeCell ref="B212:C212"/>
    <mergeCell ref="B200:C200"/>
    <mergeCell ref="B201:C201"/>
    <mergeCell ref="B203:C203"/>
    <mergeCell ref="B204:C204"/>
    <mergeCell ref="B205:C205"/>
    <mergeCell ref="B206:C206"/>
    <mergeCell ref="B207:C207"/>
    <mergeCell ref="B202:C202"/>
    <mergeCell ref="B243:C243"/>
    <mergeCell ref="B244:C244"/>
    <mergeCell ref="B245:C245"/>
    <mergeCell ref="B246:D246"/>
    <mergeCell ref="B242:C242"/>
    <mergeCell ref="B221:C221"/>
    <mergeCell ref="B222:C222"/>
    <mergeCell ref="B259:C259"/>
    <mergeCell ref="B260:C260"/>
    <mergeCell ref="B249:O249"/>
    <mergeCell ref="E251:M251"/>
    <mergeCell ref="B252:C252"/>
    <mergeCell ref="B253:C253"/>
    <mergeCell ref="O253:O258"/>
    <mergeCell ref="B254:C254"/>
    <mergeCell ref="B255:C255"/>
    <mergeCell ref="B256:C256"/>
    <mergeCell ref="B257:C257"/>
    <mergeCell ref="B258:D258"/>
    <mergeCell ref="B234:C234"/>
    <mergeCell ref="B235:C235"/>
    <mergeCell ref="B236:C236"/>
    <mergeCell ref="B237:O237"/>
    <mergeCell ref="B238:C238"/>
    <mergeCell ref="B261:D261"/>
    <mergeCell ref="B262:C262"/>
    <mergeCell ref="B263:C263"/>
    <mergeCell ref="B264:C264"/>
    <mergeCell ref="B265:C265"/>
    <mergeCell ref="B266:C266"/>
    <mergeCell ref="B267:C267"/>
    <mergeCell ref="B277:C277"/>
    <mergeCell ref="B278:D278"/>
    <mergeCell ref="B268:C268"/>
    <mergeCell ref="B269:C269"/>
    <mergeCell ref="B270:C270"/>
    <mergeCell ref="B271:C271"/>
    <mergeCell ref="B272:C272"/>
    <mergeCell ref="B273:C273"/>
    <mergeCell ref="B274:C274"/>
    <mergeCell ref="B275:C275"/>
    <mergeCell ref="B276:C276"/>
  </mergeCells>
  <phoneticPr fontId="4"/>
  <dataValidations count="16">
    <dataValidation type="list" allowBlank="1" showInputMessage="1" showErrorMessage="1" sqref="B69:B72" xr:uid="{00000000-0002-0000-0300-000000000000}">
      <formula1>materiaux</formula1>
    </dataValidation>
    <dataValidation type="list" allowBlank="1" showInputMessage="1" showErrorMessage="1" sqref="B56:B58" xr:uid="{00000000-0002-0000-0300-000001000000}">
      <formula1>papier</formula1>
    </dataValidation>
    <dataValidation type="list" allowBlank="1" showInputMessage="1" showErrorMessage="1" sqref="B80:B83" xr:uid="{00000000-0002-0000-0300-000002000000}">
      <formula1>route</formula1>
    </dataValidation>
    <dataValidation type="list" allowBlank="1" showInputMessage="1" showErrorMessage="1" sqref="B94:B97" xr:uid="{00000000-0002-0000-0300-000003000000}">
      <formula1>chimie</formula1>
    </dataValidation>
    <dataValidation type="list" allowBlank="1" showInputMessage="1" showErrorMessage="1" sqref="B176:B178" xr:uid="{00000000-0002-0000-0300-000004000000}">
      <formula1>monetaire</formula1>
    </dataValidation>
    <dataValidation allowBlank="1" showInputMessage="1" showErrorMessage="1" sqref="B128 C14:C17 C28:C31 C42:C45 C56:C58 C69:C72 C80:C83 C94:C97 C176:C179 B121 C163:C165 C108:C133 C140:C152" xr:uid="{00000000-0002-0000-0300-000005000000}"/>
    <dataValidation type="list" allowBlank="1" showInputMessage="1" showErrorMessage="1" sqref="B14:B17" xr:uid="{00000000-0002-0000-0300-000006000000}">
      <formula1>metaux</formula1>
    </dataValidation>
    <dataValidation type="list" allowBlank="1" showInputMessage="1" showErrorMessage="1" sqref="B28:B31" xr:uid="{00000000-0002-0000-0300-000007000000}">
      <formula1>plastiques</formula1>
    </dataValidation>
    <dataValidation type="list" allowBlank="1" showInputMessage="1" showErrorMessage="1" sqref="B42:B45" xr:uid="{00000000-0002-0000-0300-000008000000}">
      <formula1>verres</formula1>
    </dataValidation>
    <dataValidation type="list" allowBlank="1" showInputMessage="1" showErrorMessage="1" sqref="B141:B143" xr:uid="{00000000-0002-0000-0300-000009000000}">
      <formula1>repas_moyen</formula1>
    </dataValidation>
    <dataValidation type="list" allowBlank="1" showInputMessage="1" showErrorMessage="1" sqref="B108:B112" xr:uid="{00000000-0002-0000-0300-00000A000000}">
      <formula1>animaux_ferme</formula1>
    </dataValidation>
    <dataValidation type="list" allowBlank="1" showInputMessage="1" showErrorMessage="1" sqref="B115:B119" xr:uid="{00000000-0002-0000-0300-00000B000000}">
      <formula1>mer_ferme</formula1>
    </dataValidation>
    <dataValidation type="list" allowBlank="1" showInputMessage="1" showErrorMessage="1" sqref="B122:B126" xr:uid="{00000000-0002-0000-0300-00000C000000}">
      <formula1>végétaux_ferme</formula1>
    </dataValidation>
    <dataValidation type="list" allowBlank="1" showInputMessage="1" showErrorMessage="1" sqref="B129:B133" xr:uid="{00000000-0002-0000-0300-00000D000000}">
      <formula1>produits_agro</formula1>
    </dataValidation>
    <dataValidation type="list" allowBlank="1" showInputMessage="1" showErrorMessage="1" sqref="B163:B165" xr:uid="{00000000-0002-0000-0300-00000E000000}">
      <formula1>autres_achats</formula1>
    </dataValidation>
    <dataValidation type="list" allowBlank="1" showInputMessage="1" showErrorMessage="1" sqref="B152" xr:uid="{00000000-0002-0000-0300-00000F000000}">
      <formula1>Eau</formula1>
    </dataValidation>
  </dataValidations>
  <hyperlinks>
    <hyperlink ref="D4" location="intrants_metaux" display="metaux" xr:uid="{00000000-0004-0000-0300-000000000000}"/>
    <hyperlink ref="F4" location="intrants_plastiques" display="plastiques" xr:uid="{00000000-0004-0000-0300-000001000000}"/>
    <hyperlink ref="H4" location="intrants_Verre" display="verre" xr:uid="{00000000-0004-0000-0300-000002000000}"/>
    <hyperlink ref="J4" location="intrants_Papiers" display="papier" xr:uid="{00000000-0004-0000-0300-000003000000}"/>
    <hyperlink ref="L4" location="intrants_Matériaux_de_construction" display="construction" xr:uid="{00000000-0004-0000-0300-000004000000}"/>
    <hyperlink ref="N4" location="intrants_chimie" display="chimie" xr:uid="{00000000-0004-0000-0300-000005000000}"/>
    <hyperlink ref="D5" location="intrants_Produits_agricoles" display="agricole" xr:uid="{00000000-0004-0000-0300-000006000000}"/>
    <hyperlink ref="F5" location="intrants_ratios" display="ratios€" xr:uid="{00000000-0004-0000-0300-000007000000}"/>
    <hyperlink ref="D6" location="intrants_total" display="total" xr:uid="{00000000-0004-0000-0300-000008000000}"/>
    <hyperlink ref="H5" location="intrants_Puits" display="puits" xr:uid="{00000000-0004-0000-0300-000009000000}"/>
    <hyperlink ref="H6" location="intrants_GHGProtocol" display="GHG Protocol" xr:uid="{00000000-0004-0000-0300-00000A000000}"/>
    <hyperlink ref="J6:K6" location="intrants_ISO14069" display="ISO 14069" xr:uid="{00000000-0004-0000-0300-00000B000000}"/>
    <hyperlink ref="B285" r:id="rId1" xr:uid="{00000000-0004-0000-0300-00000C000000}"/>
    <hyperlink ref="B284" r:id="rId2" xr:uid="{00000000-0004-0000-0300-00000D000000}"/>
  </hyperlinks>
  <pageMargins left="0.78740157499999996" right="0.78740157499999996" top="0.984251969" bottom="0.984251969" header="0.4921259845" footer="0.4921259845"/>
  <pageSetup paperSize="9" orientation="portrait" horizontalDpi="4294967292" verticalDpi="4294967292"/>
  <headerFooter alignWithMargins="0">
    <oddFooter>&amp;LCalcul des émissions de gaz à effet de serre&amp;RRubrique &amp;A, page &amp;P, édité le &amp;D</oddFooter>
  </headerFooter>
  <rowBreaks count="1" manualBreakCount="1">
    <brk id="103" max="16383" man="1"/>
  </rowBreaks>
  <ignoredErrors>
    <ignoredError sqref="D242:D244" twoDigitTextYear="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10000000}">
          <x14:formula1>
            <xm:f>'Emissions factors'!$B$2142:$B$2143</xm:f>
          </x14:formula1>
          <xm:sqref>B147:B148</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7">
    <tabColor theme="5"/>
    <outlinePr summaryBelow="0"/>
  </sheetPr>
  <dimension ref="B1:AY184"/>
  <sheetViews>
    <sheetView showGridLines="0" zoomScale="150" zoomScaleNormal="150" zoomScalePageLayoutView="150" workbookViewId="0">
      <pane xSplit="3" ySplit="6" topLeftCell="E73" activePane="bottomRight" state="frozenSplit"/>
      <selection activeCell="E9" sqref="E9"/>
      <selection pane="topRight" activeCell="E9" sqref="E9"/>
      <selection pane="bottomLeft" activeCell="E9" sqref="E9"/>
      <selection pane="bottomRight" activeCell="F13" sqref="F13"/>
    </sheetView>
  </sheetViews>
  <sheetFormatPr baseColWidth="10" defaultColWidth="10.83203125" defaultRowHeight="13" outlineLevelRow="1" x14ac:dyDescent="0.2"/>
  <cols>
    <col min="1" max="1" width="2.6640625" style="40" customWidth="1"/>
    <col min="2" max="2" width="42.6640625" style="40" customWidth="1"/>
    <col min="3" max="3" width="12.83203125" style="40" customWidth="1"/>
    <col min="4" max="6" width="12.33203125" style="40" customWidth="1"/>
    <col min="7" max="7" width="14.5" style="40" bestFit="1" customWidth="1"/>
    <col min="8" max="9" width="13.5" style="40" bestFit="1" customWidth="1"/>
    <col min="10" max="11" width="14.1640625" style="40" bestFit="1" customWidth="1"/>
    <col min="12" max="32" width="12.33203125" style="40" customWidth="1"/>
    <col min="33" max="44" width="12.33203125" style="602" customWidth="1"/>
    <col min="45" max="47" width="12.33203125" style="40" customWidth="1"/>
    <col min="48" max="16384" width="10.83203125" style="40"/>
  </cols>
  <sheetData>
    <row r="1" spans="2:44" s="39" customFormat="1" ht="12" x14ac:dyDescent="0.2">
      <c r="AG1" s="729"/>
      <c r="AH1" s="729"/>
      <c r="AI1" s="729"/>
      <c r="AJ1" s="729"/>
      <c r="AK1" s="729"/>
      <c r="AL1" s="729"/>
      <c r="AM1" s="729"/>
      <c r="AN1" s="729"/>
      <c r="AO1" s="729"/>
      <c r="AP1" s="729"/>
      <c r="AQ1" s="729"/>
      <c r="AR1" s="729"/>
    </row>
    <row r="2" spans="2:44" s="39" customFormat="1" ht="30" customHeight="1" x14ac:dyDescent="0.2">
      <c r="B2" s="1726" t="str">
        <f>Description!C19</f>
        <v xml:space="preserve">Imballaggi </v>
      </c>
      <c r="C2" s="1726"/>
      <c r="D2" s="1726"/>
      <c r="E2" s="1726"/>
      <c r="F2" s="1726"/>
      <c r="G2" s="1726"/>
      <c r="H2" s="1726"/>
      <c r="I2" s="1726"/>
      <c r="J2" s="1726"/>
      <c r="K2" s="1726"/>
      <c r="L2" s="1726"/>
      <c r="M2" s="1726"/>
      <c r="N2" s="1726"/>
      <c r="O2" s="1726"/>
      <c r="AG2" s="729"/>
      <c r="AH2" s="729"/>
      <c r="AI2" s="729"/>
      <c r="AJ2" s="729"/>
      <c r="AK2" s="729"/>
      <c r="AL2" s="729"/>
      <c r="AM2" s="729"/>
      <c r="AN2" s="729"/>
      <c r="AO2" s="729"/>
      <c r="AP2" s="729"/>
      <c r="AQ2" s="729"/>
      <c r="AR2" s="729"/>
    </row>
    <row r="3" spans="2:44" s="313" customFormat="1" ht="14" x14ac:dyDescent="0.2">
      <c r="D3" s="41"/>
      <c r="E3" s="41"/>
      <c r="F3" s="41"/>
      <c r="H3" s="41"/>
      <c r="J3" s="41"/>
      <c r="L3" s="41"/>
      <c r="N3" s="41"/>
      <c r="AG3" s="777"/>
      <c r="AH3" s="777"/>
      <c r="AI3" s="777"/>
      <c r="AJ3" s="777"/>
      <c r="AK3" s="777"/>
      <c r="AL3" s="777"/>
      <c r="AM3" s="777"/>
      <c r="AN3" s="777"/>
      <c r="AO3" s="777"/>
      <c r="AP3" s="777"/>
      <c r="AQ3" s="777"/>
      <c r="AR3" s="777"/>
    </row>
    <row r="4" spans="2:44" s="313" customFormat="1" ht="14" x14ac:dyDescent="0.2">
      <c r="B4" s="119" t="s">
        <v>2531</v>
      </c>
      <c r="C4" s="353"/>
      <c r="D4" s="1797" t="s">
        <v>2592</v>
      </c>
      <c r="E4" s="1797"/>
      <c r="F4" s="1797" t="s">
        <v>2593</v>
      </c>
      <c r="G4" s="1797"/>
      <c r="H4" s="1797" t="s">
        <v>2594</v>
      </c>
      <c r="I4" s="1797"/>
      <c r="J4" s="1797" t="s">
        <v>2596</v>
      </c>
      <c r="K4" s="1797"/>
      <c r="L4" s="1797" t="s">
        <v>2614</v>
      </c>
      <c r="M4" s="1797"/>
      <c r="N4" s="1797" t="s">
        <v>2616</v>
      </c>
      <c r="O4" s="1823"/>
      <c r="AG4" s="777"/>
      <c r="AH4" s="777"/>
      <c r="AI4" s="777"/>
      <c r="AJ4" s="777"/>
      <c r="AK4" s="777"/>
      <c r="AL4" s="777"/>
      <c r="AM4" s="777"/>
      <c r="AN4" s="777"/>
      <c r="AO4" s="777"/>
      <c r="AP4" s="777"/>
      <c r="AQ4" s="777"/>
      <c r="AR4" s="777"/>
    </row>
    <row r="5" spans="2:44" s="121" customFormat="1" ht="14" x14ac:dyDescent="0.2">
      <c r="B5" s="106" t="s">
        <v>3012</v>
      </c>
      <c r="C5" s="107"/>
      <c r="D5" s="1798" t="s">
        <v>44</v>
      </c>
      <c r="E5" s="1798"/>
      <c r="F5" s="1798" t="s">
        <v>121</v>
      </c>
      <c r="G5" s="1798"/>
      <c r="H5" s="1798" t="s">
        <v>132</v>
      </c>
      <c r="I5" s="1798"/>
      <c r="J5" s="172"/>
      <c r="K5" s="172"/>
      <c r="L5" s="172"/>
      <c r="M5" s="172"/>
      <c r="N5" s="172"/>
      <c r="O5" s="355"/>
      <c r="AG5" s="607"/>
      <c r="AH5" s="607"/>
      <c r="AI5" s="607"/>
      <c r="AJ5" s="607"/>
      <c r="AK5" s="607"/>
      <c r="AL5" s="607"/>
      <c r="AM5" s="607"/>
      <c r="AN5" s="607"/>
      <c r="AO5" s="607"/>
      <c r="AP5" s="607"/>
      <c r="AQ5" s="607"/>
      <c r="AR5" s="607"/>
    </row>
    <row r="6" spans="2:44" s="121" customFormat="1" ht="14" x14ac:dyDescent="0.2">
      <c r="B6" s="41"/>
      <c r="C6" s="41"/>
      <c r="D6" s="41"/>
      <c r="E6" s="41"/>
      <c r="F6" s="41"/>
      <c r="AG6" s="607"/>
      <c r="AH6" s="607"/>
      <c r="AI6" s="607"/>
      <c r="AJ6" s="607"/>
      <c r="AK6" s="607"/>
      <c r="AL6" s="607"/>
      <c r="AM6" s="607"/>
      <c r="AN6" s="607"/>
      <c r="AO6" s="607"/>
      <c r="AP6" s="607"/>
      <c r="AQ6" s="607"/>
      <c r="AR6" s="607"/>
    </row>
    <row r="7" spans="2:44" s="191" customFormat="1" ht="16" x14ac:dyDescent="0.2">
      <c r="B7" s="1795" t="s">
        <v>2840</v>
      </c>
      <c r="C7" s="1795"/>
      <c r="D7" s="1795"/>
      <c r="E7" s="1795"/>
      <c r="F7" s="1795"/>
      <c r="G7" s="1795"/>
      <c r="H7" s="1795"/>
      <c r="I7" s="1795"/>
      <c r="J7" s="1795"/>
      <c r="K7" s="1795"/>
      <c r="L7" s="1795"/>
      <c r="M7" s="1795"/>
      <c r="N7" s="1795"/>
      <c r="O7" s="1795"/>
      <c r="AG7" s="751"/>
      <c r="AH7" s="751"/>
      <c r="AI7" s="751"/>
      <c r="AJ7" s="751"/>
      <c r="AK7" s="751"/>
      <c r="AL7" s="751"/>
      <c r="AM7" s="751"/>
      <c r="AN7" s="751"/>
      <c r="AO7" s="751"/>
      <c r="AP7" s="751"/>
      <c r="AQ7" s="751"/>
      <c r="AR7" s="751"/>
    </row>
    <row r="8" spans="2:44" outlineLevel="1" x14ac:dyDescent="0.2"/>
    <row r="9" spans="2:44" outlineLevel="1" x14ac:dyDescent="0.2">
      <c r="B9" s="195" t="s">
        <v>2840</v>
      </c>
      <c r="C9" s="196"/>
      <c r="D9" s="358"/>
      <c r="E9" s="358"/>
      <c r="F9" s="198"/>
      <c r="G9" s="198"/>
      <c r="H9" s="198"/>
      <c r="I9" s="198"/>
      <c r="J9" s="198"/>
      <c r="K9" s="198"/>
      <c r="L9" s="198"/>
      <c r="M9" s="198"/>
      <c r="N9" s="429"/>
      <c r="O9" s="430"/>
      <c r="Q9" s="1752" t="s">
        <v>723</v>
      </c>
      <c r="R9" s="1747"/>
      <c r="S9" s="1747"/>
      <c r="T9" s="1747"/>
      <c r="U9" s="1747"/>
      <c r="V9" s="1748"/>
      <c r="X9" s="1746" t="s">
        <v>2066</v>
      </c>
      <c r="Y9" s="1747"/>
      <c r="Z9" s="1747"/>
      <c r="AA9" s="1747"/>
      <c r="AB9" s="1747"/>
      <c r="AC9" s="1747"/>
      <c r="AD9" s="1747"/>
      <c r="AE9" s="1748"/>
      <c r="AG9" s="1755" t="s">
        <v>2073</v>
      </c>
      <c r="AH9" s="1756"/>
      <c r="AI9" s="1756"/>
      <c r="AJ9" s="1756"/>
      <c r="AK9" s="1756"/>
      <c r="AL9" s="1756"/>
      <c r="AM9" s="1756"/>
      <c r="AN9" s="1756"/>
      <c r="AO9" s="1756"/>
      <c r="AP9" s="1756"/>
      <c r="AQ9" s="1756"/>
      <c r="AR9" s="1757"/>
    </row>
    <row r="10" spans="2:44" outlineLevel="1" x14ac:dyDescent="0.2">
      <c r="B10" s="417"/>
      <c r="C10" s="225"/>
      <c r="D10" s="361"/>
      <c r="E10" s="361"/>
      <c r="F10" s="214"/>
      <c r="G10" s="214"/>
      <c r="H10" s="1828" t="s">
        <v>1279</v>
      </c>
      <c r="I10" s="1828"/>
      <c r="J10" s="1620" t="s">
        <v>2617</v>
      </c>
      <c r="K10" s="201"/>
      <c r="L10" s="201"/>
      <c r="M10" s="201"/>
      <c r="N10" s="444" t="s">
        <v>2619</v>
      </c>
      <c r="O10" s="445"/>
      <c r="Q10" s="216" t="s">
        <v>2620</v>
      </c>
      <c r="R10" s="217" t="s">
        <v>2620</v>
      </c>
      <c r="S10" s="217"/>
      <c r="T10" s="217"/>
      <c r="U10" s="217"/>
      <c r="V10" s="218"/>
      <c r="X10" s="216"/>
      <c r="Y10" s="217"/>
      <c r="Z10" s="217"/>
      <c r="AA10" s="217"/>
      <c r="AB10" s="217"/>
      <c r="AC10" s="217"/>
      <c r="AD10" s="198"/>
      <c r="AE10" s="199"/>
      <c r="AG10" s="1758" t="s">
        <v>61</v>
      </c>
      <c r="AH10" s="1759"/>
      <c r="AI10" s="1759"/>
      <c r="AJ10" s="1759"/>
      <c r="AK10" s="1759"/>
      <c r="AL10" s="1759"/>
      <c r="AM10" s="1759"/>
      <c r="AN10" s="1759"/>
      <c r="AO10" s="1759" t="s">
        <v>61</v>
      </c>
      <c r="AP10" s="1760"/>
      <c r="AQ10" s="730"/>
      <c r="AR10" s="731"/>
    </row>
    <row r="11" spans="2:44" outlineLevel="1" x14ac:dyDescent="0.2">
      <c r="B11" s="204"/>
      <c r="C11" s="362"/>
      <c r="D11" s="362" t="s">
        <v>56</v>
      </c>
      <c r="E11" s="362" t="s">
        <v>56</v>
      </c>
      <c r="F11" s="205" t="s">
        <v>11</v>
      </c>
      <c r="G11" s="205" t="s">
        <v>2600</v>
      </c>
      <c r="H11" s="362" t="s">
        <v>64</v>
      </c>
      <c r="I11" s="205" t="s">
        <v>2603</v>
      </c>
      <c r="J11" s="362" t="s">
        <v>61</v>
      </c>
      <c r="K11" s="678" t="s">
        <v>61</v>
      </c>
      <c r="L11" s="678" t="s">
        <v>61</v>
      </c>
      <c r="M11" s="361" t="s">
        <v>61</v>
      </c>
      <c r="N11" s="444" t="s">
        <v>64</v>
      </c>
      <c r="O11" s="445" t="s">
        <v>61</v>
      </c>
      <c r="Q11" s="1618" t="s">
        <v>2109</v>
      </c>
      <c r="R11" s="1619" t="s">
        <v>2109</v>
      </c>
      <c r="S11" s="362" t="s">
        <v>2110</v>
      </c>
      <c r="T11" s="680" t="s">
        <v>61</v>
      </c>
      <c r="U11" s="680" t="s">
        <v>61</v>
      </c>
      <c r="V11" s="207" t="s">
        <v>61</v>
      </c>
      <c r="X11" s="204" t="s">
        <v>2065</v>
      </c>
      <c r="Y11" s="362" t="s">
        <v>61</v>
      </c>
      <c r="Z11" s="362" t="s">
        <v>61</v>
      </c>
      <c r="AA11" s="361" t="s">
        <v>61</v>
      </c>
      <c r="AB11" s="362" t="s">
        <v>2558</v>
      </c>
      <c r="AC11" s="362" t="s">
        <v>61</v>
      </c>
      <c r="AD11" s="362" t="s">
        <v>61</v>
      </c>
      <c r="AE11" s="207" t="s">
        <v>61</v>
      </c>
      <c r="AG11" s="1764" t="s">
        <v>14</v>
      </c>
      <c r="AH11" s="1761"/>
      <c r="AI11" s="1761" t="s">
        <v>60</v>
      </c>
      <c r="AJ11" s="1761"/>
      <c r="AK11" s="1761" t="s">
        <v>27</v>
      </c>
      <c r="AL11" s="1761"/>
      <c r="AM11" s="1761" t="s">
        <v>2074</v>
      </c>
      <c r="AN11" s="1761"/>
      <c r="AO11" s="1762" t="s">
        <v>41</v>
      </c>
      <c r="AP11" s="1763"/>
      <c r="AQ11" s="1764" t="s">
        <v>85</v>
      </c>
      <c r="AR11" s="1765"/>
    </row>
    <row r="12" spans="2:44" outlineLevel="1" x14ac:dyDescent="0.2">
      <c r="B12" s="204"/>
      <c r="C12" s="362"/>
      <c r="D12" s="362" t="s">
        <v>61</v>
      </c>
      <c r="E12" s="362" t="s">
        <v>63</v>
      </c>
      <c r="F12" s="208" t="s">
        <v>2601</v>
      </c>
      <c r="G12" s="208" t="s">
        <v>2602</v>
      </c>
      <c r="H12" s="362" t="s">
        <v>2058</v>
      </c>
      <c r="I12" s="208" t="s">
        <v>2604</v>
      </c>
      <c r="J12" s="362" t="s">
        <v>2058</v>
      </c>
      <c r="K12" s="679" t="s">
        <v>1279</v>
      </c>
      <c r="L12" s="679" t="s">
        <v>2617</v>
      </c>
      <c r="M12" s="678" t="s">
        <v>41</v>
      </c>
      <c r="N12" s="444" t="s">
        <v>2058</v>
      </c>
      <c r="O12" s="445" t="s">
        <v>2618</v>
      </c>
      <c r="Q12" s="283" t="s">
        <v>1279</v>
      </c>
      <c r="R12" s="270" t="s">
        <v>2617</v>
      </c>
      <c r="S12" s="362"/>
      <c r="T12" s="681" t="s">
        <v>1279</v>
      </c>
      <c r="U12" s="681" t="s">
        <v>2617</v>
      </c>
      <c r="V12" s="219" t="s">
        <v>41</v>
      </c>
      <c r="X12" s="204"/>
      <c r="Y12" s="270" t="s">
        <v>1279</v>
      </c>
      <c r="Z12" s="270" t="s">
        <v>2617</v>
      </c>
      <c r="AA12" s="223" t="s">
        <v>41</v>
      </c>
      <c r="AB12" s="362"/>
      <c r="AC12" s="270" t="s">
        <v>1279</v>
      </c>
      <c r="AD12" s="270" t="s">
        <v>2617</v>
      </c>
      <c r="AE12" s="219" t="s">
        <v>41</v>
      </c>
      <c r="AG12" s="732" t="s">
        <v>1279</v>
      </c>
      <c r="AH12" s="733" t="s">
        <v>2617</v>
      </c>
      <c r="AI12" s="733" t="s">
        <v>1279</v>
      </c>
      <c r="AJ12" s="733" t="s">
        <v>2617</v>
      </c>
      <c r="AK12" s="733" t="s">
        <v>1279</v>
      </c>
      <c r="AL12" s="733" t="s">
        <v>2617</v>
      </c>
      <c r="AM12" s="733" t="s">
        <v>1279</v>
      </c>
      <c r="AN12" s="733" t="s">
        <v>2617</v>
      </c>
      <c r="AO12" s="734" t="s">
        <v>1279</v>
      </c>
      <c r="AP12" s="735" t="s">
        <v>2617</v>
      </c>
      <c r="AQ12" s="732" t="s">
        <v>1279</v>
      </c>
      <c r="AR12" s="736" t="s">
        <v>2617</v>
      </c>
    </row>
    <row r="13" spans="2:44" outlineLevel="1" x14ac:dyDescent="0.2">
      <c r="B13" s="200" t="s">
        <v>1524</v>
      </c>
      <c r="C13" s="201"/>
      <c r="D13" s="262">
        <f>M13</f>
        <v>0</v>
      </c>
      <c r="E13" s="265">
        <f>D13*12/44</f>
        <v>0</v>
      </c>
      <c r="F13" s="182"/>
      <c r="G13" s="436"/>
      <c r="H13" s="273">
        <f>VLOOKUP($B13,'Emissions factors'!$B$1692:$D$1699,2,FALSE)*(1-G13)+VLOOKUP($B13,'Emissions factors'!$B$1692:$D$1699,3,FALSE)*G13</f>
        <v>3190</v>
      </c>
      <c r="I13" s="184"/>
      <c r="J13" s="273">
        <f>VLOOKUP(B13,'Emissions factors'!$B$1692:$M$1699,5,FALSE)</f>
        <v>33</v>
      </c>
      <c r="K13" s="465">
        <f>F13*H13*(1+I13)</f>
        <v>0</v>
      </c>
      <c r="L13" s="210">
        <f>F13*J13</f>
        <v>0</v>
      </c>
      <c r="M13" s="210">
        <f>K13+L13</f>
        <v>0</v>
      </c>
      <c r="N13" s="446">
        <f>(1-G13)*VLOOKUP($B13,'Emissions factors'!$B$1692:$M$1699,10,FALSE)*(VLOOKUP($B13,'Emissions factors'!$B$1692:$M$1699,3,FALSE)-VLOOKUP($B13,'Emissions factors'!$B$1692:$M$1699,2,FALSE))</f>
        <v>-836</v>
      </c>
      <c r="O13" s="447">
        <f>F13*N13</f>
        <v>0</v>
      </c>
      <c r="P13" s="314"/>
      <c r="Q13" s="282">
        <f>VLOOKUP(B13,'Emissions factors'!$B$1692:$M$1699,4,FALSE)</f>
        <v>0.1</v>
      </c>
      <c r="R13" s="434">
        <f>VLOOKUP(B13,'Emissions factors'!$B$1692:$M$1699,12,FALSE)</f>
        <v>0.5</v>
      </c>
      <c r="S13" s="183"/>
      <c r="T13" s="435">
        <f>K13*SQRT(Q13^2+S13^2)</f>
        <v>0</v>
      </c>
      <c r="U13" s="435">
        <f>L13*SQRT(R13^2+S13^2)</f>
        <v>0</v>
      </c>
      <c r="V13" s="211">
        <f>SQRT(T13^2+U13^2)</f>
        <v>0</v>
      </c>
      <c r="W13" s="314"/>
      <c r="X13" s="184"/>
      <c r="Y13" s="221">
        <f>K13*X13</f>
        <v>0</v>
      </c>
      <c r="Z13" s="221">
        <f>L13*X13</f>
        <v>0</v>
      </c>
      <c r="AA13" s="210">
        <f>Y13+Z13</f>
        <v>0</v>
      </c>
      <c r="AB13" s="184"/>
      <c r="AC13" s="221">
        <f>K13*AB13</f>
        <v>0</v>
      </c>
      <c r="AD13" s="221">
        <f>L13*AB13</f>
        <v>0</v>
      </c>
      <c r="AE13" s="211">
        <f>AC13+AD13</f>
        <v>0</v>
      </c>
      <c r="AG13" s="717"/>
      <c r="AH13" s="718">
        <f>F13*VLOOKUP(B13,'Emissions factors'!$B$1692:$M$1699,6,FALSE)</f>
        <v>0</v>
      </c>
      <c r="AI13" s="718"/>
      <c r="AJ13" s="781">
        <f>F13*VLOOKUP(B13,'Emissions factors'!$B$1692:$M$1699,7,FALSE)</f>
        <v>0</v>
      </c>
      <c r="AK13" s="718"/>
      <c r="AL13" s="718">
        <f>F13*VLOOKUP(B13,'Emissions factors'!$B$1692:$M$1699,8,FALSE)</f>
        <v>0</v>
      </c>
      <c r="AM13" s="718"/>
      <c r="AN13" s="718">
        <v>0</v>
      </c>
      <c r="AO13" s="719">
        <f t="shared" ref="AO13:AP16" si="0">K13</f>
        <v>0</v>
      </c>
      <c r="AP13" s="720">
        <f t="shared" si="0"/>
        <v>0</v>
      </c>
      <c r="AQ13" s="717"/>
      <c r="AR13" s="721">
        <f>F13*VLOOKUP(B13,'Emissions factors'!$B$1692:$M$1699,9,FALSE)</f>
        <v>0</v>
      </c>
    </row>
    <row r="14" spans="2:44" outlineLevel="1" x14ac:dyDescent="0.2">
      <c r="B14" s="200" t="s">
        <v>159</v>
      </c>
      <c r="C14" s="201"/>
      <c r="D14" s="262">
        <f>M14</f>
        <v>0</v>
      </c>
      <c r="E14" s="265">
        <f>D14*12/44</f>
        <v>0</v>
      </c>
      <c r="F14" s="185"/>
      <c r="G14" s="437"/>
      <c r="H14" s="273">
        <f>VLOOKUP($B14,'Emissions factors'!$B$1692:$D$1699,2,FALSE)*(1-G14)+VLOOKUP($B14,'Emissions factors'!$B$1692:$D$1699,3,FALSE)*G14</f>
        <v>9830</v>
      </c>
      <c r="I14" s="187"/>
      <c r="J14" s="273">
        <f>VLOOKUP(B14,'Emissions factors'!$B$1692:$M$1699,5,FALSE)</f>
        <v>33</v>
      </c>
      <c r="K14" s="465">
        <f>F14*H14*(1+I14)</f>
        <v>0</v>
      </c>
      <c r="L14" s="210">
        <f>F14*J14</f>
        <v>0</v>
      </c>
      <c r="M14" s="210">
        <f>K14+L14</f>
        <v>0</v>
      </c>
      <c r="N14" s="446">
        <f>(1-G14)*VLOOKUP($B14,'Emissions factors'!$B$1692:$M$1699,10,FALSE)*(VLOOKUP($B14,'Emissions factors'!$B$1692:$M$1699,3,FALSE)-VLOOKUP($B14,'Emissions factors'!$B$1692:$M$1699,2,FALSE))</f>
        <v>-3726.8</v>
      </c>
      <c r="O14" s="447">
        <f>F14*N14</f>
        <v>0</v>
      </c>
      <c r="P14" s="314"/>
      <c r="Q14" s="282">
        <f>VLOOKUP(B14,'Emissions factors'!$B$1692:$M$1699,4,FALSE)</f>
        <v>0.3</v>
      </c>
      <c r="R14" s="434">
        <f>VLOOKUP(B14,'Emissions factors'!$B$1692:$M$1699,12,FALSE)</f>
        <v>0.5</v>
      </c>
      <c r="S14" s="186"/>
      <c r="T14" s="435">
        <f>K14*SQRT(Q14^2+S14^2)</f>
        <v>0</v>
      </c>
      <c r="U14" s="435">
        <f>L14*SQRT(R14^2+S14^2)</f>
        <v>0</v>
      </c>
      <c r="V14" s="211">
        <f>SQRT(T14^2+U14^2)</f>
        <v>0</v>
      </c>
      <c r="X14" s="187"/>
      <c r="Y14" s="221">
        <f>K14*X14</f>
        <v>0</v>
      </c>
      <c r="Z14" s="221">
        <f>L14*X14</f>
        <v>0</v>
      </c>
      <c r="AA14" s="210">
        <f>Y14+Z14</f>
        <v>0</v>
      </c>
      <c r="AB14" s="187"/>
      <c r="AC14" s="221">
        <f>K14*AB14</f>
        <v>0</v>
      </c>
      <c r="AD14" s="221">
        <f>L14*AB14</f>
        <v>0</v>
      </c>
      <c r="AE14" s="211">
        <f>AC14+AD14</f>
        <v>0</v>
      </c>
      <c r="AG14" s="717"/>
      <c r="AH14" s="718">
        <f>F14*VLOOKUP(B14,'Emissions factors'!$B$1692:$M$1699,6,FALSE)</f>
        <v>0</v>
      </c>
      <c r="AI14" s="718"/>
      <c r="AJ14" s="718">
        <f>F14*VLOOKUP(B14,'Emissions factors'!$B$1692:$M$1699,7,FALSE)</f>
        <v>0</v>
      </c>
      <c r="AK14" s="718"/>
      <c r="AL14" s="718">
        <f>F14*VLOOKUP(B14,'Emissions factors'!$B$1692:$M$1699,8,FALSE)</f>
        <v>0</v>
      </c>
      <c r="AM14" s="718"/>
      <c r="AN14" s="718">
        <v>0</v>
      </c>
      <c r="AO14" s="719">
        <f t="shared" si="0"/>
        <v>0</v>
      </c>
      <c r="AP14" s="720">
        <f t="shared" si="0"/>
        <v>0</v>
      </c>
      <c r="AQ14" s="717"/>
      <c r="AR14" s="721">
        <f>F14*VLOOKUP(B14,'Emissions factors'!$B$1692:$M$1699,9,FALSE)</f>
        <v>0</v>
      </c>
    </row>
    <row r="15" spans="2:44" outlineLevel="1" x14ac:dyDescent="0.2">
      <c r="B15" s="200" t="s">
        <v>2599</v>
      </c>
      <c r="C15" s="201"/>
      <c r="D15" s="262">
        <f>M15</f>
        <v>0</v>
      </c>
      <c r="E15" s="265">
        <f>D15*12/44</f>
        <v>0</v>
      </c>
      <c r="F15" s="185"/>
      <c r="G15" s="437"/>
      <c r="H15" s="273">
        <f>VLOOKUP($B15,'Emissions factors'!$B$1692:$D$1699,2,FALSE)*(1-G15)+VLOOKUP($B15,'Emissions factors'!$B$1692:$D$1699,3,FALSE)*G15</f>
        <v>2090</v>
      </c>
      <c r="I15" s="187"/>
      <c r="J15" s="273">
        <f>VLOOKUP(B15,'Emissions factors'!$B$1692:$M$1699,5,FALSE)</f>
        <v>33</v>
      </c>
      <c r="K15" s="465">
        <f>F15*H15*(1+I15)</f>
        <v>0</v>
      </c>
      <c r="L15" s="210">
        <f>F15*J15</f>
        <v>0</v>
      </c>
      <c r="M15" s="210">
        <f>K15+L15</f>
        <v>0</v>
      </c>
      <c r="N15" s="446">
        <f>(1-G15)*VLOOKUP($B15,'Emissions factors'!$B$1692:$M$1699,10,FALSE)*(VLOOKUP($B15,'Emissions factors'!$B$1692:$M$1699,3,FALSE)-VLOOKUP($B15,'Emissions factors'!$B$1692:$M$1699,2,FALSE))</f>
        <v>0</v>
      </c>
      <c r="O15" s="447">
        <f>F15*N15</f>
        <v>0</v>
      </c>
      <c r="Q15" s="282">
        <f>VLOOKUP(B15,'Emissions factors'!$B$1692:$M$1699,4,FALSE)</f>
        <v>0.3</v>
      </c>
      <c r="R15" s="434">
        <f>VLOOKUP(B15,'Emissions factors'!$B$1692:$M$1699,12,FALSE)</f>
        <v>0.5</v>
      </c>
      <c r="S15" s="186"/>
      <c r="T15" s="435">
        <f>K15*SQRT(Q15^2+S15^2)</f>
        <v>0</v>
      </c>
      <c r="U15" s="435">
        <f>L15*SQRT(R15^2+S15^2)</f>
        <v>0</v>
      </c>
      <c r="V15" s="211">
        <f>SQRT(T15^2+U15^2)</f>
        <v>0</v>
      </c>
      <c r="X15" s="187"/>
      <c r="Y15" s="221">
        <f>K15*X15</f>
        <v>0</v>
      </c>
      <c r="Z15" s="221">
        <f>L15*X15</f>
        <v>0</v>
      </c>
      <c r="AA15" s="210">
        <f>Y15+Z15</f>
        <v>0</v>
      </c>
      <c r="AB15" s="187"/>
      <c r="AC15" s="221">
        <f>K15*AB15</f>
        <v>0</v>
      </c>
      <c r="AD15" s="221">
        <f>L15*AB15</f>
        <v>0</v>
      </c>
      <c r="AE15" s="211">
        <f>AC15+AD15</f>
        <v>0</v>
      </c>
      <c r="AG15" s="717"/>
      <c r="AH15" s="718">
        <f>F15*VLOOKUP(B15,'Emissions factors'!$B$1692:$M$1699,6,FALSE)</f>
        <v>0</v>
      </c>
      <c r="AI15" s="718"/>
      <c r="AJ15" s="718">
        <f>F15*VLOOKUP(B15,'Emissions factors'!$B$1692:$M$1699,7,FALSE)</f>
        <v>0</v>
      </c>
      <c r="AK15" s="718"/>
      <c r="AL15" s="718">
        <f>F15*VLOOKUP(B15,'Emissions factors'!$B$1692:$M$1699,8,FALSE)</f>
        <v>0</v>
      </c>
      <c r="AM15" s="718"/>
      <c r="AN15" s="718">
        <v>0</v>
      </c>
      <c r="AO15" s="719">
        <f t="shared" si="0"/>
        <v>0</v>
      </c>
      <c r="AP15" s="720">
        <f t="shared" si="0"/>
        <v>0</v>
      </c>
      <c r="AQ15" s="717"/>
      <c r="AR15" s="721">
        <f>F15*VLOOKUP(B15,'Emissions factors'!$B$1692:$M$1699,9,FALSE)</f>
        <v>0</v>
      </c>
    </row>
    <row r="16" spans="2:44" outlineLevel="1" x14ac:dyDescent="0.2">
      <c r="B16" s="200" t="s">
        <v>1525</v>
      </c>
      <c r="C16" s="201"/>
      <c r="D16" s="262">
        <f>M16</f>
        <v>0</v>
      </c>
      <c r="E16" s="265">
        <f>D16*12/44</f>
        <v>0</v>
      </c>
      <c r="F16" s="188"/>
      <c r="G16" s="438"/>
      <c r="H16" s="273">
        <f>VLOOKUP($B16,'Emissions factors'!$B$1692:$D$1699,2,FALSE)*(1-G16)+VLOOKUP($B16,'Emissions factors'!$B$1692:$D$1699,3,FALSE)*G16</f>
        <v>3670</v>
      </c>
      <c r="I16" s="190"/>
      <c r="J16" s="273">
        <f>VLOOKUP(B16,'Emissions factors'!$B$1692:$M$1699,5,FALSE)</f>
        <v>33</v>
      </c>
      <c r="K16" s="465">
        <f>F16*H16*(1+I16)</f>
        <v>0</v>
      </c>
      <c r="L16" s="210">
        <f>F16*J16</f>
        <v>0</v>
      </c>
      <c r="M16" s="210">
        <f>K16+L16</f>
        <v>0</v>
      </c>
      <c r="N16" s="446">
        <f>(1-G16)*VLOOKUP($B16,'Emissions factors'!$B$1692:$M$1699,10,FALSE)*(VLOOKUP($B16,'Emissions factors'!$B$1692:$M$1699,3,FALSE)-VLOOKUP($B16,'Emissions factors'!$B$1692:$M$1699,2,FALSE))</f>
        <v>0</v>
      </c>
      <c r="O16" s="447">
        <f>F16*N16</f>
        <v>0</v>
      </c>
      <c r="Q16" s="282">
        <f>VLOOKUP(B16,'Emissions factors'!$B$1692:$M$1699,4,FALSE)</f>
        <v>0.8</v>
      </c>
      <c r="R16" s="434">
        <f>VLOOKUP(B16,'Emissions factors'!$B$1692:$M$1699,12,FALSE)</f>
        <v>0.5</v>
      </c>
      <c r="S16" s="189"/>
      <c r="T16" s="435">
        <f>K16*SQRT(Q16^2+S16^2)</f>
        <v>0</v>
      </c>
      <c r="U16" s="435">
        <f>L16*SQRT(R16^2+S16^2)</f>
        <v>0</v>
      </c>
      <c r="V16" s="211">
        <f>SQRT(T16^2+U16^2)</f>
        <v>0</v>
      </c>
      <c r="X16" s="190"/>
      <c r="Y16" s="221">
        <f>K16*X16</f>
        <v>0</v>
      </c>
      <c r="Z16" s="221">
        <f>L16*X16</f>
        <v>0</v>
      </c>
      <c r="AA16" s="210">
        <f>Y16+Z16</f>
        <v>0</v>
      </c>
      <c r="AB16" s="190"/>
      <c r="AC16" s="221">
        <f>K16*AB16</f>
        <v>0</v>
      </c>
      <c r="AD16" s="221">
        <f>L16*AB16</f>
        <v>0</v>
      </c>
      <c r="AE16" s="211">
        <f>AC16+AD16</f>
        <v>0</v>
      </c>
      <c r="AG16" s="717"/>
      <c r="AH16" s="718">
        <f>F16*VLOOKUP(B16,'Emissions factors'!$B$1692:$M$1699,6,FALSE)</f>
        <v>0</v>
      </c>
      <c r="AI16" s="718"/>
      <c r="AJ16" s="718">
        <f>F16*VLOOKUP(B16,'Emissions factors'!$B$1692:$M$1699,7,FALSE)</f>
        <v>0</v>
      </c>
      <c r="AK16" s="718"/>
      <c r="AL16" s="718">
        <f>F16*VLOOKUP(B16,'Emissions factors'!$B$1692:$M$1699,8,FALSE)</f>
        <v>0</v>
      </c>
      <c r="AM16" s="718"/>
      <c r="AN16" s="718">
        <v>0</v>
      </c>
      <c r="AO16" s="719">
        <f t="shared" si="0"/>
        <v>0</v>
      </c>
      <c r="AP16" s="720">
        <f t="shared" si="0"/>
        <v>0</v>
      </c>
      <c r="AQ16" s="717"/>
      <c r="AR16" s="721">
        <f>F16*VLOOKUP(B16,'Emissions factors'!$B$1692:$M$1699,9,FALSE)</f>
        <v>0</v>
      </c>
    </row>
    <row r="17" spans="2:44" outlineLevel="1" x14ac:dyDescent="0.2">
      <c r="B17" s="213"/>
      <c r="C17" s="214"/>
      <c r="D17" s="275"/>
      <c r="E17" s="268"/>
      <c r="F17" s="214"/>
      <c r="G17" s="214"/>
      <c r="H17" s="214"/>
      <c r="I17" s="214"/>
      <c r="J17" s="269"/>
      <c r="K17" s="269"/>
      <c r="L17" s="269"/>
      <c r="M17" s="214"/>
      <c r="N17" s="448"/>
      <c r="O17" s="449"/>
      <c r="Q17" s="200"/>
      <c r="R17" s="201"/>
      <c r="S17" s="201"/>
      <c r="T17" s="680"/>
      <c r="U17" s="680"/>
      <c r="V17" s="226"/>
      <c r="X17" s="200"/>
      <c r="Y17" s="362"/>
      <c r="Z17" s="362"/>
      <c r="AA17" s="361"/>
      <c r="AB17" s="201"/>
      <c r="AC17" s="362"/>
      <c r="AD17" s="362"/>
      <c r="AE17" s="211"/>
      <c r="AG17" s="717"/>
      <c r="AH17" s="718"/>
      <c r="AI17" s="718"/>
      <c r="AJ17" s="718"/>
      <c r="AK17" s="718"/>
      <c r="AL17" s="718"/>
      <c r="AM17" s="718"/>
      <c r="AN17" s="718"/>
      <c r="AO17" s="719"/>
      <c r="AP17" s="720"/>
      <c r="AQ17" s="722"/>
      <c r="AR17" s="723"/>
    </row>
    <row r="18" spans="2:44" outlineLevel="1" x14ac:dyDescent="0.2">
      <c r="B18" s="253" t="s">
        <v>2828</v>
      </c>
      <c r="C18" s="254"/>
      <c r="D18" s="264">
        <f>SUM(D13:D17)</f>
        <v>0</v>
      </c>
      <c r="E18" s="267">
        <f>SUM(E13:E17)</f>
        <v>0</v>
      </c>
      <c r="F18" s="256"/>
      <c r="G18" s="256"/>
      <c r="H18" s="256"/>
      <c r="I18" s="256"/>
      <c r="J18" s="259"/>
      <c r="K18" s="259">
        <f>SUM(K13:K17)</f>
        <v>0</v>
      </c>
      <c r="L18" s="259">
        <f>SUM(L13:L17)</f>
        <v>0</v>
      </c>
      <c r="M18" s="259">
        <f>SUM(M13:M17)</f>
        <v>0</v>
      </c>
      <c r="N18" s="450"/>
      <c r="O18" s="451">
        <f>SUM(O13:O17)</f>
        <v>0</v>
      </c>
      <c r="Q18" s="258"/>
      <c r="R18" s="256"/>
      <c r="S18" s="256"/>
      <c r="T18" s="260">
        <f>SQRT(SUMSQ(T13:T17))</f>
        <v>0</v>
      </c>
      <c r="U18" s="260">
        <f>SQRT(SUMSQ(U13:U17))</f>
        <v>0</v>
      </c>
      <c r="V18" s="257">
        <f>SQRT(SUMSQ(V13:V17))</f>
        <v>0</v>
      </c>
      <c r="X18" s="258"/>
      <c r="Y18" s="260">
        <f>SUM(Y13:Y17)</f>
        <v>0</v>
      </c>
      <c r="Z18" s="260">
        <f>SUM(Z13:Z17)</f>
        <v>0</v>
      </c>
      <c r="AA18" s="259">
        <f>SUM(AA13:AA17)</f>
        <v>0</v>
      </c>
      <c r="AB18" s="256"/>
      <c r="AC18" s="260">
        <f>SUM(AC13:AC17)</f>
        <v>0</v>
      </c>
      <c r="AD18" s="260">
        <f>SUM(AD13:AD17)</f>
        <v>0</v>
      </c>
      <c r="AE18" s="257">
        <f>SUM(AE13:AE17)</f>
        <v>0</v>
      </c>
      <c r="AG18" s="724">
        <f t="shared" ref="AG18:AR18" si="1">SUM(AG13:AG17)</f>
        <v>0</v>
      </c>
      <c r="AH18" s="725">
        <f t="shared" si="1"/>
        <v>0</v>
      </c>
      <c r="AI18" s="725">
        <f t="shared" si="1"/>
        <v>0</v>
      </c>
      <c r="AJ18" s="725">
        <f t="shared" si="1"/>
        <v>0</v>
      </c>
      <c r="AK18" s="725">
        <f t="shared" si="1"/>
        <v>0</v>
      </c>
      <c r="AL18" s="725">
        <f t="shared" si="1"/>
        <v>0</v>
      </c>
      <c r="AM18" s="725">
        <f t="shared" si="1"/>
        <v>0</v>
      </c>
      <c r="AN18" s="725">
        <f t="shared" si="1"/>
        <v>0</v>
      </c>
      <c r="AO18" s="726">
        <f t="shared" si="1"/>
        <v>0</v>
      </c>
      <c r="AP18" s="727">
        <f t="shared" si="1"/>
        <v>0</v>
      </c>
      <c r="AQ18" s="724">
        <f t="shared" si="1"/>
        <v>0</v>
      </c>
      <c r="AR18" s="728">
        <f t="shared" si="1"/>
        <v>0</v>
      </c>
    </row>
    <row r="19" spans="2:44" outlineLevel="1" x14ac:dyDescent="0.2">
      <c r="J19" s="315"/>
      <c r="K19" s="315"/>
      <c r="N19" s="322"/>
    </row>
    <row r="20" spans="2:44" x14ac:dyDescent="0.2">
      <c r="J20" s="315"/>
      <c r="K20" s="315"/>
      <c r="L20" s="315"/>
      <c r="N20" s="322"/>
    </row>
    <row r="21" spans="2:44" ht="16" x14ac:dyDescent="0.2">
      <c r="B21" s="1820" t="s">
        <v>2841</v>
      </c>
      <c r="C21" s="1821"/>
      <c r="D21" s="1821"/>
      <c r="E21" s="1821"/>
      <c r="F21" s="1821"/>
      <c r="G21" s="1821"/>
      <c r="H21" s="1821"/>
      <c r="I21" s="1821"/>
      <c r="J21" s="1821"/>
      <c r="K21" s="1821"/>
      <c r="L21" s="1821"/>
      <c r="M21" s="1821"/>
      <c r="N21" s="1821"/>
      <c r="O21" s="1822"/>
      <c r="P21" s="191"/>
      <c r="Q21" s="191"/>
      <c r="R21" s="191"/>
      <c r="S21" s="191"/>
      <c r="T21" s="191"/>
      <c r="U21" s="191"/>
      <c r="V21" s="191"/>
      <c r="W21" s="191"/>
      <c r="X21" s="191"/>
      <c r="Y21" s="191"/>
      <c r="Z21" s="191"/>
      <c r="AA21" s="191"/>
      <c r="AB21" s="191"/>
      <c r="AC21" s="191"/>
      <c r="AD21" s="191"/>
      <c r="AE21" s="191"/>
    </row>
    <row r="22" spans="2:44" outlineLevel="1" x14ac:dyDescent="0.2">
      <c r="N22" s="322"/>
    </row>
    <row r="23" spans="2:44" outlineLevel="1" x14ac:dyDescent="0.2">
      <c r="B23" s="195" t="s">
        <v>2841</v>
      </c>
      <c r="C23" s="196"/>
      <c r="D23" s="358"/>
      <c r="E23" s="358"/>
      <c r="F23" s="198"/>
      <c r="G23" s="198"/>
      <c r="H23" s="198"/>
      <c r="I23" s="198"/>
      <c r="J23" s="198"/>
      <c r="K23" s="198"/>
      <c r="L23" s="198"/>
      <c r="M23" s="198"/>
      <c r="N23" s="429"/>
      <c r="O23" s="430"/>
      <c r="Q23" s="1746" t="s">
        <v>723</v>
      </c>
      <c r="R23" s="1747"/>
      <c r="S23" s="1747"/>
      <c r="T23" s="1747"/>
      <c r="U23" s="1747"/>
      <c r="V23" s="1748"/>
      <c r="X23" s="1746" t="s">
        <v>2066</v>
      </c>
      <c r="Y23" s="1747"/>
      <c r="Z23" s="1747"/>
      <c r="AA23" s="1747"/>
      <c r="AB23" s="1747"/>
      <c r="AC23" s="1747"/>
      <c r="AD23" s="1747"/>
      <c r="AE23" s="1748"/>
      <c r="AG23" s="1755" t="s">
        <v>2073</v>
      </c>
      <c r="AH23" s="1756"/>
      <c r="AI23" s="1756"/>
      <c r="AJ23" s="1756"/>
      <c r="AK23" s="1756"/>
      <c r="AL23" s="1756"/>
      <c r="AM23" s="1756"/>
      <c r="AN23" s="1756"/>
      <c r="AO23" s="1756"/>
      <c r="AP23" s="1756"/>
      <c r="AQ23" s="1756"/>
      <c r="AR23" s="1757"/>
    </row>
    <row r="24" spans="2:44" outlineLevel="1" x14ac:dyDescent="0.2">
      <c r="B24" s="417"/>
      <c r="C24" s="225"/>
      <c r="D24" s="361"/>
      <c r="E24" s="361"/>
      <c r="F24" s="201"/>
      <c r="G24" s="201"/>
      <c r="H24" s="1828" t="s">
        <v>1279</v>
      </c>
      <c r="I24" s="1828"/>
      <c r="J24" s="270" t="s">
        <v>2617</v>
      </c>
      <c r="K24" s="234"/>
      <c r="L24" s="234"/>
      <c r="M24" s="201"/>
      <c r="N24" s="444" t="s">
        <v>2619</v>
      </c>
      <c r="O24" s="445"/>
      <c r="Q24" s="216" t="s">
        <v>2620</v>
      </c>
      <c r="R24" s="216" t="s">
        <v>2620</v>
      </c>
      <c r="S24" s="217"/>
      <c r="T24" s="217"/>
      <c r="U24" s="217"/>
      <c r="V24" s="218"/>
      <c r="X24" s="216"/>
      <c r="Y24" s="217"/>
      <c r="Z24" s="217"/>
      <c r="AA24" s="217"/>
      <c r="AB24" s="217"/>
      <c r="AC24" s="217"/>
      <c r="AD24" s="198"/>
      <c r="AE24" s="199"/>
      <c r="AG24" s="1758" t="s">
        <v>61</v>
      </c>
      <c r="AH24" s="1759"/>
      <c r="AI24" s="1759"/>
      <c r="AJ24" s="1759"/>
      <c r="AK24" s="1759"/>
      <c r="AL24" s="1759"/>
      <c r="AM24" s="1759"/>
      <c r="AN24" s="1759"/>
      <c r="AO24" s="1759" t="s">
        <v>61</v>
      </c>
      <c r="AP24" s="1760"/>
      <c r="AQ24" s="730"/>
      <c r="AR24" s="731"/>
    </row>
    <row r="25" spans="2:44" outlineLevel="1" x14ac:dyDescent="0.2">
      <c r="B25" s="204"/>
      <c r="C25" s="362"/>
      <c r="D25" s="362" t="s">
        <v>56</v>
      </c>
      <c r="E25" s="362" t="s">
        <v>56</v>
      </c>
      <c r="F25" s="205" t="s">
        <v>11</v>
      </c>
      <c r="G25" s="205" t="s">
        <v>2600</v>
      </c>
      <c r="H25" s="1619" t="s">
        <v>64</v>
      </c>
      <c r="I25" s="205" t="s">
        <v>2603</v>
      </c>
      <c r="J25" s="362" t="s">
        <v>61</v>
      </c>
      <c r="K25" s="678" t="s">
        <v>61</v>
      </c>
      <c r="L25" s="678" t="s">
        <v>61</v>
      </c>
      <c r="M25" s="678" t="s">
        <v>61</v>
      </c>
      <c r="N25" s="444" t="s">
        <v>64</v>
      </c>
      <c r="O25" s="445" t="s">
        <v>61</v>
      </c>
      <c r="Q25" s="1625" t="s">
        <v>2109</v>
      </c>
      <c r="R25" s="1618" t="s">
        <v>2109</v>
      </c>
      <c r="S25" s="362" t="s">
        <v>2110</v>
      </c>
      <c r="T25" s="680" t="s">
        <v>61</v>
      </c>
      <c r="U25" s="680" t="s">
        <v>61</v>
      </c>
      <c r="V25" s="207" t="s">
        <v>61</v>
      </c>
      <c r="X25" s="204" t="s">
        <v>2065</v>
      </c>
      <c r="Y25" s="362" t="s">
        <v>61</v>
      </c>
      <c r="Z25" s="362" t="s">
        <v>61</v>
      </c>
      <c r="AA25" s="361" t="s">
        <v>61</v>
      </c>
      <c r="AB25" s="362" t="s">
        <v>2558</v>
      </c>
      <c r="AC25" s="362" t="s">
        <v>61</v>
      </c>
      <c r="AD25" s="362" t="s">
        <v>61</v>
      </c>
      <c r="AE25" s="207" t="s">
        <v>61</v>
      </c>
      <c r="AG25" s="1764" t="s">
        <v>14</v>
      </c>
      <c r="AH25" s="1761"/>
      <c r="AI25" s="1761" t="s">
        <v>60</v>
      </c>
      <c r="AJ25" s="1761"/>
      <c r="AK25" s="1761" t="s">
        <v>27</v>
      </c>
      <c r="AL25" s="1761"/>
      <c r="AM25" s="1761" t="s">
        <v>2074</v>
      </c>
      <c r="AN25" s="1761"/>
      <c r="AO25" s="1762" t="s">
        <v>41</v>
      </c>
      <c r="AP25" s="1763"/>
      <c r="AQ25" s="1764" t="s">
        <v>85</v>
      </c>
      <c r="AR25" s="1765"/>
    </row>
    <row r="26" spans="2:44" outlineLevel="1" x14ac:dyDescent="0.2">
      <c r="B26" s="204"/>
      <c r="C26" s="362"/>
      <c r="D26" s="362" t="s">
        <v>61</v>
      </c>
      <c r="E26" s="362" t="s">
        <v>63</v>
      </c>
      <c r="F26" s="208" t="s">
        <v>2601</v>
      </c>
      <c r="G26" s="208" t="s">
        <v>2602</v>
      </c>
      <c r="H26" s="1619" t="s">
        <v>2058</v>
      </c>
      <c r="I26" s="208" t="s">
        <v>2604</v>
      </c>
      <c r="J26" s="362" t="s">
        <v>2058</v>
      </c>
      <c r="K26" s="679" t="s">
        <v>1279</v>
      </c>
      <c r="L26" s="679" t="s">
        <v>2617</v>
      </c>
      <c r="M26" s="678" t="s">
        <v>41</v>
      </c>
      <c r="N26" s="444" t="s">
        <v>2058</v>
      </c>
      <c r="O26" s="445" t="s">
        <v>2618</v>
      </c>
      <c r="Q26" s="283" t="s">
        <v>1279</v>
      </c>
      <c r="R26" s="270" t="s">
        <v>2617</v>
      </c>
      <c r="S26" s="362"/>
      <c r="T26" s="681" t="s">
        <v>1279</v>
      </c>
      <c r="U26" s="681" t="s">
        <v>2617</v>
      </c>
      <c r="V26" s="219" t="s">
        <v>41</v>
      </c>
      <c r="X26" s="204"/>
      <c r="Y26" s="270" t="s">
        <v>1279</v>
      </c>
      <c r="Z26" s="270" t="s">
        <v>2617</v>
      </c>
      <c r="AA26" s="223" t="s">
        <v>41</v>
      </c>
      <c r="AB26" s="362"/>
      <c r="AC26" s="270" t="s">
        <v>1279</v>
      </c>
      <c r="AD26" s="270" t="s">
        <v>2617</v>
      </c>
      <c r="AE26" s="219" t="s">
        <v>41</v>
      </c>
      <c r="AG26" s="732" t="s">
        <v>1279</v>
      </c>
      <c r="AH26" s="733" t="s">
        <v>2617</v>
      </c>
      <c r="AI26" s="733" t="s">
        <v>1279</v>
      </c>
      <c r="AJ26" s="733" t="s">
        <v>2617</v>
      </c>
      <c r="AK26" s="733" t="s">
        <v>1279</v>
      </c>
      <c r="AL26" s="733" t="s">
        <v>2617</v>
      </c>
      <c r="AM26" s="733" t="s">
        <v>1279</v>
      </c>
      <c r="AN26" s="733" t="s">
        <v>2617</v>
      </c>
      <c r="AO26" s="734" t="s">
        <v>1279</v>
      </c>
      <c r="AP26" s="735" t="s">
        <v>2617</v>
      </c>
      <c r="AQ26" s="732" t="s">
        <v>1279</v>
      </c>
      <c r="AR26" s="736" t="s">
        <v>2617</v>
      </c>
    </row>
    <row r="27" spans="2:44" outlineLevel="1" x14ac:dyDescent="0.2">
      <c r="B27" s="200" t="s">
        <v>1541</v>
      </c>
      <c r="C27" s="201"/>
      <c r="D27" s="262">
        <f>M27</f>
        <v>0</v>
      </c>
      <c r="E27" s="265">
        <f>D27*12/44</f>
        <v>0</v>
      </c>
      <c r="F27" s="182"/>
      <c r="G27" s="436"/>
      <c r="H27" s="273">
        <f>VLOOKUP($B27,'Emissions factors'!$B$1719:$E$1730,2,FALSE)*(1-G27)+VLOOKUP($B27,'Emissions factors'!$B$1719:$E$1730,3,FALSE)*G27</f>
        <v>1920</v>
      </c>
      <c r="I27" s="184"/>
      <c r="J27" s="273">
        <f>VLOOKUP($B27,'Emissions factors'!$B$1719:$M$1730,5,FALSE)</f>
        <v>880.38133333651194</v>
      </c>
      <c r="K27" s="465">
        <f>F27*H27*(1+I27)</f>
        <v>0</v>
      </c>
      <c r="L27" s="210">
        <f>F27*J27</f>
        <v>0</v>
      </c>
      <c r="M27" s="210">
        <f>K27+L27</f>
        <v>0</v>
      </c>
      <c r="N27" s="446">
        <f>(1-G27)*VLOOKUP($B27,'Emissions factors'!$B$1719:$M$1730,10,FALSE)*(VLOOKUP($B27,'Emissions factors'!$B$1719:$M$1730,3,FALSE)-VLOOKUP($B27,'Emissions factors'!$B$1719:$M$1730,2,FALSE))+'Emissions factors'!$H$2197*SUM('Emissions factors'!$C$2275:$G$2275)+'Emissions factors'!$H$2240*SUM('Emissions factors'!$H$2275:$K$2275)</f>
        <v>-701.30713337047359</v>
      </c>
      <c r="O27" s="447">
        <f>F27*N27</f>
        <v>0</v>
      </c>
      <c r="P27" s="314"/>
      <c r="Q27" s="282">
        <f>VLOOKUP(B27,'Emissions factors'!$B$1719:$M$1730,4,FALSE)</f>
        <v>0.2</v>
      </c>
      <c r="R27" s="434">
        <f>VLOOKUP(B27,'Emissions factors'!$B$1719:$M$1730,12,FALSE)</f>
        <v>0.3</v>
      </c>
      <c r="S27" s="183"/>
      <c r="T27" s="435">
        <f>K27*SQRT(Q27^2+S27^2)</f>
        <v>0</v>
      </c>
      <c r="U27" s="435">
        <f>L27*SQRT(R27^2+S27^2)</f>
        <v>0</v>
      </c>
      <c r="V27" s="211">
        <f>SQRT(T27^2+U27^2)</f>
        <v>0</v>
      </c>
      <c r="X27" s="184"/>
      <c r="Y27" s="221">
        <f>K27*X27</f>
        <v>0</v>
      </c>
      <c r="Z27" s="221">
        <f>L27*X27</f>
        <v>0</v>
      </c>
      <c r="AA27" s="210">
        <f>Y27+Z27</f>
        <v>0</v>
      </c>
      <c r="AB27" s="184"/>
      <c r="AC27" s="221">
        <f>K27*AB27</f>
        <v>0</v>
      </c>
      <c r="AD27" s="221">
        <f>L27*AB27</f>
        <v>0</v>
      </c>
      <c r="AE27" s="211">
        <f>AC27+AD27</f>
        <v>0</v>
      </c>
      <c r="AG27" s="717"/>
      <c r="AH27" s="718">
        <f>F27*VLOOKUP($B27,'Emissions factors'!$B$1719:$M$1730,6,FALSE)</f>
        <v>0</v>
      </c>
      <c r="AI27" s="718"/>
      <c r="AJ27" s="718">
        <f>F27*VLOOKUP($B27,'Emissions factors'!$B$1719:$M$1730,7,FALSE)</f>
        <v>0</v>
      </c>
      <c r="AK27" s="718"/>
      <c r="AL27" s="718">
        <f>F27*VLOOKUP($B27,'Emissions factors'!$B$1719:$M$1730,8,FALSE)</f>
        <v>0</v>
      </c>
      <c r="AM27" s="718"/>
      <c r="AN27" s="718">
        <v>0</v>
      </c>
      <c r="AO27" s="719">
        <f t="shared" ref="AO27:AP30" si="2">K27</f>
        <v>0</v>
      </c>
      <c r="AP27" s="720">
        <f t="shared" si="2"/>
        <v>0</v>
      </c>
      <c r="AQ27" s="717"/>
      <c r="AR27" s="721">
        <f>F27*VLOOKUP($B27,'Emissions factors'!$B$1719:$M$1730,9,FALSE)</f>
        <v>0</v>
      </c>
    </row>
    <row r="28" spans="2:44" outlineLevel="1" x14ac:dyDescent="0.2">
      <c r="B28" s="200" t="s">
        <v>3210</v>
      </c>
      <c r="C28" s="201"/>
      <c r="D28" s="262">
        <f>M28</f>
        <v>0</v>
      </c>
      <c r="E28" s="265">
        <f>D28*12/44</f>
        <v>0</v>
      </c>
      <c r="F28" s="185"/>
      <c r="G28" s="437"/>
      <c r="H28" s="273">
        <f>VLOOKUP($B28,'Emissions factors'!$B$1719:$E$1730,2,FALSE)*(1-G28)+VLOOKUP($B28,'Emissions factors'!$B$1719:$E$1730,3,FALSE)*G28</f>
        <v>3487.0000120309996</v>
      </c>
      <c r="I28" s="187"/>
      <c r="J28" s="273">
        <f>VLOOKUP($B28,'Emissions factors'!$B$1719:$M$1730,5,FALSE)</f>
        <v>0</v>
      </c>
      <c r="K28" s="465">
        <f>F28*H28*(1+I28)</f>
        <v>0</v>
      </c>
      <c r="L28" s="210">
        <f>F28*J28</f>
        <v>0</v>
      </c>
      <c r="M28" s="210">
        <f>K28+L28</f>
        <v>0</v>
      </c>
      <c r="N28" s="446">
        <f>(1-G28)*VLOOKUP($B28,'Emissions factors'!$B$1719:$M$1730,10,FALSE)*(VLOOKUP($B28,'Emissions factors'!$B$1719:$M$1730,3,FALSE)-VLOOKUP($B28,'Emissions factors'!$B$1719:$M$1730,2,FALSE))+'Emissions factors'!$H$2197*SUM('Emissions factors'!$C$2275:$G$2275)+'Emissions factors'!$H$2240*SUM('Emissions factors'!$H$2275:$K$2275)</f>
        <v>-529.50713337047353</v>
      </c>
      <c r="O28" s="447">
        <f>F28*N28</f>
        <v>0</v>
      </c>
      <c r="Q28" s="282">
        <f>VLOOKUP(B28,'Emissions factors'!$B$1719:$M$1730,4,FALSE)</f>
        <v>0</v>
      </c>
      <c r="R28" s="434">
        <f>VLOOKUP(B28,'Emissions factors'!$B$1719:$M$1730,12,FALSE)</f>
        <v>0</v>
      </c>
      <c r="S28" s="186"/>
      <c r="T28" s="435">
        <f>K28*SQRT(Q28^2+S28^2)</f>
        <v>0</v>
      </c>
      <c r="U28" s="435">
        <f>L28*SQRT(R28^2+S28^2)</f>
        <v>0</v>
      </c>
      <c r="V28" s="211">
        <f>SQRT(T28^2+U28^2)</f>
        <v>0</v>
      </c>
      <c r="X28" s="187"/>
      <c r="Y28" s="221">
        <f>K28*X28</f>
        <v>0</v>
      </c>
      <c r="Z28" s="221">
        <f>L28*X28</f>
        <v>0</v>
      </c>
      <c r="AA28" s="210">
        <f>Y28+Z28</f>
        <v>0</v>
      </c>
      <c r="AB28" s="187"/>
      <c r="AC28" s="221">
        <f>K28*AB28</f>
        <v>0</v>
      </c>
      <c r="AD28" s="221">
        <f>L28*AB28</f>
        <v>0</v>
      </c>
      <c r="AE28" s="211">
        <f>AC28+AD28</f>
        <v>0</v>
      </c>
      <c r="AG28" s="717"/>
      <c r="AH28" s="718">
        <f>F28*VLOOKUP($B28,'Emissions factors'!$B$1719:$M$1730,6,FALSE)</f>
        <v>0</v>
      </c>
      <c r="AI28" s="718"/>
      <c r="AJ28" s="718">
        <f>F28*VLOOKUP($B28,'Emissions factors'!$B$1719:$M$1730,7,FALSE)</f>
        <v>0</v>
      </c>
      <c r="AK28" s="718"/>
      <c r="AL28" s="718">
        <f>F28*VLOOKUP($B28,'Emissions factors'!$B$1719:$M$1730,8,FALSE)</f>
        <v>0</v>
      </c>
      <c r="AM28" s="718"/>
      <c r="AN28" s="718">
        <v>0</v>
      </c>
      <c r="AO28" s="719">
        <f t="shared" si="2"/>
        <v>0</v>
      </c>
      <c r="AP28" s="720">
        <f t="shared" si="2"/>
        <v>0</v>
      </c>
      <c r="AQ28" s="717"/>
      <c r="AR28" s="721">
        <f>F28*VLOOKUP($B28,'Emissions factors'!$B$1719:$M$1730,9,FALSE)</f>
        <v>0</v>
      </c>
    </row>
    <row r="29" spans="2:44" outlineLevel="1" x14ac:dyDescent="0.2">
      <c r="B29" s="200" t="s">
        <v>1544</v>
      </c>
      <c r="C29" s="201"/>
      <c r="D29" s="262">
        <f>M29</f>
        <v>0</v>
      </c>
      <c r="E29" s="265">
        <f>D29*12/44</f>
        <v>0</v>
      </c>
      <c r="F29" s="185"/>
      <c r="G29" s="437"/>
      <c r="H29" s="273">
        <f>VLOOKUP($B29,'Emissions factors'!$B$1719:$E$1730,2,FALSE)*(1-G29)+VLOOKUP($B29,'Emissions factors'!$B$1719:$E$1730,3,FALSE)*G29</f>
        <v>4400</v>
      </c>
      <c r="I29" s="187"/>
      <c r="J29" s="273">
        <f>VLOOKUP($B29,'Emissions factors'!$B$1719:$M$1730,5,FALSE)</f>
        <v>880.38133333651194</v>
      </c>
      <c r="K29" s="465">
        <f>F29*H29*(1+I29)</f>
        <v>0</v>
      </c>
      <c r="L29" s="210">
        <f>F29*J29</f>
        <v>0</v>
      </c>
      <c r="M29" s="210">
        <f>K29+L29</f>
        <v>0</v>
      </c>
      <c r="N29" s="446">
        <f>(1-G29)*VLOOKUP($B29,'Emissions factors'!$B$1719:$M$1730,10,FALSE)*(VLOOKUP($B29,'Emissions factors'!$B$1719:$M$1730,3,FALSE)-VLOOKUP($B29,'Emissions factors'!$B$1719:$M$1730,2,FALSE))+'Emissions factors'!$H$2197*SUM('Emissions factors'!$C$2275:$G$2275)+'Emissions factors'!$H$2240*SUM('Emissions factors'!$H$2275:$K$2275)</f>
        <v>-529.50713337047353</v>
      </c>
      <c r="O29" s="447">
        <f>F29*N29</f>
        <v>0</v>
      </c>
      <c r="Q29" s="282">
        <f>VLOOKUP(B29,'Emissions factors'!$B$1719:$M$1730,4,FALSE)</f>
        <v>0.4</v>
      </c>
      <c r="R29" s="434">
        <f>VLOOKUP(B29,'Emissions factors'!$B$1719:$M$1730,12,FALSE)</f>
        <v>0.3</v>
      </c>
      <c r="S29" s="186"/>
      <c r="T29" s="435">
        <f>K29*SQRT(Q29^2+S29^2)</f>
        <v>0</v>
      </c>
      <c r="U29" s="435">
        <f>L29*SQRT(R29^2+S29^2)</f>
        <v>0</v>
      </c>
      <c r="V29" s="211">
        <f>SQRT(T29^2+U29^2)</f>
        <v>0</v>
      </c>
      <c r="X29" s="187"/>
      <c r="Y29" s="221">
        <f>K29*X29</f>
        <v>0</v>
      </c>
      <c r="Z29" s="221">
        <f>L29*X29</f>
        <v>0</v>
      </c>
      <c r="AA29" s="210">
        <f>Y29+Z29</f>
        <v>0</v>
      </c>
      <c r="AB29" s="187"/>
      <c r="AC29" s="221">
        <f>K29*AB29</f>
        <v>0</v>
      </c>
      <c r="AD29" s="221">
        <f>L29*AB29</f>
        <v>0</v>
      </c>
      <c r="AE29" s="211">
        <f>AC29+AD29</f>
        <v>0</v>
      </c>
      <c r="AG29" s="717"/>
      <c r="AH29" s="718">
        <f>F29*VLOOKUP($B29,'Emissions factors'!$B$1719:$M$1730,6,FALSE)</f>
        <v>0</v>
      </c>
      <c r="AI29" s="718"/>
      <c r="AJ29" s="718">
        <f>F29*VLOOKUP($B29,'Emissions factors'!$B$1719:$M$1730,7,FALSE)</f>
        <v>0</v>
      </c>
      <c r="AK29" s="718"/>
      <c r="AL29" s="718">
        <f>F29*VLOOKUP($B29,'Emissions factors'!$B$1719:$M$1730,8,FALSE)</f>
        <v>0</v>
      </c>
      <c r="AM29" s="718"/>
      <c r="AN29" s="718">
        <v>0</v>
      </c>
      <c r="AO29" s="719">
        <f t="shared" si="2"/>
        <v>0</v>
      </c>
      <c r="AP29" s="720">
        <f t="shared" si="2"/>
        <v>0</v>
      </c>
      <c r="AQ29" s="717"/>
      <c r="AR29" s="721">
        <f>F29*VLOOKUP($B29,'Emissions factors'!$B$1719:$M$1730,9,FALSE)</f>
        <v>0</v>
      </c>
    </row>
    <row r="30" spans="2:44" outlineLevel="1" x14ac:dyDescent="0.2">
      <c r="B30" s="200" t="s">
        <v>161</v>
      </c>
      <c r="C30" s="201"/>
      <c r="D30" s="262">
        <f>M30</f>
        <v>0</v>
      </c>
      <c r="E30" s="265">
        <f>D30*12/44</f>
        <v>0</v>
      </c>
      <c r="F30" s="188"/>
      <c r="G30" s="438"/>
      <c r="H30" s="273">
        <f>VLOOKUP($B30,'Emissions factors'!$B$1719:$E$1730,2,FALSE)*(1-G30)+VLOOKUP($B30,'Emissions factors'!$B$1719:$E$1730,3,FALSE)*G30</f>
        <v>1870</v>
      </c>
      <c r="I30" s="190"/>
      <c r="J30" s="273">
        <f>VLOOKUP($B30,'Emissions factors'!$B$1719:$M$1730,5,FALSE)</f>
        <v>880.38133333651194</v>
      </c>
      <c r="K30" s="465">
        <f>F30*H30*(1+I30)</f>
        <v>0</v>
      </c>
      <c r="L30" s="210">
        <f>F30*J30</f>
        <v>0</v>
      </c>
      <c r="M30" s="210">
        <f>K30+L30</f>
        <v>0</v>
      </c>
      <c r="N30" s="446">
        <f>(1-G30)*VLOOKUP($B30,'Emissions factors'!$B$1719:$M$1730,10,FALSE)*(VLOOKUP($B30,'Emissions factors'!$B$1719:$M$1730,3,FALSE)-VLOOKUP($B30,'Emissions factors'!$B$1719:$M$1730,2,FALSE))+'Emissions factors'!$H$2197*SUM('Emissions factors'!$C$2275:$G$2275)+'Emissions factors'!$H$2240*SUM('Emissions factors'!$H$2275:$K$2275)</f>
        <v>-676.20713337047357</v>
      </c>
      <c r="O30" s="447">
        <f>F30*N30</f>
        <v>0</v>
      </c>
      <c r="Q30" s="282">
        <f>VLOOKUP(B30,'Emissions factors'!$B$1719:$M$1730,4,FALSE)</f>
        <v>0.2</v>
      </c>
      <c r="R30" s="434">
        <f>VLOOKUP(B30,'Emissions factors'!$B$1719:$M$1730,12,FALSE)</f>
        <v>0.3</v>
      </c>
      <c r="S30" s="189"/>
      <c r="T30" s="435">
        <f>K30*SQRT(Q30^2+S30^2)</f>
        <v>0</v>
      </c>
      <c r="U30" s="435">
        <f>L30*SQRT(R30^2+S30^2)</f>
        <v>0</v>
      </c>
      <c r="V30" s="211">
        <f>SQRT(T30^2+U30^2)</f>
        <v>0</v>
      </c>
      <c r="X30" s="190"/>
      <c r="Y30" s="221">
        <f>K30*X30</f>
        <v>0</v>
      </c>
      <c r="Z30" s="221">
        <f>L30*X30</f>
        <v>0</v>
      </c>
      <c r="AA30" s="210">
        <f>Y30+Z30</f>
        <v>0</v>
      </c>
      <c r="AB30" s="190"/>
      <c r="AC30" s="221">
        <f>K30*AB30</f>
        <v>0</v>
      </c>
      <c r="AD30" s="221">
        <f>L30*AB30</f>
        <v>0</v>
      </c>
      <c r="AE30" s="211">
        <f>AC30+AD30</f>
        <v>0</v>
      </c>
      <c r="AG30" s="717"/>
      <c r="AH30" s="718">
        <f>F30*VLOOKUP($B30,'Emissions factors'!$B$1719:$M$1730,6,FALSE)</f>
        <v>0</v>
      </c>
      <c r="AI30" s="718"/>
      <c r="AJ30" s="718">
        <f>F30*VLOOKUP($B30,'Emissions factors'!$B$1719:$M$1730,7,FALSE)</f>
        <v>0</v>
      </c>
      <c r="AK30" s="718"/>
      <c r="AL30" s="718">
        <f>F30*VLOOKUP($B30,'Emissions factors'!$B$1719:$M$1730,8,FALSE)</f>
        <v>0</v>
      </c>
      <c r="AM30" s="718"/>
      <c r="AN30" s="718">
        <v>0</v>
      </c>
      <c r="AO30" s="719">
        <f t="shared" si="2"/>
        <v>0</v>
      </c>
      <c r="AP30" s="720">
        <f t="shared" si="2"/>
        <v>0</v>
      </c>
      <c r="AQ30" s="717"/>
      <c r="AR30" s="721">
        <f>F30*VLOOKUP($B30,'Emissions factors'!$B$1719:$M$1730,9,FALSE)</f>
        <v>0</v>
      </c>
    </row>
    <row r="31" spans="2:44" outlineLevel="1" x14ac:dyDescent="0.2">
      <c r="B31" s="200"/>
      <c r="C31" s="201"/>
      <c r="D31" s="263"/>
      <c r="E31" s="266"/>
      <c r="F31" s="201"/>
      <c r="G31" s="201"/>
      <c r="H31" s="201"/>
      <c r="I31" s="201"/>
      <c r="J31" s="201"/>
      <c r="K31" s="225"/>
      <c r="L31" s="225"/>
      <c r="M31" s="225"/>
      <c r="N31" s="452"/>
      <c r="O31" s="453"/>
      <c r="Q31" s="200"/>
      <c r="R31" s="201"/>
      <c r="S31" s="201"/>
      <c r="T31" s="1370"/>
      <c r="U31" s="1370"/>
      <c r="V31" s="226"/>
      <c r="X31" s="200"/>
      <c r="Y31" s="361"/>
      <c r="Z31" s="361"/>
      <c r="AA31" s="361"/>
      <c r="AB31" s="362"/>
      <c r="AC31" s="361"/>
      <c r="AD31" s="225"/>
      <c r="AE31" s="211"/>
      <c r="AG31" s="717"/>
      <c r="AH31" s="718"/>
      <c r="AI31" s="718"/>
      <c r="AJ31" s="718"/>
      <c r="AK31" s="718"/>
      <c r="AL31" s="718"/>
      <c r="AM31" s="718"/>
      <c r="AN31" s="718"/>
      <c r="AO31" s="719"/>
      <c r="AP31" s="720"/>
      <c r="AQ31" s="722"/>
      <c r="AR31" s="723"/>
    </row>
    <row r="32" spans="2:44" outlineLevel="1" x14ac:dyDescent="0.2">
      <c r="B32" s="253" t="s">
        <v>2828</v>
      </c>
      <c r="C32" s="254"/>
      <c r="D32" s="264">
        <f>SUM(D27:D31)</f>
        <v>0</v>
      </c>
      <c r="E32" s="267">
        <f>SUM(E27:E31)</f>
        <v>0</v>
      </c>
      <c r="F32" s="256"/>
      <c r="G32" s="256"/>
      <c r="H32" s="256"/>
      <c r="I32" s="256"/>
      <c r="J32" s="256"/>
      <c r="K32" s="259">
        <f>SUM(K27:K31)</f>
        <v>0</v>
      </c>
      <c r="L32" s="259">
        <f>SUM(L27:L31)</f>
        <v>0</v>
      </c>
      <c r="M32" s="259">
        <f>SUM(M27:M31)</f>
        <v>0</v>
      </c>
      <c r="N32" s="450"/>
      <c r="O32" s="451">
        <f>SUM(O27:O31)</f>
        <v>0</v>
      </c>
      <c r="Q32" s="258"/>
      <c r="R32" s="256"/>
      <c r="S32" s="256"/>
      <c r="T32" s="260">
        <f>SQRT(SUMSQ(T27:T31))</f>
        <v>0</v>
      </c>
      <c r="U32" s="260">
        <f>SQRT(SUMSQ(U27:U31))</f>
        <v>0</v>
      </c>
      <c r="V32" s="257">
        <f>SQRT(SUMSQ(V27:V31))</f>
        <v>0</v>
      </c>
      <c r="X32" s="258"/>
      <c r="Y32" s="260">
        <f>SUM(Y27:Y31)</f>
        <v>0</v>
      </c>
      <c r="Z32" s="260">
        <f>SUM(Z27:Z31)</f>
        <v>0</v>
      </c>
      <c r="AA32" s="259">
        <f>SUM(AA27:AA31)</f>
        <v>0</v>
      </c>
      <c r="AB32" s="259"/>
      <c r="AC32" s="260">
        <f>SUM(AC27:AC31)</f>
        <v>0</v>
      </c>
      <c r="AD32" s="260">
        <f>SUM(AD27:AD31)</f>
        <v>0</v>
      </c>
      <c r="AE32" s="257">
        <f>SUM(AE27:AE31)</f>
        <v>0</v>
      </c>
      <c r="AG32" s="724">
        <f t="shared" ref="AG32:AR32" si="3">SUM(AG27:AG31)</f>
        <v>0</v>
      </c>
      <c r="AH32" s="725">
        <f t="shared" si="3"/>
        <v>0</v>
      </c>
      <c r="AI32" s="725">
        <f t="shared" si="3"/>
        <v>0</v>
      </c>
      <c r="AJ32" s="725">
        <f t="shared" si="3"/>
        <v>0</v>
      </c>
      <c r="AK32" s="725">
        <f t="shared" si="3"/>
        <v>0</v>
      </c>
      <c r="AL32" s="725">
        <f t="shared" si="3"/>
        <v>0</v>
      </c>
      <c r="AM32" s="725">
        <f t="shared" si="3"/>
        <v>0</v>
      </c>
      <c r="AN32" s="725">
        <f t="shared" si="3"/>
        <v>0</v>
      </c>
      <c r="AO32" s="726">
        <f t="shared" si="3"/>
        <v>0</v>
      </c>
      <c r="AP32" s="727">
        <f t="shared" si="3"/>
        <v>0</v>
      </c>
      <c r="AQ32" s="724">
        <f t="shared" si="3"/>
        <v>0</v>
      </c>
      <c r="AR32" s="728">
        <f t="shared" si="3"/>
        <v>0</v>
      </c>
    </row>
    <row r="33" spans="2:44" outlineLevel="1" x14ac:dyDescent="0.2">
      <c r="N33" s="322"/>
      <c r="O33" s="330"/>
    </row>
    <row r="34" spans="2:44" x14ac:dyDescent="0.2">
      <c r="N34" s="322"/>
    </row>
    <row r="35" spans="2:44" ht="16" collapsed="1" x14ac:dyDescent="0.2">
      <c r="B35" s="1795" t="s">
        <v>2842</v>
      </c>
      <c r="C35" s="1795"/>
      <c r="D35" s="1795"/>
      <c r="E35" s="1795"/>
      <c r="F35" s="1795"/>
      <c r="G35" s="1795"/>
      <c r="H35" s="1795"/>
      <c r="I35" s="1795"/>
      <c r="J35" s="1795"/>
      <c r="K35" s="1795"/>
      <c r="L35" s="1795"/>
      <c r="M35" s="1795"/>
      <c r="N35" s="1795"/>
      <c r="O35" s="1795"/>
    </row>
    <row r="36" spans="2:44" hidden="1" outlineLevel="1" x14ac:dyDescent="0.2">
      <c r="N36" s="322"/>
    </row>
    <row r="37" spans="2:44" hidden="1" outlineLevel="1" x14ac:dyDescent="0.2">
      <c r="B37" s="195" t="s">
        <v>2842</v>
      </c>
      <c r="C37" s="196"/>
      <c r="D37" s="358"/>
      <c r="E37" s="358"/>
      <c r="F37" s="198"/>
      <c r="G37" s="198"/>
      <c r="H37" s="198"/>
      <c r="I37" s="198"/>
      <c r="J37" s="198"/>
      <c r="K37" s="198"/>
      <c r="L37" s="198"/>
      <c r="M37" s="198"/>
      <c r="N37" s="429"/>
      <c r="O37" s="430"/>
      <c r="Q37" s="1746" t="s">
        <v>723</v>
      </c>
      <c r="R37" s="1747"/>
      <c r="S37" s="1747"/>
      <c r="T37" s="1747"/>
      <c r="U37" s="1747"/>
      <c r="V37" s="1748"/>
      <c r="X37" s="1746" t="s">
        <v>2066</v>
      </c>
      <c r="Y37" s="1747"/>
      <c r="Z37" s="1747"/>
      <c r="AA37" s="1747"/>
      <c r="AB37" s="1747"/>
      <c r="AC37" s="1747"/>
      <c r="AD37" s="1747"/>
      <c r="AE37" s="1748"/>
      <c r="AG37" s="1755" t="s">
        <v>2073</v>
      </c>
      <c r="AH37" s="1756"/>
      <c r="AI37" s="1756"/>
      <c r="AJ37" s="1756"/>
      <c r="AK37" s="1756"/>
      <c r="AL37" s="1756"/>
      <c r="AM37" s="1756"/>
      <c r="AN37" s="1756"/>
      <c r="AO37" s="1756"/>
      <c r="AP37" s="1756"/>
      <c r="AQ37" s="1756"/>
      <c r="AR37" s="1757"/>
    </row>
    <row r="38" spans="2:44" hidden="1" outlineLevel="1" x14ac:dyDescent="0.2">
      <c r="B38" s="417"/>
      <c r="C38" s="225"/>
      <c r="D38" s="361"/>
      <c r="E38" s="361"/>
      <c r="F38" s="201"/>
      <c r="G38" s="201"/>
      <c r="H38" s="1828" t="s">
        <v>1279</v>
      </c>
      <c r="I38" s="1828"/>
      <c r="J38" s="270" t="s">
        <v>2617</v>
      </c>
      <c r="K38" s="201"/>
      <c r="L38" s="201"/>
      <c r="M38" s="201"/>
      <c r="N38" s="444" t="s">
        <v>2619</v>
      </c>
      <c r="O38" s="445"/>
      <c r="Q38" s="216" t="s">
        <v>2620</v>
      </c>
      <c r="R38" s="216" t="s">
        <v>2620</v>
      </c>
      <c r="S38" s="217"/>
      <c r="T38" s="217"/>
      <c r="U38" s="217"/>
      <c r="V38" s="218"/>
      <c r="X38" s="216"/>
      <c r="Y38" s="217"/>
      <c r="Z38" s="217"/>
      <c r="AA38" s="217"/>
      <c r="AB38" s="217"/>
      <c r="AC38" s="217"/>
      <c r="AD38" s="198"/>
      <c r="AE38" s="199"/>
      <c r="AG38" s="1758" t="s">
        <v>61</v>
      </c>
      <c r="AH38" s="1759"/>
      <c r="AI38" s="1759"/>
      <c r="AJ38" s="1759"/>
      <c r="AK38" s="1759"/>
      <c r="AL38" s="1759"/>
      <c r="AM38" s="1759"/>
      <c r="AN38" s="1759"/>
      <c r="AO38" s="1759" t="s">
        <v>61</v>
      </c>
      <c r="AP38" s="1760"/>
      <c r="AQ38" s="730"/>
      <c r="AR38" s="731"/>
    </row>
    <row r="39" spans="2:44" hidden="1" outlineLevel="1" x14ac:dyDescent="0.2">
      <c r="B39" s="204"/>
      <c r="C39" s="362"/>
      <c r="D39" s="362" t="s">
        <v>56</v>
      </c>
      <c r="E39" s="362" t="s">
        <v>56</v>
      </c>
      <c r="F39" s="205" t="s">
        <v>11</v>
      </c>
      <c r="G39" s="205" t="s">
        <v>2600</v>
      </c>
      <c r="H39" s="1624" t="s">
        <v>64</v>
      </c>
      <c r="I39" s="205" t="s">
        <v>2603</v>
      </c>
      <c r="J39" s="362" t="s">
        <v>61</v>
      </c>
      <c r="K39" s="678" t="s">
        <v>61</v>
      </c>
      <c r="L39" s="678" t="s">
        <v>61</v>
      </c>
      <c r="M39" s="678" t="s">
        <v>61</v>
      </c>
      <c r="N39" s="444" t="s">
        <v>64</v>
      </c>
      <c r="O39" s="445" t="s">
        <v>61</v>
      </c>
      <c r="Q39" s="1625" t="s">
        <v>2109</v>
      </c>
      <c r="R39" s="1625" t="s">
        <v>2109</v>
      </c>
      <c r="S39" s="362" t="s">
        <v>2110</v>
      </c>
      <c r="T39" s="680" t="s">
        <v>61</v>
      </c>
      <c r="U39" s="680" t="s">
        <v>61</v>
      </c>
      <c r="V39" s="207" t="s">
        <v>61</v>
      </c>
      <c r="X39" s="204" t="s">
        <v>2065</v>
      </c>
      <c r="Y39" s="362" t="s">
        <v>61</v>
      </c>
      <c r="Z39" s="362" t="s">
        <v>61</v>
      </c>
      <c r="AA39" s="361" t="s">
        <v>61</v>
      </c>
      <c r="AB39" s="362" t="s">
        <v>2558</v>
      </c>
      <c r="AC39" s="362" t="s">
        <v>61</v>
      </c>
      <c r="AD39" s="362" t="s">
        <v>61</v>
      </c>
      <c r="AE39" s="207" t="s">
        <v>61</v>
      </c>
      <c r="AG39" s="1764" t="s">
        <v>14</v>
      </c>
      <c r="AH39" s="1761"/>
      <c r="AI39" s="1761" t="s">
        <v>60</v>
      </c>
      <c r="AJ39" s="1761"/>
      <c r="AK39" s="1761" t="s">
        <v>27</v>
      </c>
      <c r="AL39" s="1761"/>
      <c r="AM39" s="1761" t="s">
        <v>2074</v>
      </c>
      <c r="AN39" s="1761"/>
      <c r="AO39" s="1762" t="s">
        <v>41</v>
      </c>
      <c r="AP39" s="1763"/>
      <c r="AQ39" s="1764" t="s">
        <v>85</v>
      </c>
      <c r="AR39" s="1765"/>
    </row>
    <row r="40" spans="2:44" hidden="1" outlineLevel="1" x14ac:dyDescent="0.2">
      <c r="B40" s="204"/>
      <c r="C40" s="362"/>
      <c r="D40" s="362" t="s">
        <v>61</v>
      </c>
      <c r="E40" s="362" t="s">
        <v>63</v>
      </c>
      <c r="F40" s="208" t="s">
        <v>2601</v>
      </c>
      <c r="G40" s="208" t="s">
        <v>2602</v>
      </c>
      <c r="H40" s="1624" t="s">
        <v>2058</v>
      </c>
      <c r="I40" s="208" t="s">
        <v>2604</v>
      </c>
      <c r="J40" s="362" t="s">
        <v>2058</v>
      </c>
      <c r="K40" s="679" t="s">
        <v>1279</v>
      </c>
      <c r="L40" s="679" t="s">
        <v>2617</v>
      </c>
      <c r="M40" s="678" t="s">
        <v>41</v>
      </c>
      <c r="N40" s="444" t="s">
        <v>2058</v>
      </c>
      <c r="O40" s="445" t="s">
        <v>2618</v>
      </c>
      <c r="Q40" s="283" t="s">
        <v>1279</v>
      </c>
      <c r="R40" s="270" t="s">
        <v>2617</v>
      </c>
      <c r="S40" s="362"/>
      <c r="T40" s="681" t="s">
        <v>1279</v>
      </c>
      <c r="U40" s="681" t="s">
        <v>2617</v>
      </c>
      <c r="V40" s="219" t="s">
        <v>41</v>
      </c>
      <c r="X40" s="204"/>
      <c r="Y40" s="270" t="s">
        <v>1279</v>
      </c>
      <c r="Z40" s="270" t="s">
        <v>2617</v>
      </c>
      <c r="AA40" s="223" t="s">
        <v>41</v>
      </c>
      <c r="AB40" s="362"/>
      <c r="AC40" s="270" t="s">
        <v>1279</v>
      </c>
      <c r="AD40" s="270" t="s">
        <v>2617</v>
      </c>
      <c r="AE40" s="219" t="s">
        <v>41</v>
      </c>
      <c r="AG40" s="732" t="s">
        <v>1279</v>
      </c>
      <c r="AH40" s="733" t="s">
        <v>2617</v>
      </c>
      <c r="AI40" s="733" t="s">
        <v>1279</v>
      </c>
      <c r="AJ40" s="733" t="s">
        <v>2617</v>
      </c>
      <c r="AK40" s="733" t="s">
        <v>1279</v>
      </c>
      <c r="AL40" s="733" t="s">
        <v>2617</v>
      </c>
      <c r="AM40" s="733" t="s">
        <v>1279</v>
      </c>
      <c r="AN40" s="733" t="s">
        <v>2617</v>
      </c>
      <c r="AO40" s="734" t="s">
        <v>1279</v>
      </c>
      <c r="AP40" s="735" t="s">
        <v>2617</v>
      </c>
      <c r="AQ40" s="732" t="s">
        <v>1279</v>
      </c>
      <c r="AR40" s="736" t="s">
        <v>2617</v>
      </c>
    </row>
    <row r="41" spans="2:44" hidden="1" outlineLevel="1" x14ac:dyDescent="0.2">
      <c r="B41" s="200" t="s">
        <v>1532</v>
      </c>
      <c r="C41" s="201"/>
      <c r="D41" s="262">
        <f>M41</f>
        <v>0</v>
      </c>
      <c r="E41" s="265">
        <f>D41*12/44</f>
        <v>0</v>
      </c>
      <c r="F41" s="182"/>
      <c r="G41" s="436"/>
      <c r="H41" s="273">
        <f>VLOOKUP($B41,'Emissions factors'!$B$1704:$E$1714,2,FALSE)*(1-G41)+VLOOKUP($B41,'Emissions factors'!$B$1704:$E$1714,3,FALSE)*G41</f>
        <v>1519</v>
      </c>
      <c r="I41" s="184"/>
      <c r="J41" s="273">
        <f>VLOOKUP($B41,'Emissions factors'!$B$1704:$M$1714,5,FALSE)</f>
        <v>33</v>
      </c>
      <c r="K41" s="465">
        <f>F41*H41*(1+I41)</f>
        <v>0</v>
      </c>
      <c r="L41" s="210">
        <f>F41*J41</f>
        <v>0</v>
      </c>
      <c r="M41" s="210">
        <f>K41+L41</f>
        <v>0</v>
      </c>
      <c r="N41" s="446">
        <f>(1-G41)*VLOOKUP($B41,'Emissions factors'!$B$1704:$M$1714,10,FALSE)*(VLOOKUP($B41,'Emissions factors'!$B$1704:$M$1714,3,FALSE)-VLOOKUP($B41,'Emissions factors'!$B$1704:$M$1714,2,FALSE))</f>
        <v>-548.4</v>
      </c>
      <c r="O41" s="447">
        <f>F41*N41</f>
        <v>0</v>
      </c>
      <c r="Q41" s="282">
        <f>VLOOKUP(B41,'Emissions factors'!$B$1704:$M$1714,4,FALSE)</f>
        <v>0.2</v>
      </c>
      <c r="R41" s="434">
        <f>VLOOKUP(B41,'Emissions factors'!$B$1704:$M$1714,12,FALSE)</f>
        <v>0.5</v>
      </c>
      <c r="S41" s="183"/>
      <c r="T41" s="435">
        <f>K41*SQRT(Q41^2+S41^2)</f>
        <v>0</v>
      </c>
      <c r="U41" s="435">
        <f>L41*SQRT(R41^2+S41^2)</f>
        <v>0</v>
      </c>
      <c r="V41" s="211">
        <f>SQRT(T41^2+U41^2)</f>
        <v>0</v>
      </c>
      <c r="X41" s="184"/>
      <c r="Y41" s="221">
        <f>K41*X41</f>
        <v>0</v>
      </c>
      <c r="Z41" s="221">
        <f>L41*X41</f>
        <v>0</v>
      </c>
      <c r="AA41" s="210">
        <f>Y41+Z41</f>
        <v>0</v>
      </c>
      <c r="AB41" s="184"/>
      <c r="AC41" s="221">
        <f>K41*AB41</f>
        <v>0</v>
      </c>
      <c r="AD41" s="221">
        <f>L41*AB41</f>
        <v>0</v>
      </c>
      <c r="AE41" s="211">
        <f>AC41+AD41</f>
        <v>0</v>
      </c>
      <c r="AG41" s="717"/>
      <c r="AH41" s="718">
        <f>F41*VLOOKUP($B41,'Emissions factors'!$B$1704:$M$1714,6,FALSE)</f>
        <v>0</v>
      </c>
      <c r="AI41" s="718"/>
      <c r="AJ41" s="718">
        <f>F41*VLOOKUP($B41,'Emissions factors'!$B$1704:$M$1714,7,FALSE)</f>
        <v>0</v>
      </c>
      <c r="AK41" s="718"/>
      <c r="AL41" s="718">
        <f>F41*VLOOKUP($B41,'Emissions factors'!$B$1704:$M$1714,9,FALSE)</f>
        <v>0</v>
      </c>
      <c r="AM41" s="718"/>
      <c r="AN41" s="718">
        <v>0</v>
      </c>
      <c r="AO41" s="719">
        <f t="shared" ref="AO41:AP44" si="4">K41</f>
        <v>0</v>
      </c>
      <c r="AP41" s="720">
        <f t="shared" si="4"/>
        <v>0</v>
      </c>
      <c r="AQ41" s="717"/>
      <c r="AR41" s="721">
        <f>F41*VLOOKUP($B41,'Emissions factors'!$B$1704:$M$1714,9,FALSE)</f>
        <v>0</v>
      </c>
    </row>
    <row r="42" spans="2:44" hidden="1" outlineLevel="1" x14ac:dyDescent="0.2">
      <c r="B42" s="200" t="s">
        <v>1533</v>
      </c>
      <c r="C42" s="201"/>
      <c r="D42" s="262">
        <f>M42</f>
        <v>0</v>
      </c>
      <c r="E42" s="265">
        <f>D42*12/44</f>
        <v>0</v>
      </c>
      <c r="F42" s="185"/>
      <c r="G42" s="437"/>
      <c r="H42" s="273">
        <f>VLOOKUP($B42,'Emissions factors'!$B$1704:$E$1714,2,FALSE)*(1-G42)+VLOOKUP($B42,'Emissions factors'!$B$1704:$E$1714,3,FALSE)*G42</f>
        <v>1027</v>
      </c>
      <c r="I42" s="187"/>
      <c r="J42" s="273">
        <f>VLOOKUP($B42,'Emissions factors'!$B$1704:$M$1714,5,FALSE)</f>
        <v>33</v>
      </c>
      <c r="K42" s="465">
        <f>F42*H42*(1+I42)</f>
        <v>0</v>
      </c>
      <c r="L42" s="210">
        <f>F42*J42</f>
        <v>0</v>
      </c>
      <c r="M42" s="210">
        <f>K42+L42</f>
        <v>0</v>
      </c>
      <c r="N42" s="446">
        <f>(1-G42)*VLOOKUP($B42,'Emissions factors'!$B$1704:$M$1714,10,FALSE)*(VLOOKUP($B42,'Emissions factors'!$B$1704:$M$1714,3,FALSE)-VLOOKUP($B42,'Emissions factors'!$B$1704:$M$1714,2,FALSE))</f>
        <v>-253.2</v>
      </c>
      <c r="O42" s="447">
        <f>F42*N42</f>
        <v>0</v>
      </c>
      <c r="Q42" s="282">
        <f>VLOOKUP(B42,'Emissions factors'!$B$1704:$M$1714,4,FALSE)</f>
        <v>0.2</v>
      </c>
      <c r="R42" s="434">
        <f>VLOOKUP(B42,'Emissions factors'!$B$1704:$M$1714,12,FALSE)</f>
        <v>0.5</v>
      </c>
      <c r="S42" s="186"/>
      <c r="T42" s="435">
        <f>K42*SQRT(Q42^2+S42^2)</f>
        <v>0</v>
      </c>
      <c r="U42" s="435">
        <f>L42*SQRT(R42^2+S42^2)</f>
        <v>0</v>
      </c>
      <c r="V42" s="211">
        <f>SQRT(T42^2+U42^2)</f>
        <v>0</v>
      </c>
      <c r="X42" s="187"/>
      <c r="Y42" s="221">
        <f>K42*X42</f>
        <v>0</v>
      </c>
      <c r="Z42" s="221">
        <f>L42*X42</f>
        <v>0</v>
      </c>
      <c r="AA42" s="210">
        <f>Y42+Z42</f>
        <v>0</v>
      </c>
      <c r="AB42" s="187"/>
      <c r="AC42" s="221">
        <f>K42*AB42</f>
        <v>0</v>
      </c>
      <c r="AD42" s="221">
        <f>L42*AB42</f>
        <v>0</v>
      </c>
      <c r="AE42" s="211">
        <f>AC42+AD42</f>
        <v>0</v>
      </c>
      <c r="AG42" s="717"/>
      <c r="AH42" s="718">
        <f>F42*VLOOKUP($B42,'Emissions factors'!$B$1704:$M$1714,6,FALSE)</f>
        <v>0</v>
      </c>
      <c r="AI42" s="718"/>
      <c r="AJ42" s="718">
        <f>F42*VLOOKUP($B42,'Emissions factors'!$B$1704:$M$1714,7,FALSE)</f>
        <v>0</v>
      </c>
      <c r="AK42" s="718"/>
      <c r="AL42" s="718">
        <f>F42*VLOOKUP($B42,'Emissions factors'!$B$1704:$M$1714,9,FALSE)</f>
        <v>0</v>
      </c>
      <c r="AM42" s="718"/>
      <c r="AN42" s="718">
        <v>0</v>
      </c>
      <c r="AO42" s="719">
        <f t="shared" si="4"/>
        <v>0</v>
      </c>
      <c r="AP42" s="720">
        <f t="shared" si="4"/>
        <v>0</v>
      </c>
      <c r="AQ42" s="717"/>
      <c r="AR42" s="721">
        <f>F42*VLOOKUP($B42,'Emissions factors'!$B$1704:$M$1714,9,FALSE)</f>
        <v>0</v>
      </c>
    </row>
    <row r="43" spans="2:44" hidden="1" outlineLevel="1" x14ac:dyDescent="0.2">
      <c r="B43" s="200" t="s">
        <v>1536</v>
      </c>
      <c r="C43" s="201"/>
      <c r="D43" s="262">
        <f>M43</f>
        <v>0</v>
      </c>
      <c r="E43" s="265">
        <f>D43*12/44</f>
        <v>0</v>
      </c>
      <c r="F43" s="185"/>
      <c r="G43" s="437"/>
      <c r="H43" s="273">
        <f>VLOOKUP($B43,'Emissions factors'!$B$1704:$E$1714,2,FALSE)*(1-G43)+VLOOKUP($B43,'Emissions factors'!$B$1704:$E$1714,3,FALSE)*G43</f>
        <v>1180</v>
      </c>
      <c r="I43" s="187"/>
      <c r="J43" s="273">
        <f>VLOOKUP($B43,'Emissions factors'!$B$1704:$M$1714,5,FALSE)</f>
        <v>33</v>
      </c>
      <c r="K43" s="465">
        <f>F43*H43*(1+I43)</f>
        <v>0</v>
      </c>
      <c r="L43" s="210">
        <f>F43*J43</f>
        <v>0</v>
      </c>
      <c r="M43" s="210">
        <f>K43+L43</f>
        <v>0</v>
      </c>
      <c r="N43" s="446">
        <f>(1-G43)*VLOOKUP($B43,'Emissions factors'!$B$1704:$M$1714,10,FALSE)*(VLOOKUP($B43,'Emissions factors'!$B$1704:$M$1714,3,FALSE)-VLOOKUP($B43,'Emissions factors'!$B$1704:$M$1714,2,FALSE))</f>
        <v>0</v>
      </c>
      <c r="O43" s="447">
        <f>F43*N43</f>
        <v>0</v>
      </c>
      <c r="Q43" s="282">
        <f>VLOOKUP(B43,'Emissions factors'!$B$1704:$M$1714,4,FALSE)</f>
        <v>0.2</v>
      </c>
      <c r="R43" s="434">
        <f>VLOOKUP(B43,'Emissions factors'!$B$1704:$M$1714,12,FALSE)</f>
        <v>0.5</v>
      </c>
      <c r="S43" s="186"/>
      <c r="T43" s="435">
        <f>K43*SQRT(Q43^2+S43^2)</f>
        <v>0</v>
      </c>
      <c r="U43" s="435">
        <f>L43*SQRT(R43^2+S43^2)</f>
        <v>0</v>
      </c>
      <c r="V43" s="211">
        <f>SQRT(T43^2+U43^2)</f>
        <v>0</v>
      </c>
      <c r="X43" s="187"/>
      <c r="Y43" s="221">
        <f>K43*X43</f>
        <v>0</v>
      </c>
      <c r="Z43" s="221">
        <f>L43*X43</f>
        <v>0</v>
      </c>
      <c r="AA43" s="210">
        <f>Y43+Z43</f>
        <v>0</v>
      </c>
      <c r="AB43" s="187"/>
      <c r="AC43" s="221">
        <f>K43*AB43</f>
        <v>0</v>
      </c>
      <c r="AD43" s="221">
        <f>L43*AB43</f>
        <v>0</v>
      </c>
      <c r="AE43" s="211">
        <f>AC43+AD43</f>
        <v>0</v>
      </c>
      <c r="AG43" s="717"/>
      <c r="AH43" s="718">
        <f>F43*VLOOKUP($B43,'Emissions factors'!$B$1704:$M$1714,6,FALSE)</f>
        <v>0</v>
      </c>
      <c r="AI43" s="718"/>
      <c r="AJ43" s="718">
        <f>F43*VLOOKUP($B43,'Emissions factors'!$B$1704:$M$1714,7,FALSE)</f>
        <v>0</v>
      </c>
      <c r="AK43" s="718"/>
      <c r="AL43" s="718">
        <f>F43*VLOOKUP($B43,'Emissions factors'!$B$1704:$M$1714,9,FALSE)</f>
        <v>0</v>
      </c>
      <c r="AM43" s="718"/>
      <c r="AN43" s="718">
        <v>0</v>
      </c>
      <c r="AO43" s="719">
        <f t="shared" si="4"/>
        <v>0</v>
      </c>
      <c r="AP43" s="720">
        <f t="shared" si="4"/>
        <v>0</v>
      </c>
      <c r="AQ43" s="717"/>
      <c r="AR43" s="721">
        <f>F43*VLOOKUP($B43,'Emissions factors'!$B$1704:$M$1714,9,FALSE)</f>
        <v>0</v>
      </c>
    </row>
    <row r="44" spans="2:44" hidden="1" outlineLevel="1" x14ac:dyDescent="0.2">
      <c r="B44" s="200" t="s">
        <v>1535</v>
      </c>
      <c r="C44" s="201"/>
      <c r="D44" s="262">
        <f>M44</f>
        <v>0</v>
      </c>
      <c r="E44" s="265">
        <f>D44*12/44</f>
        <v>0</v>
      </c>
      <c r="F44" s="188"/>
      <c r="G44" s="438"/>
      <c r="H44" s="273">
        <f>VLOOKUP($B44,'Emissions factors'!$B$1704:$E$1714,2,FALSE)*(1-G44)+VLOOKUP($B44,'Emissions factors'!$B$1704:$E$1714,3,FALSE)*G44</f>
        <v>1467</v>
      </c>
      <c r="I44" s="190"/>
      <c r="J44" s="273">
        <f>VLOOKUP($B44,'Emissions factors'!$B$1704:$M$1714,5,FALSE)</f>
        <v>33</v>
      </c>
      <c r="K44" s="465">
        <f>F44*H44*(1+I44)</f>
        <v>0</v>
      </c>
      <c r="L44" s="210">
        <f>F44*J44</f>
        <v>0</v>
      </c>
      <c r="M44" s="210">
        <f>K44+L44</f>
        <v>0</v>
      </c>
      <c r="N44" s="446">
        <f>(1-G44)*VLOOKUP($B44,'Emissions factors'!$B$1704:$M$1714,10,FALSE)*(VLOOKUP($B44,'Emissions factors'!$B$1704:$M$1714,3,FALSE)-VLOOKUP($B44,'Emissions factors'!$B$1704:$M$1714,2,FALSE))</f>
        <v>0</v>
      </c>
      <c r="O44" s="447">
        <f>F44*N44</f>
        <v>0</v>
      </c>
      <c r="Q44" s="282">
        <f>VLOOKUP(B44,'Emissions factors'!$B$1704:$M$1714,4,FALSE)</f>
        <v>0.2</v>
      </c>
      <c r="R44" s="434">
        <f>VLOOKUP(B44,'Emissions factors'!$B$1704:$M$1714,12,FALSE)</f>
        <v>0.5</v>
      </c>
      <c r="S44" s="189"/>
      <c r="T44" s="435">
        <f>K44*SQRT(Q44^2+S44^2)</f>
        <v>0</v>
      </c>
      <c r="U44" s="435">
        <f>L44*SQRT(R44^2+S44^2)</f>
        <v>0</v>
      </c>
      <c r="V44" s="211">
        <f>SQRT(T44^2+U44^2)</f>
        <v>0</v>
      </c>
      <c r="X44" s="190"/>
      <c r="Y44" s="221">
        <f>K44*X44</f>
        <v>0</v>
      </c>
      <c r="Z44" s="221">
        <f>L44*X44</f>
        <v>0</v>
      </c>
      <c r="AA44" s="210">
        <f>Y44+Z44</f>
        <v>0</v>
      </c>
      <c r="AB44" s="190"/>
      <c r="AC44" s="221">
        <f>K44*AB44</f>
        <v>0</v>
      </c>
      <c r="AD44" s="221">
        <f>L44*AB44</f>
        <v>0</v>
      </c>
      <c r="AE44" s="211">
        <f>AC44+AD44</f>
        <v>0</v>
      </c>
      <c r="AG44" s="717"/>
      <c r="AH44" s="718">
        <f>F44*VLOOKUP($B44,'Emissions factors'!$B$1704:$M$1714,6,FALSE)</f>
        <v>0</v>
      </c>
      <c r="AI44" s="718"/>
      <c r="AJ44" s="718">
        <f>F44*VLOOKUP($B44,'Emissions factors'!$B$1704:$M$1714,7,FALSE)</f>
        <v>0</v>
      </c>
      <c r="AK44" s="718"/>
      <c r="AL44" s="718">
        <f>F44*VLOOKUP($B44,'Emissions factors'!$B$1704:$M$1714,9,FALSE)</f>
        <v>0</v>
      </c>
      <c r="AM44" s="718"/>
      <c r="AN44" s="718">
        <v>0</v>
      </c>
      <c r="AO44" s="719">
        <f t="shared" si="4"/>
        <v>0</v>
      </c>
      <c r="AP44" s="720">
        <f t="shared" si="4"/>
        <v>0</v>
      </c>
      <c r="AQ44" s="717"/>
      <c r="AR44" s="721">
        <f>F44*VLOOKUP($B44,'Emissions factors'!$B$1704:$M$1714,9,FALSE)</f>
        <v>0</v>
      </c>
    </row>
    <row r="45" spans="2:44" hidden="1" outlineLevel="1" x14ac:dyDescent="0.2">
      <c r="B45" s="200"/>
      <c r="C45" s="201"/>
      <c r="D45" s="263"/>
      <c r="E45" s="266"/>
      <c r="F45" s="201"/>
      <c r="G45" s="201"/>
      <c r="H45" s="201"/>
      <c r="I45" s="201"/>
      <c r="J45" s="201"/>
      <c r="K45" s="225"/>
      <c r="L45" s="225"/>
      <c r="M45" s="201"/>
      <c r="N45" s="448"/>
      <c r="O45" s="449"/>
      <c r="Q45" s="200"/>
      <c r="R45" s="201"/>
      <c r="S45" s="201"/>
      <c r="T45" s="1370"/>
      <c r="U45" s="1370"/>
      <c r="V45" s="226"/>
      <c r="X45" s="200"/>
      <c r="Y45" s="361"/>
      <c r="Z45" s="361"/>
      <c r="AA45" s="361"/>
      <c r="AB45" s="201"/>
      <c r="AC45" s="225"/>
      <c r="AD45" s="225"/>
      <c r="AE45" s="211"/>
      <c r="AG45" s="717"/>
      <c r="AH45" s="718"/>
      <c r="AI45" s="718"/>
      <c r="AJ45" s="718"/>
      <c r="AK45" s="718"/>
      <c r="AL45" s="718"/>
      <c r="AM45" s="718"/>
      <c r="AN45" s="718"/>
      <c r="AO45" s="719"/>
      <c r="AP45" s="720"/>
      <c r="AQ45" s="722"/>
      <c r="AR45" s="723"/>
    </row>
    <row r="46" spans="2:44" hidden="1" outlineLevel="1" x14ac:dyDescent="0.2">
      <c r="B46" s="253" t="s">
        <v>2828</v>
      </c>
      <c r="C46" s="254"/>
      <c r="D46" s="264">
        <f>SUM(D41:D45)</f>
        <v>0</v>
      </c>
      <c r="E46" s="267">
        <f>SUM(E41:E45)</f>
        <v>0</v>
      </c>
      <c r="F46" s="256"/>
      <c r="G46" s="256"/>
      <c r="H46" s="256"/>
      <c r="I46" s="256"/>
      <c r="J46" s="256"/>
      <c r="K46" s="259">
        <f>SUM(K41:K45)</f>
        <v>0</v>
      </c>
      <c r="L46" s="259">
        <f>SUM(L41:L45)</f>
        <v>0</v>
      </c>
      <c r="M46" s="259">
        <f>SUM(M41:M45)</f>
        <v>0</v>
      </c>
      <c r="N46" s="450"/>
      <c r="O46" s="451">
        <f>SUM(O41:O45)</f>
        <v>0</v>
      </c>
      <c r="Q46" s="258"/>
      <c r="R46" s="256"/>
      <c r="S46" s="256"/>
      <c r="T46" s="260">
        <f>SQRT(SUMSQ(T41:T45))</f>
        <v>0</v>
      </c>
      <c r="U46" s="260">
        <f>SQRT(SUMSQ(U41:U45))</f>
        <v>0</v>
      </c>
      <c r="V46" s="257">
        <f>SQRT(SUMSQ(V41:V45))</f>
        <v>0</v>
      </c>
      <c r="X46" s="258"/>
      <c r="Y46" s="260">
        <f>SUM(Y41:Y45)</f>
        <v>0</v>
      </c>
      <c r="Z46" s="260">
        <f>SUM(Z41:Z45)</f>
        <v>0</v>
      </c>
      <c r="AA46" s="259">
        <f>SUM(AA41:AA45)</f>
        <v>0</v>
      </c>
      <c r="AB46" s="256"/>
      <c r="AC46" s="260">
        <f>SUM(AC41:AC45)</f>
        <v>0</v>
      </c>
      <c r="AD46" s="260">
        <f>SUM(AD41:AD45)</f>
        <v>0</v>
      </c>
      <c r="AE46" s="257">
        <f>SUM(AE41:AE45)</f>
        <v>0</v>
      </c>
      <c r="AG46" s="724">
        <f t="shared" ref="AG46:AR46" si="5">SUM(AG41:AG45)</f>
        <v>0</v>
      </c>
      <c r="AH46" s="725">
        <f t="shared" si="5"/>
        <v>0</v>
      </c>
      <c r="AI46" s="725">
        <f t="shared" si="5"/>
        <v>0</v>
      </c>
      <c r="AJ46" s="725">
        <f t="shared" si="5"/>
        <v>0</v>
      </c>
      <c r="AK46" s="725">
        <f t="shared" si="5"/>
        <v>0</v>
      </c>
      <c r="AL46" s="725">
        <f t="shared" si="5"/>
        <v>0</v>
      </c>
      <c r="AM46" s="725">
        <f t="shared" si="5"/>
        <v>0</v>
      </c>
      <c r="AN46" s="725">
        <f t="shared" si="5"/>
        <v>0</v>
      </c>
      <c r="AO46" s="726">
        <f t="shared" si="5"/>
        <v>0</v>
      </c>
      <c r="AP46" s="727">
        <f t="shared" si="5"/>
        <v>0</v>
      </c>
      <c r="AQ46" s="724">
        <f t="shared" si="5"/>
        <v>0</v>
      </c>
      <c r="AR46" s="728">
        <f t="shared" si="5"/>
        <v>0</v>
      </c>
    </row>
    <row r="47" spans="2:44" hidden="1" outlineLevel="1" x14ac:dyDescent="0.2">
      <c r="N47" s="322"/>
    </row>
    <row r="48" spans="2:44" x14ac:dyDescent="0.2">
      <c r="N48" s="322"/>
    </row>
    <row r="49" spans="2:44" ht="16" x14ac:dyDescent="0.2">
      <c r="B49" s="1795" t="s">
        <v>2843</v>
      </c>
      <c r="C49" s="1795"/>
      <c r="D49" s="1795"/>
      <c r="E49" s="1795"/>
      <c r="F49" s="1795"/>
      <c r="G49" s="1795"/>
      <c r="H49" s="1795"/>
      <c r="I49" s="1795"/>
      <c r="J49" s="1795"/>
      <c r="K49" s="1795"/>
      <c r="L49" s="1795"/>
      <c r="M49" s="1795"/>
      <c r="N49" s="1795"/>
      <c r="O49" s="1795"/>
    </row>
    <row r="50" spans="2:44" outlineLevel="1" x14ac:dyDescent="0.2">
      <c r="N50" s="322"/>
    </row>
    <row r="51" spans="2:44" outlineLevel="1" x14ac:dyDescent="0.2">
      <c r="B51" s="195" t="s">
        <v>2843</v>
      </c>
      <c r="C51" s="196"/>
      <c r="D51" s="358"/>
      <c r="E51" s="358"/>
      <c r="F51" s="198"/>
      <c r="G51" s="198"/>
      <c r="H51" s="198"/>
      <c r="I51" s="198"/>
      <c r="J51" s="198"/>
      <c r="K51" s="198"/>
      <c r="L51" s="198"/>
      <c r="M51" s="198"/>
      <c r="N51" s="429"/>
      <c r="O51" s="430"/>
      <c r="Q51" s="1746" t="s">
        <v>723</v>
      </c>
      <c r="R51" s="1747"/>
      <c r="S51" s="1747"/>
      <c r="T51" s="1747"/>
      <c r="U51" s="1747"/>
      <c r="V51" s="1748"/>
      <c r="X51" s="1746" t="s">
        <v>2066</v>
      </c>
      <c r="Y51" s="1747"/>
      <c r="Z51" s="1747"/>
      <c r="AA51" s="1747"/>
      <c r="AB51" s="1747"/>
      <c r="AC51" s="1747"/>
      <c r="AD51" s="1747"/>
      <c r="AE51" s="1748"/>
      <c r="AG51" s="1755" t="s">
        <v>2073</v>
      </c>
      <c r="AH51" s="1756"/>
      <c r="AI51" s="1756"/>
      <c r="AJ51" s="1756"/>
      <c r="AK51" s="1756"/>
      <c r="AL51" s="1756"/>
      <c r="AM51" s="1756"/>
      <c r="AN51" s="1756"/>
      <c r="AO51" s="1756"/>
      <c r="AP51" s="1756"/>
      <c r="AQ51" s="1756"/>
      <c r="AR51" s="1757"/>
    </row>
    <row r="52" spans="2:44" outlineLevel="1" x14ac:dyDescent="0.2">
      <c r="B52" s="417"/>
      <c r="C52" s="225"/>
      <c r="D52" s="361"/>
      <c r="E52" s="361"/>
      <c r="F52" s="201"/>
      <c r="G52" s="201"/>
      <c r="H52" s="1828" t="s">
        <v>1279</v>
      </c>
      <c r="I52" s="1828"/>
      <c r="J52" s="270" t="s">
        <v>2617</v>
      </c>
      <c r="K52" s="201"/>
      <c r="L52" s="201"/>
      <c r="M52" s="201"/>
      <c r="N52" s="444" t="s">
        <v>2619</v>
      </c>
      <c r="O52" s="445"/>
      <c r="Q52" s="216" t="s">
        <v>2620</v>
      </c>
      <c r="R52" s="216" t="s">
        <v>2620</v>
      </c>
      <c r="S52" s="217"/>
      <c r="T52" s="217"/>
      <c r="U52" s="217"/>
      <c r="V52" s="218"/>
      <c r="X52" s="216"/>
      <c r="Y52" s="217"/>
      <c r="Z52" s="217"/>
      <c r="AA52" s="217"/>
      <c r="AB52" s="217"/>
      <c r="AC52" s="217"/>
      <c r="AD52" s="198"/>
      <c r="AE52" s="199"/>
      <c r="AG52" s="1758" t="s">
        <v>61</v>
      </c>
      <c r="AH52" s="1759"/>
      <c r="AI52" s="1759"/>
      <c r="AJ52" s="1759"/>
      <c r="AK52" s="1759"/>
      <c r="AL52" s="1759"/>
      <c r="AM52" s="1759"/>
      <c r="AN52" s="1759"/>
      <c r="AO52" s="1759" t="s">
        <v>61</v>
      </c>
      <c r="AP52" s="1760"/>
      <c r="AQ52" s="730"/>
      <c r="AR52" s="731"/>
    </row>
    <row r="53" spans="2:44" outlineLevel="1" x14ac:dyDescent="0.2">
      <c r="B53" s="204"/>
      <c r="C53" s="362"/>
      <c r="D53" s="362" t="s">
        <v>56</v>
      </c>
      <c r="E53" s="362" t="s">
        <v>56</v>
      </c>
      <c r="F53" s="205" t="s">
        <v>11</v>
      </c>
      <c r="G53" s="205" t="s">
        <v>2600</v>
      </c>
      <c r="H53" s="1624" t="s">
        <v>64</v>
      </c>
      <c r="I53" s="205" t="s">
        <v>2603</v>
      </c>
      <c r="J53" s="362" t="s">
        <v>61</v>
      </c>
      <c r="K53" s="678" t="s">
        <v>61</v>
      </c>
      <c r="L53" s="678" t="s">
        <v>61</v>
      </c>
      <c r="M53" s="678" t="s">
        <v>61</v>
      </c>
      <c r="N53" s="444" t="s">
        <v>64</v>
      </c>
      <c r="O53" s="445" t="s">
        <v>61</v>
      </c>
      <c r="Q53" s="1625" t="s">
        <v>2109</v>
      </c>
      <c r="R53" s="1625" t="s">
        <v>2109</v>
      </c>
      <c r="S53" s="362" t="s">
        <v>2110</v>
      </c>
      <c r="T53" s="680" t="s">
        <v>61</v>
      </c>
      <c r="U53" s="680" t="s">
        <v>61</v>
      </c>
      <c r="V53" s="207" t="s">
        <v>61</v>
      </c>
      <c r="X53" s="204" t="s">
        <v>2065</v>
      </c>
      <c r="Y53" s="362" t="s">
        <v>61</v>
      </c>
      <c r="Z53" s="362" t="s">
        <v>61</v>
      </c>
      <c r="AA53" s="361" t="s">
        <v>61</v>
      </c>
      <c r="AB53" s="362" t="s">
        <v>2558</v>
      </c>
      <c r="AC53" s="362" t="s">
        <v>61</v>
      </c>
      <c r="AD53" s="362" t="s">
        <v>61</v>
      </c>
      <c r="AE53" s="207" t="s">
        <v>61</v>
      </c>
      <c r="AG53" s="1764" t="s">
        <v>14</v>
      </c>
      <c r="AH53" s="1761"/>
      <c r="AI53" s="1761" t="s">
        <v>60</v>
      </c>
      <c r="AJ53" s="1761"/>
      <c r="AK53" s="1761" t="s">
        <v>27</v>
      </c>
      <c r="AL53" s="1761"/>
      <c r="AM53" s="1761" t="s">
        <v>2074</v>
      </c>
      <c r="AN53" s="1761"/>
      <c r="AO53" s="1762" t="s">
        <v>41</v>
      </c>
      <c r="AP53" s="1763"/>
      <c r="AQ53" s="1764" t="s">
        <v>85</v>
      </c>
      <c r="AR53" s="1765"/>
    </row>
    <row r="54" spans="2:44" outlineLevel="1" x14ac:dyDescent="0.2">
      <c r="B54" s="204"/>
      <c r="C54" s="362"/>
      <c r="D54" s="362" t="s">
        <v>61</v>
      </c>
      <c r="E54" s="362" t="s">
        <v>63</v>
      </c>
      <c r="F54" s="208" t="s">
        <v>2601</v>
      </c>
      <c r="G54" s="208" t="s">
        <v>2602</v>
      </c>
      <c r="H54" s="1624" t="s">
        <v>2058</v>
      </c>
      <c r="I54" s="208" t="s">
        <v>2604</v>
      </c>
      <c r="J54" s="362" t="s">
        <v>2058</v>
      </c>
      <c r="K54" s="679" t="s">
        <v>1279</v>
      </c>
      <c r="L54" s="679" t="s">
        <v>2617</v>
      </c>
      <c r="M54" s="678" t="s">
        <v>41</v>
      </c>
      <c r="N54" s="444" t="s">
        <v>2058</v>
      </c>
      <c r="O54" s="445" t="s">
        <v>2618</v>
      </c>
      <c r="Q54" s="283" t="s">
        <v>1279</v>
      </c>
      <c r="R54" s="270" t="s">
        <v>2617</v>
      </c>
      <c r="S54" s="362"/>
      <c r="T54" s="681" t="s">
        <v>1279</v>
      </c>
      <c r="U54" s="681" t="s">
        <v>2617</v>
      </c>
      <c r="V54" s="219" t="s">
        <v>41</v>
      </c>
      <c r="X54" s="204"/>
      <c r="Y54" s="270" t="s">
        <v>1279</v>
      </c>
      <c r="Z54" s="270" t="s">
        <v>2617</v>
      </c>
      <c r="AA54" s="223" t="s">
        <v>41</v>
      </c>
      <c r="AB54" s="362"/>
      <c r="AC54" s="270" t="s">
        <v>1279</v>
      </c>
      <c r="AD54" s="270" t="s">
        <v>2617</v>
      </c>
      <c r="AE54" s="219" t="s">
        <v>41</v>
      </c>
      <c r="AG54" s="732" t="s">
        <v>1279</v>
      </c>
      <c r="AH54" s="733" t="s">
        <v>2617</v>
      </c>
      <c r="AI54" s="733" t="s">
        <v>1279</v>
      </c>
      <c r="AJ54" s="733" t="s">
        <v>2617</v>
      </c>
      <c r="AK54" s="733" t="s">
        <v>1279</v>
      </c>
      <c r="AL54" s="733" t="s">
        <v>2617</v>
      </c>
      <c r="AM54" s="733" t="s">
        <v>1279</v>
      </c>
      <c r="AN54" s="733" t="s">
        <v>2617</v>
      </c>
      <c r="AO54" s="734" t="s">
        <v>1279</v>
      </c>
      <c r="AP54" s="735" t="s">
        <v>2617</v>
      </c>
      <c r="AQ54" s="732" t="s">
        <v>1279</v>
      </c>
      <c r="AR54" s="736" t="s">
        <v>2617</v>
      </c>
    </row>
    <row r="55" spans="2:44" outlineLevel="1" x14ac:dyDescent="0.2">
      <c r="B55" s="200" t="s">
        <v>1549</v>
      </c>
      <c r="C55" s="201"/>
      <c r="D55" s="262">
        <f>M55</f>
        <v>0</v>
      </c>
      <c r="E55" s="265">
        <f>D55*12/44</f>
        <v>0</v>
      </c>
      <c r="F55" s="182"/>
      <c r="G55" s="436"/>
      <c r="H55" s="273">
        <f>VLOOKUP($B55,'Emissions factors'!$B$1735:$E$1741,2,FALSE)*(1-G55)+VLOOKUP($B55,'Emissions factors'!$B$1735:$E$1741,3,FALSE)*G55</f>
        <v>919</v>
      </c>
      <c r="I55" s="184"/>
      <c r="J55" s="273">
        <f>VLOOKUP($B55,'Emissions factors'!$B$1735:$Q$1741,5,FALSE)</f>
        <v>234.56223333424799</v>
      </c>
      <c r="K55" s="465">
        <f>F55*H55*(1+I55)</f>
        <v>0</v>
      </c>
      <c r="L55" s="210">
        <f>F55*J55</f>
        <v>0</v>
      </c>
      <c r="M55" s="210">
        <f>K55+L55</f>
        <v>0</v>
      </c>
      <c r="N55" s="446">
        <f>(1-G55)*VLOOKUP($B55,'Emissions factors'!$B$1735:$Q$1741,10,FALSE)*(VLOOKUP($B55,'Emissions factors'!$B$1735:$Q$1741,3,FALSE)-VLOOKUP($B55,'Emissions factors'!$B$1735:$Q$1741,2,FALSE))+VLOOKUP($B55,'Emissions factors'!$B$1735:$Q$1741,11,FALSE)*VLOOKUP($B55,'Emissions factors'!$B$2195:$J$2209,7,FALSE)+VLOOKUP($B55,'Emissions factors'!$B$1735:$Q$1741,12,FALSE)*VLOOKUP($B55,'Emissions factors'!$B$2238:$J$2252,7,FALSE)+VLOOKUP($B55,'Emissions factors'!$B$1735:$Q$1741,13,FALSE)*'Emissions factors'!$H$2265+VLOOKUP($B55,'Emissions factors'!$B$1735:$Q$1741,14,FALSE)*'Emissions factors'!$H$2268</f>
        <v>-109.42432383574641</v>
      </c>
      <c r="O55" s="447">
        <f>F55*N55</f>
        <v>0</v>
      </c>
      <c r="Q55" s="282">
        <f>VLOOKUP(B55,'Emissions factors'!$B$1735:$Q$1741,4,FALSE)</f>
        <v>0.2</v>
      </c>
      <c r="R55" s="434">
        <f>VLOOKUP(B55,'Emissions factors'!$B$1735:$Q$1741,16,FALSE)</f>
        <v>0.5</v>
      </c>
      <c r="S55" s="183"/>
      <c r="T55" s="435">
        <f>K55*SQRT(Q55^2+S55^2)</f>
        <v>0</v>
      </c>
      <c r="U55" s="435">
        <f>L55*SQRT(R55^2+S55^2)</f>
        <v>0</v>
      </c>
      <c r="V55" s="211">
        <f>SQRT(T55^2+U55^2)</f>
        <v>0</v>
      </c>
      <c r="X55" s="184"/>
      <c r="Y55" s="221">
        <f>K55*X55</f>
        <v>0</v>
      </c>
      <c r="Z55" s="221">
        <f>L55*X55</f>
        <v>0</v>
      </c>
      <c r="AA55" s="210">
        <f>Y55+Z55</f>
        <v>0</v>
      </c>
      <c r="AB55" s="184"/>
      <c r="AC55" s="221">
        <f>K55*AB55</f>
        <v>0</v>
      </c>
      <c r="AD55" s="221">
        <f>L55*AB55</f>
        <v>0</v>
      </c>
      <c r="AE55" s="211">
        <f>AC55+AD55</f>
        <v>0</v>
      </c>
      <c r="AG55" s="717"/>
      <c r="AH55" s="718">
        <f>F55*VLOOKUP($B55,'Emissions factors'!$B$1735:$Q$1741,6,FALSE)</f>
        <v>0</v>
      </c>
      <c r="AI55" s="718"/>
      <c r="AJ55" s="718">
        <f>F55*VLOOKUP($B55,'Emissions factors'!$B$1735:$Q$1741,7,FALSE)</f>
        <v>0</v>
      </c>
      <c r="AK55" s="718"/>
      <c r="AL55" s="718">
        <f>F55*VLOOKUP($B55,'Emissions factors'!$B$1735:$Q$1741,8,FALSE)</f>
        <v>0</v>
      </c>
      <c r="AM55" s="718"/>
      <c r="AN55" s="718">
        <v>0</v>
      </c>
      <c r="AO55" s="719">
        <f t="shared" ref="AO55:AP57" si="6">K55</f>
        <v>0</v>
      </c>
      <c r="AP55" s="720">
        <f t="shared" si="6"/>
        <v>0</v>
      </c>
      <c r="AQ55" s="717"/>
      <c r="AR55" s="721">
        <f>F55*VLOOKUP($B55,'Emissions factors'!$B$1735:$Q$1741,9,FALSE)</f>
        <v>0</v>
      </c>
    </row>
    <row r="56" spans="2:44" outlineLevel="1" x14ac:dyDescent="0.2">
      <c r="B56" s="200" t="s">
        <v>1548</v>
      </c>
      <c r="C56" s="201"/>
      <c r="D56" s="262">
        <f>M56</f>
        <v>0</v>
      </c>
      <c r="E56" s="265">
        <f>D56*12/44</f>
        <v>0</v>
      </c>
      <c r="F56" s="185"/>
      <c r="G56" s="437"/>
      <c r="H56" s="273">
        <f>VLOOKUP($B56,'Emissions factors'!$B$1735:$E$1741,2,FALSE)*(1-G56)+VLOOKUP($B56,'Emissions factors'!$B$1735:$E$1741,3,FALSE)*G56</f>
        <v>1060</v>
      </c>
      <c r="I56" s="187"/>
      <c r="J56" s="273">
        <f>VLOOKUP($B56,'Emissions factors'!$B$1735:$Q$1741,5,FALSE)</f>
        <v>129.82111666712399</v>
      </c>
      <c r="K56" s="465">
        <f>F56*H56*(1+I56)</f>
        <v>0</v>
      </c>
      <c r="L56" s="210">
        <f>F56*J56</f>
        <v>0</v>
      </c>
      <c r="M56" s="210">
        <f>K56+L56</f>
        <v>0</v>
      </c>
      <c r="N56" s="446">
        <f>(1-G56)*VLOOKUP($B56,'Emissions factors'!$B$1735:$Q$1741,10,FALSE)*(VLOOKUP($B56,'Emissions factors'!$B$1735:$Q$1741,3,FALSE)-VLOOKUP($B56,'Emissions factors'!$B$1735:$Q$1741,2,FALSE))+VLOOKUP($B56,'Emissions factors'!$B$1735:$Q$1741,11,FALSE)*VLOOKUP($B56,'Emissions factors'!$B$2195:$J$2209,7,FALSE)+VLOOKUP($B56,'Emissions factors'!$B$1735:$Q$1741,12,FALSE)*VLOOKUP($B56,'Emissions factors'!$B$2238:$J$2252,7,FALSE)+VLOOKUP($B56,'Emissions factors'!$B$1735:$Q$1741,13,FALSE)*'Emissions factors'!$H$2265+VLOOKUP($B56,'Emissions factors'!$B$1735:$Q$1741,14,FALSE)*'Emissions factors'!$H$2268</f>
        <v>-57.580849378556728</v>
      </c>
      <c r="O56" s="447">
        <f>F56*N56</f>
        <v>0</v>
      </c>
      <c r="Q56" s="282">
        <f>VLOOKUP(B56,'Emissions factors'!$B$1735:$Q$1741,4,FALSE)</f>
        <v>0.2</v>
      </c>
      <c r="R56" s="434">
        <f>VLOOKUP(B56,'Emissions factors'!$B$1735:$Q$1741,16,FALSE)</f>
        <v>0.5</v>
      </c>
      <c r="S56" s="186"/>
      <c r="T56" s="435">
        <f>K56*SQRT(Q56^2+S56^2)</f>
        <v>0</v>
      </c>
      <c r="U56" s="435">
        <f>L56*SQRT(R56^2+S56^2)</f>
        <v>0</v>
      </c>
      <c r="V56" s="211">
        <f>SQRT(T56^2+U56^2)</f>
        <v>0</v>
      </c>
      <c r="X56" s="187"/>
      <c r="Y56" s="221">
        <f>K56*X56</f>
        <v>0</v>
      </c>
      <c r="Z56" s="221">
        <f>L56*X56</f>
        <v>0</v>
      </c>
      <c r="AA56" s="210">
        <f>Y56+Z56</f>
        <v>0</v>
      </c>
      <c r="AB56" s="187"/>
      <c r="AC56" s="221">
        <f>K56*AB56</f>
        <v>0</v>
      </c>
      <c r="AD56" s="221">
        <f>L56*AB56</f>
        <v>0</v>
      </c>
      <c r="AE56" s="211">
        <f>AC56+AD56</f>
        <v>0</v>
      </c>
      <c r="AG56" s="717"/>
      <c r="AH56" s="718">
        <f>F56*VLOOKUP($B56,'Emissions factors'!$B$1735:$Q$1741,6,FALSE)</f>
        <v>0</v>
      </c>
      <c r="AI56" s="718"/>
      <c r="AJ56" s="718">
        <f>F56*VLOOKUP($B56,'Emissions factors'!$B$1735:$Q$1741,7,FALSE)</f>
        <v>0</v>
      </c>
      <c r="AK56" s="718"/>
      <c r="AL56" s="718">
        <f>F56*VLOOKUP($B56,'Emissions factors'!$B$1735:$Q$1741,8,FALSE)</f>
        <v>0</v>
      </c>
      <c r="AM56" s="718"/>
      <c r="AN56" s="718">
        <v>0</v>
      </c>
      <c r="AO56" s="719">
        <f t="shared" si="6"/>
        <v>0</v>
      </c>
      <c r="AP56" s="720">
        <f t="shared" si="6"/>
        <v>0</v>
      </c>
      <c r="AQ56" s="717"/>
      <c r="AR56" s="721">
        <f>F56*VLOOKUP($B56,'Emissions factors'!$B$1735:$Q$1741,9,FALSE)</f>
        <v>0</v>
      </c>
    </row>
    <row r="57" spans="2:44" outlineLevel="1" x14ac:dyDescent="0.2">
      <c r="B57" s="200" t="s">
        <v>1548</v>
      </c>
      <c r="C57" s="201"/>
      <c r="D57" s="262">
        <f>M57</f>
        <v>0</v>
      </c>
      <c r="E57" s="265">
        <f>D57*12/44</f>
        <v>0</v>
      </c>
      <c r="F57" s="188"/>
      <c r="G57" s="438"/>
      <c r="H57" s="273">
        <f>VLOOKUP($B57,'Emissions factors'!$B$1735:$E$1741,2,FALSE)*(1-G57)+VLOOKUP($B57,'Emissions factors'!$B$1735:$E$1741,3,FALSE)*G57</f>
        <v>1060</v>
      </c>
      <c r="I57" s="190"/>
      <c r="J57" s="273">
        <f>VLOOKUP($B57,'Emissions factors'!$B$1735:$Q$1741,5,FALSE)</f>
        <v>129.82111666712399</v>
      </c>
      <c r="K57" s="465">
        <f>F57*H57*(1+I57)</f>
        <v>0</v>
      </c>
      <c r="L57" s="210">
        <f>F57*J57</f>
        <v>0</v>
      </c>
      <c r="M57" s="210">
        <f>K57+L57</f>
        <v>0</v>
      </c>
      <c r="N57" s="446">
        <f>(1-G57)*VLOOKUP($B57,'Emissions factors'!$B$1735:$Q$1741,10,FALSE)*(VLOOKUP($B57,'Emissions factors'!$B$1735:$Q$1741,3,FALSE)-VLOOKUP($B57,'Emissions factors'!$B$1735:$Q$1741,2,FALSE))+VLOOKUP($B57,'Emissions factors'!$B$1735:$Q$1741,11,FALSE)*VLOOKUP($B57,'Emissions factors'!$B$2195:$J$2209,7,FALSE)+VLOOKUP($B57,'Emissions factors'!$B$1735:$Q$1741,12,FALSE)*VLOOKUP($B57,'Emissions factors'!$B$2238:$J$2252,7,FALSE)+VLOOKUP($B57,'Emissions factors'!$B$1735:$Q$1741,13,FALSE)*'Emissions factors'!$H$2265+VLOOKUP($B57,'Emissions factors'!$B$1735:$Q$1741,14,FALSE)*'Emissions factors'!$H$2268</f>
        <v>-57.580849378556728</v>
      </c>
      <c r="O57" s="447">
        <f>F57*N57</f>
        <v>0</v>
      </c>
      <c r="Q57" s="282">
        <f>VLOOKUP(B57,'Emissions factors'!$B$1735:$Q$1741,4,FALSE)</f>
        <v>0.2</v>
      </c>
      <c r="R57" s="434">
        <f>VLOOKUP(B57,'Emissions factors'!$B$1735:$Q$1741,16,FALSE)</f>
        <v>0.5</v>
      </c>
      <c r="S57" s="189"/>
      <c r="T57" s="435">
        <f>K57*SQRT(Q57^2+S57^2)</f>
        <v>0</v>
      </c>
      <c r="U57" s="435">
        <f>L57*SQRT(R57^2+S57^2)</f>
        <v>0</v>
      </c>
      <c r="V57" s="211">
        <f>SQRT(T57^2+U57^2)</f>
        <v>0</v>
      </c>
      <c r="X57" s="190"/>
      <c r="Y57" s="221">
        <f>K57*X57</f>
        <v>0</v>
      </c>
      <c r="Z57" s="221">
        <f>L57*X57</f>
        <v>0</v>
      </c>
      <c r="AA57" s="210">
        <f>Y57+Z57</f>
        <v>0</v>
      </c>
      <c r="AB57" s="190"/>
      <c r="AC57" s="221">
        <f>K57*AB57</f>
        <v>0</v>
      </c>
      <c r="AD57" s="221">
        <f>L57*AB57</f>
        <v>0</v>
      </c>
      <c r="AE57" s="211">
        <f>AC57+AD57</f>
        <v>0</v>
      </c>
      <c r="AG57" s="717"/>
      <c r="AH57" s="718">
        <f>F57*VLOOKUP($B57,'Emissions factors'!$B$1735:$Q$1741,6,FALSE)</f>
        <v>0</v>
      </c>
      <c r="AI57" s="718"/>
      <c r="AJ57" s="718">
        <f>F57*VLOOKUP($B57,'Emissions factors'!$B$1735:$Q$1741,7,FALSE)</f>
        <v>0</v>
      </c>
      <c r="AK57" s="718"/>
      <c r="AL57" s="718">
        <f>F57*VLOOKUP($B57,'Emissions factors'!$B$1735:$Q$1741,8,FALSE)</f>
        <v>0</v>
      </c>
      <c r="AM57" s="718"/>
      <c r="AN57" s="718">
        <v>0</v>
      </c>
      <c r="AO57" s="719">
        <f t="shared" si="6"/>
        <v>0</v>
      </c>
      <c r="AP57" s="720">
        <f t="shared" si="6"/>
        <v>0</v>
      </c>
      <c r="AQ57" s="717"/>
      <c r="AR57" s="721">
        <f>F57*VLOOKUP($B57,'Emissions factors'!$B$1735:$Q$1741,9,FALSE)</f>
        <v>0</v>
      </c>
    </row>
    <row r="58" spans="2:44" outlineLevel="1" x14ac:dyDescent="0.2">
      <c r="B58" s="200"/>
      <c r="C58" s="201"/>
      <c r="D58" s="263"/>
      <c r="E58" s="266"/>
      <c r="F58" s="201"/>
      <c r="G58" s="201"/>
      <c r="H58" s="201"/>
      <c r="I58" s="201"/>
      <c r="J58" s="201"/>
      <c r="K58" s="225"/>
      <c r="L58" s="225"/>
      <c r="M58" s="201"/>
      <c r="N58" s="452"/>
      <c r="O58" s="447"/>
      <c r="Q58" s="200"/>
      <c r="R58" s="201"/>
      <c r="S58" s="201"/>
      <c r="T58" s="1370"/>
      <c r="U58" s="1370"/>
      <c r="V58" s="226"/>
      <c r="X58" s="200"/>
      <c r="Y58" s="225"/>
      <c r="Z58" s="225"/>
      <c r="AA58" s="361"/>
      <c r="AB58" s="201"/>
      <c r="AC58" s="225"/>
      <c r="AD58" s="225"/>
      <c r="AE58" s="211"/>
      <c r="AG58" s="717"/>
      <c r="AH58" s="718"/>
      <c r="AI58" s="718"/>
      <c r="AJ58" s="718"/>
      <c r="AK58" s="718"/>
      <c r="AL58" s="718"/>
      <c r="AM58" s="718"/>
      <c r="AN58" s="718"/>
      <c r="AO58" s="719"/>
      <c r="AP58" s="720"/>
      <c r="AQ58" s="722"/>
      <c r="AR58" s="723"/>
    </row>
    <row r="59" spans="2:44" outlineLevel="1" x14ac:dyDescent="0.2">
      <c r="B59" s="253" t="s">
        <v>3011</v>
      </c>
      <c r="C59" s="254"/>
      <c r="D59" s="264">
        <f>SUM(D55:D58)</f>
        <v>0</v>
      </c>
      <c r="E59" s="267">
        <f>SUM(E55:E58)</f>
        <v>0</v>
      </c>
      <c r="F59" s="256"/>
      <c r="G59" s="256"/>
      <c r="H59" s="256"/>
      <c r="I59" s="256"/>
      <c r="J59" s="256"/>
      <c r="K59" s="259">
        <f>SUM(K55:K58)</f>
        <v>0</v>
      </c>
      <c r="L59" s="259">
        <f>SUM(L55:L58)</f>
        <v>0</v>
      </c>
      <c r="M59" s="259">
        <f>SUM(M55:M58)</f>
        <v>0</v>
      </c>
      <c r="N59" s="450"/>
      <c r="O59" s="451">
        <f>SUM(O55:O58)</f>
        <v>0</v>
      </c>
      <c r="Q59" s="258"/>
      <c r="R59" s="256"/>
      <c r="S59" s="256"/>
      <c r="T59" s="260">
        <f>SQRT(SUMSQ(T54:T58))</f>
        <v>0</v>
      </c>
      <c r="U59" s="260">
        <f>SQRT(SUMSQ(U54:U58))</f>
        <v>0</v>
      </c>
      <c r="V59" s="257">
        <f>SQRT(SUMSQ(V54:V58))</f>
        <v>0</v>
      </c>
      <c r="X59" s="258"/>
      <c r="Y59" s="260">
        <f>SUM(Y55:Y58)</f>
        <v>0</v>
      </c>
      <c r="Z59" s="260">
        <f>SUM(Z55:Z58)</f>
        <v>0</v>
      </c>
      <c r="AA59" s="259">
        <f>SUM(AA55:AA58)</f>
        <v>0</v>
      </c>
      <c r="AB59" s="256"/>
      <c r="AC59" s="260">
        <f>SUM(AC55:AC58)</f>
        <v>0</v>
      </c>
      <c r="AD59" s="260">
        <f>SUM(AD55:AD58)</f>
        <v>0</v>
      </c>
      <c r="AE59" s="257">
        <f>SUM(AE55:AE58)</f>
        <v>0</v>
      </c>
      <c r="AG59" s="724">
        <f t="shared" ref="AG59:AR59" si="7">SUM(AG55:AG58)</f>
        <v>0</v>
      </c>
      <c r="AH59" s="725">
        <f t="shared" si="7"/>
        <v>0</v>
      </c>
      <c r="AI59" s="725">
        <f t="shared" si="7"/>
        <v>0</v>
      </c>
      <c r="AJ59" s="725">
        <f t="shared" si="7"/>
        <v>0</v>
      </c>
      <c r="AK59" s="725">
        <f t="shared" si="7"/>
        <v>0</v>
      </c>
      <c r="AL59" s="725">
        <f t="shared" si="7"/>
        <v>0</v>
      </c>
      <c r="AM59" s="725">
        <f t="shared" si="7"/>
        <v>0</v>
      </c>
      <c r="AN59" s="725">
        <f t="shared" si="7"/>
        <v>0</v>
      </c>
      <c r="AO59" s="726">
        <f t="shared" si="7"/>
        <v>0</v>
      </c>
      <c r="AP59" s="727">
        <f t="shared" si="7"/>
        <v>0</v>
      </c>
      <c r="AQ59" s="724">
        <f t="shared" si="7"/>
        <v>0</v>
      </c>
      <c r="AR59" s="728">
        <f t="shared" si="7"/>
        <v>0</v>
      </c>
    </row>
    <row r="60" spans="2:44" outlineLevel="1" x14ac:dyDescent="0.2"/>
    <row r="62" spans="2:44" ht="16" x14ac:dyDescent="0.2">
      <c r="B62" s="1795" t="s">
        <v>2847</v>
      </c>
      <c r="C62" s="1795"/>
      <c r="D62" s="1795"/>
      <c r="E62" s="1795"/>
      <c r="F62" s="1795"/>
      <c r="G62" s="1795"/>
      <c r="H62" s="1795"/>
      <c r="I62" s="1795"/>
      <c r="J62" s="1795"/>
      <c r="K62" s="1795"/>
      <c r="L62" s="1795"/>
      <c r="M62" s="1795"/>
      <c r="N62" s="1795"/>
      <c r="O62" s="1795"/>
    </row>
    <row r="63" spans="2:44" outlineLevel="1" x14ac:dyDescent="0.2"/>
    <row r="64" spans="2:44" outlineLevel="1" x14ac:dyDescent="0.2">
      <c r="B64" s="195" t="s">
        <v>2847</v>
      </c>
      <c r="C64" s="196"/>
      <c r="D64" s="358"/>
      <c r="E64" s="358"/>
      <c r="F64" s="198"/>
      <c r="G64" s="198"/>
      <c r="H64" s="198"/>
      <c r="I64" s="198"/>
      <c r="J64" s="198"/>
      <c r="K64" s="198"/>
      <c r="L64" s="198"/>
      <c r="M64" s="429"/>
      <c r="N64" s="430"/>
      <c r="Q64" s="1746" t="s">
        <v>723</v>
      </c>
      <c r="R64" s="1747"/>
      <c r="S64" s="1747"/>
      <c r="T64" s="1747"/>
      <c r="U64" s="1747"/>
      <c r="V64" s="1748"/>
      <c r="X64" s="1746" t="s">
        <v>2066</v>
      </c>
      <c r="Y64" s="1747"/>
      <c r="Z64" s="1747"/>
      <c r="AA64" s="1747"/>
      <c r="AB64" s="1747"/>
      <c r="AC64" s="1747"/>
      <c r="AD64" s="1747"/>
      <c r="AE64" s="1748"/>
      <c r="AG64" s="1755" t="s">
        <v>2073</v>
      </c>
      <c r="AH64" s="1756"/>
      <c r="AI64" s="1756"/>
      <c r="AJ64" s="1756"/>
      <c r="AK64" s="1756"/>
      <c r="AL64" s="1756"/>
      <c r="AM64" s="1756"/>
      <c r="AN64" s="1756"/>
      <c r="AO64" s="1756"/>
      <c r="AP64" s="1756"/>
      <c r="AQ64" s="1756"/>
      <c r="AR64" s="1757"/>
    </row>
    <row r="65" spans="2:44" outlineLevel="1" x14ac:dyDescent="0.2">
      <c r="B65" s="417"/>
      <c r="C65" s="225"/>
      <c r="D65" s="361"/>
      <c r="E65" s="361"/>
      <c r="F65" s="214"/>
      <c r="G65" s="1828" t="s">
        <v>1279</v>
      </c>
      <c r="H65" s="1828"/>
      <c r="I65" s="270" t="s">
        <v>2617</v>
      </c>
      <c r="J65" s="201"/>
      <c r="K65" s="201"/>
      <c r="L65" s="201"/>
      <c r="M65" s="444" t="s">
        <v>2619</v>
      </c>
      <c r="N65" s="445"/>
      <c r="Q65" s="1625" t="s">
        <v>2557</v>
      </c>
      <c r="R65" s="217" t="s">
        <v>2557</v>
      </c>
      <c r="S65" s="217"/>
      <c r="T65" s="217"/>
      <c r="U65" s="217"/>
      <c r="V65" s="218"/>
      <c r="X65" s="216"/>
      <c r="Y65" s="217"/>
      <c r="Z65" s="217"/>
      <c r="AA65" s="217"/>
      <c r="AB65" s="217"/>
      <c r="AC65" s="217"/>
      <c r="AD65" s="198"/>
      <c r="AE65" s="199"/>
      <c r="AG65" s="1758" t="s">
        <v>61</v>
      </c>
      <c r="AH65" s="1759"/>
      <c r="AI65" s="1759"/>
      <c r="AJ65" s="1759"/>
      <c r="AK65" s="1759"/>
      <c r="AL65" s="1759"/>
      <c r="AM65" s="1759"/>
      <c r="AN65" s="1759"/>
      <c r="AO65" s="1759" t="s">
        <v>61</v>
      </c>
      <c r="AP65" s="1760"/>
      <c r="AQ65" s="730"/>
      <c r="AR65" s="731"/>
    </row>
    <row r="66" spans="2:44" outlineLevel="1" x14ac:dyDescent="0.2">
      <c r="B66" s="204"/>
      <c r="C66" s="362"/>
      <c r="D66" s="362" t="s">
        <v>56</v>
      </c>
      <c r="E66" s="362" t="s">
        <v>56</v>
      </c>
      <c r="F66" s="205" t="s">
        <v>11</v>
      </c>
      <c r="G66" s="1624" t="s">
        <v>64</v>
      </c>
      <c r="H66" s="205" t="s">
        <v>2607</v>
      </c>
      <c r="I66" s="362" t="s">
        <v>61</v>
      </c>
      <c r="J66" s="678" t="s">
        <v>61</v>
      </c>
      <c r="K66" s="678" t="s">
        <v>61</v>
      </c>
      <c r="L66" s="678" t="s">
        <v>61</v>
      </c>
      <c r="M66" s="444" t="s">
        <v>64</v>
      </c>
      <c r="N66" s="445" t="s">
        <v>61</v>
      </c>
      <c r="Q66" s="1625" t="s">
        <v>2109</v>
      </c>
      <c r="R66" s="1624" t="s">
        <v>2109</v>
      </c>
      <c r="S66" s="362" t="s">
        <v>2110</v>
      </c>
      <c r="T66" s="362" t="s">
        <v>61</v>
      </c>
      <c r="U66" s="362" t="s">
        <v>61</v>
      </c>
      <c r="V66" s="207" t="s">
        <v>61</v>
      </c>
      <c r="X66" s="204" t="s">
        <v>2065</v>
      </c>
      <c r="Y66" s="362" t="s">
        <v>61</v>
      </c>
      <c r="Z66" s="362" t="s">
        <v>61</v>
      </c>
      <c r="AA66" s="361" t="s">
        <v>61</v>
      </c>
      <c r="AB66" s="362" t="s">
        <v>2558</v>
      </c>
      <c r="AC66" s="362" t="s">
        <v>61</v>
      </c>
      <c r="AD66" s="362" t="s">
        <v>61</v>
      </c>
      <c r="AE66" s="207" t="s">
        <v>61</v>
      </c>
      <c r="AG66" s="1764" t="s">
        <v>14</v>
      </c>
      <c r="AH66" s="1761"/>
      <c r="AI66" s="1761" t="s">
        <v>60</v>
      </c>
      <c r="AJ66" s="1761"/>
      <c r="AK66" s="1761" t="s">
        <v>27</v>
      </c>
      <c r="AL66" s="1761"/>
      <c r="AM66" s="1761" t="s">
        <v>2074</v>
      </c>
      <c r="AN66" s="1761"/>
      <c r="AO66" s="1762" t="s">
        <v>41</v>
      </c>
      <c r="AP66" s="1763"/>
      <c r="AQ66" s="1764" t="s">
        <v>85</v>
      </c>
      <c r="AR66" s="1765"/>
    </row>
    <row r="67" spans="2:44" outlineLevel="1" x14ac:dyDescent="0.2">
      <c r="B67" s="204"/>
      <c r="C67" s="362"/>
      <c r="D67" s="362" t="s">
        <v>61</v>
      </c>
      <c r="E67" s="362" t="s">
        <v>63</v>
      </c>
      <c r="F67" s="208" t="s">
        <v>2601</v>
      </c>
      <c r="G67" s="1624" t="s">
        <v>2058</v>
      </c>
      <c r="H67" s="208" t="s">
        <v>2609</v>
      </c>
      <c r="I67" s="362" t="s">
        <v>2058</v>
      </c>
      <c r="J67" s="679" t="s">
        <v>1279</v>
      </c>
      <c r="K67" s="679" t="s">
        <v>2617</v>
      </c>
      <c r="L67" s="678" t="s">
        <v>41</v>
      </c>
      <c r="M67" s="444" t="s">
        <v>2058</v>
      </c>
      <c r="N67" s="445" t="s">
        <v>2618</v>
      </c>
      <c r="Q67" s="283" t="s">
        <v>1279</v>
      </c>
      <c r="R67" s="270" t="s">
        <v>2617</v>
      </c>
      <c r="S67" s="362"/>
      <c r="T67" s="270" t="s">
        <v>1279</v>
      </c>
      <c r="U67" s="270" t="s">
        <v>2617</v>
      </c>
      <c r="V67" s="219" t="s">
        <v>41</v>
      </c>
      <c r="X67" s="204"/>
      <c r="Y67" s="270" t="s">
        <v>1279</v>
      </c>
      <c r="Z67" s="270" t="s">
        <v>2617</v>
      </c>
      <c r="AA67" s="223" t="s">
        <v>41</v>
      </c>
      <c r="AB67" s="362"/>
      <c r="AC67" s="270" t="s">
        <v>1279</v>
      </c>
      <c r="AD67" s="270" t="s">
        <v>2617</v>
      </c>
      <c r="AE67" s="219" t="s">
        <v>41</v>
      </c>
      <c r="AG67" s="732" t="s">
        <v>1279</v>
      </c>
      <c r="AH67" s="733" t="s">
        <v>2617</v>
      </c>
      <c r="AI67" s="733" t="s">
        <v>1279</v>
      </c>
      <c r="AJ67" s="733" t="s">
        <v>2617</v>
      </c>
      <c r="AK67" s="733" t="s">
        <v>1279</v>
      </c>
      <c r="AL67" s="733" t="s">
        <v>2617</v>
      </c>
      <c r="AM67" s="733" t="s">
        <v>1279</v>
      </c>
      <c r="AN67" s="733" t="s">
        <v>2617</v>
      </c>
      <c r="AO67" s="734" t="s">
        <v>1279</v>
      </c>
      <c r="AP67" s="735" t="s">
        <v>2617</v>
      </c>
      <c r="AQ67" s="732" t="s">
        <v>1279</v>
      </c>
      <c r="AR67" s="736" t="s">
        <v>2617</v>
      </c>
    </row>
    <row r="68" spans="2:44" outlineLevel="1" x14ac:dyDescent="0.2">
      <c r="B68" s="200" t="s">
        <v>3155</v>
      </c>
      <c r="C68" s="201"/>
      <c r="D68" s="262">
        <f>L68</f>
        <v>0</v>
      </c>
      <c r="E68" s="265">
        <f>D68*12/44</f>
        <v>0</v>
      </c>
      <c r="F68" s="182"/>
      <c r="G68" s="273">
        <f>VLOOKUP($B68,'Emissions factors'!$B$1822:$D$1873,2,FALSE)</f>
        <v>2410</v>
      </c>
      <c r="H68" s="439"/>
      <c r="I68" s="273">
        <f>VLOOKUP($B68,'Emissions factors'!$B$1822:$L$1873,4,FALSE)</f>
        <v>0</v>
      </c>
      <c r="J68" s="465">
        <f>F68*G68*(1+H68)</f>
        <v>0</v>
      </c>
      <c r="K68" s="210">
        <f>F68*I68</f>
        <v>0</v>
      </c>
      <c r="L68" s="210">
        <f>J68+K68</f>
        <v>0</v>
      </c>
      <c r="M68" s="446">
        <f>VLOOKUP($B68,'Emissions factors'!$B$1822:$L$1873,9,FALSE)</f>
        <v>0</v>
      </c>
      <c r="N68" s="447">
        <f>F68*M68</f>
        <v>0</v>
      </c>
      <c r="Q68" s="282">
        <f>VLOOKUP($B68,'Emissions factors'!$B$1822:$K$1873,3,FALSE)</f>
        <v>0</v>
      </c>
      <c r="R68" s="434">
        <f>VLOOKUP($B68,'Emissions factors'!$B$1822:$K$1873,10,FALSE)</f>
        <v>0</v>
      </c>
      <c r="S68" s="183"/>
      <c r="T68" s="435">
        <f>J68*SQRT(Q68^2+S68^2)</f>
        <v>0</v>
      </c>
      <c r="U68" s="435">
        <f>K68*SQRT(R68^2+S68^2)</f>
        <v>0</v>
      </c>
      <c r="V68" s="211">
        <f>SQRT(T68^2+U68^2)</f>
        <v>0</v>
      </c>
      <c r="X68" s="184"/>
      <c r="Y68" s="221">
        <f>J68*X68</f>
        <v>0</v>
      </c>
      <c r="Z68" s="221">
        <f>K68*X68</f>
        <v>0</v>
      </c>
      <c r="AA68" s="210">
        <f>Y68+Z68</f>
        <v>0</v>
      </c>
      <c r="AB68" s="184"/>
      <c r="AC68" s="221">
        <f>J68*AB68</f>
        <v>0</v>
      </c>
      <c r="AD68" s="221">
        <f>K68*AB68</f>
        <v>0</v>
      </c>
      <c r="AE68" s="211">
        <f>AC68+AD68</f>
        <v>0</v>
      </c>
      <c r="AG68" s="717"/>
      <c r="AH68" s="718">
        <f>F68*VLOOKUP($B68,'Emissions factors'!$B$1822:$L$1873,5,FALSE)</f>
        <v>0</v>
      </c>
      <c r="AI68" s="718"/>
      <c r="AJ68" s="718">
        <f>F68*VLOOKUP($B68,'Emissions factors'!$B$1822:$L$1873,6,FALSE)</f>
        <v>0</v>
      </c>
      <c r="AK68" s="718"/>
      <c r="AL68" s="718">
        <f>F68*VLOOKUP($B68,'Emissions factors'!$B$1822:$L$1873,7,FALSE)</f>
        <v>0</v>
      </c>
      <c r="AM68" s="718"/>
      <c r="AN68" s="718">
        <v>0</v>
      </c>
      <c r="AO68" s="719">
        <f t="shared" ref="AO68:AP71" si="8">J68</f>
        <v>0</v>
      </c>
      <c r="AP68" s="720">
        <f t="shared" si="8"/>
        <v>0</v>
      </c>
      <c r="AQ68" s="717"/>
      <c r="AR68" s="721">
        <f>F68*VLOOKUP($B68,'Emissions factors'!$B$1822:$L$1873,8,FALSE)</f>
        <v>0</v>
      </c>
    </row>
    <row r="69" spans="2:44" outlineLevel="1" x14ac:dyDescent="0.2">
      <c r="B69" s="200" t="s">
        <v>1647</v>
      </c>
      <c r="C69" s="201"/>
      <c r="D69" s="262">
        <f>L69</f>
        <v>0</v>
      </c>
      <c r="E69" s="265">
        <f>D69*12/44</f>
        <v>0</v>
      </c>
      <c r="F69" s="185"/>
      <c r="G69" s="273">
        <f>VLOOKUP($B69,'Emissions factors'!$B$1822:$D$1873,2,FALSE)</f>
        <v>1750</v>
      </c>
      <c r="H69" s="440"/>
      <c r="I69" s="273">
        <f>VLOOKUP($B69,'Emissions factors'!$B$1822:$L$1873,4,FALSE)</f>
        <v>0</v>
      </c>
      <c r="J69" s="465">
        <f>F69*G69*(1+H69)</f>
        <v>0</v>
      </c>
      <c r="K69" s="210">
        <f>F69*I69</f>
        <v>0</v>
      </c>
      <c r="L69" s="210">
        <f>J69+K69</f>
        <v>0</v>
      </c>
      <c r="M69" s="446">
        <f>VLOOKUP($B69,'Emissions factors'!$B$1822:$L$1873,9,FALSE)</f>
        <v>25</v>
      </c>
      <c r="N69" s="447">
        <f>F69*M69</f>
        <v>0</v>
      </c>
      <c r="Q69" s="282">
        <f>VLOOKUP($B69,'Emissions factors'!$B$1822:$K$1873,3,FALSE)</f>
        <v>0.3</v>
      </c>
      <c r="R69" s="434">
        <f>VLOOKUP($B69,'Emissions factors'!$B$1822:$K$1873,10,FALSE)</f>
        <v>0.5</v>
      </c>
      <c r="S69" s="186"/>
      <c r="T69" s="435">
        <f>J69*SQRT(Q69^2+S69^2)</f>
        <v>0</v>
      </c>
      <c r="U69" s="435">
        <f>K69*SQRT(R69^2+S69^2)</f>
        <v>0</v>
      </c>
      <c r="V69" s="211">
        <f>SQRT(T69^2+U69^2)</f>
        <v>0</v>
      </c>
      <c r="X69" s="187"/>
      <c r="Y69" s="221">
        <f>J69*X69</f>
        <v>0</v>
      </c>
      <c r="Z69" s="221">
        <f>K69*X69</f>
        <v>0</v>
      </c>
      <c r="AA69" s="210">
        <f>Y69+Z69</f>
        <v>0</v>
      </c>
      <c r="AB69" s="187"/>
      <c r="AC69" s="221">
        <f>J69*AB69</f>
        <v>0</v>
      </c>
      <c r="AD69" s="221">
        <f>K69*AB69</f>
        <v>0</v>
      </c>
      <c r="AE69" s="211">
        <f>AC69+AD69</f>
        <v>0</v>
      </c>
      <c r="AG69" s="717"/>
      <c r="AH69" s="718">
        <f>F69*VLOOKUP($B69,'Emissions factors'!$B$1822:$L$1873,5,FALSE)</f>
        <v>0</v>
      </c>
      <c r="AI69" s="718"/>
      <c r="AJ69" s="718">
        <f>F69*VLOOKUP($B69,'Emissions factors'!$B$1822:$L$1873,6,FALSE)</f>
        <v>0</v>
      </c>
      <c r="AK69" s="718"/>
      <c r="AL69" s="718">
        <f>F69*VLOOKUP($B69,'Emissions factors'!$B$1822:$L$1873,7,FALSE)</f>
        <v>0</v>
      </c>
      <c r="AM69" s="718"/>
      <c r="AN69" s="718">
        <v>0</v>
      </c>
      <c r="AO69" s="719">
        <f t="shared" si="8"/>
        <v>0</v>
      </c>
      <c r="AP69" s="720">
        <f t="shared" si="8"/>
        <v>0</v>
      </c>
      <c r="AQ69" s="717"/>
      <c r="AR69" s="721">
        <f>F69*VLOOKUP($B69,'Emissions factors'!$B$1822:$L$1873,8,FALSE)</f>
        <v>0</v>
      </c>
    </row>
    <row r="70" spans="2:44" outlineLevel="1" x14ac:dyDescent="0.2">
      <c r="B70" s="200" t="s">
        <v>3152</v>
      </c>
      <c r="C70" s="201"/>
      <c r="D70" s="262">
        <f>L70</f>
        <v>0</v>
      </c>
      <c r="E70" s="265">
        <f>D70*12/44</f>
        <v>0</v>
      </c>
      <c r="F70" s="185"/>
      <c r="G70" s="273">
        <f>VLOOKUP($B70,'Emissions factors'!$B$1822:$D$1873,2,FALSE)</f>
        <v>701</v>
      </c>
      <c r="H70" s="440"/>
      <c r="I70" s="273">
        <f>VLOOKUP($B70,'Emissions factors'!$B$1822:$L$1873,4,FALSE)</f>
        <v>0</v>
      </c>
      <c r="J70" s="465">
        <f>F70*G70*(1+H70)</f>
        <v>0</v>
      </c>
      <c r="K70" s="210">
        <f>F70*I70</f>
        <v>0</v>
      </c>
      <c r="L70" s="210">
        <f>J70+K70</f>
        <v>0</v>
      </c>
      <c r="M70" s="446">
        <f>VLOOKUP($B70,'Emissions factors'!$B$1822:$L$1873,9,FALSE)</f>
        <v>0</v>
      </c>
      <c r="N70" s="447">
        <f>F70*M70</f>
        <v>0</v>
      </c>
      <c r="Q70" s="282">
        <f>VLOOKUP($B70,'Emissions factors'!$B$1822:$K$1873,3,FALSE)</f>
        <v>0</v>
      </c>
      <c r="R70" s="434">
        <f>VLOOKUP($B70,'Emissions factors'!$B$1822:$K$1873,10,FALSE)</f>
        <v>0</v>
      </c>
      <c r="S70" s="186"/>
      <c r="T70" s="435">
        <f>J70*SQRT(Q70^2+S70^2)</f>
        <v>0</v>
      </c>
      <c r="U70" s="435">
        <f>K70*SQRT(R70^2+S70^2)</f>
        <v>0</v>
      </c>
      <c r="V70" s="211">
        <f>SQRT(T70^2+U70^2)</f>
        <v>0</v>
      </c>
      <c r="X70" s="187"/>
      <c r="Y70" s="221">
        <f>J70*X70</f>
        <v>0</v>
      </c>
      <c r="Z70" s="221">
        <f>K70*X70</f>
        <v>0</v>
      </c>
      <c r="AA70" s="210">
        <f>Y70+Z70</f>
        <v>0</v>
      </c>
      <c r="AB70" s="187"/>
      <c r="AC70" s="221">
        <f>J70*AB70</f>
        <v>0</v>
      </c>
      <c r="AD70" s="221">
        <f>K70*AB70</f>
        <v>0</v>
      </c>
      <c r="AE70" s="211">
        <f>AC70+AD70</f>
        <v>0</v>
      </c>
      <c r="AG70" s="717"/>
      <c r="AH70" s="718">
        <f>F70*VLOOKUP($B70,'Emissions factors'!$B$1822:$L$1873,5,FALSE)</f>
        <v>0</v>
      </c>
      <c r="AI70" s="718"/>
      <c r="AJ70" s="718">
        <f>F70*VLOOKUP($B70,'Emissions factors'!$B$1822:$L$1873,6,FALSE)</f>
        <v>0</v>
      </c>
      <c r="AK70" s="718"/>
      <c r="AL70" s="718">
        <f>F70*VLOOKUP($B70,'Emissions factors'!$B$1822:$L$1873,7,FALSE)</f>
        <v>0</v>
      </c>
      <c r="AM70" s="718"/>
      <c r="AN70" s="718">
        <v>0</v>
      </c>
      <c r="AO70" s="719">
        <f t="shared" si="8"/>
        <v>0</v>
      </c>
      <c r="AP70" s="720">
        <f t="shared" si="8"/>
        <v>0</v>
      </c>
      <c r="AQ70" s="717"/>
      <c r="AR70" s="721">
        <f>F70*VLOOKUP($B70,'Emissions factors'!$B$1822:$L$1873,8,FALSE)</f>
        <v>0</v>
      </c>
    </row>
    <row r="71" spans="2:44" outlineLevel="1" x14ac:dyDescent="0.2">
      <c r="B71" s="200" t="s">
        <v>1618</v>
      </c>
      <c r="C71" s="201"/>
      <c r="D71" s="262">
        <f>L71</f>
        <v>0</v>
      </c>
      <c r="E71" s="265">
        <f>D71*12/44</f>
        <v>0</v>
      </c>
      <c r="F71" s="188"/>
      <c r="G71" s="273">
        <f>VLOOKUP($B71,'Emissions factors'!$B$1822:$D$1873,2,FALSE)</f>
        <v>521</v>
      </c>
      <c r="H71" s="441"/>
      <c r="I71" s="273">
        <f>VLOOKUP($B71,'Emissions factors'!$B$1822:$L$1873,4,FALSE)</f>
        <v>0</v>
      </c>
      <c r="J71" s="465">
        <f>F71*G71*(1+H71)</f>
        <v>0</v>
      </c>
      <c r="K71" s="210">
        <f>F71*I71</f>
        <v>0</v>
      </c>
      <c r="L71" s="210">
        <f>J71+K71</f>
        <v>0</v>
      </c>
      <c r="M71" s="446">
        <f>VLOOKUP($B71,'Emissions factors'!$B$1822:$L$1873,9,FALSE)</f>
        <v>5</v>
      </c>
      <c r="N71" s="447">
        <f>F71*M71</f>
        <v>0</v>
      </c>
      <c r="Q71" s="282">
        <f>VLOOKUP($B71,'Emissions factors'!$B$1822:$K$1873,3,FALSE)</f>
        <v>0.5</v>
      </c>
      <c r="R71" s="434">
        <f>VLOOKUP($B71,'Emissions factors'!$B$1822:$K$1873,10,FALSE)</f>
        <v>0.5</v>
      </c>
      <c r="S71" s="189"/>
      <c r="T71" s="435">
        <f>J71*SQRT(Q71^2+S71^2)</f>
        <v>0</v>
      </c>
      <c r="U71" s="435">
        <f>K71*SQRT(R71^2+S71^2)</f>
        <v>0</v>
      </c>
      <c r="V71" s="211">
        <f>SQRT(T71^2+U71^2)</f>
        <v>0</v>
      </c>
      <c r="X71" s="190"/>
      <c r="Y71" s="221">
        <f>J71*X71</f>
        <v>0</v>
      </c>
      <c r="Z71" s="221">
        <f>K71*X71</f>
        <v>0</v>
      </c>
      <c r="AA71" s="210">
        <f>Y71+Z71</f>
        <v>0</v>
      </c>
      <c r="AB71" s="190"/>
      <c r="AC71" s="221">
        <f>J71*AB71</f>
        <v>0</v>
      </c>
      <c r="AD71" s="221">
        <f>K71*AB71</f>
        <v>0</v>
      </c>
      <c r="AE71" s="211">
        <f>AC71+AD71</f>
        <v>0</v>
      </c>
      <c r="AG71" s="717"/>
      <c r="AH71" s="718">
        <f>F71*VLOOKUP($B71,'Emissions factors'!$B$1822:$L$1873,5,FALSE)</f>
        <v>0</v>
      </c>
      <c r="AI71" s="718"/>
      <c r="AJ71" s="718">
        <f>F71*VLOOKUP($B71,'Emissions factors'!$B$1822:$L$1873,6,FALSE)</f>
        <v>0</v>
      </c>
      <c r="AK71" s="718"/>
      <c r="AL71" s="718">
        <f>F71*VLOOKUP($B71,'Emissions factors'!$B$1822:$L$1873,7,FALSE)</f>
        <v>0</v>
      </c>
      <c r="AM71" s="718"/>
      <c r="AN71" s="718">
        <v>0</v>
      </c>
      <c r="AO71" s="719">
        <f t="shared" si="8"/>
        <v>0</v>
      </c>
      <c r="AP71" s="720">
        <f t="shared" si="8"/>
        <v>0</v>
      </c>
      <c r="AQ71" s="717"/>
      <c r="AR71" s="721">
        <f>F71*VLOOKUP($B71,'Emissions factors'!$B$1822:$L$1873,8,FALSE)</f>
        <v>0</v>
      </c>
    </row>
    <row r="72" spans="2:44" outlineLevel="1" x14ac:dyDescent="0.2">
      <c r="B72" s="200"/>
      <c r="C72" s="201"/>
      <c r="D72" s="263"/>
      <c r="E72" s="266"/>
      <c r="F72" s="201"/>
      <c r="G72" s="201"/>
      <c r="H72" s="201"/>
      <c r="I72" s="201"/>
      <c r="J72" s="225"/>
      <c r="K72" s="225"/>
      <c r="L72" s="225"/>
      <c r="M72" s="452"/>
      <c r="N72" s="453"/>
      <c r="Q72" s="200"/>
      <c r="R72" s="201"/>
      <c r="S72" s="201"/>
      <c r="T72" s="201"/>
      <c r="U72" s="201"/>
      <c r="V72" s="203"/>
      <c r="X72" s="200"/>
      <c r="Y72" s="362"/>
      <c r="Z72" s="221"/>
      <c r="AA72" s="221"/>
      <c r="AB72" s="221"/>
      <c r="AC72" s="221"/>
      <c r="AD72" s="221"/>
      <c r="AE72" s="222"/>
      <c r="AG72" s="717"/>
      <c r="AH72" s="718"/>
      <c r="AI72" s="718"/>
      <c r="AJ72" s="718"/>
      <c r="AK72" s="718"/>
      <c r="AL72" s="718"/>
      <c r="AM72" s="718"/>
      <c r="AN72" s="718"/>
      <c r="AO72" s="719"/>
      <c r="AP72" s="720"/>
      <c r="AQ72" s="722"/>
      <c r="AR72" s="723"/>
    </row>
    <row r="73" spans="2:44" outlineLevel="1" x14ac:dyDescent="0.2">
      <c r="B73" s="253" t="s">
        <v>3012</v>
      </c>
      <c r="C73" s="254"/>
      <c r="D73" s="264">
        <f>SUM(D68:D72)</f>
        <v>0</v>
      </c>
      <c r="E73" s="267">
        <f>SUM(E68:E72)</f>
        <v>0</v>
      </c>
      <c r="F73" s="256"/>
      <c r="G73" s="256"/>
      <c r="H73" s="256"/>
      <c r="I73" s="256"/>
      <c r="J73" s="259">
        <f>SUM(J68:J72)</f>
        <v>0</v>
      </c>
      <c r="K73" s="259">
        <f>SUM(K68:K72)</f>
        <v>0</v>
      </c>
      <c r="L73" s="259">
        <f>SUM(L68:L72)</f>
        <v>0</v>
      </c>
      <c r="M73" s="450"/>
      <c r="N73" s="451">
        <f>SUM(N68:N72)</f>
        <v>0</v>
      </c>
      <c r="Q73" s="258"/>
      <c r="R73" s="256"/>
      <c r="S73" s="256"/>
      <c r="T73" s="260">
        <f>SQRT(SUMSQ(T68:T72))</f>
        <v>0</v>
      </c>
      <c r="U73" s="260">
        <f>SQRT(SUMSQ(U68:U72))</f>
        <v>0</v>
      </c>
      <c r="V73" s="257">
        <f>SQRT(SUMSQ(V68:V72))</f>
        <v>0</v>
      </c>
      <c r="X73" s="258"/>
      <c r="Y73" s="260">
        <f>SUM(Y68:Y72)</f>
        <v>0</v>
      </c>
      <c r="Z73" s="260">
        <f>SUM(Z68:Z72)</f>
        <v>0</v>
      </c>
      <c r="AA73" s="259">
        <f>SUM(AA68:AA72)</f>
        <v>0</v>
      </c>
      <c r="AB73" s="256"/>
      <c r="AC73" s="260">
        <f>SUM(AC68:AC72)</f>
        <v>0</v>
      </c>
      <c r="AD73" s="260">
        <f>SUM(AD68:AD72)</f>
        <v>0</v>
      </c>
      <c r="AE73" s="257">
        <f>SUM(AE68:AE72)</f>
        <v>0</v>
      </c>
      <c r="AG73" s="724">
        <f t="shared" ref="AG73:AR73" si="9">SUM(AG68:AG72)</f>
        <v>0</v>
      </c>
      <c r="AH73" s="725">
        <f t="shared" si="9"/>
        <v>0</v>
      </c>
      <c r="AI73" s="725">
        <f t="shared" si="9"/>
        <v>0</v>
      </c>
      <c r="AJ73" s="725">
        <f t="shared" si="9"/>
        <v>0</v>
      </c>
      <c r="AK73" s="725">
        <f t="shared" si="9"/>
        <v>0</v>
      </c>
      <c r="AL73" s="725">
        <f t="shared" si="9"/>
        <v>0</v>
      </c>
      <c r="AM73" s="725">
        <f t="shared" si="9"/>
        <v>0</v>
      </c>
      <c r="AN73" s="725">
        <f t="shared" si="9"/>
        <v>0</v>
      </c>
      <c r="AO73" s="726">
        <f t="shared" si="9"/>
        <v>0</v>
      </c>
      <c r="AP73" s="727">
        <f t="shared" si="9"/>
        <v>0</v>
      </c>
      <c r="AQ73" s="724">
        <f t="shared" si="9"/>
        <v>0</v>
      </c>
      <c r="AR73" s="728">
        <f t="shared" si="9"/>
        <v>0</v>
      </c>
    </row>
    <row r="74" spans="2:44" outlineLevel="1" x14ac:dyDescent="0.2">
      <c r="M74" s="322"/>
    </row>
    <row r="75" spans="2:44" x14ac:dyDescent="0.2">
      <c r="M75" s="322"/>
    </row>
    <row r="76" spans="2:44" ht="16" x14ac:dyDescent="0.2">
      <c r="B76" s="1795" t="s">
        <v>2855</v>
      </c>
      <c r="C76" s="1795"/>
      <c r="D76" s="1795"/>
      <c r="E76" s="1795"/>
      <c r="F76" s="1795"/>
      <c r="G76" s="1795"/>
      <c r="H76" s="1795"/>
      <c r="I76" s="1795"/>
      <c r="J76" s="1795"/>
      <c r="K76" s="1795"/>
      <c r="L76" s="1795"/>
      <c r="M76" s="1795"/>
      <c r="N76" s="1795"/>
      <c r="O76" s="1795"/>
    </row>
    <row r="77" spans="2:44" outlineLevel="1" x14ac:dyDescent="0.2">
      <c r="L77" s="319"/>
      <c r="M77" s="322"/>
    </row>
    <row r="78" spans="2:44" outlineLevel="1" x14ac:dyDescent="0.2">
      <c r="B78" s="414" t="s">
        <v>2848</v>
      </c>
      <c r="C78" s="415"/>
      <c r="D78" s="358"/>
      <c r="E78" s="358"/>
      <c r="F78" s="198"/>
      <c r="G78" s="198"/>
      <c r="H78" s="198"/>
      <c r="I78" s="198"/>
      <c r="J78" s="198"/>
      <c r="K78" s="198"/>
      <c r="L78" s="198"/>
      <c r="M78" s="429"/>
      <c r="N78" s="430"/>
      <c r="O78" s="42"/>
      <c r="Q78" s="1746" t="s">
        <v>723</v>
      </c>
      <c r="R78" s="1747"/>
      <c r="S78" s="1747"/>
      <c r="T78" s="1747"/>
      <c r="U78" s="1747"/>
      <c r="V78" s="1748"/>
      <c r="W78" s="42"/>
      <c r="X78" s="1746" t="s">
        <v>2066</v>
      </c>
      <c r="Y78" s="1747"/>
      <c r="Z78" s="1747"/>
      <c r="AA78" s="1747"/>
      <c r="AB78" s="1747"/>
      <c r="AC78" s="1747"/>
      <c r="AD78" s="1747"/>
      <c r="AE78" s="1748"/>
      <c r="AG78" s="1755" t="s">
        <v>2073</v>
      </c>
      <c r="AH78" s="1756"/>
      <c r="AI78" s="1756"/>
      <c r="AJ78" s="1756"/>
      <c r="AK78" s="1756"/>
      <c r="AL78" s="1756"/>
      <c r="AM78" s="1756"/>
      <c r="AN78" s="1756"/>
      <c r="AO78" s="1756"/>
      <c r="AP78" s="1756"/>
      <c r="AQ78" s="1756"/>
      <c r="AR78" s="1757"/>
    </row>
    <row r="79" spans="2:44" outlineLevel="1" x14ac:dyDescent="0.2">
      <c r="B79" s="418"/>
      <c r="C79" s="419"/>
      <c r="D79" s="361"/>
      <c r="E79" s="361"/>
      <c r="F79" s="214"/>
      <c r="G79" s="1828" t="s">
        <v>1279</v>
      </c>
      <c r="H79" s="1828"/>
      <c r="I79" s="270" t="s">
        <v>2617</v>
      </c>
      <c r="J79" s="201"/>
      <c r="K79" s="201"/>
      <c r="L79" s="201"/>
      <c r="M79" s="444" t="s">
        <v>2619</v>
      </c>
      <c r="N79" s="445"/>
      <c r="O79" s="42"/>
      <c r="Q79" s="1625" t="s">
        <v>2557</v>
      </c>
      <c r="R79" s="217" t="s">
        <v>2557</v>
      </c>
      <c r="S79" s="217"/>
      <c r="T79" s="217"/>
      <c r="U79" s="217"/>
      <c r="V79" s="218"/>
      <c r="W79" s="42"/>
      <c r="X79" s="216"/>
      <c r="Y79" s="217"/>
      <c r="Z79" s="217"/>
      <c r="AA79" s="217"/>
      <c r="AB79" s="217"/>
      <c r="AC79" s="217"/>
      <c r="AD79" s="198"/>
      <c r="AE79" s="199"/>
      <c r="AG79" s="1758" t="s">
        <v>61</v>
      </c>
      <c r="AH79" s="1759"/>
      <c r="AI79" s="1759"/>
      <c r="AJ79" s="1759"/>
      <c r="AK79" s="1759"/>
      <c r="AL79" s="1759"/>
      <c r="AM79" s="1759"/>
      <c r="AN79" s="1759"/>
      <c r="AO79" s="1759" t="s">
        <v>61</v>
      </c>
      <c r="AP79" s="1760"/>
      <c r="AQ79" s="730"/>
      <c r="AR79" s="731"/>
    </row>
    <row r="80" spans="2:44" outlineLevel="1" x14ac:dyDescent="0.2">
      <c r="B80" s="204"/>
      <c r="C80" s="362"/>
      <c r="D80" s="362" t="s">
        <v>56</v>
      </c>
      <c r="E80" s="362" t="s">
        <v>56</v>
      </c>
      <c r="F80" s="205" t="s">
        <v>11</v>
      </c>
      <c r="G80" s="1624" t="s">
        <v>64</v>
      </c>
      <c r="H80" s="205" t="s">
        <v>2607</v>
      </c>
      <c r="I80" s="362" t="s">
        <v>61</v>
      </c>
      <c r="J80" s="678" t="s">
        <v>61</v>
      </c>
      <c r="K80" s="678" t="s">
        <v>61</v>
      </c>
      <c r="L80" s="678" t="s">
        <v>61</v>
      </c>
      <c r="M80" s="444" t="s">
        <v>64</v>
      </c>
      <c r="N80" s="445" t="s">
        <v>61</v>
      </c>
      <c r="O80" s="42"/>
      <c r="Q80" s="1625" t="s">
        <v>2109</v>
      </c>
      <c r="R80" s="1624" t="s">
        <v>2109</v>
      </c>
      <c r="S80" s="362" t="s">
        <v>2110</v>
      </c>
      <c r="T80" s="362" t="s">
        <v>61</v>
      </c>
      <c r="U80" s="362" t="s">
        <v>61</v>
      </c>
      <c r="V80" s="207" t="s">
        <v>61</v>
      </c>
      <c r="W80" s="42"/>
      <c r="X80" s="204" t="s">
        <v>2065</v>
      </c>
      <c r="Y80" s="362" t="s">
        <v>61</v>
      </c>
      <c r="Z80" s="362" t="s">
        <v>61</v>
      </c>
      <c r="AA80" s="361" t="s">
        <v>61</v>
      </c>
      <c r="AB80" s="362" t="s">
        <v>2558</v>
      </c>
      <c r="AC80" s="362" t="s">
        <v>61</v>
      </c>
      <c r="AD80" s="362" t="s">
        <v>61</v>
      </c>
      <c r="AE80" s="207" t="s">
        <v>61</v>
      </c>
      <c r="AG80" s="1764" t="s">
        <v>14</v>
      </c>
      <c r="AH80" s="1761"/>
      <c r="AI80" s="1761" t="s">
        <v>60</v>
      </c>
      <c r="AJ80" s="1761"/>
      <c r="AK80" s="1761" t="s">
        <v>27</v>
      </c>
      <c r="AL80" s="1761"/>
      <c r="AM80" s="1761" t="s">
        <v>2074</v>
      </c>
      <c r="AN80" s="1761"/>
      <c r="AO80" s="1762" t="s">
        <v>41</v>
      </c>
      <c r="AP80" s="1763"/>
      <c r="AQ80" s="1764" t="s">
        <v>85</v>
      </c>
      <c r="AR80" s="1765"/>
    </row>
    <row r="81" spans="2:44" outlineLevel="1" x14ac:dyDescent="0.2">
      <c r="B81" s="204"/>
      <c r="C81" s="362"/>
      <c r="D81" s="362" t="s">
        <v>61</v>
      </c>
      <c r="E81" s="362" t="s">
        <v>63</v>
      </c>
      <c r="F81" s="208" t="s">
        <v>2601</v>
      </c>
      <c r="G81" s="1624" t="s">
        <v>2058</v>
      </c>
      <c r="H81" s="208" t="s">
        <v>2609</v>
      </c>
      <c r="I81" s="362" t="s">
        <v>2058</v>
      </c>
      <c r="J81" s="679" t="s">
        <v>1279</v>
      </c>
      <c r="K81" s="679" t="s">
        <v>2617</v>
      </c>
      <c r="L81" s="678" t="s">
        <v>41</v>
      </c>
      <c r="M81" s="444" t="s">
        <v>2058</v>
      </c>
      <c r="N81" s="445" t="s">
        <v>2618</v>
      </c>
      <c r="O81" s="42"/>
      <c r="Q81" s="283" t="s">
        <v>1279</v>
      </c>
      <c r="R81" s="270" t="s">
        <v>2617</v>
      </c>
      <c r="S81" s="362"/>
      <c r="T81" s="270" t="s">
        <v>1279</v>
      </c>
      <c r="U81" s="270" t="s">
        <v>2617</v>
      </c>
      <c r="V81" s="219" t="s">
        <v>41</v>
      </c>
      <c r="W81" s="42"/>
      <c r="X81" s="204"/>
      <c r="Y81" s="270" t="s">
        <v>1279</v>
      </c>
      <c r="Z81" s="270" t="s">
        <v>2617</v>
      </c>
      <c r="AA81" s="223" t="s">
        <v>41</v>
      </c>
      <c r="AB81" s="362"/>
      <c r="AC81" s="270" t="s">
        <v>1279</v>
      </c>
      <c r="AD81" s="270" t="s">
        <v>2617</v>
      </c>
      <c r="AE81" s="219" t="s">
        <v>41</v>
      </c>
      <c r="AG81" s="732" t="s">
        <v>1279</v>
      </c>
      <c r="AH81" s="733" t="s">
        <v>2617</v>
      </c>
      <c r="AI81" s="733" t="s">
        <v>1279</v>
      </c>
      <c r="AJ81" s="733" t="s">
        <v>2617</v>
      </c>
      <c r="AK81" s="733" t="s">
        <v>1279</v>
      </c>
      <c r="AL81" s="733" t="s">
        <v>2617</v>
      </c>
      <c r="AM81" s="733" t="s">
        <v>1279</v>
      </c>
      <c r="AN81" s="733" t="s">
        <v>2617</v>
      </c>
      <c r="AO81" s="734" t="s">
        <v>1279</v>
      </c>
      <c r="AP81" s="735" t="s">
        <v>2617</v>
      </c>
      <c r="AQ81" s="732" t="s">
        <v>1279</v>
      </c>
      <c r="AR81" s="736" t="s">
        <v>2617</v>
      </c>
    </row>
    <row r="82" spans="2:44" outlineLevel="1" x14ac:dyDescent="0.2">
      <c r="B82" s="200" t="s">
        <v>1815</v>
      </c>
      <c r="C82" s="201"/>
      <c r="D82" s="262">
        <f>L82</f>
        <v>0</v>
      </c>
      <c r="E82" s="265">
        <f>D82*12/44</f>
        <v>0</v>
      </c>
      <c r="F82" s="182"/>
      <c r="G82" s="273">
        <f>VLOOKUP($B82,'Emissions factors'!$B$1914:$P$2125,2,FALSE)</f>
        <v>366.62400000000002</v>
      </c>
      <c r="H82" s="439"/>
      <c r="I82" s="273">
        <f>VLOOKUP($B82,'Emissions factors'!$B$1914:$P$2125,9,FALSE)</f>
        <v>336.29740666869202</v>
      </c>
      <c r="J82" s="465">
        <f>F82*G82*(1+H82)</f>
        <v>0</v>
      </c>
      <c r="K82" s="210">
        <f>F82*I82</f>
        <v>0</v>
      </c>
      <c r="L82" s="210">
        <f>J82+K82</f>
        <v>0</v>
      </c>
      <c r="M82" s="446">
        <f>VLOOKUP($B82,'Emissions factors'!$B$1914:$P$2125,13,FALSE)</f>
        <v>424.36967999999996</v>
      </c>
      <c r="N82" s="447">
        <f>F82*M82</f>
        <v>0</v>
      </c>
      <c r="O82" s="42"/>
      <c r="Q82" s="282">
        <f>VLOOKUP($B82,'Emissions factors'!$B$1914:$P$2125,8,FALSE)</f>
        <v>0.5</v>
      </c>
      <c r="R82" s="434">
        <f>VLOOKUP($B82,'Emissions factors'!$B$1914:$P$2125,15,FALSE)</f>
        <v>0.5</v>
      </c>
      <c r="S82" s="183"/>
      <c r="T82" s="435">
        <f>J82*SQRT(Q82^2+S82^2)</f>
        <v>0</v>
      </c>
      <c r="U82" s="435">
        <f>K82*SQRT(R82^2+S82^2)</f>
        <v>0</v>
      </c>
      <c r="V82" s="211">
        <f>T82+U82</f>
        <v>0</v>
      </c>
      <c r="W82" s="42"/>
      <c r="X82" s="184"/>
      <c r="Y82" s="221">
        <f>J82*X82</f>
        <v>0</v>
      </c>
      <c r="Z82" s="221">
        <f>K82*X82</f>
        <v>0</v>
      </c>
      <c r="AA82" s="210">
        <f>Y82+Z82</f>
        <v>0</v>
      </c>
      <c r="AB82" s="184"/>
      <c r="AC82" s="221">
        <f>J82*AB82</f>
        <v>0</v>
      </c>
      <c r="AD82" s="221">
        <f>K82*AB82</f>
        <v>0</v>
      </c>
      <c r="AE82" s="211">
        <f>AC82+AD82</f>
        <v>0</v>
      </c>
      <c r="AG82" s="717">
        <f>F82*VLOOKUP($B82,'Emissions factors'!$B$1914:$P$2125,3,FALSE)*(1+H82)</f>
        <v>0</v>
      </c>
      <c r="AH82" s="718">
        <f>F82*VLOOKUP($B82,'Emissions factors'!$B$1914:$P$2125,10,FALSE)</f>
        <v>0</v>
      </c>
      <c r="AI82" s="718">
        <f>F82*VLOOKUP($B82,'Emissions factors'!$B$1914:$P$2125,4,FALSE)*(1+H82)</f>
        <v>0</v>
      </c>
      <c r="AJ82" s="718">
        <f>F82*VLOOKUP($B82,'Emissions factors'!$B$1914:$P$2125,11,FALSE)</f>
        <v>0</v>
      </c>
      <c r="AK82" s="718">
        <f>F82*VLOOKUP($B82,'Emissions factors'!$B$1914:$P$2125,5,FALSE)*(1+H82)</f>
        <v>0</v>
      </c>
      <c r="AL82" s="718">
        <f>F82*VLOOKUP($B82,'Emissions factors'!$B$1914:$P$2125,12,FALSE)</f>
        <v>0</v>
      </c>
      <c r="AM82" s="718">
        <f>F82*VLOOKUP($B82,'Emissions factors'!$B$1914:$P$2125,6,FALSE)*(1+H82)</f>
        <v>0</v>
      </c>
      <c r="AN82" s="718">
        <v>0</v>
      </c>
      <c r="AO82" s="719">
        <f t="shared" ref="AO82:AP84" si="10">J82</f>
        <v>0</v>
      </c>
      <c r="AP82" s="720">
        <f t="shared" si="10"/>
        <v>0</v>
      </c>
      <c r="AQ82" s="717">
        <f>F82*VLOOKUP($B82,'Emissions factors'!$B$1914:$P$2125,7,FALSE)*(1+H82)</f>
        <v>0</v>
      </c>
      <c r="AR82" s="721">
        <f>F82*VLOOKUP($B82,'Emissions factors'!$B$1914:$P$2125,13,FALSE)</f>
        <v>0</v>
      </c>
    </row>
    <row r="83" spans="2:44" outlineLevel="1" x14ac:dyDescent="0.2">
      <c r="B83" s="200" t="s">
        <v>1778</v>
      </c>
      <c r="C83" s="201"/>
      <c r="D83" s="262">
        <f>L83</f>
        <v>0</v>
      </c>
      <c r="E83" s="265">
        <f>D83*12/44</f>
        <v>0</v>
      </c>
      <c r="F83" s="442"/>
      <c r="G83" s="273">
        <f>VLOOKUP($B83,'Emissions factors'!$B$1914:$P$2125,2,FALSE)</f>
        <v>389.43099999999998</v>
      </c>
      <c r="H83" s="440"/>
      <c r="I83" s="273">
        <f>VLOOKUP($B83,'Emissions factors'!$B$1914:$P$2125,9,FALSE)</f>
        <v>336.29740666869202</v>
      </c>
      <c r="J83" s="465">
        <f>F83*G83*(1+H83)</f>
        <v>0</v>
      </c>
      <c r="K83" s="210">
        <f>F83*I83</f>
        <v>0</v>
      </c>
      <c r="L83" s="210">
        <f>J83+K83</f>
        <v>0</v>
      </c>
      <c r="M83" s="446">
        <f>VLOOKUP($B83,'Emissions factors'!$B$1914:$P$2125,13,FALSE)</f>
        <v>424.36967999999996</v>
      </c>
      <c r="N83" s="447">
        <f>F83*M83</f>
        <v>0</v>
      </c>
      <c r="O83" s="42"/>
      <c r="Q83" s="282">
        <f>VLOOKUP($B83,'Emissions factors'!$B$1914:$P$2125,8,FALSE)</f>
        <v>0.5</v>
      </c>
      <c r="R83" s="434">
        <f>VLOOKUP($B83,'Emissions factors'!$B$1914:$P$2125,15,FALSE)</f>
        <v>0.5</v>
      </c>
      <c r="S83" s="186"/>
      <c r="T83" s="435">
        <f>J83*SQRT(Q83^2+S83^2)</f>
        <v>0</v>
      </c>
      <c r="U83" s="435">
        <f>K83*SQRT(R83^2+S83^2)</f>
        <v>0</v>
      </c>
      <c r="V83" s="211">
        <f>T83+U83</f>
        <v>0</v>
      </c>
      <c r="W83" s="42"/>
      <c r="X83" s="187"/>
      <c r="Y83" s="221">
        <f>J83*X83</f>
        <v>0</v>
      </c>
      <c r="Z83" s="221">
        <f>K83*X83</f>
        <v>0</v>
      </c>
      <c r="AA83" s="210">
        <f>Y83+Z83</f>
        <v>0</v>
      </c>
      <c r="AB83" s="187"/>
      <c r="AC83" s="221">
        <f>J83*AB83</f>
        <v>0</v>
      </c>
      <c r="AD83" s="221">
        <f>K83*AB83</f>
        <v>0</v>
      </c>
      <c r="AE83" s="211">
        <f>AC83+AD83</f>
        <v>0</v>
      </c>
      <c r="AG83" s="717">
        <f>F83*VLOOKUP($B83,'Emissions factors'!$B$1914:$P$2125,3,FALSE)*(1+H83)</f>
        <v>0</v>
      </c>
      <c r="AH83" s="718">
        <f>F83*VLOOKUP($B83,'Emissions factors'!$B$1914:$P$2125,10,FALSE)</f>
        <v>0</v>
      </c>
      <c r="AI83" s="718">
        <f>F83*VLOOKUP($B83,'Emissions factors'!$B$1914:$P$2125,4,FALSE)*(1+H83)</f>
        <v>0</v>
      </c>
      <c r="AJ83" s="718">
        <f>F83*VLOOKUP($B83,'Emissions factors'!$B$1914:$P$2125,11,FALSE)</f>
        <v>0</v>
      </c>
      <c r="AK83" s="718">
        <f>F83*VLOOKUP($B83,'Emissions factors'!$B$1914:$P$2125,5,FALSE)*(1+H83)</f>
        <v>0</v>
      </c>
      <c r="AL83" s="718">
        <f>F83*VLOOKUP($B83,'Emissions factors'!$B$1914:$P$2125,12,FALSE)</f>
        <v>0</v>
      </c>
      <c r="AM83" s="718">
        <f>F83*VLOOKUP($B83,'Emissions factors'!$B$1914:$P$2125,6,FALSE)*(1+H83)</f>
        <v>0</v>
      </c>
      <c r="AN83" s="718">
        <v>0</v>
      </c>
      <c r="AO83" s="719">
        <f t="shared" si="10"/>
        <v>0</v>
      </c>
      <c r="AP83" s="720">
        <f t="shared" si="10"/>
        <v>0</v>
      </c>
      <c r="AQ83" s="717">
        <f>F83*VLOOKUP($B83,'Emissions factors'!$B$1914:$P$2125,7,FALSE)*(1+H83)</f>
        <v>0</v>
      </c>
      <c r="AR83" s="721">
        <f>F83*VLOOKUP($B83,'Emissions factors'!$B$1914:$P$2125,13,FALSE)</f>
        <v>0</v>
      </c>
    </row>
    <row r="84" spans="2:44" outlineLevel="1" x14ac:dyDescent="0.2">
      <c r="B84" s="200" t="s">
        <v>1811</v>
      </c>
      <c r="C84" s="201"/>
      <c r="D84" s="262">
        <f>L84</f>
        <v>0</v>
      </c>
      <c r="E84" s="265">
        <f>D84*12/44</f>
        <v>0</v>
      </c>
      <c r="F84" s="443"/>
      <c r="G84" s="273">
        <f>VLOOKUP($B84,'Emissions factors'!$B$1914:$P$2125,2,FALSE)</f>
        <v>154</v>
      </c>
      <c r="H84" s="441"/>
      <c r="I84" s="273">
        <f>VLOOKUP($B84,'Emissions factors'!$B$1914:$P$2125,9,FALSE)</f>
        <v>336.29740666869202</v>
      </c>
      <c r="J84" s="465">
        <f>F84*G84*(1+H84)</f>
        <v>0</v>
      </c>
      <c r="K84" s="210">
        <f>F84*I84</f>
        <v>0</v>
      </c>
      <c r="L84" s="210">
        <f>J84+K84</f>
        <v>0</v>
      </c>
      <c r="M84" s="446">
        <f>VLOOKUP($B84,'Emissions factors'!$B$1914:$P$2125,13,FALSE)</f>
        <v>424.36967999999996</v>
      </c>
      <c r="N84" s="447">
        <f>F84*M84</f>
        <v>0</v>
      </c>
      <c r="O84" s="42"/>
      <c r="Q84" s="282">
        <f>VLOOKUP($B84,'Emissions factors'!$B$1914:$P$2125,8,FALSE)</f>
        <v>0.5</v>
      </c>
      <c r="R84" s="434">
        <f>VLOOKUP($B84,'Emissions factors'!$B$1914:$P$2125,15,FALSE)</f>
        <v>0.5</v>
      </c>
      <c r="S84" s="189"/>
      <c r="T84" s="435">
        <f>J84*SQRT(Q84^2+S84^2)</f>
        <v>0</v>
      </c>
      <c r="U84" s="435">
        <f>K84*SQRT(R84^2+S84^2)</f>
        <v>0</v>
      </c>
      <c r="V84" s="211">
        <f>T84+U84</f>
        <v>0</v>
      </c>
      <c r="W84" s="42"/>
      <c r="X84" s="190"/>
      <c r="Y84" s="221">
        <f>J84*X84</f>
        <v>0</v>
      </c>
      <c r="Z84" s="221">
        <f>K84*X84</f>
        <v>0</v>
      </c>
      <c r="AA84" s="210">
        <f>Y84+Z84</f>
        <v>0</v>
      </c>
      <c r="AB84" s="190"/>
      <c r="AC84" s="221">
        <f>J84*AB84</f>
        <v>0</v>
      </c>
      <c r="AD84" s="221">
        <f>K84*AB84</f>
        <v>0</v>
      </c>
      <c r="AE84" s="211">
        <f>AC84+AD84</f>
        <v>0</v>
      </c>
      <c r="AG84" s="717">
        <f>F84*VLOOKUP($B84,'Emissions factors'!$B$1914:$P$2125,3,FALSE)*(1+H84)</f>
        <v>0</v>
      </c>
      <c r="AH84" s="718">
        <f>F84*VLOOKUP($B84,'Emissions factors'!$B$1914:$P$2125,10,FALSE)</f>
        <v>0</v>
      </c>
      <c r="AI84" s="718">
        <f>F84*VLOOKUP($B84,'Emissions factors'!$B$1914:$P$2125,4,FALSE)*(1+H84)</f>
        <v>0</v>
      </c>
      <c r="AJ84" s="718">
        <f>F84*VLOOKUP($B84,'Emissions factors'!$B$1914:$P$2125,11,FALSE)</f>
        <v>0</v>
      </c>
      <c r="AK84" s="718">
        <f>F84*VLOOKUP($B84,'Emissions factors'!$B$1914:$P$2125,5,FALSE)*(1+H84)</f>
        <v>0</v>
      </c>
      <c r="AL84" s="718">
        <f>F84*VLOOKUP($B84,'Emissions factors'!$B$1914:$P$2125,12,FALSE)</f>
        <v>0</v>
      </c>
      <c r="AM84" s="718">
        <f>F84*VLOOKUP($B84,'Emissions factors'!$B$1914:$P$2125,6,FALSE)*(1+H84)</f>
        <v>0</v>
      </c>
      <c r="AN84" s="718">
        <v>0</v>
      </c>
      <c r="AO84" s="719">
        <f t="shared" si="10"/>
        <v>0</v>
      </c>
      <c r="AP84" s="720">
        <f t="shared" si="10"/>
        <v>0</v>
      </c>
      <c r="AQ84" s="717">
        <f>F84*VLOOKUP($B84,'Emissions factors'!$B$1914:$P$2125,7,FALSE)*(1+H84)</f>
        <v>0</v>
      </c>
      <c r="AR84" s="721">
        <f>F84*VLOOKUP($B84,'Emissions factors'!$B$1914:$P$2125,13,FALSE)</f>
        <v>0</v>
      </c>
    </row>
    <row r="85" spans="2:44" outlineLevel="1" x14ac:dyDescent="0.2">
      <c r="B85" s="200"/>
      <c r="C85" s="201"/>
      <c r="D85" s="263"/>
      <c r="E85" s="266"/>
      <c r="F85" s="201"/>
      <c r="G85" s="201"/>
      <c r="H85" s="201"/>
      <c r="I85" s="201"/>
      <c r="J85" s="225"/>
      <c r="K85" s="225"/>
      <c r="L85" s="225"/>
      <c r="M85" s="452"/>
      <c r="N85" s="453"/>
      <c r="O85" s="42"/>
      <c r="Q85" s="200"/>
      <c r="R85" s="201"/>
      <c r="S85" s="201"/>
      <c r="T85" s="201"/>
      <c r="U85" s="201"/>
      <c r="V85" s="203"/>
      <c r="W85" s="42"/>
      <c r="X85" s="200"/>
      <c r="Y85" s="362"/>
      <c r="Z85" s="221"/>
      <c r="AA85" s="221"/>
      <c r="AB85" s="221"/>
      <c r="AC85" s="221"/>
      <c r="AD85" s="221"/>
      <c r="AE85" s="222"/>
      <c r="AG85" s="717"/>
      <c r="AH85" s="718"/>
      <c r="AI85" s="718"/>
      <c r="AJ85" s="718"/>
      <c r="AK85" s="718"/>
      <c r="AL85" s="718"/>
      <c r="AM85" s="718"/>
      <c r="AN85" s="718"/>
      <c r="AO85" s="719"/>
      <c r="AP85" s="720"/>
      <c r="AQ85" s="722"/>
      <c r="AR85" s="723"/>
    </row>
    <row r="86" spans="2:44" outlineLevel="1" x14ac:dyDescent="0.2">
      <c r="B86" s="253" t="s">
        <v>3011</v>
      </c>
      <c r="C86" s="254"/>
      <c r="D86" s="264">
        <f>SUM(D82:D85)</f>
        <v>0</v>
      </c>
      <c r="E86" s="267">
        <f>SUM(E82:E85)</f>
        <v>0</v>
      </c>
      <c r="F86" s="256"/>
      <c r="G86" s="256"/>
      <c r="H86" s="256"/>
      <c r="I86" s="256"/>
      <c r="J86" s="259">
        <f>SUM(J81:J85)</f>
        <v>0</v>
      </c>
      <c r="K86" s="259">
        <f>SUM(K81:K85)</f>
        <v>0</v>
      </c>
      <c r="L86" s="259">
        <f>SUM(L81:L85)</f>
        <v>0</v>
      </c>
      <c r="M86" s="450"/>
      <c r="N86" s="451">
        <f>SUM(N81:N85)</f>
        <v>0</v>
      </c>
      <c r="O86" s="42"/>
      <c r="Q86" s="258"/>
      <c r="R86" s="256"/>
      <c r="S86" s="256"/>
      <c r="T86" s="260">
        <f>SQRT(SUMSQ(T81:T85))</f>
        <v>0</v>
      </c>
      <c r="U86" s="260">
        <f>SQRT(SUMSQ(U81:U85))</f>
        <v>0</v>
      </c>
      <c r="V86" s="257">
        <f>SQRT(SUMSQ(V81:V85))</f>
        <v>0</v>
      </c>
      <c r="W86" s="42"/>
      <c r="X86" s="258"/>
      <c r="Y86" s="260">
        <f>SUM(Y82:Y85)</f>
        <v>0</v>
      </c>
      <c r="Z86" s="260">
        <f>SUM(Z82:Z85)</f>
        <v>0</v>
      </c>
      <c r="AA86" s="259">
        <f>SUM(AA82:AA85)</f>
        <v>0</v>
      </c>
      <c r="AB86" s="256"/>
      <c r="AC86" s="259">
        <f>SUM(AC82:AC85)</f>
        <v>0</v>
      </c>
      <c r="AD86" s="259">
        <f>SUM(AD82:AD85)</f>
        <v>0</v>
      </c>
      <c r="AE86" s="257">
        <f>SUM(AE82:AE85)</f>
        <v>0</v>
      </c>
      <c r="AG86" s="724">
        <f t="shared" ref="AG86:AR86" si="11">SUM(AG82:AG85)</f>
        <v>0</v>
      </c>
      <c r="AH86" s="725">
        <f t="shared" si="11"/>
        <v>0</v>
      </c>
      <c r="AI86" s="725">
        <f t="shared" si="11"/>
        <v>0</v>
      </c>
      <c r="AJ86" s="725">
        <f t="shared" si="11"/>
        <v>0</v>
      </c>
      <c r="AK86" s="725">
        <f t="shared" si="11"/>
        <v>0</v>
      </c>
      <c r="AL86" s="725">
        <f t="shared" si="11"/>
        <v>0</v>
      </c>
      <c r="AM86" s="725">
        <f t="shared" si="11"/>
        <v>0</v>
      </c>
      <c r="AN86" s="725">
        <f t="shared" si="11"/>
        <v>0</v>
      </c>
      <c r="AO86" s="726">
        <f t="shared" si="11"/>
        <v>0</v>
      </c>
      <c r="AP86" s="727">
        <f t="shared" si="11"/>
        <v>0</v>
      </c>
      <c r="AQ86" s="724">
        <f t="shared" si="11"/>
        <v>0</v>
      </c>
      <c r="AR86" s="728">
        <f t="shared" si="11"/>
        <v>0</v>
      </c>
    </row>
    <row r="87" spans="2:44" outlineLevel="1" x14ac:dyDescent="0.2"/>
    <row r="89" spans="2:44" x14ac:dyDescent="0.2">
      <c r="K89" s="319"/>
    </row>
    <row r="90" spans="2:44" ht="20" customHeight="1" x14ac:dyDescent="0.2">
      <c r="B90" s="1780" t="str">
        <f>+Energia!B137</f>
        <v>Panoramica delle sorgenti di emissione di CO2e</v>
      </c>
      <c r="C90" s="1780"/>
      <c r="D90" s="1780"/>
      <c r="E90" s="1780"/>
      <c r="F90" s="1780"/>
      <c r="G90" s="1780"/>
      <c r="H90" s="1780"/>
      <c r="I90" s="1780"/>
      <c r="J90" s="1780"/>
      <c r="K90" s="1780"/>
      <c r="L90" s="1780"/>
      <c r="M90" s="1780"/>
      <c r="N90" s="1780"/>
      <c r="O90" s="1780"/>
      <c r="P90" s="191"/>
      <c r="Q90" s="191"/>
      <c r="R90" s="191"/>
      <c r="S90" s="191"/>
      <c r="T90" s="191"/>
      <c r="U90" s="191"/>
      <c r="V90" s="191"/>
      <c r="W90" s="191"/>
      <c r="X90" s="191"/>
      <c r="Y90" s="191"/>
      <c r="Z90" s="191"/>
      <c r="AA90" s="191"/>
      <c r="AB90" s="191"/>
      <c r="AC90" s="191"/>
      <c r="AD90" s="191"/>
      <c r="AE90" s="191"/>
    </row>
    <row r="92" spans="2:44" ht="14.25" customHeight="1" x14ac:dyDescent="0.2">
      <c r="B92" s="1781" t="str">
        <f>Description!C19</f>
        <v xml:space="preserve">Imballaggi </v>
      </c>
      <c r="C92" s="1782"/>
      <c r="D92" s="342" t="s">
        <v>2857</v>
      </c>
      <c r="E92" s="342" t="s">
        <v>2803</v>
      </c>
      <c r="F92" s="1792" t="s">
        <v>765</v>
      </c>
      <c r="G92" s="1806"/>
      <c r="H92" s="1793"/>
      <c r="I92" s="293"/>
      <c r="J92" s="1794" t="s">
        <v>723</v>
      </c>
      <c r="K92" s="1794"/>
      <c r="L92" s="228"/>
      <c r="M92" s="1792" t="s">
        <v>2489</v>
      </c>
      <c r="N92" s="1793"/>
      <c r="O92" s="228"/>
      <c r="P92" s="194" t="s">
        <v>2491</v>
      </c>
      <c r="Q92" s="194" t="s">
        <v>2492</v>
      </c>
      <c r="R92" s="229"/>
      <c r="S92" s="1812" t="s">
        <v>2493</v>
      </c>
      <c r="T92" s="1812"/>
      <c r="U92" s="1812"/>
      <c r="V92" s="1812"/>
    </row>
    <row r="93" spans="2:44" ht="15" customHeight="1" x14ac:dyDescent="0.2">
      <c r="B93" s="1783"/>
      <c r="C93" s="1784"/>
      <c r="D93" s="342" t="s">
        <v>61</v>
      </c>
      <c r="E93" s="342" t="s">
        <v>61</v>
      </c>
      <c r="F93" s="342" t="s">
        <v>61</v>
      </c>
      <c r="G93" s="342" t="s">
        <v>66</v>
      </c>
      <c r="H93" s="342" t="s">
        <v>73</v>
      </c>
      <c r="I93" s="293"/>
      <c r="J93" s="342" t="s">
        <v>61</v>
      </c>
      <c r="K93" s="342" t="s">
        <v>47</v>
      </c>
      <c r="L93" s="228"/>
      <c r="M93" s="342" t="s">
        <v>2065</v>
      </c>
      <c r="N93" s="342" t="s">
        <v>2558</v>
      </c>
      <c r="O93" s="228"/>
      <c r="P93" s="230" t="s">
        <v>66</v>
      </c>
      <c r="Q93" s="230" t="s">
        <v>66</v>
      </c>
      <c r="R93" s="229"/>
      <c r="S93" s="344" t="s">
        <v>2494</v>
      </c>
      <c r="T93" s="344" t="s">
        <v>72</v>
      </c>
      <c r="U93" s="344" t="s">
        <v>72</v>
      </c>
      <c r="V93" s="344" t="s">
        <v>2495</v>
      </c>
    </row>
    <row r="94" spans="2:44" x14ac:dyDescent="0.2">
      <c r="B94" s="1788" t="str">
        <f>+B7</f>
        <v>Metalli</v>
      </c>
      <c r="C94" s="1789"/>
      <c r="D94" s="193">
        <f>K18</f>
        <v>0</v>
      </c>
      <c r="E94" s="193">
        <f>L18</f>
        <v>0</v>
      </c>
      <c r="F94" s="193">
        <f>M18</f>
        <v>0</v>
      </c>
      <c r="G94" s="193">
        <f t="shared" ref="G94:G99" si="12">F94/1000</f>
        <v>0</v>
      </c>
      <c r="H94" s="243" t="str">
        <f t="shared" ref="H94:H99" si="13">IF($F$101=0,"",F94/$F$101)</f>
        <v/>
      </c>
      <c r="I94" s="293"/>
      <c r="J94" s="193">
        <f>V18</f>
        <v>0</v>
      </c>
      <c r="K94" s="243" t="str">
        <f t="shared" ref="K94:K101" si="14">IF(F94=0,"",J94/F94)</f>
        <v/>
      </c>
      <c r="L94" s="229"/>
      <c r="M94" s="193">
        <f>AA18</f>
        <v>0</v>
      </c>
      <c r="N94" s="193">
        <f>AE18</f>
        <v>0</v>
      </c>
      <c r="O94" s="229"/>
      <c r="P94" s="193">
        <f>N94/1000</f>
        <v>0</v>
      </c>
      <c r="Q94" s="233">
        <f t="shared" ref="Q94:Q99" si="15">G94-P94</f>
        <v>0</v>
      </c>
      <c r="R94" s="229"/>
      <c r="S94" s="245">
        <f>(F94-J94)/1000</f>
        <v>0</v>
      </c>
      <c r="T94" s="245">
        <f>G94</f>
        <v>0</v>
      </c>
      <c r="U94" s="245">
        <f>G94</f>
        <v>0</v>
      </c>
      <c r="V94" s="245">
        <f t="shared" ref="V94:V101" si="16">(F94+J94)/1000</f>
        <v>0</v>
      </c>
    </row>
    <row r="95" spans="2:44" x14ac:dyDescent="0.2">
      <c r="B95" s="1788" t="str">
        <f>+B21</f>
        <v>Plastica</v>
      </c>
      <c r="C95" s="1789"/>
      <c r="D95" s="193">
        <f>K32</f>
        <v>0</v>
      </c>
      <c r="E95" s="193">
        <f>L32</f>
        <v>0</v>
      </c>
      <c r="F95" s="193">
        <f>M32</f>
        <v>0</v>
      </c>
      <c r="G95" s="193">
        <f t="shared" si="12"/>
        <v>0</v>
      </c>
      <c r="H95" s="243" t="str">
        <f t="shared" si="13"/>
        <v/>
      </c>
      <c r="I95" s="293"/>
      <c r="J95" s="193">
        <f>V32</f>
        <v>0</v>
      </c>
      <c r="K95" s="243" t="str">
        <f t="shared" si="14"/>
        <v/>
      </c>
      <c r="L95" s="229"/>
      <c r="M95" s="193">
        <f>AA32</f>
        <v>0</v>
      </c>
      <c r="N95" s="193">
        <f>AE32</f>
        <v>0</v>
      </c>
      <c r="O95" s="229"/>
      <c r="P95" s="193">
        <f t="shared" ref="P95:P99" si="17">N95/1000</f>
        <v>0</v>
      </c>
      <c r="Q95" s="233">
        <f t="shared" si="15"/>
        <v>0</v>
      </c>
      <c r="R95" s="229"/>
      <c r="S95" s="245">
        <f t="shared" ref="S95:S101" si="18">(F95-J95)/1000</f>
        <v>0</v>
      </c>
      <c r="T95" s="245">
        <f>G95</f>
        <v>0</v>
      </c>
      <c r="U95" s="245">
        <f>G95</f>
        <v>0</v>
      </c>
      <c r="V95" s="245">
        <f t="shared" si="16"/>
        <v>0</v>
      </c>
    </row>
    <row r="96" spans="2:44" x14ac:dyDescent="0.2">
      <c r="B96" s="1788" t="str">
        <f>+B35</f>
        <v>Vetro</v>
      </c>
      <c r="C96" s="1789"/>
      <c r="D96" s="193">
        <f>K46</f>
        <v>0</v>
      </c>
      <c r="E96" s="193">
        <f>L46</f>
        <v>0</v>
      </c>
      <c r="F96" s="193">
        <f>M46</f>
        <v>0</v>
      </c>
      <c r="G96" s="193">
        <f t="shared" si="12"/>
        <v>0</v>
      </c>
      <c r="H96" s="243" t="str">
        <f t="shared" si="13"/>
        <v/>
      </c>
      <c r="I96" s="293"/>
      <c r="J96" s="193">
        <f>V46</f>
        <v>0</v>
      </c>
      <c r="K96" s="243" t="str">
        <f t="shared" si="14"/>
        <v/>
      </c>
      <c r="L96" s="229"/>
      <c r="M96" s="193">
        <f>AA46</f>
        <v>0</v>
      </c>
      <c r="N96" s="193">
        <f>AE46</f>
        <v>0</v>
      </c>
      <c r="O96" s="229"/>
      <c r="P96" s="193">
        <f t="shared" si="17"/>
        <v>0</v>
      </c>
      <c r="Q96" s="233">
        <f t="shared" si="15"/>
        <v>0</v>
      </c>
      <c r="R96" s="229"/>
      <c r="S96" s="245">
        <f t="shared" si="18"/>
        <v>0</v>
      </c>
      <c r="T96" s="245">
        <f t="shared" ref="T96:T101" si="19">G96</f>
        <v>0</v>
      </c>
      <c r="U96" s="245">
        <f t="shared" ref="U96:U101" si="20">G96</f>
        <v>0</v>
      </c>
      <c r="V96" s="245">
        <f t="shared" si="16"/>
        <v>0</v>
      </c>
    </row>
    <row r="97" spans="2:44" x14ac:dyDescent="0.2">
      <c r="B97" s="1788" t="str">
        <f>+B49</f>
        <v>Carta, Cartone</v>
      </c>
      <c r="C97" s="1789"/>
      <c r="D97" s="193">
        <f>K59</f>
        <v>0</v>
      </c>
      <c r="E97" s="193">
        <f>L59</f>
        <v>0</v>
      </c>
      <c r="F97" s="193">
        <f>M59</f>
        <v>0</v>
      </c>
      <c r="G97" s="193">
        <f t="shared" si="12"/>
        <v>0</v>
      </c>
      <c r="H97" s="243" t="str">
        <f t="shared" si="13"/>
        <v/>
      </c>
      <c r="I97" s="293"/>
      <c r="J97" s="193">
        <f>V59</f>
        <v>0</v>
      </c>
      <c r="K97" s="243" t="str">
        <f t="shared" si="14"/>
        <v/>
      </c>
      <c r="L97" s="229"/>
      <c r="M97" s="193">
        <f>AA59</f>
        <v>0</v>
      </c>
      <c r="N97" s="193">
        <f>AE59</f>
        <v>0</v>
      </c>
      <c r="O97" s="229"/>
      <c r="P97" s="193">
        <f t="shared" si="17"/>
        <v>0</v>
      </c>
      <c r="Q97" s="233">
        <f t="shared" si="15"/>
        <v>0</v>
      </c>
      <c r="R97" s="229"/>
      <c r="S97" s="245">
        <f t="shared" si="18"/>
        <v>0</v>
      </c>
      <c r="T97" s="245">
        <f t="shared" si="19"/>
        <v>0</v>
      </c>
      <c r="U97" s="245">
        <f t="shared" si="20"/>
        <v>0</v>
      </c>
      <c r="V97" s="245">
        <f t="shared" si="16"/>
        <v>0</v>
      </c>
    </row>
    <row r="98" spans="2:44" s="191" customFormat="1" ht="16" x14ac:dyDescent="0.2">
      <c r="B98" s="1788" t="str">
        <f>+B62</f>
        <v>Prodotti chimici e tessuti sintetici</v>
      </c>
      <c r="C98" s="1789"/>
      <c r="D98" s="193">
        <f>J73</f>
        <v>0</v>
      </c>
      <c r="E98" s="193">
        <f>K73</f>
        <v>0</v>
      </c>
      <c r="F98" s="193">
        <f>L73</f>
        <v>0</v>
      </c>
      <c r="G98" s="193">
        <f t="shared" si="12"/>
        <v>0</v>
      </c>
      <c r="H98" s="243" t="str">
        <f t="shared" si="13"/>
        <v/>
      </c>
      <c r="I98" s="293"/>
      <c r="J98" s="193">
        <f>V73</f>
        <v>0</v>
      </c>
      <c r="K98" s="243" t="str">
        <f t="shared" si="14"/>
        <v/>
      </c>
      <c r="L98" s="229"/>
      <c r="M98" s="193">
        <f>AA73</f>
        <v>0</v>
      </c>
      <c r="N98" s="193">
        <f>AE73</f>
        <v>0</v>
      </c>
      <c r="O98" s="229"/>
      <c r="P98" s="193">
        <f t="shared" si="17"/>
        <v>0</v>
      </c>
      <c r="Q98" s="233">
        <f t="shared" si="15"/>
        <v>0</v>
      </c>
      <c r="R98" s="229"/>
      <c r="S98" s="245">
        <f t="shared" si="18"/>
        <v>0</v>
      </c>
      <c r="T98" s="245">
        <f t="shared" si="19"/>
        <v>0</v>
      </c>
      <c r="U98" s="245">
        <f t="shared" si="20"/>
        <v>0</v>
      </c>
      <c r="V98" s="245">
        <f t="shared" si="16"/>
        <v>0</v>
      </c>
      <c r="W98" s="40"/>
      <c r="X98" s="40"/>
      <c r="Y98" s="40"/>
      <c r="Z98" s="40"/>
      <c r="AA98" s="40"/>
      <c r="AB98" s="40"/>
      <c r="AC98" s="40"/>
      <c r="AD98" s="40"/>
      <c r="AE98" s="40"/>
      <c r="AG98" s="602"/>
      <c r="AH98" s="602"/>
      <c r="AI98" s="602"/>
      <c r="AJ98" s="602"/>
      <c r="AK98" s="602"/>
      <c r="AL98" s="602"/>
      <c r="AM98" s="602"/>
      <c r="AN98" s="602"/>
      <c r="AO98" s="602"/>
      <c r="AP98" s="602"/>
      <c r="AQ98" s="751"/>
      <c r="AR98" s="751"/>
    </row>
    <row r="99" spans="2:44" ht="16" x14ac:dyDescent="0.2">
      <c r="B99" s="1788" t="str">
        <f>+B76</f>
        <v>Protoddi agricoli</v>
      </c>
      <c r="C99" s="1789"/>
      <c r="D99" s="193">
        <f>J86</f>
        <v>0</v>
      </c>
      <c r="E99" s="193">
        <f>K86</f>
        <v>0</v>
      </c>
      <c r="F99" s="193">
        <f>L86</f>
        <v>0</v>
      </c>
      <c r="G99" s="193">
        <f t="shared" si="12"/>
        <v>0</v>
      </c>
      <c r="H99" s="243" t="str">
        <f t="shared" si="13"/>
        <v/>
      </c>
      <c r="I99" s="293"/>
      <c r="J99" s="193">
        <f>V86</f>
        <v>0</v>
      </c>
      <c r="K99" s="243" t="str">
        <f t="shared" si="14"/>
        <v/>
      </c>
      <c r="L99" s="229"/>
      <c r="M99" s="193">
        <f>AA86</f>
        <v>0</v>
      </c>
      <c r="N99" s="193">
        <f>AE86</f>
        <v>0</v>
      </c>
      <c r="O99" s="229"/>
      <c r="P99" s="193">
        <f t="shared" si="17"/>
        <v>0</v>
      </c>
      <c r="Q99" s="233">
        <f t="shared" si="15"/>
        <v>0</v>
      </c>
      <c r="R99" s="229"/>
      <c r="S99" s="245">
        <f t="shared" si="18"/>
        <v>0</v>
      </c>
      <c r="T99" s="245">
        <f t="shared" si="19"/>
        <v>0</v>
      </c>
      <c r="U99" s="245">
        <f t="shared" si="20"/>
        <v>0</v>
      </c>
      <c r="V99" s="245">
        <f t="shared" si="16"/>
        <v>0</v>
      </c>
      <c r="AG99" s="751"/>
      <c r="AH99" s="751"/>
      <c r="AI99" s="751"/>
      <c r="AJ99" s="751"/>
      <c r="AK99" s="751"/>
      <c r="AM99" s="751"/>
      <c r="AN99" s="751"/>
      <c r="AO99" s="751"/>
      <c r="AP99" s="751"/>
    </row>
    <row r="100" spans="2:44" x14ac:dyDescent="0.2">
      <c r="B100" s="1788"/>
      <c r="C100" s="1789"/>
      <c r="D100" s="193"/>
      <c r="E100" s="193"/>
      <c r="F100" s="193"/>
      <c r="G100" s="193"/>
      <c r="H100" s="243"/>
      <c r="I100" s="293"/>
      <c r="J100" s="193"/>
      <c r="K100" s="243"/>
      <c r="L100" s="229"/>
      <c r="M100" s="193"/>
      <c r="N100" s="193"/>
      <c r="O100" s="229"/>
      <c r="P100" s="193"/>
      <c r="Q100" s="233"/>
      <c r="R100" s="229"/>
      <c r="S100" s="245"/>
      <c r="T100" s="245"/>
      <c r="U100" s="245"/>
      <c r="V100" s="245"/>
    </row>
    <row r="101" spans="2:44" ht="16" x14ac:dyDescent="0.2">
      <c r="B101" s="1790" t="s">
        <v>44</v>
      </c>
      <c r="C101" s="1791"/>
      <c r="D101" s="246">
        <f>SUM(D94:D100)</f>
        <v>0</v>
      </c>
      <c r="E101" s="246">
        <f>SUM(E94:E100)</f>
        <v>0</v>
      </c>
      <c r="F101" s="246">
        <f>SUM(F94:F100)</f>
        <v>0</v>
      </c>
      <c r="G101" s="246">
        <f>SUM(G94:G100)</f>
        <v>0</v>
      </c>
      <c r="H101" s="248" t="str">
        <f>IF($F$101=0,"",F101/$F$101)</f>
        <v/>
      </c>
      <c r="I101" s="294"/>
      <c r="J101" s="246">
        <f>SQRT(SUMSQ(J94:J100))</f>
        <v>0</v>
      </c>
      <c r="K101" s="248" t="str">
        <f t="shared" si="14"/>
        <v/>
      </c>
      <c r="L101" s="229"/>
      <c r="M101" s="246">
        <f>SUM(M94:M100)</f>
        <v>0</v>
      </c>
      <c r="N101" s="246">
        <f>SUM(N94:N100)</f>
        <v>0</v>
      </c>
      <c r="O101" s="250"/>
      <c r="P101" s="246">
        <f>SUM(P94:P100)</f>
        <v>0</v>
      </c>
      <c r="Q101" s="251">
        <f>SUM(Q94:Q100)</f>
        <v>0</v>
      </c>
      <c r="R101" s="252"/>
      <c r="S101" s="245">
        <f t="shared" si="18"/>
        <v>0</v>
      </c>
      <c r="T101" s="245">
        <f t="shared" si="19"/>
        <v>0</v>
      </c>
      <c r="U101" s="245">
        <f t="shared" si="20"/>
        <v>0</v>
      </c>
      <c r="V101" s="245">
        <f t="shared" si="16"/>
        <v>0</v>
      </c>
      <c r="W101" s="191"/>
      <c r="X101" s="191"/>
      <c r="Y101" s="191"/>
      <c r="Z101" s="191"/>
      <c r="AA101" s="191"/>
      <c r="AB101" s="191"/>
      <c r="AC101" s="191"/>
      <c r="AD101" s="191"/>
      <c r="AE101" s="191"/>
    </row>
    <row r="102" spans="2:44" x14ac:dyDescent="0.2">
      <c r="D102" s="49"/>
      <c r="E102" s="49"/>
      <c r="F102" s="314"/>
      <c r="G102" s="314"/>
      <c r="J102" s="231"/>
      <c r="K102" s="231"/>
      <c r="L102" s="287" t="s">
        <v>2496</v>
      </c>
      <c r="M102" s="288" t="str">
        <f>IF($F101=0,"",M101/$F101)</f>
        <v/>
      </c>
      <c r="N102" s="288" t="str">
        <f>IF($F101=0,"",N101/$F101)</f>
        <v/>
      </c>
      <c r="O102" s="231"/>
      <c r="P102" s="231"/>
      <c r="Q102" s="231"/>
      <c r="R102" s="232"/>
      <c r="S102" s="232"/>
      <c r="T102" s="232"/>
      <c r="U102" s="232"/>
      <c r="V102" s="232"/>
    </row>
    <row r="103" spans="2:44" x14ac:dyDescent="0.2">
      <c r="D103" s="314"/>
      <c r="E103" s="323"/>
      <c r="G103" s="314"/>
      <c r="I103" s="314"/>
      <c r="J103" s="314"/>
      <c r="K103" s="314"/>
    </row>
    <row r="104" spans="2:44" ht="14" x14ac:dyDescent="0.2">
      <c r="B104" s="1816" t="s">
        <v>2856</v>
      </c>
      <c r="C104" s="1817"/>
      <c r="D104" s="595" t="s">
        <v>61</v>
      </c>
      <c r="E104" s="595" t="s">
        <v>66</v>
      </c>
      <c r="F104" s="39"/>
      <c r="G104" s="314"/>
      <c r="I104" s="314"/>
      <c r="J104" s="314"/>
      <c r="K104" s="314"/>
    </row>
    <row r="105" spans="2:44" x14ac:dyDescent="0.2">
      <c r="B105" s="1818" t="str">
        <f>+B94</f>
        <v>Metalli</v>
      </c>
      <c r="C105" s="1819"/>
      <c r="D105" s="596">
        <f>O18</f>
        <v>0</v>
      </c>
      <c r="E105" s="597">
        <f t="shared" ref="E105:E110" si="21">D105/1000</f>
        <v>0</v>
      </c>
      <c r="F105" s="349"/>
      <c r="G105" s="314"/>
      <c r="I105" s="314"/>
      <c r="J105" s="314"/>
      <c r="K105" s="314"/>
    </row>
    <row r="106" spans="2:44" x14ac:dyDescent="0.2">
      <c r="B106" s="1818" t="str">
        <f t="shared" ref="B106:B110" si="22">+B95</f>
        <v>Plastica</v>
      </c>
      <c r="C106" s="1819"/>
      <c r="D106" s="596">
        <f>O32</f>
        <v>0</v>
      </c>
      <c r="E106" s="597">
        <f t="shared" si="21"/>
        <v>0</v>
      </c>
      <c r="F106" s="349"/>
      <c r="G106" s="314"/>
      <c r="I106" s="314"/>
      <c r="J106" s="314"/>
      <c r="K106" s="314"/>
    </row>
    <row r="107" spans="2:44" x14ac:dyDescent="0.2">
      <c r="B107" s="1818" t="str">
        <f t="shared" si="22"/>
        <v>Vetro</v>
      </c>
      <c r="C107" s="1819"/>
      <c r="D107" s="596">
        <f>O46</f>
        <v>0</v>
      </c>
      <c r="E107" s="597">
        <f t="shared" si="21"/>
        <v>0</v>
      </c>
      <c r="F107" s="349"/>
      <c r="G107" s="314"/>
      <c r="I107" s="314"/>
      <c r="J107" s="314"/>
      <c r="K107" s="314"/>
    </row>
    <row r="108" spans="2:44" x14ac:dyDescent="0.2">
      <c r="B108" s="1818" t="str">
        <f t="shared" si="22"/>
        <v>Carta, Cartone</v>
      </c>
      <c r="C108" s="1819"/>
      <c r="D108" s="596">
        <f>O59</f>
        <v>0</v>
      </c>
      <c r="E108" s="597">
        <f t="shared" si="21"/>
        <v>0</v>
      </c>
      <c r="F108" s="349"/>
      <c r="G108" s="314"/>
      <c r="I108" s="314"/>
      <c r="J108" s="314"/>
      <c r="K108" s="314"/>
    </row>
    <row r="109" spans="2:44" x14ac:dyDescent="0.2">
      <c r="B109" s="1818" t="str">
        <f t="shared" si="22"/>
        <v>Prodotti chimici e tessuti sintetici</v>
      </c>
      <c r="C109" s="1819"/>
      <c r="D109" s="596">
        <f>N73</f>
        <v>0</v>
      </c>
      <c r="E109" s="597">
        <f t="shared" si="21"/>
        <v>0</v>
      </c>
      <c r="F109" s="349"/>
      <c r="G109" s="314"/>
      <c r="I109" s="314"/>
      <c r="J109" s="314"/>
      <c r="K109" s="314"/>
    </row>
    <row r="110" spans="2:44" x14ac:dyDescent="0.2">
      <c r="B110" s="1818" t="str">
        <f t="shared" si="22"/>
        <v>Protoddi agricoli</v>
      </c>
      <c r="C110" s="1819"/>
      <c r="D110" s="596">
        <f>N86</f>
        <v>0</v>
      </c>
      <c r="E110" s="597">
        <f t="shared" si="21"/>
        <v>0</v>
      </c>
      <c r="F110" s="349"/>
      <c r="G110" s="314"/>
      <c r="I110" s="314"/>
      <c r="J110" s="314"/>
      <c r="K110" s="314"/>
    </row>
    <row r="111" spans="2:44" ht="14" x14ac:dyDescent="0.2">
      <c r="B111" s="1826" t="s">
        <v>2828</v>
      </c>
      <c r="C111" s="1827"/>
      <c r="D111" s="598">
        <f>SUM(D105:D110)</f>
        <v>0</v>
      </c>
      <c r="E111" s="598">
        <f>SUM(E105:E110)</f>
        <v>0</v>
      </c>
      <c r="F111" s="349"/>
      <c r="G111" s="314"/>
      <c r="I111" s="314"/>
      <c r="J111" s="314"/>
      <c r="K111" s="314"/>
    </row>
    <row r="112" spans="2:44" x14ac:dyDescent="0.2">
      <c r="B112" s="599"/>
      <c r="C112" s="599"/>
      <c r="D112" s="600"/>
      <c r="E112" s="601"/>
      <c r="G112" s="314"/>
      <c r="I112" s="314"/>
      <c r="J112" s="314"/>
      <c r="K112" s="314"/>
    </row>
    <row r="114" spans="2:51" s="39" customFormat="1" ht="16" x14ac:dyDescent="0.2">
      <c r="B114" s="1774" t="str">
        <f>+Energia!B150</f>
        <v>Panoramica delle categorie definite nel  GHG Protocol</v>
      </c>
      <c r="C114" s="1775"/>
      <c r="D114" s="1775"/>
      <c r="E114" s="1775"/>
      <c r="F114" s="1775"/>
      <c r="G114" s="1775"/>
      <c r="H114" s="1775"/>
      <c r="I114" s="1775"/>
      <c r="J114" s="1775"/>
      <c r="K114" s="1775"/>
      <c r="L114" s="1775"/>
      <c r="M114" s="1775"/>
      <c r="N114" s="1775"/>
      <c r="O114" s="1776"/>
      <c r="W114" s="1162"/>
      <c r="AB114" s="1162"/>
      <c r="AF114" s="1162"/>
      <c r="AK114" s="729"/>
      <c r="AL114" s="729"/>
      <c r="AM114" s="729"/>
      <c r="AN114" s="729"/>
      <c r="AO114" s="729"/>
      <c r="AP114" s="729"/>
      <c r="AQ114" s="729"/>
      <c r="AR114" s="729"/>
      <c r="AS114" s="729"/>
      <c r="AT114" s="729"/>
      <c r="AU114" s="729"/>
      <c r="AV114" s="729"/>
    </row>
    <row r="115" spans="2:51" s="39" customFormat="1" ht="12" outlineLevel="1" x14ac:dyDescent="0.2">
      <c r="W115" s="1162"/>
      <c r="AB115" s="1162"/>
      <c r="AF115" s="1162"/>
      <c r="AK115" s="729"/>
      <c r="AL115" s="729"/>
      <c r="AM115" s="729"/>
      <c r="AN115" s="729"/>
      <c r="AO115" s="729"/>
      <c r="AP115" s="729"/>
      <c r="AQ115" s="729"/>
      <c r="AR115" s="729"/>
      <c r="AS115" s="729"/>
      <c r="AT115" s="729"/>
      <c r="AU115" s="729"/>
      <c r="AV115" s="729"/>
    </row>
    <row r="116" spans="2:51" s="39" customFormat="1" ht="28" outlineLevel="1" x14ac:dyDescent="0.2">
      <c r="B116" s="118"/>
      <c r="C116" s="118"/>
      <c r="D116" s="118"/>
      <c r="E116" s="1777" t="s">
        <v>2498</v>
      </c>
      <c r="F116" s="1779"/>
      <c r="G116" s="1779"/>
      <c r="H116" s="1779"/>
      <c r="I116" s="1779"/>
      <c r="J116" s="1779"/>
      <c r="K116" s="1779"/>
      <c r="L116" s="1779"/>
      <c r="M116" s="1779"/>
      <c r="N116" s="1778"/>
      <c r="O116" s="1249" t="s">
        <v>2517</v>
      </c>
      <c r="W116" s="1162"/>
      <c r="AB116" s="1162"/>
      <c r="AF116" s="1162"/>
      <c r="AK116" s="729"/>
      <c r="AL116" s="729"/>
      <c r="AM116" s="729"/>
      <c r="AN116" s="729"/>
      <c r="AO116" s="729"/>
      <c r="AP116" s="729"/>
      <c r="AQ116" s="729"/>
      <c r="AR116" s="729"/>
      <c r="AS116" s="729"/>
      <c r="AT116" s="729"/>
      <c r="AU116" s="729"/>
      <c r="AV116" s="729"/>
    </row>
    <row r="117" spans="2:51" s="39" customFormat="1" ht="28" outlineLevel="1" x14ac:dyDescent="0.2">
      <c r="B117" s="1777" t="str">
        <f>+Energia!B153</f>
        <v>Sorgenti di emissione</v>
      </c>
      <c r="C117" s="1778"/>
      <c r="D117" s="1251" t="s">
        <v>2500</v>
      </c>
      <c r="E117" s="1250" t="s">
        <v>666</v>
      </c>
      <c r="F117" s="1250" t="s">
        <v>667</v>
      </c>
      <c r="G117" s="1250" t="s">
        <v>668</v>
      </c>
      <c r="H117" s="1250" t="s">
        <v>670</v>
      </c>
      <c r="I117" s="1250" t="s">
        <v>671</v>
      </c>
      <c r="J117" s="1250" t="s">
        <v>672</v>
      </c>
      <c r="K117" s="1250" t="s">
        <v>2584</v>
      </c>
      <c r="L117" s="1251" t="s">
        <v>69</v>
      </c>
      <c r="M117" s="1250" t="s">
        <v>669</v>
      </c>
      <c r="N117" s="1250" t="s">
        <v>2586</v>
      </c>
      <c r="O117" s="1251" t="s">
        <v>69</v>
      </c>
      <c r="Z117" s="1162"/>
      <c r="AE117" s="1162"/>
      <c r="AI117" s="1162"/>
      <c r="AN117" s="729"/>
      <c r="AO117" s="729"/>
      <c r="AP117" s="729"/>
      <c r="AQ117" s="729"/>
      <c r="AR117" s="729"/>
      <c r="AS117" s="729"/>
      <c r="AT117" s="729"/>
      <c r="AU117" s="729"/>
      <c r="AV117" s="729"/>
      <c r="AW117" s="729"/>
      <c r="AX117" s="729"/>
      <c r="AY117" s="729"/>
    </row>
    <row r="118" spans="2:51" s="39" customFormat="1" ht="14" outlineLevel="1" x14ac:dyDescent="0.2">
      <c r="B118" s="1749" t="str">
        <f>+Energia!B154</f>
        <v xml:space="preserve">Emissioni dirette da sorgenti di combustione stazionarie </v>
      </c>
      <c r="C118" s="1749"/>
      <c r="D118" s="1245" t="s">
        <v>99</v>
      </c>
      <c r="E118" s="1239"/>
      <c r="F118" s="1239"/>
      <c r="G118" s="1239"/>
      <c r="H118" s="1239"/>
      <c r="I118" s="1239"/>
      <c r="J118" s="1239"/>
      <c r="K118" s="1239"/>
      <c r="L118" s="1248"/>
      <c r="M118" s="1237"/>
      <c r="N118" s="1242"/>
      <c r="O118" s="1241"/>
      <c r="Z118" s="1162"/>
      <c r="AE118" s="1162"/>
      <c r="AI118" s="1162"/>
      <c r="AN118" s="729"/>
      <c r="AO118" s="729"/>
      <c r="AP118" s="729"/>
      <c r="AQ118" s="729"/>
      <c r="AR118" s="729"/>
      <c r="AS118" s="729"/>
      <c r="AT118" s="729"/>
      <c r="AU118" s="729"/>
      <c r="AV118" s="729"/>
      <c r="AW118" s="729"/>
      <c r="AX118" s="729"/>
      <c r="AY118" s="729"/>
    </row>
    <row r="119" spans="2:51" s="39" customFormat="1" ht="14" outlineLevel="1" x14ac:dyDescent="0.2">
      <c r="B119" s="1749" t="str">
        <f>+Energia!B155</f>
        <v>Emissioni dirette da sorgenti di combustione mobili</v>
      </c>
      <c r="C119" s="1749"/>
      <c r="D119" s="1246" t="s">
        <v>100</v>
      </c>
      <c r="E119" s="1239"/>
      <c r="F119" s="1239"/>
      <c r="G119" s="1239"/>
      <c r="H119" s="1239"/>
      <c r="I119" s="1239"/>
      <c r="J119" s="1239"/>
      <c r="K119" s="1239"/>
      <c r="L119" s="1248"/>
      <c r="M119" s="1237"/>
      <c r="N119" s="1242"/>
      <c r="O119" s="1241"/>
      <c r="Z119" s="1162"/>
      <c r="AE119" s="1162"/>
      <c r="AI119" s="1162"/>
      <c r="AN119" s="729"/>
      <c r="AO119" s="729"/>
      <c r="AP119" s="729"/>
      <c r="AQ119" s="729"/>
      <c r="AR119" s="729"/>
      <c r="AS119" s="729"/>
      <c r="AT119" s="729"/>
      <c r="AU119" s="729"/>
      <c r="AV119" s="729"/>
      <c r="AW119" s="729"/>
      <c r="AX119" s="729"/>
      <c r="AY119" s="729"/>
    </row>
    <row r="120" spans="2:51" s="39" customFormat="1" ht="14" outlineLevel="1" x14ac:dyDescent="0.2">
      <c r="B120" s="1749" t="str">
        <f>+Energia!B156</f>
        <v>Emissioni dirette da  processi</v>
      </c>
      <c r="C120" s="1749"/>
      <c r="D120" s="1246" t="s">
        <v>101</v>
      </c>
      <c r="E120" s="1239"/>
      <c r="F120" s="1239"/>
      <c r="G120" s="1239"/>
      <c r="H120" s="1239"/>
      <c r="I120" s="1239"/>
      <c r="J120" s="1239"/>
      <c r="K120" s="1239"/>
      <c r="L120" s="1248"/>
      <c r="M120" s="1237"/>
      <c r="N120" s="1242"/>
      <c r="O120" s="1241"/>
      <c r="Z120" s="1162"/>
      <c r="AE120" s="1162"/>
      <c r="AI120" s="1162"/>
      <c r="AN120" s="729"/>
      <c r="AO120" s="729"/>
      <c r="AP120" s="729"/>
      <c r="AQ120" s="729"/>
      <c r="AR120" s="729"/>
      <c r="AS120" s="729"/>
      <c r="AT120" s="729"/>
      <c r="AU120" s="729"/>
      <c r="AV120" s="729"/>
      <c r="AW120" s="729"/>
      <c r="AX120" s="729"/>
      <c r="AY120" s="729"/>
    </row>
    <row r="121" spans="2:51" s="39" customFormat="1" ht="14" outlineLevel="1" x14ac:dyDescent="0.2">
      <c r="B121" s="1749" t="str">
        <f>+Energia!B157</f>
        <v>Emissioni dirette da  fonti fugitive</v>
      </c>
      <c r="C121" s="1749"/>
      <c r="D121" s="1246" t="s">
        <v>102</v>
      </c>
      <c r="E121" s="1239"/>
      <c r="F121" s="1239"/>
      <c r="G121" s="1239"/>
      <c r="H121" s="1239"/>
      <c r="I121" s="1239"/>
      <c r="J121" s="1239"/>
      <c r="K121" s="1239"/>
      <c r="L121" s="1248"/>
      <c r="M121" s="1237"/>
      <c r="N121" s="1242"/>
      <c r="O121" s="1241"/>
      <c r="Z121" s="1162"/>
      <c r="AE121" s="1162"/>
      <c r="AI121" s="1162"/>
      <c r="AN121" s="729"/>
      <c r="AO121" s="729"/>
      <c r="AP121" s="729"/>
      <c r="AQ121" s="729"/>
      <c r="AR121" s="729"/>
      <c r="AS121" s="729"/>
      <c r="AT121" s="729"/>
      <c r="AU121" s="729"/>
      <c r="AV121" s="729"/>
      <c r="AW121" s="729"/>
      <c r="AX121" s="729"/>
      <c r="AY121" s="729"/>
    </row>
    <row r="122" spans="2:51" s="39" customFormat="1" outlineLevel="1" x14ac:dyDescent="0.2">
      <c r="B122" s="1766" t="s">
        <v>98</v>
      </c>
      <c r="C122" s="1767"/>
      <c r="D122" s="1768"/>
      <c r="E122" s="1236">
        <f t="shared" ref="E122:O122" si="23">SUM(E118:E121)</f>
        <v>0</v>
      </c>
      <c r="F122" s="1236">
        <f t="shared" si="23"/>
        <v>0</v>
      </c>
      <c r="G122" s="1236">
        <f t="shared" si="23"/>
        <v>0</v>
      </c>
      <c r="H122" s="1236">
        <f t="shared" si="23"/>
        <v>0</v>
      </c>
      <c r="I122" s="1236">
        <f t="shared" si="23"/>
        <v>0</v>
      </c>
      <c r="J122" s="1236">
        <f t="shared" si="23"/>
        <v>0</v>
      </c>
      <c r="K122" s="1236">
        <f t="shared" si="23"/>
        <v>0</v>
      </c>
      <c r="L122" s="1236">
        <f t="shared" si="23"/>
        <v>0</v>
      </c>
      <c r="M122" s="1247">
        <f t="shared" si="23"/>
        <v>0</v>
      </c>
      <c r="N122" s="1243">
        <f>SQRT(SUMSQ(N118:N121))</f>
        <v>0</v>
      </c>
      <c r="O122" s="1244">
        <f t="shared" si="23"/>
        <v>0</v>
      </c>
      <c r="Z122" s="1162"/>
      <c r="AE122" s="1162"/>
      <c r="AI122" s="1162"/>
      <c r="AN122" s="729"/>
      <c r="AO122" s="729"/>
      <c r="AP122" s="729"/>
      <c r="AQ122" s="729"/>
      <c r="AR122" s="729"/>
      <c r="AS122" s="729"/>
      <c r="AT122" s="729"/>
      <c r="AU122" s="729"/>
      <c r="AV122" s="729"/>
      <c r="AW122" s="729"/>
      <c r="AX122" s="729"/>
      <c r="AY122" s="729"/>
    </row>
    <row r="123" spans="2:51" s="39" customFormat="1" ht="14" outlineLevel="1" x14ac:dyDescent="0.2">
      <c r="B123" s="1749" t="str">
        <f>+Energia!B159</f>
        <v xml:space="preserve">Emissioni indirette da consumo di elettricità </v>
      </c>
      <c r="C123" s="1749"/>
      <c r="D123" s="1246" t="s">
        <v>103</v>
      </c>
      <c r="E123" s="1239"/>
      <c r="F123" s="1239"/>
      <c r="G123" s="1239"/>
      <c r="H123" s="1239"/>
      <c r="I123" s="1239"/>
      <c r="J123" s="1239"/>
      <c r="K123" s="1239"/>
      <c r="L123" s="1248"/>
      <c r="M123" s="1237"/>
      <c r="N123" s="1242"/>
      <c r="O123" s="1240"/>
      <c r="Z123" s="1162"/>
      <c r="AE123" s="1162"/>
      <c r="AI123" s="1162"/>
      <c r="AN123" s="729"/>
      <c r="AO123" s="729"/>
      <c r="AP123" s="729"/>
      <c r="AQ123" s="729"/>
      <c r="AR123" s="729"/>
      <c r="AS123" s="729"/>
      <c r="AT123" s="729"/>
      <c r="AU123" s="729"/>
      <c r="AV123" s="729"/>
      <c r="AW123" s="729"/>
      <c r="AX123" s="729"/>
      <c r="AY123" s="729"/>
    </row>
    <row r="124" spans="2:51" s="39" customFormat="1" ht="12.75" customHeight="1" outlineLevel="1" x14ac:dyDescent="0.2">
      <c r="B124" s="1749" t="str">
        <f>+Energia!B160</f>
        <v xml:space="preserve">Emissioni indirette da consumo di vapore, calore o raffrescamento </v>
      </c>
      <c r="C124" s="1749"/>
      <c r="D124" s="1246" t="s">
        <v>104</v>
      </c>
      <c r="E124" s="1239"/>
      <c r="F124" s="1239"/>
      <c r="G124" s="1239"/>
      <c r="H124" s="1239"/>
      <c r="I124" s="1239"/>
      <c r="J124" s="1239"/>
      <c r="K124" s="1239"/>
      <c r="L124" s="1248"/>
      <c r="M124" s="1237"/>
      <c r="N124" s="1242"/>
      <c r="O124" s="1240"/>
      <c r="Z124" s="1162"/>
      <c r="AE124" s="1162"/>
      <c r="AI124" s="1162"/>
      <c r="AN124" s="729"/>
      <c r="AO124" s="729"/>
      <c r="AP124" s="729"/>
      <c r="AQ124" s="729"/>
      <c r="AR124" s="729"/>
      <c r="AS124" s="729"/>
      <c r="AT124" s="729"/>
      <c r="AU124" s="729"/>
      <c r="AV124" s="729"/>
      <c r="AW124" s="729"/>
      <c r="AX124" s="729"/>
      <c r="AY124" s="729"/>
    </row>
    <row r="125" spans="2:51" s="39" customFormat="1" outlineLevel="1" x14ac:dyDescent="0.2">
      <c r="B125" s="1766" t="s">
        <v>97</v>
      </c>
      <c r="C125" s="1767"/>
      <c r="D125" s="1768"/>
      <c r="E125" s="1236">
        <f t="shared" ref="E125:L125" si="24">SUM(E123:E124)</f>
        <v>0</v>
      </c>
      <c r="F125" s="1236">
        <f t="shared" si="24"/>
        <v>0</v>
      </c>
      <c r="G125" s="1236">
        <f t="shared" si="24"/>
        <v>0</v>
      </c>
      <c r="H125" s="1236">
        <f t="shared" si="24"/>
        <v>0</v>
      </c>
      <c r="I125" s="1236">
        <f t="shared" si="24"/>
        <v>0</v>
      </c>
      <c r="J125" s="1236">
        <f t="shared" si="24"/>
        <v>0</v>
      </c>
      <c r="K125" s="1236">
        <f t="shared" si="24"/>
        <v>0</v>
      </c>
      <c r="L125" s="1236">
        <f t="shared" si="24"/>
        <v>0</v>
      </c>
      <c r="M125" s="1247">
        <f>SUM(M123:M124)</f>
        <v>0</v>
      </c>
      <c r="N125" s="1243">
        <f>SQRT(SUMSQ(N123:N124))</f>
        <v>0</v>
      </c>
      <c r="O125" s="1244">
        <f>SUM(O123:O124)</f>
        <v>0</v>
      </c>
      <c r="Z125" s="1162"/>
      <c r="AE125" s="1162"/>
      <c r="AI125" s="1162"/>
      <c r="AN125" s="729"/>
      <c r="AO125" s="729"/>
      <c r="AP125" s="729"/>
      <c r="AQ125" s="729"/>
      <c r="AR125" s="729"/>
      <c r="AS125" s="729"/>
      <c r="AT125" s="729"/>
      <c r="AU125" s="729"/>
      <c r="AV125" s="729"/>
      <c r="AW125" s="729"/>
      <c r="AX125" s="729"/>
      <c r="AY125" s="729"/>
    </row>
    <row r="126" spans="2:51" s="39" customFormat="1" outlineLevel="1" x14ac:dyDescent="0.2">
      <c r="B126" s="1771" t="s">
        <v>2527</v>
      </c>
      <c r="C126" s="1772"/>
      <c r="D126" s="1772"/>
      <c r="E126" s="1772"/>
      <c r="F126" s="1772"/>
      <c r="G126" s="1772"/>
      <c r="H126" s="1772"/>
      <c r="I126" s="1772"/>
      <c r="J126" s="1772"/>
      <c r="K126" s="1772"/>
      <c r="L126" s="1772"/>
      <c r="M126" s="1772"/>
      <c r="N126" s="1772"/>
      <c r="O126" s="1773"/>
      <c r="Z126" s="1162"/>
      <c r="AE126" s="1162"/>
      <c r="AI126" s="1162"/>
      <c r="AN126" s="729"/>
      <c r="AO126" s="729"/>
      <c r="AP126" s="729"/>
      <c r="AQ126" s="729"/>
      <c r="AR126" s="729"/>
      <c r="AS126" s="729"/>
      <c r="AT126" s="729"/>
      <c r="AU126" s="729"/>
      <c r="AV126" s="729"/>
      <c r="AW126" s="729"/>
      <c r="AX126" s="729"/>
      <c r="AY126" s="729"/>
    </row>
    <row r="127" spans="2:51" s="39" customFormat="1" ht="14" outlineLevel="1" x14ac:dyDescent="0.2">
      <c r="B127" s="1749" t="str">
        <f>+Energia!B163</f>
        <v xml:space="preserve">Beni o servizi acquistati </v>
      </c>
      <c r="C127" s="1749"/>
      <c r="D127" s="1246" t="s">
        <v>106</v>
      </c>
      <c r="E127" s="1239">
        <f>AG18+AG32+AG46+AG59+AG73+AG86</f>
        <v>0</v>
      </c>
      <c r="F127" s="1239">
        <f>AI18+AI32+AI46+AI59+AI73+AI86</f>
        <v>0</v>
      </c>
      <c r="G127" s="1239">
        <f>AK18+AK32+AK46+AK59+AK73+AK86</f>
        <v>0</v>
      </c>
      <c r="H127" s="1239">
        <v>0</v>
      </c>
      <c r="I127" s="1239">
        <v>0</v>
      </c>
      <c r="J127" s="1239">
        <v>0</v>
      </c>
      <c r="K127" s="1239">
        <v>0</v>
      </c>
      <c r="L127" s="1248">
        <f>AO18+AO32+AO46+AO59+AO73+AO86</f>
        <v>0</v>
      </c>
      <c r="M127" s="1237">
        <f>AQ18+AQ32+AQ46+AQ59+AQ73+AQ86</f>
        <v>0</v>
      </c>
      <c r="N127" s="1242">
        <f>SQRT(T18^2+T32^2+T46^2+T59^2+T73^2+T86^2)</f>
        <v>0</v>
      </c>
      <c r="O127" s="1240"/>
      <c r="Z127" s="1162"/>
      <c r="AE127" s="1162"/>
      <c r="AI127" s="1162"/>
      <c r="AN127" s="729"/>
      <c r="AO127" s="729"/>
      <c r="AP127" s="729"/>
      <c r="AQ127" s="729"/>
      <c r="AR127" s="729"/>
      <c r="AS127" s="729"/>
      <c r="AT127" s="729"/>
      <c r="AU127" s="729"/>
      <c r="AV127" s="729"/>
      <c r="AW127" s="729"/>
      <c r="AX127" s="729"/>
      <c r="AY127" s="729"/>
    </row>
    <row r="128" spans="2:51" s="39" customFormat="1" ht="14" outlineLevel="1" x14ac:dyDescent="0.2">
      <c r="B128" s="1749" t="str">
        <f>+Energia!B164</f>
        <v xml:space="preserve">Beni di consumo </v>
      </c>
      <c r="C128" s="1749"/>
      <c r="D128" s="1246" t="s">
        <v>107</v>
      </c>
      <c r="E128" s="1239"/>
      <c r="F128" s="1239"/>
      <c r="G128" s="1239"/>
      <c r="H128" s="1239"/>
      <c r="I128" s="1239"/>
      <c r="J128" s="1239"/>
      <c r="K128" s="1239"/>
      <c r="L128" s="1248"/>
      <c r="M128" s="1237"/>
      <c r="N128" s="1242"/>
      <c r="O128" s="1240"/>
      <c r="Z128" s="1162"/>
      <c r="AE128" s="1162"/>
      <c r="AI128" s="1162"/>
      <c r="AN128" s="729"/>
      <c r="AO128" s="729"/>
      <c r="AP128" s="729"/>
      <c r="AQ128" s="729"/>
      <c r="AR128" s="729"/>
      <c r="AS128" s="729"/>
      <c r="AT128" s="729"/>
      <c r="AU128" s="729"/>
      <c r="AV128" s="729"/>
      <c r="AW128" s="729"/>
      <c r="AX128" s="729"/>
      <c r="AY128" s="729"/>
    </row>
    <row r="129" spans="2:51" s="39" customFormat="1" ht="14" outlineLevel="1" x14ac:dyDescent="0.2">
      <c r="B129" s="1749" t="str">
        <f>+Energia!B165</f>
        <v xml:space="preserve">Emissioni dovute a combustibili e energia (non incluse nello scope 1 e 2) </v>
      </c>
      <c r="C129" s="1749"/>
      <c r="D129" s="1246" t="s">
        <v>108</v>
      </c>
      <c r="E129" s="1239"/>
      <c r="F129" s="1239"/>
      <c r="G129" s="1239"/>
      <c r="H129" s="1239"/>
      <c r="I129" s="1239"/>
      <c r="J129" s="1239"/>
      <c r="K129" s="1239"/>
      <c r="L129" s="1248"/>
      <c r="M129" s="1237"/>
      <c r="N129" s="1242"/>
      <c r="O129" s="1240"/>
      <c r="Z129" s="1162"/>
      <c r="AE129" s="1162"/>
      <c r="AI129" s="1162"/>
      <c r="AN129" s="729"/>
      <c r="AO129" s="729"/>
      <c r="AP129" s="729"/>
      <c r="AQ129" s="729"/>
      <c r="AR129" s="729"/>
      <c r="AS129" s="729"/>
      <c r="AT129" s="729"/>
      <c r="AU129" s="729"/>
      <c r="AV129" s="729"/>
      <c r="AW129" s="729"/>
      <c r="AX129" s="729"/>
      <c r="AY129" s="729"/>
    </row>
    <row r="130" spans="2:51" s="39" customFormat="1" ht="14" outlineLevel="1" x14ac:dyDescent="0.2">
      <c r="B130" s="1749" t="str">
        <f>+Energia!B166</f>
        <v>Trasporto e distribuzione premanifattura</v>
      </c>
      <c r="C130" s="1749"/>
      <c r="D130" s="1246" t="s">
        <v>109</v>
      </c>
      <c r="E130" s="1239"/>
      <c r="F130" s="1239"/>
      <c r="G130" s="1239"/>
      <c r="H130" s="1239"/>
      <c r="I130" s="1239"/>
      <c r="J130" s="1239"/>
      <c r="K130" s="1239"/>
      <c r="L130" s="1248"/>
      <c r="M130" s="1237"/>
      <c r="N130" s="1242"/>
      <c r="O130" s="1240"/>
      <c r="Z130" s="1162"/>
      <c r="AE130" s="1162"/>
      <c r="AI130" s="1162"/>
      <c r="AN130" s="729"/>
      <c r="AO130" s="729"/>
      <c r="AP130" s="729"/>
      <c r="AQ130" s="729"/>
      <c r="AR130" s="729"/>
      <c r="AS130" s="729"/>
      <c r="AT130" s="729"/>
      <c r="AU130" s="729"/>
      <c r="AV130" s="729"/>
      <c r="AW130" s="729"/>
      <c r="AX130" s="729"/>
      <c r="AY130" s="729"/>
    </row>
    <row r="131" spans="2:51" s="39" customFormat="1" ht="14" outlineLevel="1" x14ac:dyDescent="0.2">
      <c r="B131" s="1749" t="str">
        <f>+Energia!B167</f>
        <v>Rifiuti prodotti</v>
      </c>
      <c r="C131" s="1749"/>
      <c r="D131" s="1246" t="s">
        <v>110</v>
      </c>
      <c r="E131" s="1239"/>
      <c r="F131" s="1239"/>
      <c r="G131" s="1239"/>
      <c r="H131" s="1239"/>
      <c r="I131" s="1239"/>
      <c r="J131" s="1239"/>
      <c r="K131" s="1239"/>
      <c r="L131" s="1248"/>
      <c r="M131" s="1237"/>
      <c r="N131" s="1242"/>
      <c r="O131" s="1240"/>
      <c r="Z131" s="1162"/>
      <c r="AE131" s="1162"/>
      <c r="AI131" s="1162"/>
      <c r="AN131" s="729"/>
      <c r="AO131" s="729"/>
      <c r="AP131" s="729"/>
      <c r="AQ131" s="729"/>
      <c r="AR131" s="729"/>
      <c r="AS131" s="729"/>
      <c r="AT131" s="729"/>
      <c r="AU131" s="729"/>
      <c r="AV131" s="729"/>
      <c r="AW131" s="729"/>
      <c r="AX131" s="729"/>
      <c r="AY131" s="729"/>
    </row>
    <row r="132" spans="2:51" s="39" customFormat="1" ht="14" outlineLevel="1" x14ac:dyDescent="0.2">
      <c r="B132" s="1749" t="str">
        <f>+Energia!B168</f>
        <v>Viaggi di lavoro</v>
      </c>
      <c r="C132" s="1749"/>
      <c r="D132" s="1246" t="s">
        <v>111</v>
      </c>
      <c r="E132" s="1239"/>
      <c r="F132" s="1239"/>
      <c r="G132" s="1239"/>
      <c r="H132" s="1239"/>
      <c r="I132" s="1239"/>
      <c r="J132" s="1239"/>
      <c r="K132" s="1239"/>
      <c r="L132" s="1248"/>
      <c r="M132" s="1237"/>
      <c r="N132" s="1242"/>
      <c r="O132" s="1240"/>
      <c r="Z132" s="1162"/>
      <c r="AE132" s="1162"/>
      <c r="AI132" s="1162"/>
      <c r="AN132" s="729"/>
      <c r="AO132" s="729"/>
      <c r="AP132" s="729"/>
      <c r="AQ132" s="729"/>
      <c r="AR132" s="729"/>
      <c r="AS132" s="729"/>
      <c r="AT132" s="729"/>
      <c r="AU132" s="729"/>
      <c r="AV132" s="729"/>
      <c r="AW132" s="729"/>
      <c r="AX132" s="729"/>
      <c r="AY132" s="729"/>
    </row>
    <row r="133" spans="2:51" s="39" customFormat="1" ht="14" outlineLevel="1" x14ac:dyDescent="0.2">
      <c r="B133" s="1749" t="str">
        <f>+Energia!B169</f>
        <v>Impiegati pendolari</v>
      </c>
      <c r="C133" s="1749"/>
      <c r="D133" s="1246" t="s">
        <v>112</v>
      </c>
      <c r="E133" s="1239"/>
      <c r="F133" s="1239"/>
      <c r="G133" s="1239"/>
      <c r="H133" s="1239"/>
      <c r="I133" s="1239"/>
      <c r="J133" s="1239"/>
      <c r="K133" s="1239"/>
      <c r="L133" s="1248"/>
      <c r="M133" s="1237"/>
      <c r="N133" s="1242"/>
      <c r="O133" s="1240"/>
      <c r="Z133" s="1162"/>
      <c r="AE133" s="1162"/>
      <c r="AI133" s="1162"/>
      <c r="AN133" s="729"/>
      <c r="AO133" s="729"/>
      <c r="AP133" s="729"/>
      <c r="AQ133" s="729"/>
      <c r="AR133" s="729"/>
      <c r="AS133" s="729"/>
      <c r="AT133" s="729"/>
      <c r="AU133" s="729"/>
      <c r="AV133" s="729"/>
      <c r="AW133" s="729"/>
      <c r="AX133" s="729"/>
      <c r="AY133" s="729"/>
    </row>
    <row r="134" spans="2:51" s="39" customFormat="1" ht="14" outlineLevel="1" x14ac:dyDescent="0.2">
      <c r="B134" s="1749" t="str">
        <f>+Energia!B170</f>
        <v>Upstream leased assets</v>
      </c>
      <c r="C134" s="1749"/>
      <c r="D134" s="1246" t="s">
        <v>113</v>
      </c>
      <c r="E134" s="1239"/>
      <c r="F134" s="1239"/>
      <c r="G134" s="1239"/>
      <c r="H134" s="1239"/>
      <c r="I134" s="1239"/>
      <c r="J134" s="1239"/>
      <c r="K134" s="1239"/>
      <c r="L134" s="1248"/>
      <c r="M134" s="1237"/>
      <c r="N134" s="1242"/>
      <c r="O134" s="1240"/>
      <c r="Z134" s="1162"/>
      <c r="AE134" s="1162"/>
      <c r="AI134" s="1162"/>
      <c r="AN134" s="729"/>
      <c r="AO134" s="729"/>
      <c r="AP134" s="729"/>
      <c r="AQ134" s="729"/>
      <c r="AR134" s="729"/>
      <c r="AS134" s="729"/>
      <c r="AT134" s="729"/>
      <c r="AU134" s="729"/>
      <c r="AV134" s="729"/>
      <c r="AW134" s="729"/>
      <c r="AX134" s="729"/>
      <c r="AY134" s="729"/>
    </row>
    <row r="135" spans="2:51" s="39" customFormat="1" outlineLevel="1" x14ac:dyDescent="0.2">
      <c r="B135" s="1749" t="str">
        <f>+Energia!B171</f>
        <v>Altre emissioni indirette premanifattura</v>
      </c>
      <c r="C135" s="1749"/>
      <c r="D135" s="1238"/>
      <c r="E135" s="1239"/>
      <c r="F135" s="1239"/>
      <c r="G135" s="1239"/>
      <c r="H135" s="1239"/>
      <c r="I135" s="1239"/>
      <c r="J135" s="1239"/>
      <c r="K135" s="1239"/>
      <c r="L135" s="1248"/>
      <c r="M135" s="1237"/>
      <c r="N135" s="1242"/>
      <c r="O135" s="1240"/>
      <c r="Z135" s="1162"/>
      <c r="AE135" s="1162"/>
      <c r="AI135" s="1162"/>
      <c r="AN135" s="729"/>
      <c r="AO135" s="729"/>
      <c r="AP135" s="729"/>
      <c r="AQ135" s="729"/>
      <c r="AR135" s="729"/>
      <c r="AS135" s="729"/>
      <c r="AT135" s="729"/>
      <c r="AU135" s="729"/>
      <c r="AV135" s="729"/>
      <c r="AW135" s="729"/>
      <c r="AX135" s="729"/>
      <c r="AY135" s="729"/>
    </row>
    <row r="136" spans="2:51" s="39" customFormat="1" outlineLevel="1" x14ac:dyDescent="0.2">
      <c r="B136" s="1771" t="s">
        <v>2744</v>
      </c>
      <c r="C136" s="1772"/>
      <c r="D136" s="1772"/>
      <c r="E136" s="1772"/>
      <c r="F136" s="1772"/>
      <c r="G136" s="1772"/>
      <c r="H136" s="1772"/>
      <c r="I136" s="1772"/>
      <c r="J136" s="1772"/>
      <c r="K136" s="1772"/>
      <c r="L136" s="1772"/>
      <c r="M136" s="1772"/>
      <c r="N136" s="1772"/>
      <c r="O136" s="1773"/>
      <c r="Z136" s="1162"/>
      <c r="AE136" s="1162"/>
      <c r="AI136" s="1162"/>
      <c r="AN136" s="729"/>
      <c r="AO136" s="729"/>
      <c r="AP136" s="729"/>
      <c r="AQ136" s="729"/>
      <c r="AR136" s="729"/>
      <c r="AS136" s="729"/>
      <c r="AT136" s="729"/>
      <c r="AU136" s="729"/>
      <c r="AV136" s="729"/>
      <c r="AW136" s="729"/>
      <c r="AX136" s="729"/>
      <c r="AY136" s="729"/>
    </row>
    <row r="137" spans="2:51" s="39" customFormat="1" ht="14" outlineLevel="1" x14ac:dyDescent="0.2">
      <c r="B137" s="1749" t="str">
        <f>+Energia!B173</f>
        <v>Trasporto di merci e distribuzione in fase d’uso e fine vita</v>
      </c>
      <c r="C137" s="1749"/>
      <c r="D137" s="1246" t="s">
        <v>114</v>
      </c>
      <c r="E137" s="1239"/>
      <c r="F137" s="1239"/>
      <c r="G137" s="1239"/>
      <c r="H137" s="1239"/>
      <c r="I137" s="1239"/>
      <c r="J137" s="1239"/>
      <c r="K137" s="1239"/>
      <c r="L137" s="1248"/>
      <c r="M137" s="1237"/>
      <c r="N137" s="1242"/>
      <c r="O137" s="1240"/>
      <c r="Z137" s="1162"/>
      <c r="AE137" s="1162"/>
      <c r="AI137" s="1162"/>
      <c r="AN137" s="729"/>
      <c r="AO137" s="729"/>
      <c r="AP137" s="729"/>
      <c r="AQ137" s="729"/>
      <c r="AR137" s="729"/>
      <c r="AS137" s="729"/>
      <c r="AT137" s="729"/>
      <c r="AU137" s="729"/>
      <c r="AV137" s="729"/>
      <c r="AW137" s="729"/>
      <c r="AX137" s="729"/>
      <c r="AY137" s="729"/>
    </row>
    <row r="138" spans="2:51" s="39" customFormat="1" ht="14" outlineLevel="1" x14ac:dyDescent="0.2">
      <c r="B138" s="1749" t="str">
        <f>+Energia!B174</f>
        <v>Lavorazioni dei prodotti venduti</v>
      </c>
      <c r="C138" s="1749"/>
      <c r="D138" s="1246" t="s">
        <v>115</v>
      </c>
      <c r="E138" s="1239"/>
      <c r="F138" s="1239"/>
      <c r="G138" s="1239"/>
      <c r="H138" s="1239"/>
      <c r="I138" s="1239"/>
      <c r="J138" s="1239"/>
      <c r="K138" s="1239"/>
      <c r="L138" s="1248"/>
      <c r="M138" s="1237"/>
      <c r="N138" s="1242"/>
      <c r="O138" s="1240"/>
      <c r="Z138" s="1162"/>
      <c r="AE138" s="1162"/>
      <c r="AI138" s="1162"/>
      <c r="AN138" s="729"/>
      <c r="AO138" s="729"/>
      <c r="AP138" s="729"/>
      <c r="AQ138" s="729"/>
      <c r="AR138" s="729"/>
      <c r="AS138" s="729"/>
      <c r="AT138" s="729"/>
      <c r="AU138" s="729"/>
      <c r="AV138" s="729"/>
      <c r="AW138" s="729"/>
      <c r="AX138" s="729"/>
      <c r="AY138" s="729"/>
    </row>
    <row r="139" spans="2:51" s="39" customFormat="1" ht="14" outlineLevel="1" x14ac:dyDescent="0.2">
      <c r="B139" s="1749" t="str">
        <f>+Energia!B175</f>
        <v xml:space="preserve">Uso dei prodotto venduti  </v>
      </c>
      <c r="C139" s="1749"/>
      <c r="D139" s="1246" t="s">
        <v>116</v>
      </c>
      <c r="E139" s="1239"/>
      <c r="F139" s="1239"/>
      <c r="G139" s="1239"/>
      <c r="H139" s="1239"/>
      <c r="I139" s="1239"/>
      <c r="J139" s="1239"/>
      <c r="K139" s="1239"/>
      <c r="L139" s="1248"/>
      <c r="M139" s="1237"/>
      <c r="N139" s="1242"/>
      <c r="O139" s="1240"/>
      <c r="Z139" s="1162"/>
      <c r="AE139" s="1162"/>
      <c r="AI139" s="1162"/>
      <c r="AN139" s="729"/>
      <c r="AO139" s="729"/>
      <c r="AP139" s="729"/>
      <c r="AQ139" s="729"/>
      <c r="AR139" s="729"/>
      <c r="AS139" s="729"/>
      <c r="AT139" s="729"/>
      <c r="AU139" s="729"/>
      <c r="AV139" s="729"/>
      <c r="AW139" s="729"/>
      <c r="AX139" s="729"/>
      <c r="AY139" s="729"/>
    </row>
    <row r="140" spans="2:51" s="39" customFormat="1" ht="14" outlineLevel="1" x14ac:dyDescent="0.2">
      <c r="B140" s="1749" t="str">
        <f>+Energia!B176</f>
        <v>Fine vita dei prodotti venduti</v>
      </c>
      <c r="C140" s="1749"/>
      <c r="D140" s="1246" t="s">
        <v>117</v>
      </c>
      <c r="E140" s="1239">
        <f>AH18+AH32+AH46+AH59+AH73+AH86</f>
        <v>0</v>
      </c>
      <c r="F140" s="1239">
        <f>AJ18+AJ32+AJ46+AJ59+AJ73+AJ86</f>
        <v>0</v>
      </c>
      <c r="G140" s="1239">
        <f>AL18+AL32+AL46+AL59+AL73+AL86</f>
        <v>0</v>
      </c>
      <c r="H140" s="1239">
        <v>0</v>
      </c>
      <c r="I140" s="1239">
        <v>0</v>
      </c>
      <c r="J140" s="1239">
        <v>0</v>
      </c>
      <c r="K140" s="1239">
        <v>0</v>
      </c>
      <c r="L140" s="1248">
        <f>AP18+AP32+AP46+AP59+AP73+AP86</f>
        <v>0</v>
      </c>
      <c r="M140" s="1237">
        <f>AR18+AR32+AR46+AR59+AR73+AR86</f>
        <v>0</v>
      </c>
      <c r="N140" s="1242">
        <f>SQRT(U18^2+U32^2+U46^2+U59^2+U73^2+U86^2)</f>
        <v>0</v>
      </c>
      <c r="O140" s="1240">
        <f>O18+O32+O46+O59+N73+N86</f>
        <v>0</v>
      </c>
      <c r="Z140" s="1162"/>
      <c r="AE140" s="1162"/>
      <c r="AI140" s="1162"/>
      <c r="AN140" s="729"/>
      <c r="AO140" s="729"/>
      <c r="AP140" s="729"/>
      <c r="AQ140" s="729"/>
      <c r="AR140" s="729"/>
      <c r="AS140" s="729"/>
      <c r="AT140" s="729"/>
      <c r="AU140" s="729"/>
      <c r="AV140" s="729"/>
      <c r="AW140" s="729"/>
      <c r="AX140" s="729"/>
      <c r="AY140" s="729"/>
    </row>
    <row r="141" spans="2:51" s="39" customFormat="1" ht="14" outlineLevel="1" x14ac:dyDescent="0.2">
      <c r="B141" s="1749" t="str">
        <f>+Energia!B177</f>
        <v>Downstream leased assets</v>
      </c>
      <c r="C141" s="1749"/>
      <c r="D141" s="1246" t="s">
        <v>118</v>
      </c>
      <c r="E141" s="1239"/>
      <c r="F141" s="1239"/>
      <c r="G141" s="1239"/>
      <c r="H141" s="1239"/>
      <c r="I141" s="1239"/>
      <c r="J141" s="1239"/>
      <c r="K141" s="1239"/>
      <c r="L141" s="1248"/>
      <c r="M141" s="1237"/>
      <c r="N141" s="1242"/>
      <c r="O141" s="1240"/>
      <c r="Z141" s="1162"/>
      <c r="AE141" s="1162"/>
      <c r="AI141" s="1162"/>
      <c r="AN141" s="729"/>
      <c r="AO141" s="729"/>
      <c r="AP141" s="729"/>
      <c r="AQ141" s="729"/>
      <c r="AR141" s="729"/>
      <c r="AS141" s="729"/>
      <c r="AT141" s="729"/>
      <c r="AU141" s="729"/>
      <c r="AV141" s="729"/>
      <c r="AW141" s="729"/>
      <c r="AX141" s="729"/>
      <c r="AY141" s="729"/>
    </row>
    <row r="142" spans="2:51" s="39" customFormat="1" ht="14" outlineLevel="1" x14ac:dyDescent="0.2">
      <c r="B142" s="1749" t="str">
        <f>+Energia!B178</f>
        <v>Franchises</v>
      </c>
      <c r="C142" s="1749"/>
      <c r="D142" s="1246" t="s">
        <v>119</v>
      </c>
      <c r="E142" s="1239"/>
      <c r="F142" s="1239"/>
      <c r="G142" s="1239"/>
      <c r="H142" s="1239"/>
      <c r="I142" s="1239"/>
      <c r="J142" s="1239"/>
      <c r="K142" s="1239"/>
      <c r="L142" s="1248"/>
      <c r="M142" s="1237"/>
      <c r="N142" s="1242"/>
      <c r="O142" s="1240"/>
      <c r="Z142" s="1162"/>
      <c r="AE142" s="1162"/>
      <c r="AI142" s="1162"/>
      <c r="AN142" s="729"/>
      <c r="AO142" s="729"/>
      <c r="AP142" s="729"/>
      <c r="AQ142" s="729"/>
      <c r="AR142" s="729"/>
      <c r="AS142" s="729"/>
      <c r="AT142" s="729"/>
      <c r="AU142" s="729"/>
      <c r="AV142" s="729"/>
      <c r="AW142" s="729"/>
      <c r="AX142" s="729"/>
      <c r="AY142" s="729"/>
    </row>
    <row r="143" spans="2:51" s="39" customFormat="1" ht="14" outlineLevel="1" x14ac:dyDescent="0.2">
      <c r="B143" s="1749" t="str">
        <f>+Energia!B179</f>
        <v>Investimenti</v>
      </c>
      <c r="C143" s="1749"/>
      <c r="D143" s="1246" t="s">
        <v>120</v>
      </c>
      <c r="E143" s="1239"/>
      <c r="F143" s="1239"/>
      <c r="G143" s="1239"/>
      <c r="H143" s="1239"/>
      <c r="I143" s="1239"/>
      <c r="J143" s="1239"/>
      <c r="K143" s="1239"/>
      <c r="L143" s="1248"/>
      <c r="M143" s="1237"/>
      <c r="N143" s="1242"/>
      <c r="O143" s="1240"/>
      <c r="Z143" s="1162"/>
      <c r="AE143" s="1162"/>
      <c r="AI143" s="1162"/>
      <c r="AN143" s="729"/>
      <c r="AO143" s="729"/>
      <c r="AP143" s="729"/>
      <c r="AQ143" s="729"/>
      <c r="AR143" s="729"/>
      <c r="AS143" s="729"/>
      <c r="AT143" s="729"/>
      <c r="AU143" s="729"/>
      <c r="AV143" s="729"/>
      <c r="AW143" s="729"/>
      <c r="AX143" s="729"/>
      <c r="AY143" s="729"/>
    </row>
    <row r="144" spans="2:51" s="39" customFormat="1" outlineLevel="1" x14ac:dyDescent="0.2">
      <c r="B144" s="1749" t="str">
        <f>+Energia!B180</f>
        <v xml:space="preserve">Altre emissioni indirette in fase d'uso e fine vita </v>
      </c>
      <c r="C144" s="1749"/>
      <c r="D144" s="1238"/>
      <c r="E144" s="1239"/>
      <c r="F144" s="1239"/>
      <c r="G144" s="1239"/>
      <c r="H144" s="1239"/>
      <c r="I144" s="1239"/>
      <c r="J144" s="1239"/>
      <c r="K144" s="1239"/>
      <c r="L144" s="1248"/>
      <c r="M144" s="1237"/>
      <c r="N144" s="1242"/>
      <c r="O144" s="1240"/>
      <c r="Z144" s="1162"/>
      <c r="AE144" s="1162"/>
      <c r="AI144" s="1162"/>
      <c r="AN144" s="729"/>
      <c r="AO144" s="729"/>
      <c r="AP144" s="729"/>
      <c r="AQ144" s="729"/>
      <c r="AR144" s="729"/>
      <c r="AS144" s="729"/>
      <c r="AT144" s="729"/>
      <c r="AU144" s="729"/>
      <c r="AV144" s="729"/>
      <c r="AW144" s="729"/>
      <c r="AX144" s="729"/>
      <c r="AY144" s="729"/>
    </row>
    <row r="145" spans="2:51" s="39" customFormat="1" outlineLevel="1" x14ac:dyDescent="0.2">
      <c r="B145" s="1766" t="s">
        <v>96</v>
      </c>
      <c r="C145" s="1767"/>
      <c r="D145" s="1768"/>
      <c r="E145" s="1236">
        <f t="shared" ref="E145:O145" si="25">SUM(E127:E144)</f>
        <v>0</v>
      </c>
      <c r="F145" s="1236">
        <f t="shared" si="25"/>
        <v>0</v>
      </c>
      <c r="G145" s="1236">
        <f t="shared" si="25"/>
        <v>0</v>
      </c>
      <c r="H145" s="1236">
        <f t="shared" si="25"/>
        <v>0</v>
      </c>
      <c r="I145" s="1236">
        <f t="shared" si="25"/>
        <v>0</v>
      </c>
      <c r="J145" s="1236">
        <f t="shared" si="25"/>
        <v>0</v>
      </c>
      <c r="K145" s="1236">
        <f t="shared" si="25"/>
        <v>0</v>
      </c>
      <c r="L145" s="1236">
        <f t="shared" si="25"/>
        <v>0</v>
      </c>
      <c r="M145" s="1247">
        <f t="shared" si="25"/>
        <v>0</v>
      </c>
      <c r="N145" s="1243">
        <f>SQRT(SUMSQ(N127:N144))</f>
        <v>0</v>
      </c>
      <c r="O145" s="1244">
        <f t="shared" si="25"/>
        <v>0</v>
      </c>
      <c r="Z145" s="1162"/>
      <c r="AE145" s="1162"/>
      <c r="AI145" s="1162"/>
      <c r="AN145" s="729"/>
      <c r="AO145" s="729"/>
      <c r="AP145" s="729"/>
      <c r="AQ145" s="729"/>
      <c r="AR145" s="729"/>
      <c r="AS145" s="729"/>
      <c r="AT145" s="729"/>
      <c r="AU145" s="729"/>
      <c r="AV145" s="729"/>
      <c r="AW145" s="729"/>
      <c r="AX145" s="729"/>
      <c r="AY145" s="729"/>
    </row>
    <row r="146" spans="2:51" s="39" customFormat="1" ht="12" outlineLevel="1" x14ac:dyDescent="0.2">
      <c r="W146" s="1162"/>
      <c r="AB146" s="1162"/>
      <c r="AF146" s="1162"/>
      <c r="AK146" s="729"/>
      <c r="AL146" s="729"/>
      <c r="AM146" s="729"/>
      <c r="AN146" s="729"/>
      <c r="AO146" s="729"/>
      <c r="AP146" s="729"/>
      <c r="AQ146" s="729"/>
      <c r="AR146" s="729"/>
      <c r="AS146" s="729"/>
      <c r="AT146" s="729"/>
      <c r="AU146" s="729"/>
      <c r="AV146" s="729"/>
    </row>
    <row r="148" spans="2:51" s="39" customFormat="1" ht="15.75" customHeight="1" x14ac:dyDescent="0.2">
      <c r="B148" s="1741" t="str">
        <f>+Energia!B184</f>
        <v xml:space="preserve">Panoramica delle categorie definite nella  ISO/TR 14069:2013 </v>
      </c>
      <c r="C148" s="1742"/>
      <c r="D148" s="1742"/>
      <c r="E148" s="1742"/>
      <c r="F148" s="1742"/>
      <c r="G148" s="1742"/>
      <c r="H148" s="1742"/>
      <c r="I148" s="1742"/>
      <c r="J148" s="1742"/>
      <c r="K148" s="1742"/>
      <c r="L148" s="1742"/>
      <c r="M148" s="1742"/>
      <c r="N148" s="1742"/>
      <c r="O148" s="1743"/>
      <c r="W148" s="1162"/>
      <c r="AB148" s="1162"/>
      <c r="AF148" s="1162"/>
      <c r="AK148" s="729"/>
      <c r="AL148" s="729"/>
      <c r="AM148" s="729"/>
      <c r="AN148" s="729"/>
      <c r="AO148" s="729"/>
      <c r="AP148" s="729"/>
      <c r="AQ148" s="729"/>
      <c r="AR148" s="729"/>
      <c r="AS148" s="729"/>
      <c r="AT148" s="729"/>
      <c r="AU148" s="729"/>
      <c r="AV148" s="729"/>
    </row>
    <row r="149" spans="2:51" s="39" customFormat="1" ht="12" outlineLevel="1" x14ac:dyDescent="0.2">
      <c r="Q149" s="1317"/>
      <c r="R149" s="1317"/>
      <c r="W149" s="1162"/>
      <c r="AB149" s="1162"/>
      <c r="AF149" s="1162"/>
      <c r="AK149" s="729"/>
      <c r="AL149" s="729"/>
      <c r="AM149" s="729"/>
      <c r="AN149" s="729"/>
      <c r="AO149" s="729"/>
      <c r="AP149" s="729"/>
      <c r="AQ149" s="729"/>
      <c r="AR149" s="729"/>
      <c r="AS149" s="729"/>
      <c r="AT149" s="729"/>
      <c r="AU149" s="729"/>
      <c r="AV149" s="729"/>
    </row>
    <row r="150" spans="2:51" s="39" customFormat="1" ht="28" outlineLevel="1" x14ac:dyDescent="0.2">
      <c r="B150" s="118"/>
      <c r="C150" s="118"/>
      <c r="D150" s="118"/>
      <c r="E150" s="1735" t="s">
        <v>2498</v>
      </c>
      <c r="F150" s="1737"/>
      <c r="G150" s="1737"/>
      <c r="H150" s="1737"/>
      <c r="I150" s="1737"/>
      <c r="J150" s="1737"/>
      <c r="K150" s="1737"/>
      <c r="L150" s="1737"/>
      <c r="M150" s="1736"/>
      <c r="N150" s="1433" t="s">
        <v>2743</v>
      </c>
      <c r="O150" s="1430" t="s">
        <v>2517</v>
      </c>
      <c r="Q150" s="1317"/>
      <c r="R150" s="1317"/>
      <c r="W150" s="1162"/>
      <c r="AB150" s="1162"/>
      <c r="AF150" s="1162"/>
      <c r="AK150" s="729"/>
      <c r="AL150" s="729"/>
      <c r="AM150" s="729"/>
      <c r="AN150" s="729"/>
      <c r="AO150" s="729"/>
      <c r="AP150" s="729"/>
      <c r="AQ150" s="729"/>
      <c r="AR150" s="729"/>
      <c r="AS150" s="729"/>
      <c r="AT150" s="729"/>
      <c r="AU150" s="729"/>
      <c r="AV150" s="729"/>
    </row>
    <row r="151" spans="2:51" s="39" customFormat="1" ht="42" outlineLevel="1" x14ac:dyDescent="0.2">
      <c r="B151" s="1735" t="str">
        <f>+Energia!B187</f>
        <v>Sorgenti di emissione</v>
      </c>
      <c r="C151" s="1736"/>
      <c r="D151" s="1432" t="s">
        <v>2500</v>
      </c>
      <c r="E151" s="1431" t="s">
        <v>666</v>
      </c>
      <c r="F151" s="1431" t="s">
        <v>667</v>
      </c>
      <c r="G151" s="1431" t="s">
        <v>668</v>
      </c>
      <c r="H151" s="1431" t="s">
        <v>2582</v>
      </c>
      <c r="I151" s="1431" t="s">
        <v>2584</v>
      </c>
      <c r="J151" s="1432" t="s">
        <v>69</v>
      </c>
      <c r="K151" s="1431" t="s">
        <v>673</v>
      </c>
      <c r="L151" s="1431" t="s">
        <v>2588</v>
      </c>
      <c r="M151" s="1431" t="s">
        <v>2586</v>
      </c>
      <c r="N151" s="1434" t="s">
        <v>669</v>
      </c>
      <c r="O151" s="1436" t="s">
        <v>69</v>
      </c>
      <c r="Q151" s="1317"/>
      <c r="R151" s="1317"/>
      <c r="W151" s="1162"/>
      <c r="AB151" s="1162"/>
      <c r="AF151" s="1162"/>
      <c r="AK151" s="729"/>
      <c r="AL151" s="729"/>
      <c r="AM151" s="729"/>
      <c r="AN151" s="729"/>
      <c r="AO151" s="729"/>
      <c r="AP151" s="729"/>
      <c r="AQ151" s="729"/>
      <c r="AR151" s="729"/>
      <c r="AS151" s="729"/>
      <c r="AT151" s="729"/>
      <c r="AU151" s="729"/>
      <c r="AV151" s="729"/>
    </row>
    <row r="152" spans="2:51" s="39" customFormat="1" ht="12.75" customHeight="1" outlineLevel="1" x14ac:dyDescent="0.2">
      <c r="B152" s="1733" t="str">
        <f>+Energia!B188</f>
        <v xml:space="preserve">Emissioni dirette da sorgenti di combustione stazionarie </v>
      </c>
      <c r="C152" s="1734"/>
      <c r="D152" s="1435">
        <v>1</v>
      </c>
      <c r="E152" s="1441"/>
      <c r="F152" s="1441"/>
      <c r="G152" s="1441"/>
      <c r="H152" s="1441"/>
      <c r="I152" s="1441"/>
      <c r="J152" s="1442"/>
      <c r="K152" s="1443"/>
      <c r="L152" s="1443"/>
      <c r="M152" s="1444"/>
      <c r="N152" s="1445"/>
      <c r="O152" s="1730" t="s">
        <v>2518</v>
      </c>
      <c r="Q152" s="1317"/>
      <c r="R152" s="1317"/>
      <c r="W152" s="1162"/>
      <c r="AB152" s="1162"/>
      <c r="AF152" s="1162"/>
      <c r="AK152" s="729"/>
      <c r="AL152" s="729"/>
      <c r="AM152" s="729"/>
      <c r="AN152" s="729"/>
      <c r="AO152" s="729"/>
      <c r="AP152" s="729"/>
      <c r="AQ152" s="729"/>
      <c r="AR152" s="729"/>
      <c r="AS152" s="729"/>
      <c r="AT152" s="729"/>
      <c r="AU152" s="729"/>
      <c r="AV152" s="729"/>
    </row>
    <row r="153" spans="2:51" s="39" customFormat="1" outlineLevel="1" x14ac:dyDescent="0.2">
      <c r="B153" s="1733" t="str">
        <f>+Energia!B189</f>
        <v>Emissioni dirette da sorgenti di combustione mobili</v>
      </c>
      <c r="C153" s="1734"/>
      <c r="D153" s="1435">
        <v>2</v>
      </c>
      <c r="E153" s="1441"/>
      <c r="F153" s="1441"/>
      <c r="G153" s="1441"/>
      <c r="H153" s="1441"/>
      <c r="I153" s="1441"/>
      <c r="J153" s="1442"/>
      <c r="K153" s="1443"/>
      <c r="L153" s="1443"/>
      <c r="M153" s="1444"/>
      <c r="N153" s="1445"/>
      <c r="O153" s="1731"/>
      <c r="Q153" s="1317"/>
      <c r="R153" s="1317"/>
      <c r="W153" s="1162"/>
      <c r="AB153" s="1162"/>
      <c r="AF153" s="1162"/>
      <c r="AK153" s="729"/>
      <c r="AL153" s="729"/>
      <c r="AM153" s="729"/>
      <c r="AN153" s="729"/>
      <c r="AO153" s="729"/>
      <c r="AP153" s="729"/>
      <c r="AQ153" s="729"/>
      <c r="AR153" s="729"/>
      <c r="AS153" s="729"/>
      <c r="AT153" s="729"/>
      <c r="AU153" s="729"/>
      <c r="AV153" s="729"/>
    </row>
    <row r="154" spans="2:51" s="39" customFormat="1" outlineLevel="1" x14ac:dyDescent="0.2">
      <c r="B154" s="1733" t="str">
        <f>+Energia!B190</f>
        <v>Emissioni dirette da  processi</v>
      </c>
      <c r="C154" s="1734"/>
      <c r="D154" s="1435">
        <v>3</v>
      </c>
      <c r="E154" s="1441"/>
      <c r="F154" s="1441"/>
      <c r="G154" s="1441"/>
      <c r="H154" s="1441"/>
      <c r="I154" s="1441"/>
      <c r="J154" s="1442"/>
      <c r="K154" s="1443"/>
      <c r="L154" s="1443"/>
      <c r="M154" s="1444"/>
      <c r="N154" s="1445"/>
      <c r="O154" s="1731"/>
      <c r="Q154" s="1317"/>
      <c r="R154" s="1317"/>
      <c r="W154" s="1162"/>
      <c r="AB154" s="1162"/>
      <c r="AF154" s="1162"/>
      <c r="AK154" s="729"/>
      <c r="AL154" s="729"/>
      <c r="AM154" s="729"/>
      <c r="AN154" s="729"/>
      <c r="AO154" s="729"/>
      <c r="AP154" s="729"/>
      <c r="AQ154" s="729"/>
      <c r="AR154" s="729"/>
      <c r="AS154" s="729"/>
      <c r="AT154" s="729"/>
      <c r="AU154" s="729"/>
      <c r="AV154" s="729"/>
    </row>
    <row r="155" spans="2:51" s="39" customFormat="1" outlineLevel="1" x14ac:dyDescent="0.2">
      <c r="B155" s="1733" t="str">
        <f>+Energia!B191</f>
        <v>Emissioni dirette da  fonti fugitive</v>
      </c>
      <c r="C155" s="1734"/>
      <c r="D155" s="1435">
        <v>4</v>
      </c>
      <c r="E155" s="1441"/>
      <c r="F155" s="1441"/>
      <c r="G155" s="1441"/>
      <c r="H155" s="1441"/>
      <c r="I155" s="1441"/>
      <c r="J155" s="1442"/>
      <c r="K155" s="1443"/>
      <c r="L155" s="1443"/>
      <c r="M155" s="1444"/>
      <c r="N155" s="1445"/>
      <c r="O155" s="1731"/>
      <c r="Q155" s="1317"/>
      <c r="R155" s="1317"/>
      <c r="W155" s="1162"/>
      <c r="AB155" s="1162"/>
      <c r="AF155" s="1162"/>
      <c r="AK155" s="729"/>
      <c r="AL155" s="729"/>
      <c r="AM155" s="729"/>
      <c r="AN155" s="729"/>
      <c r="AO155" s="729"/>
      <c r="AP155" s="729"/>
      <c r="AQ155" s="729"/>
      <c r="AR155" s="729"/>
      <c r="AS155" s="729"/>
      <c r="AT155" s="729"/>
      <c r="AU155" s="729"/>
      <c r="AV155" s="729"/>
    </row>
    <row r="156" spans="2:51" s="39" customFormat="1" outlineLevel="1" x14ac:dyDescent="0.2">
      <c r="B156" s="1733" t="str">
        <f>+Energia!B192</f>
        <v>Emissioni dirette da LULUCF</v>
      </c>
      <c r="C156" s="1734"/>
      <c r="D156" s="1435">
        <v>5</v>
      </c>
      <c r="E156" s="1441"/>
      <c r="F156" s="1441"/>
      <c r="G156" s="1441"/>
      <c r="H156" s="1441"/>
      <c r="I156" s="1441"/>
      <c r="J156" s="1442"/>
      <c r="K156" s="1443"/>
      <c r="L156" s="1443"/>
      <c r="M156" s="1444"/>
      <c r="N156" s="1446"/>
      <c r="O156" s="1731"/>
      <c r="Q156" s="1317"/>
      <c r="R156" s="1317"/>
      <c r="W156" s="1162"/>
      <c r="AB156" s="1162"/>
      <c r="AF156" s="1162"/>
      <c r="AK156" s="729"/>
      <c r="AL156" s="729"/>
      <c r="AM156" s="729"/>
      <c r="AN156" s="729"/>
      <c r="AO156" s="729"/>
      <c r="AP156" s="729"/>
      <c r="AQ156" s="729"/>
      <c r="AR156" s="729"/>
      <c r="AS156" s="729"/>
      <c r="AT156" s="729"/>
      <c r="AU156" s="729"/>
      <c r="AV156" s="729"/>
    </row>
    <row r="157" spans="2:51" s="39" customFormat="1" outlineLevel="1" x14ac:dyDescent="0.2">
      <c r="B157" s="1738" t="s">
        <v>98</v>
      </c>
      <c r="C157" s="1738"/>
      <c r="D157" s="1738"/>
      <c r="E157" s="1447">
        <f>SUM(E152:E156)</f>
        <v>0</v>
      </c>
      <c r="F157" s="1447">
        <f t="shared" ref="F157:N157" si="26">SUM(F152:F156)</f>
        <v>0</v>
      </c>
      <c r="G157" s="1447">
        <f t="shared" si="26"/>
        <v>0</v>
      </c>
      <c r="H157" s="1447">
        <f t="shared" si="26"/>
        <v>0</v>
      </c>
      <c r="I157" s="1447">
        <f t="shared" si="26"/>
        <v>0</v>
      </c>
      <c r="J157" s="1447">
        <f t="shared" si="26"/>
        <v>0</v>
      </c>
      <c r="K157" s="1448">
        <f t="shared" si="26"/>
        <v>0</v>
      </c>
      <c r="L157" s="1448">
        <f t="shared" si="26"/>
        <v>0</v>
      </c>
      <c r="M157" s="1449">
        <f>SQRT(SUMSQ(M152:M156))</f>
        <v>0</v>
      </c>
      <c r="N157" s="1450">
        <f t="shared" si="26"/>
        <v>0</v>
      </c>
      <c r="O157" s="1732"/>
      <c r="Q157" s="1317"/>
      <c r="R157" s="1317"/>
      <c r="W157" s="1162"/>
      <c r="AB157" s="1162"/>
      <c r="AF157" s="1162"/>
      <c r="AK157" s="729"/>
      <c r="AL157" s="729"/>
      <c r="AM157" s="729"/>
      <c r="AN157" s="729"/>
      <c r="AO157" s="729"/>
      <c r="AP157" s="729"/>
      <c r="AQ157" s="729"/>
      <c r="AR157" s="729"/>
      <c r="AS157" s="729"/>
      <c r="AT157" s="729"/>
      <c r="AU157" s="729"/>
      <c r="AV157" s="729"/>
    </row>
    <row r="158" spans="2:51" s="39" customFormat="1" outlineLevel="1" x14ac:dyDescent="0.2">
      <c r="B158" s="1733" t="str">
        <f>+Energia!B194</f>
        <v xml:space="preserve">Emissioni indirette da consumo di elettricità </v>
      </c>
      <c r="C158" s="1734"/>
      <c r="D158" s="1435">
        <v>6</v>
      </c>
      <c r="E158" s="1441"/>
      <c r="F158" s="1441"/>
      <c r="G158" s="1441"/>
      <c r="H158" s="1441"/>
      <c r="I158" s="1441"/>
      <c r="J158" s="1442"/>
      <c r="K158" s="1443"/>
      <c r="L158" s="1443"/>
      <c r="M158" s="1444"/>
      <c r="N158" s="1445"/>
      <c r="O158" s="1451"/>
      <c r="Q158" s="1317"/>
      <c r="R158" s="1317"/>
      <c r="W158" s="1162"/>
      <c r="AB158" s="1162"/>
      <c r="AF158" s="1162"/>
      <c r="AK158" s="729"/>
      <c r="AL158" s="729"/>
      <c r="AM158" s="729"/>
      <c r="AN158" s="729"/>
      <c r="AO158" s="729"/>
      <c r="AP158" s="729"/>
      <c r="AQ158" s="729"/>
      <c r="AR158" s="729"/>
      <c r="AS158" s="729"/>
      <c r="AT158" s="729"/>
      <c r="AU158" s="729"/>
      <c r="AV158" s="729"/>
    </row>
    <row r="159" spans="2:51" s="39" customFormat="1" outlineLevel="1" x14ac:dyDescent="0.2">
      <c r="B159" s="1733" t="str">
        <f>+Energia!B195</f>
        <v xml:space="preserve">Emissioni indirette da consumi di energia di rete (senza l'eletricita) </v>
      </c>
      <c r="C159" s="1734"/>
      <c r="D159" s="1435">
        <v>7</v>
      </c>
      <c r="E159" s="1441"/>
      <c r="F159" s="1441"/>
      <c r="G159" s="1441"/>
      <c r="H159" s="1441"/>
      <c r="I159" s="1441"/>
      <c r="J159" s="1442"/>
      <c r="K159" s="1443"/>
      <c r="L159" s="1443"/>
      <c r="M159" s="1444"/>
      <c r="N159" s="1445"/>
      <c r="O159" s="1445"/>
      <c r="Q159" s="1317"/>
      <c r="R159" s="1317"/>
      <c r="W159" s="1162"/>
      <c r="AB159" s="1162"/>
      <c r="AF159" s="1162"/>
      <c r="AK159" s="729"/>
      <c r="AL159" s="729"/>
      <c r="AM159" s="729"/>
      <c r="AN159" s="729"/>
      <c r="AO159" s="729"/>
      <c r="AP159" s="729"/>
      <c r="AQ159" s="729"/>
      <c r="AR159" s="729"/>
      <c r="AS159" s="729"/>
      <c r="AT159" s="729"/>
      <c r="AU159" s="729"/>
      <c r="AV159" s="729"/>
    </row>
    <row r="160" spans="2:51" s="39" customFormat="1" outlineLevel="1" x14ac:dyDescent="0.2">
      <c r="B160" s="1738" t="s">
        <v>97</v>
      </c>
      <c r="C160" s="1738"/>
      <c r="D160" s="1738"/>
      <c r="E160" s="1447">
        <f>SUM(E158:E159)</f>
        <v>0</v>
      </c>
      <c r="F160" s="1447">
        <f t="shared" ref="F160:O160" si="27">SUM(F158:F159)</f>
        <v>0</v>
      </c>
      <c r="G160" s="1447">
        <f t="shared" si="27"/>
        <v>0</v>
      </c>
      <c r="H160" s="1447">
        <f t="shared" si="27"/>
        <v>0</v>
      </c>
      <c r="I160" s="1447">
        <f t="shared" si="27"/>
        <v>0</v>
      </c>
      <c r="J160" s="1447">
        <f t="shared" si="27"/>
        <v>0</v>
      </c>
      <c r="K160" s="1448">
        <f t="shared" si="27"/>
        <v>0</v>
      </c>
      <c r="L160" s="1448">
        <f t="shared" si="27"/>
        <v>0</v>
      </c>
      <c r="M160" s="1449">
        <f>SQRT(SUMSQ(M158:M159))</f>
        <v>0</v>
      </c>
      <c r="N160" s="1450">
        <f t="shared" si="27"/>
        <v>0</v>
      </c>
      <c r="O160" s="1450">
        <f t="shared" si="27"/>
        <v>0</v>
      </c>
      <c r="Q160" s="1317"/>
      <c r="R160" s="1317"/>
      <c r="W160" s="1162"/>
      <c r="AB160" s="1162"/>
      <c r="AF160" s="1162"/>
      <c r="AK160" s="729"/>
      <c r="AL160" s="729"/>
      <c r="AM160" s="729"/>
      <c r="AN160" s="729"/>
      <c r="AO160" s="729"/>
      <c r="AP160" s="729"/>
      <c r="AQ160" s="729"/>
      <c r="AR160" s="729"/>
      <c r="AS160" s="729"/>
      <c r="AT160" s="729"/>
      <c r="AU160" s="729"/>
      <c r="AV160" s="729"/>
    </row>
    <row r="161" spans="2:48" s="39" customFormat="1" outlineLevel="1" x14ac:dyDescent="0.2">
      <c r="B161" s="1733" t="str">
        <f>+Energia!B197</f>
        <v>Emissioni dovute all'energia non coperte dalle sorgenti da 1 a 7</v>
      </c>
      <c r="C161" s="1734"/>
      <c r="D161" s="1435">
        <v>8</v>
      </c>
      <c r="E161" s="1441"/>
      <c r="F161" s="1441"/>
      <c r="G161" s="1441"/>
      <c r="H161" s="1441"/>
      <c r="I161" s="1441"/>
      <c r="J161" s="1442"/>
      <c r="K161" s="1443"/>
      <c r="L161" s="1443"/>
      <c r="M161" s="1444"/>
      <c r="N161" s="1445"/>
      <c r="O161" s="1445"/>
      <c r="Q161" s="1317"/>
      <c r="R161" s="1317"/>
      <c r="W161" s="1162"/>
      <c r="AB161" s="1162"/>
      <c r="AF161" s="1162"/>
      <c r="AK161" s="729"/>
      <c r="AL161" s="729"/>
      <c r="AM161" s="729"/>
      <c r="AN161" s="729"/>
      <c r="AO161" s="729"/>
      <c r="AP161" s="729"/>
      <c r="AQ161" s="729"/>
      <c r="AR161" s="729"/>
      <c r="AS161" s="729"/>
      <c r="AT161" s="729"/>
      <c r="AU161" s="729"/>
      <c r="AV161" s="729"/>
    </row>
    <row r="162" spans="2:48" s="39" customFormat="1" outlineLevel="1" x14ac:dyDescent="0.2">
      <c r="B162" s="1733" t="str">
        <f>+Energia!B198</f>
        <v>Beni acquistati</v>
      </c>
      <c r="C162" s="1734"/>
      <c r="D162" s="1435">
        <v>9</v>
      </c>
      <c r="E162" s="1441">
        <f>AG18+AG32+AG46+AG59+AG73+AG86</f>
        <v>0</v>
      </c>
      <c r="F162" s="1441">
        <f>AI18+AI32+AI46+AI59+AI73+AI86</f>
        <v>0</v>
      </c>
      <c r="G162" s="1441">
        <f>AK18+AK32+AK46+AK59+AK73+AK86</f>
        <v>0</v>
      </c>
      <c r="H162" s="1441">
        <v>0</v>
      </c>
      <c r="I162" s="1441">
        <v>0</v>
      </c>
      <c r="J162" s="1442">
        <f>AO18+AO32+AO46+AO59+AO73+AO86</f>
        <v>0</v>
      </c>
      <c r="K162" s="1443">
        <f>AQ18+AQ32+AQ46+AQ59+AQ73+AQ86</f>
        <v>0</v>
      </c>
      <c r="L162" s="1443">
        <v>0</v>
      </c>
      <c r="M162" s="1444">
        <f>SQRT(T18^2+T32^2+T46^2+T59^2+T73^2+T86^2)</f>
        <v>0</v>
      </c>
      <c r="N162" s="1445"/>
      <c r="O162" s="1445"/>
      <c r="Q162" s="1317"/>
      <c r="R162" s="1317"/>
      <c r="W162" s="1162"/>
      <c r="AB162" s="1162"/>
      <c r="AF162" s="1162"/>
      <c r="AK162" s="729"/>
      <c r="AL162" s="729"/>
      <c r="AM162" s="729"/>
      <c r="AN162" s="729"/>
      <c r="AO162" s="729"/>
      <c r="AP162" s="729"/>
      <c r="AQ162" s="729"/>
      <c r="AR162" s="729"/>
      <c r="AS162" s="729"/>
      <c r="AT162" s="729"/>
      <c r="AU162" s="729"/>
      <c r="AV162" s="729"/>
    </row>
    <row r="163" spans="2:48" s="39" customFormat="1" outlineLevel="1" x14ac:dyDescent="0.2">
      <c r="B163" s="1733" t="str">
        <f>+Energia!B199</f>
        <v>Beni di consumo</v>
      </c>
      <c r="C163" s="1734"/>
      <c r="D163" s="1435">
        <v>10</v>
      </c>
      <c r="E163" s="1441"/>
      <c r="F163" s="1441"/>
      <c r="G163" s="1441"/>
      <c r="H163" s="1441"/>
      <c r="I163" s="1441"/>
      <c r="J163" s="1442"/>
      <c r="K163" s="1443"/>
      <c r="L163" s="1443"/>
      <c r="M163" s="1444"/>
      <c r="N163" s="1445"/>
      <c r="O163" s="1445"/>
      <c r="Q163" s="1317"/>
      <c r="R163" s="1317"/>
      <c r="W163" s="1162"/>
      <c r="AB163" s="1162"/>
      <c r="AF163" s="1162"/>
      <c r="AK163" s="729"/>
      <c r="AL163" s="729"/>
      <c r="AM163" s="729"/>
      <c r="AN163" s="729"/>
      <c r="AO163" s="729"/>
      <c r="AP163" s="729"/>
      <c r="AQ163" s="729"/>
      <c r="AR163" s="729"/>
      <c r="AS163" s="729"/>
      <c r="AT163" s="729"/>
      <c r="AU163" s="729"/>
      <c r="AV163" s="729"/>
    </row>
    <row r="164" spans="2:48" s="39" customFormat="1" outlineLevel="1" x14ac:dyDescent="0.2">
      <c r="B164" s="1733" t="str">
        <f>+Energia!B200</f>
        <v xml:space="preserve">Rifiuti prodotti </v>
      </c>
      <c r="C164" s="1734"/>
      <c r="D164" s="1435">
        <v>11</v>
      </c>
      <c r="E164" s="1441"/>
      <c r="F164" s="1441"/>
      <c r="G164" s="1441"/>
      <c r="H164" s="1441"/>
      <c r="I164" s="1441"/>
      <c r="J164" s="1442"/>
      <c r="K164" s="1443"/>
      <c r="L164" s="1443"/>
      <c r="M164" s="1444"/>
      <c r="N164" s="1445"/>
      <c r="O164" s="1445"/>
      <c r="Q164" s="1317"/>
      <c r="R164" s="1317"/>
      <c r="W164" s="1162"/>
      <c r="AB164" s="1162"/>
      <c r="AF164" s="1162"/>
      <c r="AK164" s="729"/>
      <c r="AL164" s="729"/>
      <c r="AM164" s="729"/>
      <c r="AN164" s="729"/>
      <c r="AO164" s="729"/>
      <c r="AP164" s="729"/>
      <c r="AQ164" s="729"/>
      <c r="AR164" s="729"/>
      <c r="AS164" s="729"/>
      <c r="AT164" s="729"/>
      <c r="AU164" s="729"/>
      <c r="AV164" s="729"/>
    </row>
    <row r="165" spans="2:48" s="39" customFormat="1" outlineLevel="1" x14ac:dyDescent="0.2">
      <c r="B165" s="1733" t="str">
        <f>+Energia!B201</f>
        <v>Trasporto e distribuzione premanifattura</v>
      </c>
      <c r="C165" s="1734"/>
      <c r="D165" s="1435">
        <v>12</v>
      </c>
      <c r="E165" s="1441"/>
      <c r="F165" s="1441"/>
      <c r="G165" s="1441"/>
      <c r="H165" s="1441"/>
      <c r="I165" s="1441"/>
      <c r="J165" s="1442"/>
      <c r="K165" s="1443"/>
      <c r="L165" s="1443"/>
      <c r="M165" s="1444"/>
      <c r="N165" s="1445"/>
      <c r="O165" s="1445"/>
      <c r="Q165" s="1317"/>
      <c r="R165" s="1317"/>
      <c r="W165" s="1162"/>
      <c r="AB165" s="1162"/>
      <c r="AF165" s="1162"/>
      <c r="AK165" s="729"/>
      <c r="AL165" s="729"/>
      <c r="AM165" s="729"/>
      <c r="AN165" s="729"/>
      <c r="AO165" s="729"/>
      <c r="AP165" s="729"/>
      <c r="AQ165" s="729"/>
      <c r="AR165" s="729"/>
      <c r="AS165" s="729"/>
      <c r="AT165" s="729"/>
      <c r="AU165" s="729"/>
      <c r="AV165" s="729"/>
    </row>
    <row r="166" spans="2:48" s="39" customFormat="1" outlineLevel="1" x14ac:dyDescent="0.2">
      <c r="B166" s="1733" t="str">
        <f>+Energia!B202</f>
        <v>Viaggi di lavoro</v>
      </c>
      <c r="C166" s="1734"/>
      <c r="D166" s="1435">
        <v>13</v>
      </c>
      <c r="E166" s="1441"/>
      <c r="F166" s="1441"/>
      <c r="G166" s="1441"/>
      <c r="H166" s="1441"/>
      <c r="I166" s="1441"/>
      <c r="J166" s="1442"/>
      <c r="K166" s="1443"/>
      <c r="L166" s="1443"/>
      <c r="M166" s="1444"/>
      <c r="N166" s="1445"/>
      <c r="O166" s="1445"/>
      <c r="Q166" s="1317"/>
      <c r="R166" s="1317"/>
      <c r="W166" s="1162"/>
      <c r="AB166" s="1162"/>
      <c r="AF166" s="1162"/>
      <c r="AK166" s="729"/>
      <c r="AL166" s="729"/>
      <c r="AM166" s="729"/>
      <c r="AN166" s="729"/>
      <c r="AO166" s="729"/>
      <c r="AP166" s="729"/>
      <c r="AQ166" s="729"/>
      <c r="AR166" s="729"/>
      <c r="AS166" s="729"/>
      <c r="AT166" s="729"/>
      <c r="AU166" s="729"/>
      <c r="AV166" s="729"/>
    </row>
    <row r="167" spans="2:48" s="39" customFormat="1" outlineLevel="1" x14ac:dyDescent="0.2">
      <c r="B167" s="1733" t="str">
        <f>+Energia!B203</f>
        <v>Upstream leased assets</v>
      </c>
      <c r="C167" s="1734"/>
      <c r="D167" s="1435">
        <v>14</v>
      </c>
      <c r="E167" s="1441"/>
      <c r="F167" s="1441"/>
      <c r="G167" s="1441"/>
      <c r="H167" s="1441"/>
      <c r="I167" s="1441"/>
      <c r="J167" s="1442"/>
      <c r="K167" s="1443"/>
      <c r="L167" s="1443"/>
      <c r="M167" s="1444"/>
      <c r="N167" s="1445"/>
      <c r="O167" s="1445"/>
      <c r="Q167" s="1317"/>
      <c r="R167" s="1317"/>
      <c r="W167" s="1162"/>
      <c r="AB167" s="1162"/>
      <c r="AF167" s="1162"/>
      <c r="AK167" s="729"/>
      <c r="AL167" s="729"/>
      <c r="AM167" s="729"/>
      <c r="AN167" s="729"/>
      <c r="AO167" s="729"/>
      <c r="AP167" s="729"/>
      <c r="AQ167" s="729"/>
      <c r="AR167" s="729"/>
      <c r="AS167" s="729"/>
      <c r="AT167" s="729"/>
      <c r="AU167" s="729"/>
      <c r="AV167" s="729"/>
    </row>
    <row r="168" spans="2:48" s="39" customFormat="1" outlineLevel="1" x14ac:dyDescent="0.2">
      <c r="B168" s="1733" t="str">
        <f>+Energia!B204</f>
        <v>Investimenti</v>
      </c>
      <c r="C168" s="1734"/>
      <c r="D168" s="1435">
        <v>15</v>
      </c>
      <c r="E168" s="1441"/>
      <c r="F168" s="1441"/>
      <c r="G168" s="1441"/>
      <c r="H168" s="1441"/>
      <c r="I168" s="1441"/>
      <c r="J168" s="1442"/>
      <c r="K168" s="1443"/>
      <c r="L168" s="1443"/>
      <c r="M168" s="1444"/>
      <c r="N168" s="1445"/>
      <c r="O168" s="1445"/>
      <c r="Q168" s="1317"/>
      <c r="R168" s="1317"/>
      <c r="W168" s="1162"/>
      <c r="AB168" s="1162"/>
      <c r="AF168" s="1162"/>
      <c r="AK168" s="729"/>
      <c r="AL168" s="729"/>
      <c r="AM168" s="729"/>
      <c r="AN168" s="729"/>
      <c r="AO168" s="729"/>
      <c r="AP168" s="729"/>
      <c r="AQ168" s="729"/>
      <c r="AR168" s="729"/>
      <c r="AS168" s="729"/>
      <c r="AT168" s="729"/>
      <c r="AU168" s="729"/>
      <c r="AV168" s="729"/>
    </row>
    <row r="169" spans="2:48" s="39" customFormat="1" outlineLevel="1" x14ac:dyDescent="0.2">
      <c r="B169" s="1733" t="str">
        <f>+Energia!B205</f>
        <v xml:space="preserve">Trasporto di clienti e visitatori </v>
      </c>
      <c r="C169" s="1734"/>
      <c r="D169" s="1435">
        <v>16</v>
      </c>
      <c r="E169" s="1441"/>
      <c r="F169" s="1441"/>
      <c r="G169" s="1441"/>
      <c r="H169" s="1441"/>
      <c r="I169" s="1441"/>
      <c r="J169" s="1442"/>
      <c r="K169" s="1443"/>
      <c r="L169" s="1443"/>
      <c r="M169" s="1444"/>
      <c r="N169" s="1445"/>
      <c r="O169" s="1445"/>
      <c r="Q169" s="1317"/>
      <c r="R169" s="1317"/>
      <c r="W169" s="1162"/>
      <c r="AB169" s="1162"/>
      <c r="AF169" s="1162"/>
      <c r="AK169" s="729"/>
      <c r="AL169" s="729"/>
      <c r="AM169" s="729"/>
      <c r="AN169" s="729"/>
      <c r="AO169" s="729"/>
      <c r="AP169" s="729"/>
      <c r="AQ169" s="729"/>
      <c r="AR169" s="729"/>
      <c r="AS169" s="729"/>
      <c r="AT169" s="729"/>
      <c r="AU169" s="729"/>
      <c r="AV169" s="729"/>
    </row>
    <row r="170" spans="2:48" s="39" customFormat="1" outlineLevel="1" x14ac:dyDescent="0.2">
      <c r="B170" s="1733" t="str">
        <f>+Energia!B206</f>
        <v>Trasporto di merci e distribuzione in fase d’uso e fine vita</v>
      </c>
      <c r="C170" s="1734"/>
      <c r="D170" s="1435">
        <v>17</v>
      </c>
      <c r="E170" s="1441"/>
      <c r="F170" s="1441"/>
      <c r="G170" s="1441"/>
      <c r="H170" s="1441"/>
      <c r="I170" s="1441"/>
      <c r="J170" s="1442"/>
      <c r="K170" s="1443"/>
      <c r="L170" s="1443"/>
      <c r="M170" s="1444"/>
      <c r="N170" s="1445"/>
      <c r="O170" s="1445"/>
      <c r="Q170" s="1317"/>
      <c r="R170" s="1317"/>
      <c r="W170" s="1162"/>
      <c r="AB170" s="1162"/>
      <c r="AF170" s="1162"/>
      <c r="AK170" s="729"/>
      <c r="AL170" s="729"/>
      <c r="AM170" s="729"/>
      <c r="AN170" s="729"/>
      <c r="AO170" s="729"/>
      <c r="AP170" s="729"/>
      <c r="AQ170" s="729"/>
      <c r="AR170" s="729"/>
      <c r="AS170" s="729"/>
      <c r="AT170" s="729"/>
      <c r="AU170" s="729"/>
      <c r="AV170" s="729"/>
    </row>
    <row r="171" spans="2:48" s="39" customFormat="1" outlineLevel="1" x14ac:dyDescent="0.2">
      <c r="B171" s="1733" t="str">
        <f>+Energia!B207</f>
        <v xml:space="preserve">Uso dei prodotto venduti  </v>
      </c>
      <c r="C171" s="1734"/>
      <c r="D171" s="1435">
        <v>18</v>
      </c>
      <c r="E171" s="1441"/>
      <c r="F171" s="1441"/>
      <c r="G171" s="1441"/>
      <c r="H171" s="1441"/>
      <c r="I171" s="1441"/>
      <c r="J171" s="1442"/>
      <c r="K171" s="1443"/>
      <c r="L171" s="1443"/>
      <c r="M171" s="1444"/>
      <c r="N171" s="1445"/>
      <c r="O171" s="1445"/>
      <c r="Q171" s="1317"/>
      <c r="R171" s="1317"/>
      <c r="W171" s="1162"/>
      <c r="AB171" s="1162"/>
      <c r="AF171" s="1162"/>
      <c r="AK171" s="729"/>
      <c r="AL171" s="729"/>
      <c r="AM171" s="729"/>
      <c r="AN171" s="729"/>
      <c r="AO171" s="729"/>
      <c r="AP171" s="729"/>
      <c r="AQ171" s="729"/>
      <c r="AR171" s="729"/>
      <c r="AS171" s="729"/>
      <c r="AT171" s="729"/>
      <c r="AU171" s="729"/>
      <c r="AV171" s="729"/>
    </row>
    <row r="172" spans="2:48" s="39" customFormat="1" outlineLevel="1" x14ac:dyDescent="0.2">
      <c r="B172" s="1733" t="str">
        <f>+Energia!B208</f>
        <v>Fine vita dei prodotti venduti</v>
      </c>
      <c r="C172" s="1734"/>
      <c r="D172" s="1435">
        <v>19</v>
      </c>
      <c r="E172" s="1441"/>
      <c r="F172" s="1441"/>
      <c r="G172" s="1441"/>
      <c r="H172" s="1441"/>
      <c r="I172" s="1441"/>
      <c r="J172" s="1442"/>
      <c r="K172" s="1443"/>
      <c r="L172" s="1443"/>
      <c r="M172" s="1444"/>
      <c r="N172" s="1445"/>
      <c r="O172" s="1445"/>
      <c r="Q172" s="1317"/>
      <c r="R172" s="1317"/>
      <c r="W172" s="1162"/>
      <c r="AB172" s="1162"/>
      <c r="AF172" s="1162"/>
      <c r="AK172" s="729"/>
      <c r="AL172" s="729"/>
      <c r="AM172" s="729"/>
      <c r="AN172" s="729"/>
      <c r="AO172" s="729"/>
      <c r="AP172" s="729"/>
      <c r="AQ172" s="729"/>
      <c r="AR172" s="729"/>
      <c r="AS172" s="729"/>
      <c r="AT172" s="729"/>
      <c r="AU172" s="729"/>
      <c r="AV172" s="729"/>
    </row>
    <row r="173" spans="2:48" s="39" customFormat="1" outlineLevel="1" x14ac:dyDescent="0.2">
      <c r="B173" s="1733" t="str">
        <f>+Energia!B209</f>
        <v xml:space="preserve">Downstream franchises </v>
      </c>
      <c r="C173" s="1734"/>
      <c r="D173" s="1435">
        <v>20</v>
      </c>
      <c r="E173" s="1441"/>
      <c r="F173" s="1441"/>
      <c r="G173" s="1441"/>
      <c r="H173" s="1441"/>
      <c r="I173" s="1441"/>
      <c r="J173" s="1442"/>
      <c r="K173" s="1443"/>
      <c r="L173" s="1443"/>
      <c r="M173" s="1444"/>
      <c r="N173" s="1445"/>
      <c r="O173" s="1445"/>
      <c r="Q173" s="1317"/>
      <c r="R173" s="1317"/>
      <c r="W173" s="1162"/>
      <c r="AB173" s="1162"/>
      <c r="AF173" s="1162"/>
      <c r="AK173" s="729"/>
      <c r="AL173" s="729"/>
      <c r="AM173" s="729"/>
      <c r="AN173" s="729"/>
      <c r="AO173" s="729"/>
      <c r="AP173" s="729"/>
      <c r="AQ173" s="729"/>
      <c r="AR173" s="729"/>
      <c r="AS173" s="729"/>
      <c r="AT173" s="729"/>
      <c r="AU173" s="729"/>
      <c r="AV173" s="729"/>
    </row>
    <row r="174" spans="2:48" s="39" customFormat="1" outlineLevel="1" x14ac:dyDescent="0.2">
      <c r="B174" s="1733" t="str">
        <f>+Energia!B210</f>
        <v>Downstream leased assets</v>
      </c>
      <c r="C174" s="1734"/>
      <c r="D174" s="1435">
        <v>21</v>
      </c>
      <c r="E174" s="1441"/>
      <c r="F174" s="1441"/>
      <c r="G174" s="1441"/>
      <c r="H174" s="1441"/>
      <c r="I174" s="1441"/>
      <c r="J174" s="1442"/>
      <c r="K174" s="1443"/>
      <c r="L174" s="1443"/>
      <c r="M174" s="1444"/>
      <c r="N174" s="1445"/>
      <c r="O174" s="1445"/>
      <c r="Q174" s="1317"/>
      <c r="R174" s="1317"/>
      <c r="W174" s="1162"/>
      <c r="AB174" s="1162"/>
      <c r="AF174" s="1162"/>
      <c r="AK174" s="729"/>
      <c r="AL174" s="729"/>
      <c r="AM174" s="729"/>
      <c r="AN174" s="729"/>
      <c r="AO174" s="729"/>
      <c r="AP174" s="729"/>
      <c r="AQ174" s="729"/>
      <c r="AR174" s="729"/>
      <c r="AS174" s="729"/>
      <c r="AT174" s="729"/>
      <c r="AU174" s="729"/>
      <c r="AV174" s="729"/>
    </row>
    <row r="175" spans="2:48" s="39" customFormat="1" outlineLevel="1" x14ac:dyDescent="0.2">
      <c r="B175" s="1733" t="str">
        <f>+Energia!B211</f>
        <v>Impiegati pendolari</v>
      </c>
      <c r="C175" s="1734"/>
      <c r="D175" s="1435">
        <v>22</v>
      </c>
      <c r="E175" s="1441"/>
      <c r="F175" s="1441"/>
      <c r="G175" s="1441"/>
      <c r="H175" s="1441"/>
      <c r="I175" s="1441"/>
      <c r="J175" s="1442"/>
      <c r="K175" s="1443"/>
      <c r="L175" s="1443"/>
      <c r="M175" s="1444"/>
      <c r="N175" s="1445"/>
      <c r="O175" s="1445"/>
      <c r="Q175" s="1317"/>
      <c r="R175" s="1317"/>
      <c r="W175" s="1162"/>
      <c r="AB175" s="1162"/>
      <c r="AF175" s="1162"/>
      <c r="AK175" s="729"/>
      <c r="AL175" s="729"/>
      <c r="AM175" s="729"/>
      <c r="AN175" s="729"/>
      <c r="AO175" s="729"/>
      <c r="AP175" s="729"/>
      <c r="AQ175" s="729"/>
      <c r="AR175" s="729"/>
      <c r="AS175" s="729"/>
      <c r="AT175" s="729"/>
      <c r="AU175" s="729"/>
      <c r="AV175" s="729"/>
    </row>
    <row r="176" spans="2:48" s="39" customFormat="1" outlineLevel="1" x14ac:dyDescent="0.2">
      <c r="B176" s="1733" t="str">
        <f>+Energia!B212</f>
        <v xml:space="preserve">Altre emissioni indirette </v>
      </c>
      <c r="C176" s="1734"/>
      <c r="D176" s="1435">
        <v>23</v>
      </c>
      <c r="E176" s="1441"/>
      <c r="F176" s="1441"/>
      <c r="G176" s="1441"/>
      <c r="H176" s="1441"/>
      <c r="I176" s="1441"/>
      <c r="J176" s="1442"/>
      <c r="K176" s="1443"/>
      <c r="L176" s="1443"/>
      <c r="M176" s="1444"/>
      <c r="N176" s="1445"/>
      <c r="O176" s="1445"/>
      <c r="Q176" s="1317"/>
      <c r="R176" s="1317"/>
      <c r="W176" s="1162"/>
      <c r="AB176" s="1162"/>
      <c r="AF176" s="1162"/>
      <c r="AK176" s="729"/>
      <c r="AL176" s="729"/>
      <c r="AM176" s="729"/>
      <c r="AN176" s="729"/>
      <c r="AO176" s="729"/>
      <c r="AP176" s="729"/>
      <c r="AQ176" s="729"/>
      <c r="AR176" s="729"/>
      <c r="AS176" s="729"/>
      <c r="AT176" s="729"/>
      <c r="AU176" s="729"/>
      <c r="AV176" s="729"/>
    </row>
    <row r="177" spans="2:48" s="39" customFormat="1" outlineLevel="1" x14ac:dyDescent="0.2">
      <c r="B177" s="1738" t="s">
        <v>96</v>
      </c>
      <c r="C177" s="1738"/>
      <c r="D177" s="1738"/>
      <c r="E177" s="1447">
        <f>SUM(E161:E176)</f>
        <v>0</v>
      </c>
      <c r="F177" s="1447">
        <f t="shared" ref="F177:O177" si="28">SUM(F161:F176)</f>
        <v>0</v>
      </c>
      <c r="G177" s="1447">
        <f t="shared" si="28"/>
        <v>0</v>
      </c>
      <c r="H177" s="1447">
        <f t="shared" si="28"/>
        <v>0</v>
      </c>
      <c r="I177" s="1447">
        <f t="shared" si="28"/>
        <v>0</v>
      </c>
      <c r="J177" s="1447">
        <f t="shared" si="28"/>
        <v>0</v>
      </c>
      <c r="K177" s="1448">
        <f t="shared" si="28"/>
        <v>0</v>
      </c>
      <c r="L177" s="1448">
        <f t="shared" si="28"/>
        <v>0</v>
      </c>
      <c r="M177" s="1449">
        <f>SQRT(SUMSQ(M161:M176))</f>
        <v>0</v>
      </c>
      <c r="N177" s="1450">
        <f t="shared" si="28"/>
        <v>0</v>
      </c>
      <c r="O177" s="1450">
        <f t="shared" si="28"/>
        <v>0</v>
      </c>
      <c r="Q177" s="1317"/>
      <c r="R177" s="1317"/>
      <c r="W177" s="1162"/>
      <c r="AB177" s="1162"/>
      <c r="AF177" s="1162"/>
      <c r="AK177" s="729"/>
      <c r="AL177" s="729"/>
      <c r="AM177" s="729"/>
      <c r="AN177" s="729"/>
      <c r="AO177" s="729"/>
      <c r="AP177" s="729"/>
      <c r="AQ177" s="729"/>
      <c r="AR177" s="729"/>
      <c r="AS177" s="729"/>
      <c r="AT177" s="729"/>
      <c r="AU177" s="729"/>
      <c r="AV177" s="729"/>
    </row>
    <row r="178" spans="2:48" s="39" customFormat="1" ht="12" outlineLevel="1" x14ac:dyDescent="0.2">
      <c r="Q178" s="1317"/>
      <c r="R178" s="1317"/>
      <c r="W178" s="1162"/>
      <c r="AB178" s="1162"/>
      <c r="AF178" s="1162"/>
      <c r="AK178" s="729"/>
      <c r="AL178" s="729"/>
      <c r="AM178" s="729"/>
      <c r="AN178" s="729"/>
      <c r="AO178" s="729"/>
      <c r="AP178" s="729"/>
      <c r="AQ178" s="729"/>
      <c r="AR178" s="729"/>
      <c r="AS178" s="729"/>
      <c r="AT178" s="729"/>
      <c r="AU178" s="729"/>
      <c r="AV178" s="729"/>
    </row>
    <row r="180" spans="2:48" ht="17" x14ac:dyDescent="0.2">
      <c r="B180" s="1649" t="s">
        <v>2768</v>
      </c>
    </row>
    <row r="181" spans="2:48" ht="17" x14ac:dyDescent="0.2">
      <c r="B181" s="1649" t="s">
        <v>2769</v>
      </c>
    </row>
    <row r="182" spans="2:48" ht="17" x14ac:dyDescent="0.2">
      <c r="B182" s="1650" t="s">
        <v>2770</v>
      </c>
    </row>
    <row r="183" spans="2:48" ht="16" x14ac:dyDescent="0.2">
      <c r="B183" s="1651" t="s">
        <v>2771</v>
      </c>
    </row>
    <row r="184" spans="2:48" ht="17" x14ac:dyDescent="0.2">
      <c r="B184" s="1649" t="s">
        <v>2772</v>
      </c>
    </row>
  </sheetData>
  <mergeCells count="171">
    <mergeCell ref="D5:E5"/>
    <mergeCell ref="L4:M4"/>
    <mergeCell ref="N4:O4"/>
    <mergeCell ref="H4:I4"/>
    <mergeCell ref="J4:K4"/>
    <mergeCell ref="H5:I5"/>
    <mergeCell ref="F4:G4"/>
    <mergeCell ref="AM66:AN66"/>
    <mergeCell ref="AG78:AR78"/>
    <mergeCell ref="Q9:V9"/>
    <mergeCell ref="Q23:V23"/>
    <mergeCell ref="Q78:V78"/>
    <mergeCell ref="B49:O49"/>
    <mergeCell ref="B62:O62"/>
    <mergeCell ref="B76:O76"/>
    <mergeCell ref="G65:H65"/>
    <mergeCell ref="Q37:V37"/>
    <mergeCell ref="X51:AE51"/>
    <mergeCell ref="X64:AE64"/>
    <mergeCell ref="H52:I52"/>
    <mergeCell ref="X23:AE23"/>
    <mergeCell ref="AG10:AN10"/>
    <mergeCell ref="AM25:AN25"/>
    <mergeCell ref="AG23:AR23"/>
    <mergeCell ref="AO79:AP79"/>
    <mergeCell ref="AG79:AN79"/>
    <mergeCell ref="AG80:AH80"/>
    <mergeCell ref="AG65:AN65"/>
    <mergeCell ref="AQ80:AR80"/>
    <mergeCell ref="AI80:AJ80"/>
    <mergeCell ref="AK80:AL80"/>
    <mergeCell ref="AM80:AN80"/>
    <mergeCell ref="AO80:AP80"/>
    <mergeCell ref="AO66:AP66"/>
    <mergeCell ref="AO65:AP65"/>
    <mergeCell ref="S92:V92"/>
    <mergeCell ref="H10:I10"/>
    <mergeCell ref="M92:N92"/>
    <mergeCell ref="B107:C107"/>
    <mergeCell ref="B108:C108"/>
    <mergeCell ref="B109:C109"/>
    <mergeCell ref="B110:C110"/>
    <mergeCell ref="AK53:AL53"/>
    <mergeCell ref="AG66:AH66"/>
    <mergeCell ref="Q51:V51"/>
    <mergeCell ref="Q64:V64"/>
    <mergeCell ref="X78:AE78"/>
    <mergeCell ref="AG52:AN52"/>
    <mergeCell ref="AG38:AN38"/>
    <mergeCell ref="AG24:AN24"/>
    <mergeCell ref="AG64:AR64"/>
    <mergeCell ref="AQ39:AR39"/>
    <mergeCell ref="AI39:AJ39"/>
    <mergeCell ref="AK39:AL39"/>
    <mergeCell ref="AG51:AR51"/>
    <mergeCell ref="G79:H79"/>
    <mergeCell ref="AQ66:AR66"/>
    <mergeCell ref="AI66:AJ66"/>
    <mergeCell ref="AK66:AL66"/>
    <mergeCell ref="B2:O2"/>
    <mergeCell ref="AM11:AN11"/>
    <mergeCell ref="AG39:AH39"/>
    <mergeCell ref="AG9:AR9"/>
    <mergeCell ref="AO10:AP10"/>
    <mergeCell ref="AO11:AP11"/>
    <mergeCell ref="AG25:AH25"/>
    <mergeCell ref="AQ25:AR25"/>
    <mergeCell ref="AI25:AJ25"/>
    <mergeCell ref="AK25:AL25"/>
    <mergeCell ref="AQ11:AR11"/>
    <mergeCell ref="H24:I24"/>
    <mergeCell ref="H38:I38"/>
    <mergeCell ref="B7:O7"/>
    <mergeCell ref="B21:O21"/>
    <mergeCell ref="B35:O35"/>
    <mergeCell ref="X9:AE9"/>
    <mergeCell ref="X37:AE37"/>
    <mergeCell ref="AM39:AN39"/>
    <mergeCell ref="AG37:AR37"/>
    <mergeCell ref="AO38:AP38"/>
    <mergeCell ref="AO39:AP39"/>
    <mergeCell ref="AK11:AL11"/>
    <mergeCell ref="D4:E4"/>
    <mergeCell ref="AO24:AP24"/>
    <mergeCell ref="AO25:AP25"/>
    <mergeCell ref="AG53:AH53"/>
    <mergeCell ref="AQ53:AR53"/>
    <mergeCell ref="AI53:AJ53"/>
    <mergeCell ref="AO52:AP52"/>
    <mergeCell ref="AO53:AP53"/>
    <mergeCell ref="AI11:AJ11"/>
    <mergeCell ref="AG11:AH11"/>
    <mergeCell ref="AM53:AN53"/>
    <mergeCell ref="B123:C123"/>
    <mergeCell ref="B90:O90"/>
    <mergeCell ref="B105:C105"/>
    <mergeCell ref="B98:C98"/>
    <mergeCell ref="B99:C99"/>
    <mergeCell ref="B100:C100"/>
    <mergeCell ref="B101:C101"/>
    <mergeCell ref="B114:O114"/>
    <mergeCell ref="E116:N116"/>
    <mergeCell ref="B117:C117"/>
    <mergeCell ref="B118:C118"/>
    <mergeCell ref="B119:C119"/>
    <mergeCell ref="B120:C120"/>
    <mergeCell ref="B104:C104"/>
    <mergeCell ref="B122:D122"/>
    <mergeCell ref="B111:C111"/>
    <mergeCell ref="F92:H92"/>
    <mergeCell ref="B92:C93"/>
    <mergeCell ref="B94:C94"/>
    <mergeCell ref="B95:C95"/>
    <mergeCell ref="B106:C106"/>
    <mergeCell ref="B96:C96"/>
    <mergeCell ref="B97:C97"/>
    <mergeCell ref="B129:C129"/>
    <mergeCell ref="B142:C142"/>
    <mergeCell ref="B143:C143"/>
    <mergeCell ref="B144:C144"/>
    <mergeCell ref="B145:D145"/>
    <mergeCell ref="F5:G5"/>
    <mergeCell ref="B133:C133"/>
    <mergeCell ref="B134:C134"/>
    <mergeCell ref="B135:C135"/>
    <mergeCell ref="B136:O136"/>
    <mergeCell ref="B121:C121"/>
    <mergeCell ref="B138:C138"/>
    <mergeCell ref="B139:C139"/>
    <mergeCell ref="B140:C140"/>
    <mergeCell ref="B141:C141"/>
    <mergeCell ref="B124:C124"/>
    <mergeCell ref="B125:D125"/>
    <mergeCell ref="B126:O126"/>
    <mergeCell ref="B127:C127"/>
    <mergeCell ref="B128:C128"/>
    <mergeCell ref="J92:K92"/>
    <mergeCell ref="B130:C130"/>
    <mergeCell ref="B131:C131"/>
    <mergeCell ref="B132:C132"/>
    <mergeCell ref="B137:C137"/>
    <mergeCell ref="B148:O148"/>
    <mergeCell ref="E150:M150"/>
    <mergeCell ref="B151:C151"/>
    <mergeCell ref="B152:C152"/>
    <mergeCell ref="O152:O157"/>
    <mergeCell ref="B153:C153"/>
    <mergeCell ref="B154:C154"/>
    <mergeCell ref="B155:C155"/>
    <mergeCell ref="B156:C156"/>
    <mergeCell ref="B157:D157"/>
    <mergeCell ref="B158:C158"/>
    <mergeCell ref="B159:C159"/>
    <mergeCell ref="B160:D160"/>
    <mergeCell ref="B161:C161"/>
    <mergeCell ref="B162:C162"/>
    <mergeCell ref="B163:C163"/>
    <mergeCell ref="B164:C164"/>
    <mergeCell ref="B165:C165"/>
    <mergeCell ref="B174:C174"/>
    <mergeCell ref="B166:C166"/>
    <mergeCell ref="B176:C176"/>
    <mergeCell ref="B177:D177"/>
    <mergeCell ref="B167:C167"/>
    <mergeCell ref="B168:C168"/>
    <mergeCell ref="B169:C169"/>
    <mergeCell ref="B170:C170"/>
    <mergeCell ref="B171:C171"/>
    <mergeCell ref="B172:C172"/>
    <mergeCell ref="B173:C173"/>
    <mergeCell ref="B175:C175"/>
  </mergeCells>
  <phoneticPr fontId="9" type="noConversion"/>
  <dataValidations count="6">
    <dataValidation type="list" allowBlank="1" showInputMessage="1" showErrorMessage="1" sqref="B68:B71" xr:uid="{00000000-0002-0000-0400-000000000000}">
      <formula1>chimie</formula1>
    </dataValidation>
    <dataValidation type="list" allowBlank="1" showInputMessage="1" showErrorMessage="1" sqref="B82:B84" xr:uid="{00000000-0002-0000-0400-000001000000}">
      <formula1>agricole</formula1>
    </dataValidation>
    <dataValidation type="list" allowBlank="1" showInputMessage="1" showErrorMessage="1" sqref="B13:B16" xr:uid="{00000000-0002-0000-0400-000002000000}">
      <formula1>metaux</formula1>
    </dataValidation>
    <dataValidation type="list" allowBlank="1" showInputMessage="1" showErrorMessage="1" sqref="B27:B30" xr:uid="{00000000-0002-0000-0400-000003000000}">
      <formula1>plastiques</formula1>
    </dataValidation>
    <dataValidation type="list" allowBlank="1" showInputMessage="1" showErrorMessage="1" sqref="B41:B44" xr:uid="{00000000-0002-0000-0400-000004000000}">
      <formula1>verres</formula1>
    </dataValidation>
    <dataValidation allowBlank="1" showInputMessage="1" showErrorMessage="1" sqref="C13:C16 C26:C31 C37:C45 C54:C57 C67:C72 C82:C84" xr:uid="{00000000-0002-0000-0400-000005000000}"/>
  </dataValidations>
  <hyperlinks>
    <hyperlink ref="D4" location="emballages_metaux" display="metaux" xr:uid="{00000000-0004-0000-0400-000000000000}"/>
    <hyperlink ref="F4" location="emballages_plastiques" display="plastiques" xr:uid="{00000000-0004-0000-0400-000001000000}"/>
    <hyperlink ref="H4" location="emballage_Verre" display="verre" xr:uid="{00000000-0004-0000-0400-000002000000}"/>
    <hyperlink ref="J4" location="emballages_papiers" display="papier" xr:uid="{00000000-0004-0000-0400-000003000000}"/>
    <hyperlink ref="L4" location="emballages_chimie" display="chimie" xr:uid="{00000000-0004-0000-0400-000004000000}"/>
    <hyperlink ref="N4" location="emballages_agromateriaux" display="agricole" xr:uid="{00000000-0004-0000-0400-000005000000}"/>
    <hyperlink ref="D5" location="emballages_recap" display="total" xr:uid="{00000000-0004-0000-0400-000006000000}"/>
    <hyperlink ref="F5" location="futursemballages_GHGProtocol" display="GHG Protocol" xr:uid="{00000000-0004-0000-0400-000007000000}"/>
    <hyperlink ref="H5:I5" location="futursemballages_ISO14069" display="ISO 14069" xr:uid="{00000000-0004-0000-0400-000008000000}"/>
    <hyperlink ref="B183" r:id="rId1" xr:uid="{00000000-0004-0000-0400-000009000000}"/>
    <hyperlink ref="B182" r:id="rId2" xr:uid="{00000000-0004-0000-0400-00000A000000}"/>
  </hyperlinks>
  <pageMargins left="0.78740157499999996" right="0.78740157499999996" top="0.984251969" bottom="0.984251969" header="0.4921259845" footer="0.4921259845"/>
  <pageSetup paperSize="9" pageOrder="overThenDown" orientation="portrait" horizontalDpi="4294967292" verticalDpi="4294967292"/>
  <headerFooter alignWithMargins="0">
    <oddFooter>&amp;LCalcul des émissions de gaz à effet de serre&amp;RRubrique &amp;A, page &amp;P, édité le &amp;D</oddFooter>
  </headerFooter>
  <ignoredErrors>
    <ignoredError sqref="D141:D143" twoDigitTextYear="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6000000}">
          <x14:formula1>
            <xm:f>'Emissions factors'!$B$1735:$B$1736</xm:f>
          </x14:formula1>
          <xm:sqref>B55:B57</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4">
    <tabColor theme="5"/>
  </sheetPr>
  <dimension ref="A1:BK721"/>
  <sheetViews>
    <sheetView showGridLines="0" workbookViewId="0">
      <pane xSplit="3" ySplit="8" topLeftCell="D279" activePane="bottomRight" state="frozenSplit"/>
      <selection activeCell="E9" sqref="E9"/>
      <selection pane="topRight" activeCell="E9" sqref="E9"/>
      <selection pane="bottomLeft" activeCell="E9" sqref="E9"/>
      <selection pane="bottomRight" activeCell="F432" sqref="F432"/>
    </sheetView>
  </sheetViews>
  <sheetFormatPr baseColWidth="10" defaultColWidth="10.83203125" defaultRowHeight="13" outlineLevelRow="1" x14ac:dyDescent="0.2"/>
  <cols>
    <col min="1" max="1" width="2.6640625" style="40" customWidth="1"/>
    <col min="2" max="2" width="52.6640625" style="40" customWidth="1"/>
    <col min="3" max="3" width="2.5" style="40" customWidth="1"/>
    <col min="4" max="5" width="12.33203125" style="40" customWidth="1"/>
    <col min="6" max="6" width="15.6640625" style="40" customWidth="1"/>
    <col min="7" max="44" width="12.33203125" style="40" customWidth="1"/>
    <col min="45" max="62" width="12.33203125" style="602" customWidth="1"/>
    <col min="63" max="63" width="12.33203125" style="40" customWidth="1"/>
    <col min="64" max="16384" width="10.83203125" style="40"/>
  </cols>
  <sheetData>
    <row r="1" spans="2:62" s="39" customFormat="1" ht="12" x14ac:dyDescent="0.2">
      <c r="AS1" s="729"/>
      <c r="AT1" s="729"/>
      <c r="AU1" s="729"/>
      <c r="AV1" s="729"/>
      <c r="AW1" s="729"/>
      <c r="AX1" s="729"/>
      <c r="AY1" s="729"/>
      <c r="AZ1" s="729"/>
      <c r="BA1" s="729"/>
      <c r="BB1" s="729"/>
      <c r="BC1" s="729"/>
      <c r="BD1" s="729"/>
      <c r="BE1" s="729"/>
      <c r="BF1" s="729"/>
      <c r="BG1" s="729"/>
      <c r="BH1" s="729"/>
      <c r="BI1" s="729"/>
      <c r="BJ1" s="729"/>
    </row>
    <row r="2" spans="2:62" s="39" customFormat="1" ht="30" customHeight="1" x14ac:dyDescent="0.2">
      <c r="B2" s="1726" t="str">
        <f>Description!C20</f>
        <v>Trasporto merci</v>
      </c>
      <c r="C2" s="1726"/>
      <c r="D2" s="1726"/>
      <c r="E2" s="1726"/>
      <c r="F2" s="1726"/>
      <c r="G2" s="1726"/>
      <c r="H2" s="1726"/>
      <c r="I2" s="1726"/>
      <c r="J2" s="1726"/>
      <c r="K2" s="1726"/>
      <c r="L2" s="1726"/>
      <c r="M2" s="1726"/>
      <c r="N2" s="1726"/>
      <c r="O2" s="1726"/>
      <c r="AS2" s="729"/>
      <c r="AT2" s="729"/>
      <c r="AU2" s="729"/>
      <c r="AV2" s="729"/>
      <c r="AW2" s="729"/>
      <c r="AX2" s="729"/>
      <c r="AY2" s="729"/>
      <c r="AZ2" s="729"/>
      <c r="BA2" s="729"/>
      <c r="BB2" s="729"/>
      <c r="BC2" s="729"/>
      <c r="BD2" s="729"/>
      <c r="BE2" s="729"/>
      <c r="BF2" s="729"/>
      <c r="BG2" s="729"/>
      <c r="BH2" s="729"/>
      <c r="BI2" s="729"/>
      <c r="BJ2" s="729"/>
    </row>
    <row r="3" spans="2:62" s="313" customFormat="1" ht="14" x14ac:dyDescent="0.2">
      <c r="D3" s="41"/>
      <c r="E3" s="41"/>
      <c r="F3" s="41"/>
      <c r="H3" s="41"/>
      <c r="J3" s="41"/>
      <c r="L3" s="41"/>
      <c r="N3" s="41"/>
      <c r="AS3" s="777"/>
      <c r="AT3" s="777"/>
      <c r="AU3" s="777"/>
      <c r="AV3" s="777"/>
      <c r="AW3" s="777"/>
      <c r="AX3" s="777"/>
      <c r="AY3" s="777"/>
      <c r="AZ3" s="777"/>
      <c r="BA3" s="777"/>
      <c r="BB3" s="777"/>
      <c r="BC3" s="777"/>
      <c r="BD3" s="777"/>
      <c r="BE3" s="777"/>
      <c r="BF3" s="777"/>
      <c r="BG3" s="777"/>
      <c r="BH3" s="777"/>
      <c r="BI3" s="777"/>
      <c r="BJ3" s="777"/>
    </row>
    <row r="4" spans="2:62" s="313" customFormat="1" ht="14" x14ac:dyDescent="0.2">
      <c r="B4" s="119" t="s">
        <v>2531</v>
      </c>
      <c r="C4" s="353"/>
      <c r="D4" s="1797" t="s">
        <v>2622</v>
      </c>
      <c r="E4" s="1797"/>
      <c r="F4" s="1797" t="s">
        <v>2625</v>
      </c>
      <c r="G4" s="1797"/>
      <c r="H4" s="1797" t="s">
        <v>2629</v>
      </c>
      <c r="I4" s="1797"/>
      <c r="J4" s="1797" t="s">
        <v>2632</v>
      </c>
      <c r="K4" s="1797"/>
      <c r="L4" s="353"/>
      <c r="M4" s="353"/>
      <c r="N4" s="353"/>
      <c r="O4" s="456"/>
      <c r="AS4" s="777"/>
      <c r="AT4" s="777"/>
      <c r="AU4" s="777"/>
      <c r="AV4" s="777"/>
      <c r="AW4" s="777"/>
      <c r="AX4" s="777"/>
      <c r="AY4" s="777"/>
      <c r="AZ4" s="777"/>
      <c r="BA4" s="777"/>
      <c r="BB4" s="777"/>
      <c r="BC4" s="777"/>
      <c r="BD4" s="777"/>
      <c r="BE4" s="777"/>
      <c r="BF4" s="777"/>
      <c r="BG4" s="777"/>
      <c r="BH4" s="777"/>
      <c r="BI4" s="777"/>
      <c r="BJ4" s="777"/>
    </row>
    <row r="5" spans="2:62" s="313" customFormat="1" ht="14" x14ac:dyDescent="0.2">
      <c r="B5" s="455"/>
      <c r="C5" s="366"/>
      <c r="D5" s="1824" t="s">
        <v>2623</v>
      </c>
      <c r="E5" s="1824"/>
      <c r="F5" s="1824" t="s">
        <v>2626</v>
      </c>
      <c r="G5" s="1824"/>
      <c r="H5" s="1824" t="s">
        <v>2630</v>
      </c>
      <c r="I5" s="1824"/>
      <c r="J5" s="1824" t="s">
        <v>2631</v>
      </c>
      <c r="K5" s="1824"/>
      <c r="L5" s="364"/>
      <c r="M5" s="364"/>
      <c r="N5" s="364"/>
      <c r="O5" s="365"/>
      <c r="AS5" s="777"/>
      <c r="AT5" s="777"/>
      <c r="AU5" s="777"/>
      <c r="AV5" s="777"/>
      <c r="AW5" s="777"/>
      <c r="AX5" s="777"/>
      <c r="AY5" s="777"/>
      <c r="AZ5" s="777"/>
      <c r="BA5" s="777"/>
      <c r="BB5" s="777"/>
      <c r="BC5" s="777"/>
      <c r="BD5" s="777"/>
      <c r="BE5" s="777"/>
      <c r="BF5" s="777"/>
      <c r="BG5" s="777"/>
      <c r="BH5" s="777"/>
      <c r="BI5" s="777"/>
      <c r="BJ5" s="777"/>
    </row>
    <row r="6" spans="2:62" s="121" customFormat="1" ht="14" x14ac:dyDescent="0.2">
      <c r="B6" s="354"/>
      <c r="C6" s="166"/>
      <c r="D6" s="1824" t="s">
        <v>2624</v>
      </c>
      <c r="E6" s="1824"/>
      <c r="F6" s="1824" t="s">
        <v>2627</v>
      </c>
      <c r="G6" s="1824"/>
      <c r="H6" s="1824" t="s">
        <v>2628</v>
      </c>
      <c r="I6" s="1824"/>
      <c r="J6" s="1824" t="s">
        <v>2633</v>
      </c>
      <c r="K6" s="1824"/>
      <c r="L6" s="166"/>
      <c r="M6" s="166"/>
      <c r="N6" s="166"/>
      <c r="O6" s="457"/>
      <c r="AS6" s="607"/>
      <c r="AT6" s="607"/>
      <c r="AU6" s="607"/>
      <c r="AV6" s="607"/>
      <c r="AW6" s="607"/>
      <c r="AX6" s="607"/>
      <c r="AY6" s="607"/>
      <c r="AZ6" s="607"/>
      <c r="BA6" s="607"/>
      <c r="BB6" s="607"/>
      <c r="BC6" s="607"/>
      <c r="BD6" s="607"/>
      <c r="BE6" s="607"/>
      <c r="BF6" s="607"/>
      <c r="BG6" s="607"/>
      <c r="BH6" s="607"/>
      <c r="BI6" s="607"/>
      <c r="BJ6" s="607"/>
    </row>
    <row r="7" spans="2:62" s="121" customFormat="1" ht="14" x14ac:dyDescent="0.2">
      <c r="B7" s="106" t="s">
        <v>71</v>
      </c>
      <c r="C7" s="107"/>
      <c r="D7" s="1798" t="s">
        <v>44</v>
      </c>
      <c r="E7" s="1798"/>
      <c r="F7" s="1798"/>
      <c r="G7" s="1798"/>
      <c r="H7" s="1798"/>
      <c r="I7" s="1798"/>
      <c r="J7" s="1798" t="s">
        <v>121</v>
      </c>
      <c r="K7" s="1798"/>
      <c r="L7" s="1798" t="s">
        <v>132</v>
      </c>
      <c r="M7" s="1798"/>
      <c r="N7" s="172"/>
      <c r="O7" s="355"/>
      <c r="AS7" s="607"/>
      <c r="AT7" s="607"/>
      <c r="AU7" s="607"/>
      <c r="AV7" s="607"/>
      <c r="AW7" s="607"/>
      <c r="AX7" s="607"/>
      <c r="AY7" s="607"/>
      <c r="AZ7" s="607"/>
      <c r="BA7" s="607"/>
      <c r="BB7" s="607"/>
      <c r="BC7" s="607"/>
      <c r="BD7" s="607"/>
      <c r="BE7" s="607"/>
      <c r="BF7" s="607"/>
      <c r="BG7" s="607"/>
      <c r="BH7" s="607"/>
      <c r="BI7" s="607"/>
      <c r="BJ7" s="607"/>
    </row>
    <row r="8" spans="2:62" s="121" customFormat="1" ht="14" x14ac:dyDescent="0.2">
      <c r="B8" s="41"/>
      <c r="C8" s="41"/>
      <c r="D8" s="41"/>
      <c r="E8" s="41"/>
      <c r="F8" s="41"/>
      <c r="AS8" s="607"/>
      <c r="AT8" s="607"/>
      <c r="AU8" s="607"/>
      <c r="AV8" s="607"/>
      <c r="AW8" s="607"/>
      <c r="AX8" s="607"/>
      <c r="AY8" s="607"/>
      <c r="AZ8" s="607"/>
      <c r="BA8" s="607"/>
      <c r="BB8" s="607"/>
      <c r="BC8" s="607"/>
      <c r="BD8" s="607"/>
      <c r="BE8" s="607"/>
      <c r="BF8" s="607"/>
      <c r="BG8" s="607"/>
      <c r="BH8" s="607"/>
      <c r="BI8" s="607"/>
      <c r="BJ8" s="607"/>
    </row>
    <row r="9" spans="2:62" s="32" customFormat="1" ht="15.75" customHeight="1" x14ac:dyDescent="0.2">
      <c r="B9" s="1795" t="s">
        <v>2860</v>
      </c>
      <c r="C9" s="1795"/>
      <c r="D9" s="1795"/>
      <c r="E9" s="1795"/>
      <c r="F9" s="1795"/>
      <c r="G9" s="1795"/>
      <c r="H9" s="1795"/>
      <c r="I9" s="1795"/>
      <c r="J9" s="1795"/>
      <c r="K9" s="1795"/>
      <c r="L9" s="1795"/>
      <c r="M9" s="1795"/>
      <c r="N9" s="1795"/>
      <c r="O9" s="1795"/>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40"/>
      <c r="AS9" s="602"/>
      <c r="AT9" s="602"/>
      <c r="AU9" s="602"/>
      <c r="AV9" s="602"/>
      <c r="AW9" s="602"/>
      <c r="AX9" s="602"/>
      <c r="AY9" s="602"/>
      <c r="AZ9" s="602"/>
      <c r="BA9" s="602"/>
      <c r="BB9" s="602"/>
      <c r="BC9" s="602"/>
      <c r="BD9" s="602"/>
      <c r="BE9" s="743"/>
      <c r="BF9" s="743"/>
      <c r="BG9" s="743"/>
      <c r="BH9" s="743"/>
      <c r="BI9" s="743"/>
      <c r="BJ9" s="743"/>
    </row>
    <row r="10" spans="2:62" s="32" customFormat="1" ht="12.75" customHeight="1" outlineLevel="1" x14ac:dyDescent="0.2">
      <c r="B10" s="40"/>
      <c r="C10" s="40"/>
      <c r="D10" s="316"/>
      <c r="E10" s="40"/>
      <c r="F10" s="316"/>
      <c r="G10" s="316"/>
      <c r="H10" s="316"/>
      <c r="I10" s="316"/>
      <c r="J10" s="316"/>
      <c r="K10" s="316"/>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605"/>
      <c r="AT10" s="743"/>
      <c r="AU10" s="743"/>
      <c r="AV10" s="743"/>
      <c r="AW10" s="743"/>
      <c r="AX10" s="743"/>
      <c r="AY10" s="743"/>
      <c r="AZ10" s="743"/>
      <c r="BA10" s="743"/>
      <c r="BB10" s="743"/>
      <c r="BC10" s="743"/>
      <c r="BD10" s="602"/>
      <c r="BE10" s="602"/>
      <c r="BF10" s="743"/>
      <c r="BG10" s="743"/>
      <c r="BH10" s="743"/>
      <c r="BI10" s="743"/>
      <c r="BJ10" s="743"/>
    </row>
    <row r="11" spans="2:62" ht="12.75" customHeight="1" outlineLevel="1" x14ac:dyDescent="0.2">
      <c r="B11" s="195" t="s">
        <v>2861</v>
      </c>
      <c r="C11" s="196"/>
      <c r="D11" s="358"/>
      <c r="E11" s="358"/>
      <c r="F11" s="358"/>
      <c r="G11" s="198"/>
      <c r="H11" s="198"/>
      <c r="I11" s="198"/>
      <c r="J11" s="198"/>
      <c r="K11" s="198"/>
      <c r="L11" s="198"/>
      <c r="M11" s="198"/>
      <c r="N11" s="198"/>
      <c r="O11" s="198"/>
      <c r="P11" s="198"/>
      <c r="Q11" s="198"/>
      <c r="R11" s="198"/>
      <c r="S11" s="198"/>
      <c r="T11" s="199"/>
      <c r="U11" s="42"/>
      <c r="V11" s="42"/>
      <c r="W11" s="42"/>
      <c r="X11" s="1746" t="s">
        <v>723</v>
      </c>
      <c r="Y11" s="1747"/>
      <c r="Z11" s="1747"/>
      <c r="AA11" s="1747"/>
      <c r="AB11" s="1748"/>
      <c r="AC11" s="42"/>
      <c r="AD11" s="42"/>
      <c r="AE11" s="42"/>
      <c r="AF11" s="1746" t="s">
        <v>2066</v>
      </c>
      <c r="AG11" s="1747"/>
      <c r="AH11" s="1747"/>
      <c r="AI11" s="1747"/>
      <c r="AJ11" s="1747"/>
      <c r="AK11" s="1747"/>
      <c r="AL11" s="1747"/>
      <c r="AM11" s="1748"/>
      <c r="AN11" s="42"/>
      <c r="AO11" s="42"/>
      <c r="AP11" s="42"/>
      <c r="AQ11" s="42"/>
      <c r="AS11" s="1755" t="s">
        <v>2073</v>
      </c>
      <c r="AT11" s="1756"/>
      <c r="AU11" s="1756"/>
      <c r="AV11" s="1756"/>
      <c r="AW11" s="1756"/>
      <c r="AX11" s="1756"/>
      <c r="AY11" s="1756"/>
      <c r="AZ11" s="1756"/>
      <c r="BA11" s="1756"/>
      <c r="BB11" s="1756"/>
      <c r="BC11" s="1756"/>
      <c r="BD11" s="1757"/>
    </row>
    <row r="12" spans="2:62" ht="12.75" customHeight="1" outlineLevel="1" x14ac:dyDescent="0.2">
      <c r="B12" s="200"/>
      <c r="C12" s="201"/>
      <c r="D12" s="361"/>
      <c r="E12" s="361"/>
      <c r="F12" s="201"/>
      <c r="G12" s="201"/>
      <c r="H12" s="362"/>
      <c r="I12" s="362"/>
      <c r="J12" s="201"/>
      <c r="K12" s="201"/>
      <c r="L12" s="201"/>
      <c r="M12" s="201"/>
      <c r="N12" s="201"/>
      <c r="O12" s="201"/>
      <c r="P12" s="201"/>
      <c r="Q12" s="201"/>
      <c r="R12" s="201"/>
      <c r="S12" s="201"/>
      <c r="T12" s="203"/>
      <c r="U12" s="42"/>
      <c r="X12" s="216"/>
      <c r="Y12" s="217"/>
      <c r="Z12" s="217"/>
      <c r="AA12" s="217"/>
      <c r="AB12" s="218"/>
      <c r="AF12" s="216"/>
      <c r="AG12" s="217"/>
      <c r="AH12" s="217"/>
      <c r="AI12" s="217"/>
      <c r="AJ12" s="217"/>
      <c r="AK12" s="217"/>
      <c r="AL12" s="198"/>
      <c r="AM12" s="199"/>
      <c r="AR12" s="32"/>
      <c r="AS12" s="1758" t="s">
        <v>61</v>
      </c>
      <c r="AT12" s="1759"/>
      <c r="AU12" s="1759"/>
      <c r="AV12" s="1759"/>
      <c r="AW12" s="1759"/>
      <c r="AX12" s="1759"/>
      <c r="AY12" s="1759"/>
      <c r="AZ12" s="1759"/>
      <c r="BA12" s="1759" t="s">
        <v>61</v>
      </c>
      <c r="BB12" s="1760"/>
      <c r="BC12" s="730"/>
      <c r="BD12" s="731"/>
    </row>
    <row r="13" spans="2:62" ht="12.75" customHeight="1" outlineLevel="1" x14ac:dyDescent="0.2">
      <c r="B13" s="204" t="s">
        <v>3013</v>
      </c>
      <c r="C13" s="362"/>
      <c r="D13" s="362" t="s">
        <v>56</v>
      </c>
      <c r="E13" s="362" t="s">
        <v>56</v>
      </c>
      <c r="F13" s="205" t="s">
        <v>2634</v>
      </c>
      <c r="G13" s="205" t="s">
        <v>2053</v>
      </c>
      <c r="H13" s="1745" t="s">
        <v>767</v>
      </c>
      <c r="I13" s="1745"/>
      <c r="J13" s="205" t="s">
        <v>2053</v>
      </c>
      <c r="K13" s="1745" t="s">
        <v>769</v>
      </c>
      <c r="L13" s="1745"/>
      <c r="M13" s="205" t="s">
        <v>2053</v>
      </c>
      <c r="N13" s="1745" t="s">
        <v>771</v>
      </c>
      <c r="O13" s="1745"/>
      <c r="P13" s="205" t="s">
        <v>2053</v>
      </c>
      <c r="Q13" s="1744" t="s">
        <v>770</v>
      </c>
      <c r="R13" s="1745"/>
      <c r="S13" s="361" t="s">
        <v>61</v>
      </c>
      <c r="T13" s="207" t="s">
        <v>61</v>
      </c>
      <c r="U13" s="42"/>
      <c r="V13" s="32"/>
      <c r="W13" s="32"/>
      <c r="X13" s="1626" t="s">
        <v>2605</v>
      </c>
      <c r="Y13" s="362" t="s">
        <v>2110</v>
      </c>
      <c r="Z13" s="362" t="s">
        <v>61</v>
      </c>
      <c r="AA13" s="362" t="s">
        <v>61</v>
      </c>
      <c r="AB13" s="207" t="s">
        <v>61</v>
      </c>
      <c r="AC13" s="32"/>
      <c r="AD13" s="32"/>
      <c r="AE13" s="32"/>
      <c r="AF13" s="204" t="s">
        <v>2065</v>
      </c>
      <c r="AG13" s="362" t="s">
        <v>61</v>
      </c>
      <c r="AH13" s="362" t="s">
        <v>61</v>
      </c>
      <c r="AI13" s="361" t="s">
        <v>61</v>
      </c>
      <c r="AJ13" s="362" t="s">
        <v>2558</v>
      </c>
      <c r="AK13" s="362" t="s">
        <v>61</v>
      </c>
      <c r="AL13" s="362" t="s">
        <v>61</v>
      </c>
      <c r="AM13" s="207" t="s">
        <v>61</v>
      </c>
      <c r="AN13" s="32"/>
      <c r="AO13" s="32"/>
      <c r="AP13" s="32"/>
      <c r="AQ13" s="32"/>
      <c r="AR13" s="32"/>
      <c r="AS13" s="1764" t="s">
        <v>14</v>
      </c>
      <c r="AT13" s="1761"/>
      <c r="AU13" s="1761" t="s">
        <v>60</v>
      </c>
      <c r="AV13" s="1761"/>
      <c r="AW13" s="1761" t="s">
        <v>27</v>
      </c>
      <c r="AX13" s="1761"/>
      <c r="AY13" s="1761" t="s">
        <v>2074</v>
      </c>
      <c r="AZ13" s="1761"/>
      <c r="BA13" s="1762" t="s">
        <v>41</v>
      </c>
      <c r="BB13" s="1763"/>
      <c r="BC13" s="1764" t="s">
        <v>85</v>
      </c>
      <c r="BD13" s="1765"/>
    </row>
    <row r="14" spans="2:62" ht="12.75" customHeight="1" outlineLevel="1" x14ac:dyDescent="0.2">
      <c r="B14" s="204"/>
      <c r="C14" s="362"/>
      <c r="D14" s="362" t="s">
        <v>61</v>
      </c>
      <c r="E14" s="362" t="s">
        <v>63</v>
      </c>
      <c r="F14" s="208" t="s">
        <v>2054</v>
      </c>
      <c r="G14" s="208" t="s">
        <v>34</v>
      </c>
      <c r="H14" s="270" t="s">
        <v>768</v>
      </c>
      <c r="I14" s="270" t="s">
        <v>24</v>
      </c>
      <c r="J14" s="208" t="s">
        <v>2061</v>
      </c>
      <c r="K14" s="270" t="s">
        <v>768</v>
      </c>
      <c r="L14" s="270" t="s">
        <v>2863</v>
      </c>
      <c r="M14" s="212" t="s">
        <v>2059</v>
      </c>
      <c r="N14" s="270" t="s">
        <v>768</v>
      </c>
      <c r="O14" s="270" t="str">
        <f>+L14</f>
        <v>combustione</v>
      </c>
      <c r="P14" s="212" t="s">
        <v>15</v>
      </c>
      <c r="Q14" s="270" t="s">
        <v>768</v>
      </c>
      <c r="R14" s="270" t="str">
        <f>+L14</f>
        <v>combustione</v>
      </c>
      <c r="S14" s="363" t="s">
        <v>768</v>
      </c>
      <c r="T14" s="274" t="str">
        <f>+L14</f>
        <v>combustione</v>
      </c>
      <c r="U14" s="42"/>
      <c r="V14" s="32"/>
      <c r="W14" s="32"/>
      <c r="X14" s="1626" t="s">
        <v>2109</v>
      </c>
      <c r="Y14" s="362"/>
      <c r="Z14" s="270" t="s">
        <v>768</v>
      </c>
      <c r="AA14" s="270" t="s">
        <v>24</v>
      </c>
      <c r="AB14" s="219" t="s">
        <v>41</v>
      </c>
      <c r="AC14" s="32"/>
      <c r="AD14" s="32"/>
      <c r="AE14" s="32"/>
      <c r="AF14" s="204"/>
      <c r="AG14" s="270" t="s">
        <v>768</v>
      </c>
      <c r="AH14" s="270" t="s">
        <v>24</v>
      </c>
      <c r="AI14" s="223" t="s">
        <v>41</v>
      </c>
      <c r="AJ14" s="362"/>
      <c r="AK14" s="270" t="s">
        <v>768</v>
      </c>
      <c r="AL14" s="270" t="s">
        <v>24</v>
      </c>
      <c r="AM14" s="219" t="s">
        <v>41</v>
      </c>
      <c r="AN14" s="32"/>
      <c r="AO14" s="32"/>
      <c r="AP14" s="32"/>
      <c r="AQ14" s="32"/>
      <c r="AS14" s="732" t="s">
        <v>768</v>
      </c>
      <c r="AT14" s="733" t="s">
        <v>24</v>
      </c>
      <c r="AU14" s="733" t="s">
        <v>768</v>
      </c>
      <c r="AV14" s="733" t="s">
        <v>24</v>
      </c>
      <c r="AW14" s="733" t="s">
        <v>768</v>
      </c>
      <c r="AX14" s="733" t="s">
        <v>24</v>
      </c>
      <c r="AY14" s="733" t="s">
        <v>768</v>
      </c>
      <c r="AZ14" s="733" t="s">
        <v>24</v>
      </c>
      <c r="BA14" s="734" t="s">
        <v>768</v>
      </c>
      <c r="BB14" s="735" t="s">
        <v>24</v>
      </c>
      <c r="BC14" s="732" t="s">
        <v>768</v>
      </c>
      <c r="BD14" s="736" t="s">
        <v>24</v>
      </c>
    </row>
    <row r="15" spans="2:62" ht="12.75" customHeight="1" outlineLevel="1" x14ac:dyDescent="0.2">
      <c r="B15" s="200" t="s">
        <v>796</v>
      </c>
      <c r="C15" s="201"/>
      <c r="D15" s="262">
        <f>S15+T15</f>
        <v>0</v>
      </c>
      <c r="E15" s="265">
        <f>D15*12/44</f>
        <v>0</v>
      </c>
      <c r="F15" s="182"/>
      <c r="G15" s="182"/>
      <c r="H15" s="271">
        <f>VLOOKUP($B15,'Emissions factors'!$B$84:$K$147,2,FALSE)</f>
        <v>707.3</v>
      </c>
      <c r="I15" s="271">
        <f>VLOOKUP($B15,'Emissions factors'!$B$84:$K$147,3,FALSE)</f>
        <v>3008.5</v>
      </c>
      <c r="J15" s="182"/>
      <c r="K15" s="277">
        <f>VLOOKUP($B15,'Emissions factors'!$B$84:$K$147,4,FALSE)</f>
        <v>6.0859999999999997E-2</v>
      </c>
      <c r="L15" s="277">
        <f>VLOOKUP($B15,'Emissions factors'!$B$84:$K$147,5,FALSE)</f>
        <v>0.25307999999999997</v>
      </c>
      <c r="M15" s="182"/>
      <c r="N15" s="271">
        <f>VLOOKUP($B15,'Emissions factors'!$B$84:$K$147,6,FALSE)</f>
        <v>694.7</v>
      </c>
      <c r="O15" s="271">
        <f>VLOOKUP($B15,'Emissions factors'!$B$84:$K$147,7,FALSE)</f>
        <v>2957.6</v>
      </c>
      <c r="P15" s="182"/>
      <c r="Q15" s="277">
        <f>VLOOKUP($B15,'Emissions factors'!$B$84:$K$147,8,FALSE)</f>
        <v>0.53329999999999989</v>
      </c>
      <c r="R15" s="277">
        <f>VLOOKUP($B15,'Emissions factors'!$B$84:$K$147,9,FALSE)</f>
        <v>2.2637</v>
      </c>
      <c r="S15" s="210">
        <f>G15*H15+J15*K15+M15*N15+P15*Q15</f>
        <v>0</v>
      </c>
      <c r="T15" s="211">
        <f>G15*I15+J15*L15+M15*O15+P15*R15</f>
        <v>0</v>
      </c>
      <c r="U15" s="42"/>
      <c r="X15" s="282">
        <f>VLOOKUP($B15,'Emissions factors'!$B$84:$K$147,10,FALSE)</f>
        <v>0.05</v>
      </c>
      <c r="Y15" s="184"/>
      <c r="Z15" s="221">
        <f>S15*SQRT(X15^2+Y15^2)</f>
        <v>0</v>
      </c>
      <c r="AA15" s="221">
        <f>T15*SQRT(X15^2+Y15^2)</f>
        <v>0</v>
      </c>
      <c r="AB15" s="211">
        <f>SQRT(Z15^2+AA15^2)</f>
        <v>0</v>
      </c>
      <c r="AF15" s="184"/>
      <c r="AG15" s="221">
        <f>S15*AF15</f>
        <v>0</v>
      </c>
      <c r="AH15" s="224">
        <f>T15*AF15</f>
        <v>0</v>
      </c>
      <c r="AI15" s="210">
        <f>AG15+AH15</f>
        <v>0</v>
      </c>
      <c r="AJ15" s="184"/>
      <c r="AK15" s="221">
        <f>S15*AJ15</f>
        <v>0</v>
      </c>
      <c r="AL15" s="224">
        <f>T15*AJ15</f>
        <v>0</v>
      </c>
      <c r="AM15" s="211">
        <f>AK15+AL15</f>
        <v>0</v>
      </c>
      <c r="AS15" s="717">
        <f>G15*VLOOKUP($B15,'Emissions factors'!$B$84:$AQ$147,11,FALSE)+J15*VLOOKUP($B15,'Emissions factors'!$B$84:$AQ$147,13,FALSE)+M15*VLOOKUP($B15,'Emissions factors'!$B$84:$AQ$147,15,FALSE)+P15*VLOOKUP($B15,'Emissions factors'!$B$84:$AQ$147,17,FALSE)</f>
        <v>0</v>
      </c>
      <c r="AT15" s="718">
        <f>G15*VLOOKUP($B15,'Emissions factors'!$B$84:$AQ$147,12,FALSE)+J15*VLOOKUP($B15,'Emissions factors'!$B$84:$AQ$147,14,FALSE)+M15*VLOOKUP($B15,'Emissions factors'!$B$84:$AQ$147,16,FALSE)+P15*VLOOKUP($B15,'Emissions factors'!$B$84:$AQ$147,18,FALSE)</f>
        <v>0</v>
      </c>
      <c r="AU15" s="718">
        <f>G15*VLOOKUP($B15,'Emissions factors'!$B$84:$AQ$147,19,FALSE)+J15*VLOOKUP($B15,'Emissions factors'!$B$84:$AQ$147,21,FALSE)+M15*VLOOKUP($B15,'Emissions factors'!$B$84:$AQ$147,23,FALSE)+P15*VLOOKUP($B15,'Emissions factors'!$B$84:$AQ$147,25,FALSE)</f>
        <v>0</v>
      </c>
      <c r="AV15" s="718">
        <f>G15*VLOOKUP($B15,'Emissions factors'!$B$84:$AQ$147,20,FALSE)+J15*VLOOKUP($B15,'Emissions factors'!$B$84:$AQ$147,22,FALSE)+M15*VLOOKUP($B15,'Emissions factors'!$B$84:$AQ$147,24,FALSE)+P15*VLOOKUP($B15,'Emissions factors'!$B$84:$AQ$147,26,FALSE)</f>
        <v>0</v>
      </c>
      <c r="AW15" s="718">
        <f>G15*VLOOKUP($B15,'Emissions factors'!$B$84:$AQ$147,27,FALSE)+J15*VLOOKUP($B15,'Emissions factors'!$B$84:$AQ$147,29,FALSE)+M15*VLOOKUP($B15,'Emissions factors'!$B$84:$AQ$147,31,FALSE)+P15*VLOOKUP($B15,'Emissions factors'!$B$84:$AQ$147,33,FALSE)</f>
        <v>0</v>
      </c>
      <c r="AX15" s="718">
        <f>G15*VLOOKUP($B15,'Emissions factors'!$B$84:$AQ$147,28,FALSE)+J15*VLOOKUP($B15,'Emissions factors'!$B$84:$AQ$147,30,FALSE)+M15*VLOOKUP($B15,'Emissions factors'!$B$84:$AQ$147,32,FALSE)+P15*VLOOKUP($B15,'Emissions factors'!$B$84:$AQ$147,34,FALSE)</f>
        <v>0</v>
      </c>
      <c r="AY15" s="718">
        <v>0</v>
      </c>
      <c r="AZ15" s="718">
        <v>0</v>
      </c>
      <c r="BA15" s="719">
        <f t="shared" ref="BA15:BB17" si="0">S15</f>
        <v>0</v>
      </c>
      <c r="BB15" s="720">
        <f t="shared" si="0"/>
        <v>0</v>
      </c>
      <c r="BC15" s="718">
        <f>G15*VLOOKUP($B15,'Emissions factors'!$B$84:$AQ$147,35,FALSE)+J15*VLOOKUP($B15,'Emissions factors'!$B$84:$AQ$147,37,FALSE)+M15*VLOOKUP($B15,'Emissions factors'!$B$84:$AQ$147,39,FALSE)+P15*VLOOKUP($B15,'Emissions factors'!$B$84:$AQ$147,41,FALSE)</f>
        <v>0</v>
      </c>
      <c r="BD15" s="721">
        <f>G15*VLOOKUP($B15,'Emissions factors'!$B$84:$AQ$147,36,FALSE)+J15*VLOOKUP($B15,'Emissions factors'!$B$84:$AQ$147,38,FALSE)+M15*VLOOKUP($B15,'Emissions factors'!$B$84:$AQ$147,40,FALSE)+P15*VLOOKUP($B15,'Emissions factors'!$B$84:$AQ$147,42,FALSE)</f>
        <v>0</v>
      </c>
    </row>
    <row r="16" spans="2:62" ht="12.75" customHeight="1" outlineLevel="1" x14ac:dyDescent="0.2">
      <c r="B16" s="200" t="s">
        <v>805</v>
      </c>
      <c r="C16" s="201"/>
      <c r="D16" s="262">
        <f>S16+T16</f>
        <v>0</v>
      </c>
      <c r="E16" s="265">
        <f>D16*12/44</f>
        <v>0</v>
      </c>
      <c r="F16" s="185"/>
      <c r="G16" s="185"/>
      <c r="H16" s="271">
        <f>VLOOKUP($B16,'Emissions factors'!$B$84:$K$147,2,FALSE)</f>
        <v>775.9</v>
      </c>
      <c r="I16" s="271">
        <f>VLOOKUP($B16,'Emissions factors'!$B$84:$K$147,3,FALSE)</f>
        <v>2975.0299999999997</v>
      </c>
      <c r="J16" s="185"/>
      <c r="K16" s="277">
        <f>VLOOKUP($B16,'Emissions factors'!$B$84:$K$147,4,FALSE)</f>
        <v>6.7080000000000001E-2</v>
      </c>
      <c r="L16" s="277">
        <f>VLOOKUP($B16,'Emissions factors'!$B$84:$K$147,5,FALSE)</f>
        <v>0.25615399999999999</v>
      </c>
      <c r="M16" s="185"/>
      <c r="N16" s="271">
        <f>VLOOKUP($B16,'Emissions factors'!$B$84:$K$147,6,FALSE)</f>
        <v>783.2</v>
      </c>
      <c r="O16" s="271">
        <f>VLOOKUP($B16,'Emissions factors'!$B$84:$K$147,7,FALSE)</f>
        <v>2985.1400000000003</v>
      </c>
      <c r="P16" s="185"/>
      <c r="Q16" s="277">
        <f>VLOOKUP($B16,'Emissions factors'!$B$84:$K$147,8,FALSE)</f>
        <v>0.65529999999999988</v>
      </c>
      <c r="R16" s="277">
        <f>VLOOKUP($B16,'Emissions factors'!$B$84:$K$147,9,FALSE)</f>
        <v>2.5111300000000001</v>
      </c>
      <c r="S16" s="210">
        <f>G16*H16+J16*K16+M16*N16+P16*Q16</f>
        <v>0</v>
      </c>
      <c r="T16" s="211">
        <f>G16*I16+J16*L16+M16*O16+P16*R16</f>
        <v>0</v>
      </c>
      <c r="U16" s="42"/>
      <c r="X16" s="282">
        <f>VLOOKUP($B16,'Emissions factors'!$B$84:$K$147,10,FALSE)</f>
        <v>0.05</v>
      </c>
      <c r="Y16" s="187"/>
      <c r="Z16" s="221">
        <f>S16*SQRT(X16^2+Y16^2)</f>
        <v>0</v>
      </c>
      <c r="AA16" s="221">
        <f>T16*SQRT(X16^2+Y16^2)</f>
        <v>0</v>
      </c>
      <c r="AB16" s="211">
        <f>SQRT(Z16^2+AA16^2)</f>
        <v>0</v>
      </c>
      <c r="AF16" s="187"/>
      <c r="AG16" s="221">
        <f>S16*AF16</f>
        <v>0</v>
      </c>
      <c r="AH16" s="224">
        <f>T16*AF16</f>
        <v>0</v>
      </c>
      <c r="AI16" s="210">
        <f>AG16+AH16</f>
        <v>0</v>
      </c>
      <c r="AJ16" s="187"/>
      <c r="AK16" s="221">
        <f>S16*AJ16</f>
        <v>0</v>
      </c>
      <c r="AL16" s="224">
        <f>T16*AJ16</f>
        <v>0</v>
      </c>
      <c r="AM16" s="211">
        <f>AK16+AL16</f>
        <v>0</v>
      </c>
      <c r="AS16" s="717">
        <f>G16*VLOOKUP($B16,'Emissions factors'!$B$84:$AQ$147,11,FALSE)+J16*VLOOKUP($B16,'Emissions factors'!$B$84:$AQ$147,13,FALSE)+M16*VLOOKUP($B16,'Emissions factors'!$B$84:$AQ$147,15,FALSE)+P16*VLOOKUP($B16,'Emissions factors'!$B$84:$AQ$147,17,FALSE)</f>
        <v>0</v>
      </c>
      <c r="AT16" s="718">
        <f>G16*VLOOKUP($B16,'Emissions factors'!$B$84:$AQ$147,12,FALSE)+J16*VLOOKUP($B16,'Emissions factors'!$B$84:$AQ$147,14,FALSE)+M16*VLOOKUP($B16,'Emissions factors'!$B$84:$AQ$147,16,FALSE)+P16*VLOOKUP($B16,'Emissions factors'!$B$84:$AQ$147,18,FALSE)</f>
        <v>0</v>
      </c>
      <c r="AU16" s="718">
        <f>G16*VLOOKUP($B16,'Emissions factors'!$B$84:$AQ$147,19,FALSE)+J16*VLOOKUP($B16,'Emissions factors'!$B$84:$AQ$147,21,FALSE)+M16*VLOOKUP($B16,'Emissions factors'!$B$84:$AQ$147,23,FALSE)+P16*VLOOKUP($B16,'Emissions factors'!$B$84:$AQ$147,25,FALSE)</f>
        <v>0</v>
      </c>
      <c r="AV16" s="718">
        <f>G16*VLOOKUP($B16,'Emissions factors'!$B$84:$AQ$147,20,FALSE)+J16*VLOOKUP($B16,'Emissions factors'!$B$84:$AQ$147,22,FALSE)+M16*VLOOKUP($B16,'Emissions factors'!$B$84:$AQ$147,24,FALSE)+P16*VLOOKUP($B16,'Emissions factors'!$B$84:$AQ$147,26,FALSE)</f>
        <v>0</v>
      </c>
      <c r="AW16" s="718">
        <f>G16*VLOOKUP($B16,'Emissions factors'!$B$84:$AQ$147,27,FALSE)+J16*VLOOKUP($B16,'Emissions factors'!$B$84:$AQ$147,29,FALSE)+M16*VLOOKUP($B16,'Emissions factors'!$B$84:$AQ$147,31,FALSE)+P16*VLOOKUP($B16,'Emissions factors'!$B$84:$AQ$147,33,FALSE)</f>
        <v>0</v>
      </c>
      <c r="AX16" s="718">
        <f>G16*VLOOKUP($B16,'Emissions factors'!$B$84:$AQ$147,28,FALSE)+J16*VLOOKUP($B16,'Emissions factors'!$B$84:$AQ$147,30,FALSE)+M16*VLOOKUP($B16,'Emissions factors'!$B$84:$AQ$147,32,FALSE)+P16*VLOOKUP($B16,'Emissions factors'!$B$84:$AQ$147,34,FALSE)</f>
        <v>0</v>
      </c>
      <c r="AY16" s="718">
        <v>0</v>
      </c>
      <c r="AZ16" s="718">
        <v>0</v>
      </c>
      <c r="BA16" s="719">
        <f t="shared" si="0"/>
        <v>0</v>
      </c>
      <c r="BB16" s="720">
        <f t="shared" si="0"/>
        <v>0</v>
      </c>
      <c r="BC16" s="718">
        <f>G16*VLOOKUP($B16,'Emissions factors'!$B$84:$AQ$147,35,FALSE)+J16*VLOOKUP($B16,'Emissions factors'!$B$84:$AQ$147,37,FALSE)+M16*VLOOKUP($B16,'Emissions factors'!$B$84:$AQ$147,39,FALSE)+P16*VLOOKUP($B16,'Emissions factors'!$B$84:$AQ$147,41,FALSE)</f>
        <v>0</v>
      </c>
      <c r="BD16" s="721">
        <f>G16*VLOOKUP($B16,'Emissions factors'!$B$84:$AQ$147,36,FALSE)+J16*VLOOKUP($B16,'Emissions factors'!$B$84:$AQ$147,38,FALSE)+M16*VLOOKUP($B16,'Emissions factors'!$B$84:$AQ$147,40,FALSE)+P16*VLOOKUP($B16,'Emissions factors'!$B$84:$AQ$147,42,FALSE)</f>
        <v>0</v>
      </c>
    </row>
    <row r="17" spans="2:62" ht="12.75" customHeight="1" outlineLevel="1" x14ac:dyDescent="0.2">
      <c r="B17" s="200" t="s">
        <v>803</v>
      </c>
      <c r="C17" s="201"/>
      <c r="D17" s="262">
        <f>S17+T17</f>
        <v>0</v>
      </c>
      <c r="E17" s="265">
        <f>D17*12/44</f>
        <v>0</v>
      </c>
      <c r="F17" s="188"/>
      <c r="G17" s="188"/>
      <c r="H17" s="271">
        <f>VLOOKUP($B17,'Emissions factors'!$B$84:$K$147,2,FALSE)</f>
        <v>1153.9000000000001</v>
      </c>
      <c r="I17" s="271">
        <f>VLOOKUP($B17,'Emissions factors'!$B$84:$K$147,3,FALSE)</f>
        <v>2228.6959999999999</v>
      </c>
      <c r="J17" s="188"/>
      <c r="K17" s="277">
        <f>VLOOKUP($B17,'Emissions factors'!$B$84:$K$147,4,FALSE)</f>
        <v>0.1023</v>
      </c>
      <c r="L17" s="277">
        <f>VLOOKUP($B17,'Emissions factors'!$B$84:$K$147,5,FALSE)</f>
        <v>0.19462700000000002</v>
      </c>
      <c r="M17" s="188"/>
      <c r="N17" s="271">
        <f>VLOOKUP($B17,'Emissions factors'!$B$84:$K$147,6,FALSE)</f>
        <v>1178.0999999999999</v>
      </c>
      <c r="O17" s="271">
        <f>VLOOKUP($B17,'Emissions factors'!$B$84:$K$147,7,FALSE)</f>
        <v>2269.11</v>
      </c>
      <c r="P17" s="188"/>
      <c r="Q17" s="277">
        <f>VLOOKUP($B17,'Emissions factors'!$B$84:$K$147,8,FALSE)</f>
        <v>0.97550000000000003</v>
      </c>
      <c r="R17" s="277">
        <f>VLOOKUP($B17,'Emissions factors'!$B$84:$K$147,9,FALSE)</f>
        <v>1.87584</v>
      </c>
      <c r="S17" s="210">
        <f>G17*H17+J17*K17+M17*N17+P17*Q17</f>
        <v>0</v>
      </c>
      <c r="T17" s="211">
        <f>G17*I17+J17*L17+M17*O17+P17*R17</f>
        <v>0</v>
      </c>
      <c r="U17" s="42"/>
      <c r="X17" s="282">
        <f>VLOOKUP($B17,'Emissions factors'!$B$84:$K$147,10,FALSE)</f>
        <v>0.05</v>
      </c>
      <c r="Y17" s="190"/>
      <c r="Z17" s="221">
        <f>S17*SQRT(X17^2+Y17^2)</f>
        <v>0</v>
      </c>
      <c r="AA17" s="221">
        <f>T17*SQRT(X17^2+Y17^2)</f>
        <v>0</v>
      </c>
      <c r="AB17" s="211">
        <f>SQRT(Z17^2+AA17^2)</f>
        <v>0</v>
      </c>
      <c r="AF17" s="190"/>
      <c r="AG17" s="221">
        <f>S17*AF17</f>
        <v>0</v>
      </c>
      <c r="AH17" s="224">
        <f>T17*AF17</f>
        <v>0</v>
      </c>
      <c r="AI17" s="210">
        <f>AG17+AH17</f>
        <v>0</v>
      </c>
      <c r="AJ17" s="190"/>
      <c r="AK17" s="221">
        <f>S17*AJ17</f>
        <v>0</v>
      </c>
      <c r="AL17" s="224">
        <f>T17*AJ17</f>
        <v>0</v>
      </c>
      <c r="AM17" s="211">
        <f>AK17+AL17</f>
        <v>0</v>
      </c>
      <c r="AS17" s="717">
        <f>G17*VLOOKUP($B17,'Emissions factors'!$B$84:$AQ$147,11,FALSE)+J17*VLOOKUP($B17,'Emissions factors'!$B$84:$AQ$147,13,FALSE)+M17*VLOOKUP($B17,'Emissions factors'!$B$84:$AQ$147,15,FALSE)+P17*VLOOKUP($B17,'Emissions factors'!$B$84:$AQ$147,17,FALSE)</f>
        <v>0</v>
      </c>
      <c r="AT17" s="718">
        <f>G17*VLOOKUP($B17,'Emissions factors'!$B$84:$AQ$147,12,FALSE)+J17*VLOOKUP($B17,'Emissions factors'!$B$84:$AQ$147,14,FALSE)+M17*VLOOKUP($B17,'Emissions factors'!$B$84:$AQ$147,16,FALSE)+P17*VLOOKUP($B17,'Emissions factors'!$B$84:$AQ$147,18,FALSE)</f>
        <v>0</v>
      </c>
      <c r="AU17" s="718">
        <f>G17*VLOOKUP($B17,'Emissions factors'!$B$84:$AQ$147,19,FALSE)+J17*VLOOKUP($B17,'Emissions factors'!$B$84:$AQ$147,21,FALSE)+M17*VLOOKUP($B17,'Emissions factors'!$B$84:$AQ$147,23,FALSE)+P17*VLOOKUP($B17,'Emissions factors'!$B$84:$AQ$147,25,FALSE)</f>
        <v>0</v>
      </c>
      <c r="AV17" s="718">
        <f>G17*VLOOKUP($B17,'Emissions factors'!$B$84:$AQ$147,20,FALSE)+J17*VLOOKUP($B17,'Emissions factors'!$B$84:$AQ$147,22,FALSE)+M17*VLOOKUP($B17,'Emissions factors'!$B$84:$AQ$147,24,FALSE)+P17*VLOOKUP($B17,'Emissions factors'!$B$84:$AQ$147,26,FALSE)</f>
        <v>0</v>
      </c>
      <c r="AW17" s="718">
        <f>G17*VLOOKUP($B17,'Emissions factors'!$B$84:$AQ$147,27,FALSE)+J17*VLOOKUP($B17,'Emissions factors'!$B$84:$AQ$147,29,FALSE)+M17*VLOOKUP($B17,'Emissions factors'!$B$84:$AQ$147,31,FALSE)+P17*VLOOKUP($B17,'Emissions factors'!$B$84:$AQ$147,33,FALSE)</f>
        <v>0</v>
      </c>
      <c r="AX17" s="718">
        <f>G17*VLOOKUP($B17,'Emissions factors'!$B$84:$AQ$147,28,FALSE)+J17*VLOOKUP($B17,'Emissions factors'!$B$84:$AQ$147,30,FALSE)+M17*VLOOKUP($B17,'Emissions factors'!$B$84:$AQ$147,32,FALSE)+P17*VLOOKUP($B17,'Emissions factors'!$B$84:$AQ$147,34,FALSE)</f>
        <v>0</v>
      </c>
      <c r="AY17" s="718">
        <v>0</v>
      </c>
      <c r="AZ17" s="718">
        <v>0</v>
      </c>
      <c r="BA17" s="719">
        <f t="shared" si="0"/>
        <v>0</v>
      </c>
      <c r="BB17" s="720">
        <f t="shared" si="0"/>
        <v>0</v>
      </c>
      <c r="BC17" s="718">
        <f>G17*VLOOKUP($B17,'Emissions factors'!$B$84:$AQ$147,35,FALSE)+J17*VLOOKUP($B17,'Emissions factors'!$B$84:$AQ$147,37,FALSE)+M17*VLOOKUP($B17,'Emissions factors'!$B$84:$AQ$147,39,FALSE)+P17*VLOOKUP($B17,'Emissions factors'!$B$84:$AQ$147,41,FALSE)</f>
        <v>0</v>
      </c>
      <c r="BD17" s="721">
        <f>G17*VLOOKUP($B17,'Emissions factors'!$B$84:$AQ$147,36,FALSE)+J17*VLOOKUP($B17,'Emissions factors'!$B$84:$AQ$147,38,FALSE)+M17*VLOOKUP($B17,'Emissions factors'!$B$84:$AQ$147,40,FALSE)+P17*VLOOKUP($B17,'Emissions factors'!$B$84:$AQ$147,42,FALSE)</f>
        <v>0</v>
      </c>
    </row>
    <row r="18" spans="2:62" ht="12.75" customHeight="1" outlineLevel="1" x14ac:dyDescent="0.2">
      <c r="B18" s="200"/>
      <c r="C18" s="201"/>
      <c r="D18" s="263"/>
      <c r="E18" s="266"/>
      <c r="F18" s="410"/>
      <c r="G18" s="410"/>
      <c r="H18" s="273"/>
      <c r="I18" s="273"/>
      <c r="J18" s="410"/>
      <c r="K18" s="273"/>
      <c r="L18" s="273"/>
      <c r="M18" s="410"/>
      <c r="N18" s="273"/>
      <c r="O18" s="273"/>
      <c r="P18" s="410"/>
      <c r="Q18" s="277"/>
      <c r="R18" s="277"/>
      <c r="S18" s="210"/>
      <c r="T18" s="211"/>
      <c r="U18" s="42"/>
      <c r="X18" s="282"/>
      <c r="Y18" s="221"/>
      <c r="Z18" s="221"/>
      <c r="AA18" s="221"/>
      <c r="AB18" s="211"/>
      <c r="AF18" s="200"/>
      <c r="AG18" s="221"/>
      <c r="AH18" s="224"/>
      <c r="AI18" s="285"/>
      <c r="AJ18" s="224"/>
      <c r="AK18" s="221"/>
      <c r="AL18" s="224"/>
      <c r="AM18" s="211"/>
      <c r="AS18" s="717"/>
      <c r="AT18" s="718"/>
      <c r="AU18" s="718"/>
      <c r="AV18" s="718"/>
      <c r="AW18" s="718"/>
      <c r="AX18" s="718"/>
      <c r="AY18" s="718"/>
      <c r="AZ18" s="718"/>
      <c r="BA18" s="719"/>
      <c r="BB18" s="720"/>
      <c r="BC18" s="717"/>
      <c r="BD18" s="721"/>
    </row>
    <row r="19" spans="2:62" ht="12.75" customHeight="1" outlineLevel="1" x14ac:dyDescent="0.2">
      <c r="B19" s="200" t="s">
        <v>834</v>
      </c>
      <c r="C19" s="201"/>
      <c r="D19" s="262">
        <f>S19+T19</f>
        <v>0</v>
      </c>
      <c r="E19" s="265">
        <f>D19*12/44</f>
        <v>0</v>
      </c>
      <c r="F19" s="182"/>
      <c r="G19" s="182"/>
      <c r="H19" s="271">
        <f>VLOOKUP($B19,'Emissions factors'!$B$152:$K$165,2,FALSE)</f>
        <v>1134.9000000000001</v>
      </c>
      <c r="I19" s="271">
        <f>VLOOKUP($B19,'Emissions factors'!$B$152:$K$165,3,FALSE)</f>
        <v>0</v>
      </c>
      <c r="J19" s="182"/>
      <c r="K19" s="277">
        <f>VLOOKUP($B19,'Emissions factors'!$B$152:$K$165,4,FALSE)</f>
        <v>0.10988999999999999</v>
      </c>
      <c r="L19" s="277">
        <f>VLOOKUP($B19,'Emissions factors'!$B$152:$K$165,5,FALSE)</f>
        <v>0</v>
      </c>
      <c r="M19" s="182"/>
      <c r="N19" s="271">
        <f>VLOOKUP($B19,'Emissions factors'!$B$152:$K$165,6,FALSE)</f>
        <v>1278.0999999999999</v>
      </c>
      <c r="O19" s="271">
        <f>VLOOKUP($B19,'Emissions factors'!$B$152:$K$165,7,FALSE)</f>
        <v>0</v>
      </c>
      <c r="P19" s="182"/>
      <c r="Q19" s="277">
        <f>VLOOKUP($B19,'Emissions factors'!$B$152:$K$165,8,FALSE)</f>
        <v>1.0113000000000001</v>
      </c>
      <c r="R19" s="277">
        <f>VLOOKUP($B19,'Emissions factors'!$B$152:$K$165,9,FALSE)</f>
        <v>0</v>
      </c>
      <c r="S19" s="210">
        <f>G19*H19+J19*K19+M19*N19+P19*Q19</f>
        <v>0</v>
      </c>
      <c r="T19" s="211">
        <f>G19*I19+J19*L19+M19*O19+P19*R19</f>
        <v>0</v>
      </c>
      <c r="U19" s="42"/>
      <c r="X19" s="282">
        <f>VLOOKUP($B19,'Emissions factors'!$B$152:$K$165,10,FALSE)</f>
        <v>0.2</v>
      </c>
      <c r="Y19" s="184"/>
      <c r="Z19" s="221">
        <f>S19*SQRT(X19^2+Y19^2)</f>
        <v>0</v>
      </c>
      <c r="AA19" s="221">
        <f>T19*SQRT(X19^2+Y19^2)</f>
        <v>0</v>
      </c>
      <c r="AB19" s="211">
        <f>SQRT(Z19^2+AA19^2)</f>
        <v>0</v>
      </c>
      <c r="AF19" s="184"/>
      <c r="AG19" s="221">
        <f>S19*AF19</f>
        <v>0</v>
      </c>
      <c r="AH19" s="224">
        <f>T19*AF19</f>
        <v>0</v>
      </c>
      <c r="AI19" s="210">
        <f>AG19+AH19</f>
        <v>0</v>
      </c>
      <c r="AJ19" s="184"/>
      <c r="AK19" s="221">
        <f>S19*AJ19</f>
        <v>0</v>
      </c>
      <c r="AL19" s="224">
        <f>T19*AJ19</f>
        <v>0</v>
      </c>
      <c r="AM19" s="211">
        <f>AK19+AL19</f>
        <v>0</v>
      </c>
      <c r="AS19" s="717">
        <f>G19*VLOOKUP($B19,'Emissions factors'!$B$152:$AQ$165,11,FALSE)+J19*VLOOKUP($B19,'Emissions factors'!$B$152:$AQ$165,13,FALSE)+M19*VLOOKUP($B19,'Emissions factors'!$B$152:$AQ$165,15,FALSE)+P19*VLOOKUP($B19,'Emissions factors'!$B$152:$AQ$165,17,FALSE)</f>
        <v>0</v>
      </c>
      <c r="AT19" s="718">
        <f>G19*VLOOKUP($B19,'Emissions factors'!$B$152:$AQ$165,12,FALSE)+J19*VLOOKUP($B19,'Emissions factors'!$B$152:$AQ$165,14,FALSE)+M19*VLOOKUP($B19,'Emissions factors'!$B$152:$AQ$165,16,FALSE)+P19*VLOOKUP($B19,'Emissions factors'!$B$152:$AQ$165,18,FALSE)</f>
        <v>0</v>
      </c>
      <c r="AU19" s="718">
        <f>G19*VLOOKUP($B19,'Emissions factors'!$B$152:$AQ$165,19,FALSE)+J19*VLOOKUP($B19,'Emissions factors'!$B$152:$AQ$165,21,FALSE)+M19*VLOOKUP($B19,'Emissions factors'!$B$152:$AQ$165,23,FALSE)+P19*VLOOKUP($B19,'Emissions factors'!$B$152:$AQ$165,25,FALSE)</f>
        <v>0</v>
      </c>
      <c r="AV19" s="718">
        <f>G19*VLOOKUP($B19,'Emissions factors'!$B$152:$AQ$165,20,FALSE)+J19*VLOOKUP($B19,'Emissions factors'!$B$152:$AQ$165,22,FALSE)+M19*VLOOKUP($B19,'Emissions factors'!$B$152:$AQ$165,24,FALSE)+P19*VLOOKUP($B19,'Emissions factors'!$B$152:$AQ$165,26,FALSE)</f>
        <v>0</v>
      </c>
      <c r="AW19" s="718">
        <f>G19*VLOOKUP($B19,'Emissions factors'!$B$152:$AQ$165,27,FALSE)+J19*VLOOKUP($B19,'Emissions factors'!$B$152:$AQ$165,29,FALSE)+M19*VLOOKUP($B19,'Emissions factors'!$B$152:$AQ$165,31,FALSE)+P19*VLOOKUP($B19,'Emissions factors'!$B$152:$AQ$165,33,FALSE)</f>
        <v>0</v>
      </c>
      <c r="AX19" s="718">
        <f>G19*VLOOKUP($B19,'Emissions factors'!$B$152:$AQ$165,28,FALSE)+J19*VLOOKUP($B19,'Emissions factors'!$B$152:$AQ$165,30,FALSE)+M19*VLOOKUP($B19,'Emissions factors'!$B$152:$AQ$165,32,FALSE)+P19*VLOOKUP($B19,'Emissions factors'!$B$152:$AQ$165,34,FALSE)</f>
        <v>0</v>
      </c>
      <c r="AY19" s="718">
        <v>0</v>
      </c>
      <c r="AZ19" s="718">
        <v>0</v>
      </c>
      <c r="BA19" s="719">
        <f>S19</f>
        <v>0</v>
      </c>
      <c r="BB19" s="720">
        <f>T19</f>
        <v>0</v>
      </c>
      <c r="BC19" s="717">
        <f>G19*VLOOKUP($B19,'Emissions factors'!$B$152:$AQ$165,35,FALSE)+J19*VLOOKUP($B19,'Emissions factors'!$B$152:$AQ$165,37,FALSE)+M19*VLOOKUP($B19,'Emissions factors'!$B$152:$AQ$165,39,FALSE)+P19*VLOOKUP($B19,'Emissions factors'!$B$152:$AQ$165,41,FALSE)</f>
        <v>0</v>
      </c>
      <c r="BD19" s="721">
        <f>G19*VLOOKUP($B19,'Emissions factors'!$B$152:$AQ$165,36,FALSE)+J19*VLOOKUP($B19,'Emissions factors'!$B$152:$AQ$165,38,FALSE)+M19*VLOOKUP($B19,'Emissions factors'!$B$152:$AQ$165,40,FALSE)+P19*VLOOKUP($B19,'Emissions factors'!$B$152:$AQ$165,42,FALSE)</f>
        <v>0</v>
      </c>
    </row>
    <row r="20" spans="2:62" ht="12.75" customHeight="1" outlineLevel="1" x14ac:dyDescent="0.2">
      <c r="B20" s="200" t="s">
        <v>839</v>
      </c>
      <c r="C20" s="201"/>
      <c r="D20" s="262">
        <f>S20+T20</f>
        <v>0</v>
      </c>
      <c r="E20" s="265">
        <f>D20*12/44</f>
        <v>0</v>
      </c>
      <c r="F20" s="188"/>
      <c r="G20" s="188"/>
      <c r="H20" s="271">
        <f>VLOOKUP($B20,'Emissions factors'!$B$152:$K$165,2,FALSE)</f>
        <v>41.2</v>
      </c>
      <c r="I20" s="271">
        <f>VLOOKUP($B20,'Emissions factors'!$B$152:$K$165,3,FALSE)</f>
        <v>72.599999999999994</v>
      </c>
      <c r="J20" s="188"/>
      <c r="K20" s="277">
        <f>VLOOKUP($B20,'Emissions factors'!$B$152:$K$165,4,FALSE)</f>
        <v>1.068E-2</v>
      </c>
      <c r="L20" s="277">
        <f>VLOOKUP($B20,'Emissions factors'!$B$152:$K$165,5,FALSE)</f>
        <v>1.8800000000000001E-2</v>
      </c>
      <c r="M20" s="188"/>
      <c r="N20" s="271">
        <f>VLOOKUP($B20,'Emissions factors'!$B$152:$K$165,6,FALSE)</f>
        <v>0</v>
      </c>
      <c r="O20" s="271">
        <f>VLOOKUP($B20,'Emissions factors'!$B$152:$K$165,7,FALSE)</f>
        <v>0</v>
      </c>
      <c r="P20" s="188"/>
      <c r="Q20" s="277">
        <f>VLOOKUP($B20,'Emissions factors'!$B$152:$K$165,8,FALSE)</f>
        <v>0</v>
      </c>
      <c r="R20" s="277">
        <f>VLOOKUP($B20,'Emissions factors'!$B$152:$K$165,9,FALSE)</f>
        <v>0</v>
      </c>
      <c r="S20" s="210">
        <f>G20*H20+J20*K20+M20*N20+P20*Q20</f>
        <v>0</v>
      </c>
      <c r="T20" s="211">
        <f>G20*I20+J20*L20+M20*O20+P20*R20</f>
        <v>0</v>
      </c>
      <c r="U20" s="42"/>
      <c r="X20" s="282">
        <f>VLOOKUP($B20,'Emissions factors'!$B$152:$K$165,10,FALSE)</f>
        <v>0.5</v>
      </c>
      <c r="Y20" s="190"/>
      <c r="Z20" s="221">
        <f>S20*SQRT(X20^2+Y20^2)</f>
        <v>0</v>
      </c>
      <c r="AA20" s="221">
        <f>T20*SQRT(X20^2+Y20^2)</f>
        <v>0</v>
      </c>
      <c r="AB20" s="211">
        <f>SQRT(Z20^2+AA20^2)</f>
        <v>0</v>
      </c>
      <c r="AF20" s="190"/>
      <c r="AG20" s="221">
        <f>S20*AF20</f>
        <v>0</v>
      </c>
      <c r="AH20" s="224">
        <f>T20*AF20</f>
        <v>0</v>
      </c>
      <c r="AI20" s="210">
        <f>AG20+AH20</f>
        <v>0</v>
      </c>
      <c r="AJ20" s="190"/>
      <c r="AK20" s="221">
        <f>S20*AJ20</f>
        <v>0</v>
      </c>
      <c r="AL20" s="224">
        <f>T20*AJ20</f>
        <v>0</v>
      </c>
      <c r="AM20" s="211">
        <f>AK20+AL20</f>
        <v>0</v>
      </c>
      <c r="AS20" s="717">
        <f>G20*VLOOKUP($B20,'Emissions factors'!$B$152:$AQ$165,11,FALSE)+J20*VLOOKUP($B20,'Emissions factors'!$B$152:$AQ$165,13,FALSE)+M20*VLOOKUP($B20,'Emissions factors'!$B$152:$AQ$165,15,FALSE)+P20*VLOOKUP($B20,'Emissions factors'!$B$152:$AQ$165,17,FALSE)</f>
        <v>0</v>
      </c>
      <c r="AT20" s="718">
        <f>G20*VLOOKUP($B20,'Emissions factors'!$B$152:$AQ$165,12,FALSE)+J20*VLOOKUP($B20,'Emissions factors'!$B$152:$AQ$165,14,FALSE)+M20*VLOOKUP($B20,'Emissions factors'!$B$152:$AQ$165,16,FALSE)+P20*VLOOKUP($B20,'Emissions factors'!$B$152:$AQ$165,18,FALSE)</f>
        <v>0</v>
      </c>
      <c r="AU20" s="718">
        <f>G20*VLOOKUP($B20,'Emissions factors'!$B$152:$AQ$165,19,FALSE)+J20*VLOOKUP($B20,'Emissions factors'!$B$152:$AQ$165,21,FALSE)+M20*VLOOKUP($B20,'Emissions factors'!$B$152:$AQ$165,23,FALSE)+P20*VLOOKUP($B20,'Emissions factors'!$B$152:$AQ$165,25,FALSE)</f>
        <v>0</v>
      </c>
      <c r="AV20" s="718">
        <f>G20*VLOOKUP($B20,'Emissions factors'!$B$152:$AQ$165,20,FALSE)+J20*VLOOKUP($B20,'Emissions factors'!$B$152:$AQ$165,22,FALSE)+M20*VLOOKUP($B20,'Emissions factors'!$B$152:$AQ$165,24,FALSE)+P20*VLOOKUP($B20,'Emissions factors'!$B$152:$AQ$165,26,FALSE)</f>
        <v>0</v>
      </c>
      <c r="AW20" s="718">
        <f>G20*VLOOKUP($B20,'Emissions factors'!$B$152:$AQ$165,27,FALSE)+J20*VLOOKUP($B20,'Emissions factors'!$B$152:$AQ$165,29,FALSE)+M20*VLOOKUP($B20,'Emissions factors'!$B$152:$AQ$165,31,FALSE)+P20*VLOOKUP($B20,'Emissions factors'!$B$152:$AQ$165,33,FALSE)</f>
        <v>0</v>
      </c>
      <c r="AX20" s="718">
        <f>G20*VLOOKUP($B20,'Emissions factors'!$B$152:$AQ$165,28,FALSE)+J20*VLOOKUP($B20,'Emissions factors'!$B$152:$AQ$165,30,FALSE)+M20*VLOOKUP($B20,'Emissions factors'!$B$152:$AQ$165,32,FALSE)+P20*VLOOKUP($B20,'Emissions factors'!$B$152:$AQ$165,34,FALSE)</f>
        <v>0</v>
      </c>
      <c r="AY20" s="718">
        <v>0</v>
      </c>
      <c r="AZ20" s="718">
        <v>0</v>
      </c>
      <c r="BA20" s="719">
        <f>S20</f>
        <v>0</v>
      </c>
      <c r="BB20" s="720">
        <f>T20</f>
        <v>0</v>
      </c>
      <c r="BC20" s="717">
        <f>G20*VLOOKUP($B20,'Emissions factors'!$B$152:$AQ$165,35,FALSE)+J20*VLOOKUP($B20,'Emissions factors'!$B$152:$AQ$165,37,FALSE)+M20*VLOOKUP($B20,'Emissions factors'!$B$152:$AQ$165,39,FALSE)+P20*VLOOKUP($B20,'Emissions factors'!$B$152:$AQ$165,41,FALSE)</f>
        <v>0</v>
      </c>
      <c r="BD20" s="721">
        <f>G20*VLOOKUP($B20,'Emissions factors'!$B$152:$AQ$165,36,FALSE)+J20*VLOOKUP($B20,'Emissions factors'!$B$152:$AQ$165,38,FALSE)+M20*VLOOKUP($B20,'Emissions factors'!$B$152:$AQ$165,40,FALSE)+P20*VLOOKUP($B20,'Emissions factors'!$B$152:$AQ$165,42,FALSE)</f>
        <v>0</v>
      </c>
    </row>
    <row r="21" spans="2:62" ht="12.75" customHeight="1" outlineLevel="1" x14ac:dyDescent="0.2">
      <c r="B21" s="213"/>
      <c r="C21" s="214"/>
      <c r="D21" s="275"/>
      <c r="E21" s="268"/>
      <c r="F21" s="214"/>
      <c r="G21" s="214"/>
      <c r="H21" s="214"/>
      <c r="I21" s="214"/>
      <c r="J21" s="214"/>
      <c r="K21" s="214"/>
      <c r="L21" s="214"/>
      <c r="M21" s="214"/>
      <c r="N21" s="214"/>
      <c r="O21" s="214"/>
      <c r="P21" s="214"/>
      <c r="Q21" s="214"/>
      <c r="R21" s="214"/>
      <c r="S21" s="463"/>
      <c r="T21" s="215"/>
      <c r="U21" s="42"/>
      <c r="X21" s="213"/>
      <c r="Y21" s="214"/>
      <c r="Z21" s="214"/>
      <c r="AA21" s="214"/>
      <c r="AB21" s="433"/>
      <c r="AF21" s="213"/>
      <c r="AG21" s="214"/>
      <c r="AH21" s="214"/>
      <c r="AI21" s="269"/>
      <c r="AJ21" s="214"/>
      <c r="AK21" s="214"/>
      <c r="AL21" s="214"/>
      <c r="AM21" s="433"/>
      <c r="AS21" s="717"/>
      <c r="AT21" s="718"/>
      <c r="AU21" s="718"/>
      <c r="AV21" s="718"/>
      <c r="AW21" s="718"/>
      <c r="AX21" s="718"/>
      <c r="AY21" s="718"/>
      <c r="AZ21" s="718"/>
      <c r="BA21" s="719"/>
      <c r="BB21" s="720"/>
      <c r="BC21" s="722"/>
      <c r="BD21" s="723"/>
    </row>
    <row r="22" spans="2:62" ht="12.75" customHeight="1" outlineLevel="1" x14ac:dyDescent="0.2">
      <c r="B22" s="253" t="s">
        <v>2828</v>
      </c>
      <c r="C22" s="254"/>
      <c r="D22" s="264">
        <f>SUM(D15:D21)</f>
        <v>0</v>
      </c>
      <c r="E22" s="267">
        <f>SUM(E15:E21)</f>
        <v>0</v>
      </c>
      <c r="F22" s="255"/>
      <c r="G22" s="256"/>
      <c r="H22" s="256"/>
      <c r="I22" s="256"/>
      <c r="J22" s="256"/>
      <c r="K22" s="256"/>
      <c r="L22" s="256"/>
      <c r="M22" s="256"/>
      <c r="N22" s="256"/>
      <c r="O22" s="256"/>
      <c r="P22" s="256"/>
      <c r="Q22" s="256"/>
      <c r="R22" s="256"/>
      <c r="S22" s="259">
        <f>SUM(S15:S21)</f>
        <v>0</v>
      </c>
      <c r="T22" s="257">
        <f>SUM(T15:T21)</f>
        <v>0</v>
      </c>
      <c r="U22" s="42"/>
      <c r="X22" s="258"/>
      <c r="Y22" s="256"/>
      <c r="Z22" s="260">
        <f>SQRT(SUMSQ(Z15:Z21))</f>
        <v>0</v>
      </c>
      <c r="AA22" s="260">
        <f>SQRT(SUMSQ(AA15:AA21))</f>
        <v>0</v>
      </c>
      <c r="AB22" s="257">
        <f>SQRT(SUMSQ(AB15:AB21))</f>
        <v>0</v>
      </c>
      <c r="AF22" s="258"/>
      <c r="AG22" s="260">
        <f>SUM(AG15:AG21)</f>
        <v>0</v>
      </c>
      <c r="AH22" s="260">
        <f>SUM(AH15:AH21)</f>
        <v>0</v>
      </c>
      <c r="AI22" s="259">
        <f>SUM(AI15:AI21)</f>
        <v>0</v>
      </c>
      <c r="AJ22" s="256"/>
      <c r="AK22" s="260">
        <f>SUM(AK15:AK21)</f>
        <v>0</v>
      </c>
      <c r="AL22" s="260">
        <f>SUM(AL15:AL21)</f>
        <v>0</v>
      </c>
      <c r="AM22" s="257">
        <f>SUM(AM15:AM21)</f>
        <v>0</v>
      </c>
      <c r="AS22" s="724">
        <f t="shared" ref="AS22:BD22" si="1">SUM(AS15:AS21)</f>
        <v>0</v>
      </c>
      <c r="AT22" s="725">
        <f t="shared" si="1"/>
        <v>0</v>
      </c>
      <c r="AU22" s="725">
        <f t="shared" si="1"/>
        <v>0</v>
      </c>
      <c r="AV22" s="725">
        <f t="shared" si="1"/>
        <v>0</v>
      </c>
      <c r="AW22" s="725">
        <f t="shared" si="1"/>
        <v>0</v>
      </c>
      <c r="AX22" s="725">
        <f t="shared" si="1"/>
        <v>0</v>
      </c>
      <c r="AY22" s="725">
        <f t="shared" si="1"/>
        <v>0</v>
      </c>
      <c r="AZ22" s="725">
        <f t="shared" si="1"/>
        <v>0</v>
      </c>
      <c r="BA22" s="726">
        <f t="shared" si="1"/>
        <v>0</v>
      </c>
      <c r="BB22" s="727">
        <f t="shared" si="1"/>
        <v>0</v>
      </c>
      <c r="BC22" s="724">
        <f t="shared" si="1"/>
        <v>0</v>
      </c>
      <c r="BD22" s="728">
        <f t="shared" si="1"/>
        <v>0</v>
      </c>
    </row>
    <row r="23" spans="2:62" ht="12.75" customHeight="1" outlineLevel="1" x14ac:dyDescent="0.2">
      <c r="Q23" s="42"/>
    </row>
    <row r="24" spans="2:62" ht="12.75" customHeight="1" outlineLevel="1" x14ac:dyDescent="0.2">
      <c r="B24" s="195" t="s">
        <v>2859</v>
      </c>
      <c r="C24" s="196"/>
      <c r="D24" s="358"/>
      <c r="E24" s="358"/>
      <c r="F24" s="196"/>
      <c r="G24" s="196"/>
      <c r="H24" s="196"/>
      <c r="I24" s="196"/>
      <c r="J24" s="196"/>
      <c r="K24" s="196"/>
      <c r="L24" s="196"/>
      <c r="M24" s="196"/>
      <c r="N24" s="196"/>
      <c r="O24" s="198"/>
      <c r="P24" s="198"/>
      <c r="Q24" s="198"/>
      <c r="R24" s="198"/>
      <c r="S24" s="198"/>
      <c r="T24" s="198"/>
      <c r="U24" s="199"/>
      <c r="W24" s="42"/>
      <c r="X24" s="1746" t="s">
        <v>723</v>
      </c>
      <c r="Y24" s="1747"/>
      <c r="Z24" s="1747"/>
      <c r="AA24" s="1747"/>
      <c r="AB24" s="1747"/>
      <c r="AC24" s="1747"/>
      <c r="AD24" s="1748"/>
      <c r="AF24" s="1746" t="s">
        <v>2066</v>
      </c>
      <c r="AG24" s="1747"/>
      <c r="AH24" s="1747"/>
      <c r="AI24" s="1747"/>
      <c r="AJ24" s="1747"/>
      <c r="AK24" s="1747"/>
      <c r="AL24" s="1747"/>
      <c r="AM24" s="1747"/>
      <c r="AN24" s="1747"/>
      <c r="AO24" s="1747"/>
      <c r="AP24" s="1747"/>
      <c r="AQ24" s="1748"/>
      <c r="AS24" s="1755" t="s">
        <v>2073</v>
      </c>
      <c r="AT24" s="1756"/>
      <c r="AU24" s="1756"/>
      <c r="AV24" s="1756"/>
      <c r="AW24" s="1756"/>
      <c r="AX24" s="1756"/>
      <c r="AY24" s="1756"/>
      <c r="AZ24" s="1756"/>
      <c r="BA24" s="1756"/>
      <c r="BB24" s="1756"/>
      <c r="BC24" s="1756"/>
      <c r="BD24" s="1756"/>
      <c r="BE24" s="1756"/>
      <c r="BF24" s="1756"/>
      <c r="BG24" s="1756"/>
      <c r="BH24" s="1756"/>
      <c r="BI24" s="1756"/>
      <c r="BJ24" s="1757"/>
    </row>
    <row r="25" spans="2:62" ht="12.75" customHeight="1" outlineLevel="1" x14ac:dyDescent="0.2">
      <c r="B25" s="417"/>
      <c r="C25" s="225"/>
      <c r="D25" s="361"/>
      <c r="E25" s="361"/>
      <c r="F25" s="201"/>
      <c r="G25" s="362" t="s">
        <v>61</v>
      </c>
      <c r="H25" s="1745" t="s">
        <v>1249</v>
      </c>
      <c r="I25" s="1745"/>
      <c r="J25" s="1745" t="s">
        <v>1249</v>
      </c>
      <c r="K25" s="1745"/>
      <c r="L25" s="225"/>
      <c r="M25" s="225"/>
      <c r="N25" s="225"/>
      <c r="O25" s="225"/>
      <c r="P25" s="201"/>
      <c r="Q25" s="201"/>
      <c r="R25" s="201"/>
      <c r="S25" s="1745" t="s">
        <v>2646</v>
      </c>
      <c r="T25" s="1745"/>
      <c r="U25" s="427" t="s">
        <v>2639</v>
      </c>
      <c r="W25" s="42"/>
      <c r="X25" s="204"/>
      <c r="Y25" s="362"/>
      <c r="Z25" s="362"/>
      <c r="AA25" s="362"/>
      <c r="AB25" s="362"/>
      <c r="AC25" s="362"/>
      <c r="AD25" s="427" t="s">
        <v>2639</v>
      </c>
      <c r="AE25" s="42"/>
      <c r="AF25" s="216"/>
      <c r="AG25" s="361"/>
      <c r="AH25" s="361"/>
      <c r="AI25" s="361"/>
      <c r="AJ25" s="362"/>
      <c r="AK25" s="362" t="s">
        <v>2639</v>
      </c>
      <c r="AL25" s="217"/>
      <c r="AM25" s="361"/>
      <c r="AN25" s="361"/>
      <c r="AO25" s="361"/>
      <c r="AP25" s="362"/>
      <c r="AQ25" s="427" t="s">
        <v>2639</v>
      </c>
      <c r="AS25" s="1758" t="s">
        <v>61</v>
      </c>
      <c r="AT25" s="1759"/>
      <c r="AU25" s="1759"/>
      <c r="AV25" s="1759"/>
      <c r="AW25" s="1759"/>
      <c r="AX25" s="1759"/>
      <c r="AY25" s="1759"/>
      <c r="AZ25" s="1759"/>
      <c r="BA25" s="1759"/>
      <c r="BB25" s="1759"/>
      <c r="BC25" s="1759"/>
      <c r="BD25" s="1759"/>
      <c r="BE25" s="1759" t="s">
        <v>61</v>
      </c>
      <c r="BF25" s="1759"/>
      <c r="BG25" s="1760"/>
      <c r="BH25" s="730"/>
      <c r="BI25" s="785"/>
      <c r="BJ25" s="731"/>
    </row>
    <row r="26" spans="2:62" ht="12.75" customHeight="1" outlineLevel="1" x14ac:dyDescent="0.2">
      <c r="B26" s="200"/>
      <c r="C26" s="201"/>
      <c r="D26" s="362" t="s">
        <v>56</v>
      </c>
      <c r="E26" s="362" t="s">
        <v>56</v>
      </c>
      <c r="F26" s="205" t="s">
        <v>2634</v>
      </c>
      <c r="G26" s="362" t="s">
        <v>2537</v>
      </c>
      <c r="H26" s="1745" t="s">
        <v>2640</v>
      </c>
      <c r="I26" s="1745"/>
      <c r="J26" s="1745" t="s">
        <v>2641</v>
      </c>
      <c r="K26" s="1835"/>
      <c r="L26" s="205" t="s">
        <v>2642</v>
      </c>
      <c r="M26" s="205" t="s">
        <v>2643</v>
      </c>
      <c r="N26" s="1627" t="s">
        <v>2637</v>
      </c>
      <c r="O26" s="205"/>
      <c r="P26" s="1744" t="s">
        <v>1281</v>
      </c>
      <c r="Q26" s="1745"/>
      <c r="R26" s="361" t="s">
        <v>61</v>
      </c>
      <c r="S26" s="361" t="s">
        <v>61</v>
      </c>
      <c r="T26" s="361" t="s">
        <v>61</v>
      </c>
      <c r="U26" s="427" t="s">
        <v>30</v>
      </c>
      <c r="W26" s="42"/>
      <c r="X26" s="1626" t="s">
        <v>2605</v>
      </c>
      <c r="Y26" s="362" t="s">
        <v>2110</v>
      </c>
      <c r="Z26" s="362" t="s">
        <v>61</v>
      </c>
      <c r="AA26" s="362" t="s">
        <v>61</v>
      </c>
      <c r="AB26" s="362" t="s">
        <v>61</v>
      </c>
      <c r="AC26" s="361" t="s">
        <v>61</v>
      </c>
      <c r="AD26" s="427" t="s">
        <v>30</v>
      </c>
      <c r="AE26" s="42"/>
      <c r="AF26" s="204" t="s">
        <v>2065</v>
      </c>
      <c r="AG26" s="362" t="s">
        <v>61</v>
      </c>
      <c r="AH26" s="362" t="s">
        <v>61</v>
      </c>
      <c r="AI26" s="362" t="s">
        <v>61</v>
      </c>
      <c r="AJ26" s="361" t="s">
        <v>61</v>
      </c>
      <c r="AK26" s="362" t="s">
        <v>30</v>
      </c>
      <c r="AL26" s="362" t="s">
        <v>2558</v>
      </c>
      <c r="AM26" s="362" t="s">
        <v>61</v>
      </c>
      <c r="AN26" s="362" t="s">
        <v>61</v>
      </c>
      <c r="AO26" s="362" t="s">
        <v>61</v>
      </c>
      <c r="AP26" s="361" t="s">
        <v>61</v>
      </c>
      <c r="AQ26" s="427" t="s">
        <v>30</v>
      </c>
      <c r="AS26" s="1764" t="s">
        <v>14</v>
      </c>
      <c r="AT26" s="1761"/>
      <c r="AU26" s="1761"/>
      <c r="AV26" s="1761" t="s">
        <v>60</v>
      </c>
      <c r="AW26" s="1761"/>
      <c r="AX26" s="1761"/>
      <c r="AY26" s="1761" t="s">
        <v>27</v>
      </c>
      <c r="AZ26" s="1761"/>
      <c r="BA26" s="1761"/>
      <c r="BB26" s="1761" t="s">
        <v>2074</v>
      </c>
      <c r="BC26" s="1761"/>
      <c r="BD26" s="1761"/>
      <c r="BE26" s="1762" t="s">
        <v>41</v>
      </c>
      <c r="BF26" s="1762"/>
      <c r="BG26" s="1763"/>
      <c r="BH26" s="1764" t="s">
        <v>85</v>
      </c>
      <c r="BI26" s="1761"/>
      <c r="BJ26" s="1765"/>
    </row>
    <row r="27" spans="2:62" ht="12.75" customHeight="1" outlineLevel="1" x14ac:dyDescent="0.2">
      <c r="B27" s="704" t="s">
        <v>2781</v>
      </c>
      <c r="C27" s="201"/>
      <c r="D27" s="362" t="s">
        <v>61</v>
      </c>
      <c r="E27" s="362" t="s">
        <v>63</v>
      </c>
      <c r="F27" s="208" t="s">
        <v>2054</v>
      </c>
      <c r="G27" s="270" t="s">
        <v>1279</v>
      </c>
      <c r="H27" s="270" t="s">
        <v>768</v>
      </c>
      <c r="I27" s="270" t="s">
        <v>24</v>
      </c>
      <c r="J27" s="270" t="s">
        <v>768</v>
      </c>
      <c r="K27" s="270" t="str">
        <f>+L14</f>
        <v>combustione</v>
      </c>
      <c r="L27" s="212" t="s">
        <v>2644</v>
      </c>
      <c r="M27" s="212" t="s">
        <v>2645</v>
      </c>
      <c r="N27" s="1627" t="s">
        <v>34</v>
      </c>
      <c r="O27" s="212" t="s">
        <v>2635</v>
      </c>
      <c r="P27" s="270" t="s">
        <v>768</v>
      </c>
      <c r="Q27" s="270" t="str">
        <f>+L14</f>
        <v>combustione</v>
      </c>
      <c r="R27" s="363" t="s">
        <v>2864</v>
      </c>
      <c r="S27" s="363" t="s">
        <v>768</v>
      </c>
      <c r="T27" s="363" t="str">
        <f>+Q27</f>
        <v>combustione</v>
      </c>
      <c r="U27" s="427" t="s">
        <v>61</v>
      </c>
      <c r="W27" s="42"/>
      <c r="X27" s="1626" t="s">
        <v>2109</v>
      </c>
      <c r="Y27" s="362"/>
      <c r="Z27" s="270" t="s">
        <v>1279</v>
      </c>
      <c r="AA27" s="270" t="s">
        <v>768</v>
      </c>
      <c r="AB27" s="270" t="s">
        <v>24</v>
      </c>
      <c r="AC27" s="223" t="s">
        <v>41</v>
      </c>
      <c r="AD27" s="427" t="s">
        <v>61</v>
      </c>
      <c r="AE27" s="42"/>
      <c r="AF27" s="204"/>
      <c r="AG27" s="270" t="s">
        <v>1279</v>
      </c>
      <c r="AH27" s="270" t="s">
        <v>768</v>
      </c>
      <c r="AI27" s="270" t="s">
        <v>24</v>
      </c>
      <c r="AJ27" s="223" t="s">
        <v>41</v>
      </c>
      <c r="AK27" s="362" t="s">
        <v>61</v>
      </c>
      <c r="AL27" s="362"/>
      <c r="AM27" s="270" t="s">
        <v>1279</v>
      </c>
      <c r="AN27" s="270" t="s">
        <v>768</v>
      </c>
      <c r="AO27" s="270" t="s">
        <v>24</v>
      </c>
      <c r="AP27" s="223" t="s">
        <v>41</v>
      </c>
      <c r="AQ27" s="427" t="s">
        <v>61</v>
      </c>
      <c r="AS27" s="732" t="s">
        <v>1279</v>
      </c>
      <c r="AT27" s="733" t="s">
        <v>768</v>
      </c>
      <c r="AU27" s="733" t="s">
        <v>24</v>
      </c>
      <c r="AV27" s="733" t="s">
        <v>1279</v>
      </c>
      <c r="AW27" s="733" t="s">
        <v>768</v>
      </c>
      <c r="AX27" s="733" t="s">
        <v>24</v>
      </c>
      <c r="AY27" s="733" t="s">
        <v>1279</v>
      </c>
      <c r="AZ27" s="733" t="s">
        <v>768</v>
      </c>
      <c r="BA27" s="733" t="s">
        <v>24</v>
      </c>
      <c r="BB27" s="733" t="s">
        <v>1279</v>
      </c>
      <c r="BC27" s="733" t="s">
        <v>768</v>
      </c>
      <c r="BD27" s="733" t="s">
        <v>24</v>
      </c>
      <c r="BE27" s="734" t="s">
        <v>1279</v>
      </c>
      <c r="BF27" s="734" t="s">
        <v>768</v>
      </c>
      <c r="BG27" s="735" t="s">
        <v>24</v>
      </c>
      <c r="BH27" s="732" t="s">
        <v>1279</v>
      </c>
      <c r="BI27" s="733" t="s">
        <v>768</v>
      </c>
      <c r="BJ27" s="736" t="s">
        <v>24</v>
      </c>
    </row>
    <row r="28" spans="2:62" ht="12.75" customHeight="1" outlineLevel="1" x14ac:dyDescent="0.2">
      <c r="B28" s="200" t="s">
        <v>1229</v>
      </c>
      <c r="C28" s="201"/>
      <c r="D28" s="262">
        <f>SUM(R28:T28)</f>
        <v>0</v>
      </c>
      <c r="E28" s="265">
        <f>D28*12/44</f>
        <v>0</v>
      </c>
      <c r="F28" s="559"/>
      <c r="G28" s="493">
        <f>VLOOKUP($B28,'Emissions factors'!$B$1171:$K$1216,2,FALSE)</f>
        <v>3.2999999999999995E-2</v>
      </c>
      <c r="H28" s="493">
        <f>VLOOKUP($B28,'Emissions factors'!$B$1171:$K$1216,3,FALSE)</f>
        <v>3.4326837023255813E-2</v>
      </c>
      <c r="I28" s="493">
        <f>VLOOKUP($B28,'Emissions factors'!$B$1171:$K$1216,4,FALSE)</f>
        <v>0.20370504</v>
      </c>
      <c r="J28" s="493">
        <f>VLOOKUP($B28,'Emissions factors'!$B$1171:$K$1216,5,FALSE)</f>
        <v>3.4326837023255813E-2</v>
      </c>
      <c r="K28" s="493">
        <f>VLOOKUP($B28,'Emissions factors'!$B$1171:$K$1216,6,FALSE)</f>
        <v>0.20370504</v>
      </c>
      <c r="L28" s="494">
        <f>VLOOKUP($B28,'Emissions factors'!$B$1171:$K$1216,7,FALSE)</f>
        <v>0.2</v>
      </c>
      <c r="M28" s="494">
        <f>VLOOKUP($B28,'Emissions factors'!$B$1171:$K$1216,8,FALSE)</f>
        <v>0.26058444187301394</v>
      </c>
      <c r="N28" s="495">
        <f>VLOOKUP($B28,'Emissions factors'!$B$1171:$K$1216,9,FALSE)</f>
        <v>0.46050331760971941</v>
      </c>
      <c r="O28" s="182"/>
      <c r="P28" s="272">
        <f>H28+(J28-H28)*(1-L28)*M28</f>
        <v>3.4326837023255813E-2</v>
      </c>
      <c r="Q28" s="272">
        <f>I28+(K28-I28)*(1-L28)*M28</f>
        <v>0.20370504</v>
      </c>
      <c r="R28" s="465">
        <f>G28*O28</f>
        <v>0</v>
      </c>
      <c r="S28" s="465">
        <f>O28*P28</f>
        <v>0</v>
      </c>
      <c r="T28" s="210">
        <f>O28*Q28</f>
        <v>0</v>
      </c>
      <c r="U28" s="222">
        <f>IF(OR(F28='Info utili'!$G$532,F28='Info utili'!$G$537),T28,0)</f>
        <v>0</v>
      </c>
      <c r="W28" s="324"/>
      <c r="X28" s="282">
        <f>VLOOKUP($B28,'Emissions factors'!$B$1171:$K$1216,10,FALSE)</f>
        <v>9.2614913518120803E-2</v>
      </c>
      <c r="Y28" s="183"/>
      <c r="Z28" s="221">
        <f>R28*SQRT(X28^2+Y28^2)</f>
        <v>0</v>
      </c>
      <c r="AA28" s="221">
        <f>S28*SQRT(X28^2+Y28^2)</f>
        <v>0</v>
      </c>
      <c r="AB28" s="221">
        <f>T28*SQRT(X28^2+Y28^2)</f>
        <v>0</v>
      </c>
      <c r="AC28" s="210">
        <f>SQRT(SUMSQ(Z28:AB28))</f>
        <v>0</v>
      </c>
      <c r="AD28" s="222">
        <f>U28*SQRT(X28^2+Y28^2)</f>
        <v>0</v>
      </c>
      <c r="AE28" s="42"/>
      <c r="AF28" s="184"/>
      <c r="AG28" s="221">
        <f t="shared" ref="AG28:AI31" si="2">R28*$AF28</f>
        <v>0</v>
      </c>
      <c r="AH28" s="221">
        <f t="shared" si="2"/>
        <v>0</v>
      </c>
      <c r="AI28" s="221">
        <f t="shared" si="2"/>
        <v>0</v>
      </c>
      <c r="AJ28" s="210">
        <f>SUM(AG28:AI28)</f>
        <v>0</v>
      </c>
      <c r="AK28" s="221">
        <f>U28*$AF28</f>
        <v>0</v>
      </c>
      <c r="AL28" s="184"/>
      <c r="AM28" s="221">
        <f>AL28*R28</f>
        <v>0</v>
      </c>
      <c r="AN28" s="221">
        <f>AL28*S28</f>
        <v>0</v>
      </c>
      <c r="AO28" s="221">
        <f>AL28*T28</f>
        <v>0</v>
      </c>
      <c r="AP28" s="210">
        <f>SUM(AM28:AO28)</f>
        <v>0</v>
      </c>
      <c r="AQ28" s="222">
        <f>AL28*U28</f>
        <v>0</v>
      </c>
      <c r="AS28" s="717"/>
      <c r="AT28" s="718"/>
      <c r="AU28" s="718"/>
      <c r="AV28" s="718"/>
      <c r="AW28" s="718"/>
      <c r="AX28" s="718"/>
      <c r="AY28" s="718"/>
      <c r="AZ28" s="718"/>
      <c r="BA28" s="718"/>
      <c r="BB28" s="718"/>
      <c r="BC28" s="718"/>
      <c r="BD28" s="718"/>
      <c r="BE28" s="719">
        <f t="shared" ref="BE28:BG32" si="3">R28</f>
        <v>0</v>
      </c>
      <c r="BF28" s="719">
        <f t="shared" si="3"/>
        <v>0</v>
      </c>
      <c r="BG28" s="720">
        <f t="shared" si="3"/>
        <v>0</v>
      </c>
      <c r="BH28" s="717"/>
      <c r="BI28" s="718"/>
      <c r="BJ28" s="721"/>
    </row>
    <row r="29" spans="2:62" ht="12.75" customHeight="1" outlineLevel="1" x14ac:dyDescent="0.2">
      <c r="B29" s="200" t="s">
        <v>1231</v>
      </c>
      <c r="C29" s="201"/>
      <c r="D29" s="262">
        <f>SUM(R29:T29)</f>
        <v>0</v>
      </c>
      <c r="E29" s="265">
        <f>D29*12/44</f>
        <v>0</v>
      </c>
      <c r="F29" s="442"/>
      <c r="G29" s="493">
        <f>VLOOKUP($B29,'Emissions factors'!$B$1171:$K$1216,2,FALSE)</f>
        <v>4.0333333333333332E-2</v>
      </c>
      <c r="H29" s="493">
        <f>VLOOKUP($B29,'Emissions factors'!$B$1171:$K$1216,3,FALSE)</f>
        <v>3.8822018062015497E-2</v>
      </c>
      <c r="I29" s="493">
        <f>VLOOKUP($B29,'Emissions factors'!$B$1171:$K$1216,4,FALSE)</f>
        <v>0.23038069999999999</v>
      </c>
      <c r="J29" s="493">
        <f>VLOOKUP($B29,'Emissions factors'!$B$1171:$K$1216,5,FALSE)</f>
        <v>3.8822018062015497E-2</v>
      </c>
      <c r="K29" s="493">
        <f>VLOOKUP($B29,'Emissions factors'!$B$1171:$K$1216,6,FALSE)</f>
        <v>0.23038069999999999</v>
      </c>
      <c r="L29" s="496">
        <f>VLOOKUP($B29,'Emissions factors'!$B$1171:$K$1216,7,FALSE)</f>
        <v>0.2</v>
      </c>
      <c r="M29" s="496">
        <f>VLOOKUP($B29,'Emissions factors'!$B$1171:$K$1216,8,FALSE)</f>
        <v>0.30134917135427164</v>
      </c>
      <c r="N29" s="495">
        <f>VLOOKUP($B29,'Emissions factors'!$B$1171:$K$1216,9,FALSE)</f>
        <v>0.69686602772542594</v>
      </c>
      <c r="O29" s="185"/>
      <c r="P29" s="272">
        <f>H29+(J29-H29)*(1-L29)*M29</f>
        <v>3.8822018062015497E-2</v>
      </c>
      <c r="Q29" s="272">
        <f>I29+(K29-I29)*(1-L29)*M29</f>
        <v>0.23038069999999999</v>
      </c>
      <c r="R29" s="465">
        <f>G29*O29</f>
        <v>0</v>
      </c>
      <c r="S29" s="465">
        <f>O29*P29</f>
        <v>0</v>
      </c>
      <c r="T29" s="210">
        <f>O29*Q29</f>
        <v>0</v>
      </c>
      <c r="U29" s="222">
        <f>IF(OR(F29='Info utili'!$G$532,F29='Info utili'!$G$537),T29,0)</f>
        <v>0</v>
      </c>
      <c r="W29" s="324"/>
      <c r="X29" s="282">
        <f>VLOOKUP($B29,'Emissions factors'!$B$1171:$K$1216,10,FALSE)</f>
        <v>0.10863614244021699</v>
      </c>
      <c r="Y29" s="186"/>
      <c r="Z29" s="221">
        <f>R29*SQRT(X29^2+Y29^2)</f>
        <v>0</v>
      </c>
      <c r="AA29" s="221">
        <f t="shared" ref="AA29:AA39" si="4">S29*SQRT(X29^2+Y29^2)</f>
        <v>0</v>
      </c>
      <c r="AB29" s="221">
        <f>T29*SQRT(X29^2+Y29^2)</f>
        <v>0</v>
      </c>
      <c r="AC29" s="210">
        <f t="shared" ref="AC29:AC39" si="5">SQRT(SUMSQ(Z29:AB29))</f>
        <v>0</v>
      </c>
      <c r="AD29" s="222">
        <f t="shared" ref="AD29:AD39" si="6">U29*SQRT(X29^2+Y29^2)</f>
        <v>0</v>
      </c>
      <c r="AE29" s="42"/>
      <c r="AF29" s="187"/>
      <c r="AG29" s="221">
        <f t="shared" si="2"/>
        <v>0</v>
      </c>
      <c r="AH29" s="221">
        <f t="shared" si="2"/>
        <v>0</v>
      </c>
      <c r="AI29" s="221">
        <f t="shared" si="2"/>
        <v>0</v>
      </c>
      <c r="AJ29" s="210">
        <f>SUM(AG29:AI29)</f>
        <v>0</v>
      </c>
      <c r="AK29" s="221">
        <f>U29*$AF29</f>
        <v>0</v>
      </c>
      <c r="AL29" s="187"/>
      <c r="AM29" s="221">
        <f>AL29*R29</f>
        <v>0</v>
      </c>
      <c r="AN29" s="221">
        <f>AL29*S29</f>
        <v>0</v>
      </c>
      <c r="AO29" s="221">
        <f>AL29*T29</f>
        <v>0</v>
      </c>
      <c r="AP29" s="210">
        <f>SUM(AM29:AO29)</f>
        <v>0</v>
      </c>
      <c r="AQ29" s="222">
        <f>AL29*U29</f>
        <v>0</v>
      </c>
      <c r="AS29" s="717"/>
      <c r="AT29" s="718"/>
      <c r="AU29" s="718"/>
      <c r="AV29" s="718"/>
      <c r="AW29" s="718"/>
      <c r="AX29" s="718"/>
      <c r="AY29" s="718"/>
      <c r="AZ29" s="718"/>
      <c r="BA29" s="718"/>
      <c r="BB29" s="718"/>
      <c r="BC29" s="718"/>
      <c r="BD29" s="718"/>
      <c r="BE29" s="719">
        <f t="shared" si="3"/>
        <v>0</v>
      </c>
      <c r="BF29" s="719">
        <f t="shared" si="3"/>
        <v>0</v>
      </c>
      <c r="BG29" s="720">
        <f t="shared" si="3"/>
        <v>0</v>
      </c>
      <c r="BH29" s="717"/>
      <c r="BI29" s="718"/>
      <c r="BJ29" s="721"/>
    </row>
    <row r="30" spans="2:62" ht="12.75" customHeight="1" outlineLevel="1" x14ac:dyDescent="0.2">
      <c r="B30" s="200" t="s">
        <v>1241</v>
      </c>
      <c r="C30" s="201"/>
      <c r="D30" s="262">
        <f>SUM(R30:T30)</f>
        <v>0</v>
      </c>
      <c r="E30" s="265">
        <f>D30*12/44</f>
        <v>0</v>
      </c>
      <c r="F30" s="442"/>
      <c r="G30" s="493">
        <f>VLOOKUP($B30,'Emissions factors'!$B$1171:$K$1216,2,FALSE)</f>
        <v>0.10999999999999999</v>
      </c>
      <c r="H30" s="493">
        <f>VLOOKUP($B30,'Emissions factors'!$B$1171:$K$1216,3,FALSE)</f>
        <v>8.6923197162574253E-2</v>
      </c>
      <c r="I30" s="493">
        <f>VLOOKUP($B30,'Emissions factors'!$B$1171:$K$1216,4,FALSE)</f>
        <v>0.82407274465869496</v>
      </c>
      <c r="J30" s="493">
        <f>VLOOKUP($B30,'Emissions factors'!$B$1171:$K$1216,5,FALSE)</f>
        <v>0.12508460079492392</v>
      </c>
      <c r="K30" s="493">
        <f>VLOOKUP($B30,'Emissions factors'!$B$1171:$K$1216,6,FALSE)</f>
        <v>1.1858607788990974</v>
      </c>
      <c r="L30" s="496">
        <f>VLOOKUP($B30,'Emissions factors'!$B$1171:$K$1216,7,FALSE)</f>
        <v>0.21091797527003817</v>
      </c>
      <c r="M30" s="496">
        <f>VLOOKUP($B30,'Emissions factors'!$B$1171:$K$1216,8,FALSE)</f>
        <v>0.57249634491029433</v>
      </c>
      <c r="N30" s="495">
        <f>VLOOKUP($B30,'Emissions factors'!$B$1171:$K$1216,9,FALSE)</f>
        <v>25</v>
      </c>
      <c r="O30" s="185"/>
      <c r="P30" s="272">
        <f>H30+(J30-H30)*(1-L30)*M30</f>
        <v>0.1041624805503876</v>
      </c>
      <c r="Q30" s="272">
        <f>I30+(K30-I30)*(1-L30)*M30</f>
        <v>0.98750925000000001</v>
      </c>
      <c r="R30" s="465">
        <f>G30*O30</f>
        <v>0</v>
      </c>
      <c r="S30" s="465">
        <f>O30*P30</f>
        <v>0</v>
      </c>
      <c r="T30" s="210">
        <f>O30*Q30</f>
        <v>0</v>
      </c>
      <c r="U30" s="222">
        <f>IF(OR(F30='Info utili'!$G$532,F30='Info utili'!$G$537),T30,0)</f>
        <v>0</v>
      </c>
      <c r="W30" s="324"/>
      <c r="X30" s="282">
        <f>VLOOKUP($B30,'Emissions factors'!$B$1171:$K$1216,10,FALSE)</f>
        <v>0.10950044274342019</v>
      </c>
      <c r="Y30" s="186"/>
      <c r="Z30" s="221">
        <f t="shared" ref="Z30:Z39" si="7">R30*SQRT(X30^2+Y30^2)</f>
        <v>0</v>
      </c>
      <c r="AA30" s="221">
        <f t="shared" si="4"/>
        <v>0</v>
      </c>
      <c r="AB30" s="221">
        <f t="shared" ref="AB30:AB39" si="8">T30*SQRT(X30^2+Y30^2)</f>
        <v>0</v>
      </c>
      <c r="AC30" s="210">
        <f t="shared" si="5"/>
        <v>0</v>
      </c>
      <c r="AD30" s="222">
        <f t="shared" si="6"/>
        <v>0</v>
      </c>
      <c r="AE30" s="42"/>
      <c r="AF30" s="187"/>
      <c r="AG30" s="221">
        <f t="shared" si="2"/>
        <v>0</v>
      </c>
      <c r="AH30" s="221">
        <f t="shared" si="2"/>
        <v>0</v>
      </c>
      <c r="AI30" s="221">
        <f t="shared" si="2"/>
        <v>0</v>
      </c>
      <c r="AJ30" s="210">
        <f>SUM(AG30:AI30)</f>
        <v>0</v>
      </c>
      <c r="AK30" s="221">
        <f>U30*$AF30</f>
        <v>0</v>
      </c>
      <c r="AL30" s="187"/>
      <c r="AM30" s="221">
        <f>AL30*R30</f>
        <v>0</v>
      </c>
      <c r="AN30" s="221">
        <f>AL30*S30</f>
        <v>0</v>
      </c>
      <c r="AO30" s="221">
        <f>AL30*T30</f>
        <v>0</v>
      </c>
      <c r="AP30" s="210">
        <f>SUM(AM30:AO30)</f>
        <v>0</v>
      </c>
      <c r="AQ30" s="222">
        <f>AL30*U30</f>
        <v>0</v>
      </c>
      <c r="AS30" s="717"/>
      <c r="AT30" s="718"/>
      <c r="AU30" s="718"/>
      <c r="AV30" s="718"/>
      <c r="AW30" s="718"/>
      <c r="AX30" s="718"/>
      <c r="AY30" s="718"/>
      <c r="AZ30" s="718"/>
      <c r="BA30" s="718"/>
      <c r="BB30" s="718"/>
      <c r="BC30" s="718"/>
      <c r="BD30" s="718"/>
      <c r="BE30" s="719">
        <f t="shared" si="3"/>
        <v>0</v>
      </c>
      <c r="BF30" s="719">
        <f t="shared" si="3"/>
        <v>0</v>
      </c>
      <c r="BG30" s="720">
        <f t="shared" si="3"/>
        <v>0</v>
      </c>
      <c r="BH30" s="717"/>
      <c r="BI30" s="718"/>
      <c r="BJ30" s="721"/>
    </row>
    <row r="31" spans="2:62" ht="12.75" customHeight="1" outlineLevel="1" x14ac:dyDescent="0.2">
      <c r="B31" s="200" t="s">
        <v>1230</v>
      </c>
      <c r="C31" s="201"/>
      <c r="D31" s="262">
        <f>SUM(R31:T31)</f>
        <v>0</v>
      </c>
      <c r="E31" s="265">
        <f>D31*12/44</f>
        <v>0</v>
      </c>
      <c r="F31" s="442"/>
      <c r="G31" s="493">
        <f>VLOOKUP($B31,'Emissions factors'!$B$1171:$K$1216,2,FALSE)</f>
        <v>2.4749999999999998E-2</v>
      </c>
      <c r="H31" s="493">
        <f>VLOOKUP($B31,'Emissions factors'!$B$1171:$K$1216,3,FALSE)</f>
        <v>2.0214821023255811E-2</v>
      </c>
      <c r="I31" s="493">
        <f>VLOOKUP($B31,'Emissions factors'!$B$1171:$K$1216,4,FALSE)</f>
        <v>0.19164599999999998</v>
      </c>
      <c r="J31" s="493">
        <f>VLOOKUP($B31,'Emissions factors'!$B$1171:$K$1216,5,FALSE)</f>
        <v>2.0214821023255811E-2</v>
      </c>
      <c r="K31" s="493">
        <f>VLOOKUP($B31,'Emissions factors'!$B$1171:$K$1216,6,FALSE)</f>
        <v>0.19164599999999998</v>
      </c>
      <c r="L31" s="496">
        <f>VLOOKUP($B31,'Emissions factors'!$B$1171:$K$1216,7,FALSE)</f>
        <v>0.2</v>
      </c>
      <c r="M31" s="496">
        <f>VLOOKUP($B31,'Emissions factors'!$B$1171:$K$1216,8,FALSE)</f>
        <v>0.26058444187301394</v>
      </c>
      <c r="N31" s="495">
        <f>VLOOKUP($B31,'Emissions factors'!$B$1171:$K$1216,9,FALSE)</f>
        <v>0.46050331760971941</v>
      </c>
      <c r="O31" s="185"/>
      <c r="P31" s="272">
        <f>H31+(J31-H31)*(1-L31)*M31</f>
        <v>2.0214821023255811E-2</v>
      </c>
      <c r="Q31" s="272">
        <f>I31+(K31-I31)*(1-L31)*M31</f>
        <v>0.19164599999999998</v>
      </c>
      <c r="R31" s="465">
        <f>G31*O31</f>
        <v>0</v>
      </c>
      <c r="S31" s="465">
        <f>O31*P31</f>
        <v>0</v>
      </c>
      <c r="T31" s="210">
        <f>O31*Q31</f>
        <v>0</v>
      </c>
      <c r="U31" s="222">
        <f>IF(OR(F31='Info utili'!$G$532,F31='Info utili'!$G$537),T31,0)</f>
        <v>0</v>
      </c>
      <c r="W31" s="324"/>
      <c r="X31" s="282">
        <f>VLOOKUP($B31,'Emissions factors'!$B$1171:$K$1216,10,FALSE)</f>
        <v>8.661075162385995E-2</v>
      </c>
      <c r="Y31" s="186"/>
      <c r="Z31" s="221">
        <f t="shared" si="7"/>
        <v>0</v>
      </c>
      <c r="AA31" s="221">
        <f t="shared" si="4"/>
        <v>0</v>
      </c>
      <c r="AB31" s="221">
        <f t="shared" si="8"/>
        <v>0</v>
      </c>
      <c r="AC31" s="210">
        <f t="shared" si="5"/>
        <v>0</v>
      </c>
      <c r="AD31" s="222">
        <f t="shared" si="6"/>
        <v>0</v>
      </c>
      <c r="AE31" s="42"/>
      <c r="AF31" s="187"/>
      <c r="AG31" s="221">
        <f t="shared" si="2"/>
        <v>0</v>
      </c>
      <c r="AH31" s="221">
        <f t="shared" si="2"/>
        <v>0</v>
      </c>
      <c r="AI31" s="221">
        <f t="shared" si="2"/>
        <v>0</v>
      </c>
      <c r="AJ31" s="210">
        <f>SUM(AG31:AI31)</f>
        <v>0</v>
      </c>
      <c r="AK31" s="221">
        <f>U31*$AF31</f>
        <v>0</v>
      </c>
      <c r="AL31" s="187"/>
      <c r="AM31" s="221">
        <f>AL31*R31</f>
        <v>0</v>
      </c>
      <c r="AN31" s="221">
        <f>AL31*S31</f>
        <v>0</v>
      </c>
      <c r="AO31" s="221">
        <f>AL31*T31</f>
        <v>0</v>
      </c>
      <c r="AP31" s="210">
        <f>SUM(AM31:AO31)</f>
        <v>0</v>
      </c>
      <c r="AQ31" s="222">
        <f>AL31*U31</f>
        <v>0</v>
      </c>
      <c r="AS31" s="717"/>
      <c r="AT31" s="718"/>
      <c r="AU31" s="718"/>
      <c r="AV31" s="718"/>
      <c r="AW31" s="718"/>
      <c r="AX31" s="718"/>
      <c r="AY31" s="718"/>
      <c r="AZ31" s="718"/>
      <c r="BA31" s="718"/>
      <c r="BB31" s="718"/>
      <c r="BC31" s="718"/>
      <c r="BD31" s="718"/>
      <c r="BE31" s="719">
        <f t="shared" si="3"/>
        <v>0</v>
      </c>
      <c r="BF31" s="719">
        <f t="shared" si="3"/>
        <v>0</v>
      </c>
      <c r="BG31" s="720">
        <f t="shared" si="3"/>
        <v>0</v>
      </c>
      <c r="BH31" s="717"/>
      <c r="BI31" s="718"/>
      <c r="BJ31" s="721"/>
    </row>
    <row r="32" spans="2:62" ht="12.75" customHeight="1" outlineLevel="1" x14ac:dyDescent="0.2">
      <c r="B32" s="200" t="s">
        <v>1232</v>
      </c>
      <c r="C32" s="201"/>
      <c r="D32" s="262">
        <f t="shared" ref="D32:D38" si="9">SUM(R32:T32)</f>
        <v>0</v>
      </c>
      <c r="E32" s="265">
        <f t="shared" ref="E32:E38" si="10">D32*12/44</f>
        <v>0</v>
      </c>
      <c r="F32" s="443"/>
      <c r="G32" s="493">
        <f>VLOOKUP($B32,'Emissions factors'!$B$1171:$K$1216,2,FALSE)</f>
        <v>3.0249999999999999E-2</v>
      </c>
      <c r="H32" s="493">
        <f>VLOOKUP($B32,'Emissions factors'!$B$1171:$K$1216,3,FALSE)</f>
        <v>2.3583957860465115E-2</v>
      </c>
      <c r="I32" s="493">
        <f>VLOOKUP($B32,'Emissions factors'!$B$1171:$K$1216,4,FALSE)</f>
        <v>0.22358700000000001</v>
      </c>
      <c r="J32" s="493">
        <f>VLOOKUP($B32,'Emissions factors'!$B$1171:$K$1216,5,FALSE)</f>
        <v>2.3583957860465115E-2</v>
      </c>
      <c r="K32" s="493">
        <f>VLOOKUP($B32,'Emissions factors'!$B$1171:$K$1216,6,FALSE)</f>
        <v>0.22358700000000001</v>
      </c>
      <c r="L32" s="497">
        <f>VLOOKUP($B32,'Emissions factors'!$B$1171:$K$1216,7,FALSE)</f>
        <v>0.2</v>
      </c>
      <c r="M32" s="497">
        <f>VLOOKUP($B32,'Emissions factors'!$B$1171:$K$1216,8,FALSE)</f>
        <v>0.30134917135427164</v>
      </c>
      <c r="N32" s="495">
        <f>VLOOKUP($B32,'Emissions factors'!$B$1171:$K$1216,9,FALSE)</f>
        <v>0.69686602772542594</v>
      </c>
      <c r="O32" s="188"/>
      <c r="P32" s="272">
        <f>H32+(J32-H32)*(1-L32)*M32</f>
        <v>2.3583957860465115E-2</v>
      </c>
      <c r="Q32" s="272">
        <f>I32+(K32-I32)*(1-L32)*M32</f>
        <v>0.22358700000000001</v>
      </c>
      <c r="R32" s="465">
        <f t="shared" ref="R32:R38" si="11">G32*O32</f>
        <v>0</v>
      </c>
      <c r="S32" s="465">
        <f t="shared" ref="S32:S38" si="12">O32*P32</f>
        <v>0</v>
      </c>
      <c r="T32" s="210">
        <f t="shared" ref="T32:T38" si="13">O32*Q32</f>
        <v>0</v>
      </c>
      <c r="U32" s="222">
        <f>IF(OR(F32='Info utili'!$G$532,F32='Info utili'!$G$537),T32,0)</f>
        <v>0</v>
      </c>
      <c r="W32" s="324"/>
      <c r="X32" s="282">
        <f>VLOOKUP($B32,'Emissions factors'!$B$1171:$K$1216,10,FALSE)</f>
        <v>9.906803042200836E-2</v>
      </c>
      <c r="Y32" s="190"/>
      <c r="Z32" s="221">
        <f t="shared" si="7"/>
        <v>0</v>
      </c>
      <c r="AA32" s="221">
        <f t="shared" si="4"/>
        <v>0</v>
      </c>
      <c r="AB32" s="221">
        <f t="shared" si="8"/>
        <v>0</v>
      </c>
      <c r="AC32" s="210">
        <f t="shared" si="5"/>
        <v>0</v>
      </c>
      <c r="AD32" s="222">
        <f t="shared" si="6"/>
        <v>0</v>
      </c>
      <c r="AE32" s="42"/>
      <c r="AF32" s="190"/>
      <c r="AG32" s="221">
        <f t="shared" ref="AG32:AG38" si="14">R32*$AF32</f>
        <v>0</v>
      </c>
      <c r="AH32" s="221">
        <f t="shared" ref="AH32:AH38" si="15">S32*$AF32</f>
        <v>0</v>
      </c>
      <c r="AI32" s="221">
        <f t="shared" ref="AI32:AI38" si="16">T32*$AF32</f>
        <v>0</v>
      </c>
      <c r="AJ32" s="210">
        <f t="shared" ref="AJ32:AJ38" si="17">SUM(AG32:AI32)</f>
        <v>0</v>
      </c>
      <c r="AK32" s="221">
        <f t="shared" ref="AK32:AK38" si="18">U32*$AF32</f>
        <v>0</v>
      </c>
      <c r="AL32" s="190"/>
      <c r="AM32" s="221">
        <f t="shared" ref="AM32:AM38" si="19">AL32*R32</f>
        <v>0</v>
      </c>
      <c r="AN32" s="221">
        <f t="shared" ref="AN32:AN38" si="20">AL32*S32</f>
        <v>0</v>
      </c>
      <c r="AO32" s="221">
        <f t="shared" ref="AO32:AO38" si="21">AL32*T32</f>
        <v>0</v>
      </c>
      <c r="AP32" s="210">
        <f t="shared" ref="AP32:AP38" si="22">SUM(AM32:AO32)</f>
        <v>0</v>
      </c>
      <c r="AQ32" s="222">
        <f t="shared" ref="AQ32:AQ38" si="23">AL32*U32</f>
        <v>0</v>
      </c>
      <c r="AS32" s="717"/>
      <c r="AT32" s="718"/>
      <c r="AU32" s="718"/>
      <c r="AV32" s="718"/>
      <c r="AW32" s="718"/>
      <c r="AX32" s="718"/>
      <c r="AY32" s="718"/>
      <c r="AZ32" s="718"/>
      <c r="BA32" s="718"/>
      <c r="BB32" s="718"/>
      <c r="BC32" s="718"/>
      <c r="BD32" s="718"/>
      <c r="BE32" s="719">
        <f t="shared" si="3"/>
        <v>0</v>
      </c>
      <c r="BF32" s="719">
        <f t="shared" si="3"/>
        <v>0</v>
      </c>
      <c r="BG32" s="720">
        <f t="shared" si="3"/>
        <v>0</v>
      </c>
      <c r="BH32" s="717"/>
      <c r="BI32" s="718"/>
      <c r="BJ32" s="721"/>
    </row>
    <row r="33" spans="2:62" ht="12.75" customHeight="1" outlineLevel="1" x14ac:dyDescent="0.2">
      <c r="B33" s="200"/>
      <c r="C33" s="201"/>
      <c r="D33" s="262"/>
      <c r="E33" s="265"/>
      <c r="F33" s="493"/>
      <c r="G33" s="493"/>
      <c r="H33" s="493"/>
      <c r="I33" s="493"/>
      <c r="J33" s="493"/>
      <c r="K33" s="493"/>
      <c r="L33" s="495"/>
      <c r="M33" s="221"/>
      <c r="N33" s="495"/>
      <c r="O33" s="221"/>
      <c r="P33" s="272"/>
      <c r="Q33" s="272"/>
      <c r="R33" s="465"/>
      <c r="S33" s="465"/>
      <c r="T33" s="210"/>
      <c r="U33" s="222"/>
      <c r="W33" s="324"/>
      <c r="X33" s="282"/>
      <c r="Y33" s="221"/>
      <c r="Z33" s="221"/>
      <c r="AA33" s="221"/>
      <c r="AB33" s="221"/>
      <c r="AC33" s="210"/>
      <c r="AD33" s="222"/>
      <c r="AE33" s="42"/>
      <c r="AF33" s="1203"/>
      <c r="AG33" s="221"/>
      <c r="AH33" s="221"/>
      <c r="AI33" s="221"/>
      <c r="AJ33" s="210"/>
      <c r="AK33" s="221"/>
      <c r="AL33" s="221"/>
      <c r="AM33" s="221"/>
      <c r="AN33" s="221"/>
      <c r="AO33" s="221"/>
      <c r="AP33" s="210"/>
      <c r="AQ33" s="222"/>
      <c r="AS33" s="717"/>
      <c r="AT33" s="718"/>
      <c r="AU33" s="718"/>
      <c r="AV33" s="718"/>
      <c r="AW33" s="718"/>
      <c r="AX33" s="718"/>
      <c r="AY33" s="718"/>
      <c r="AZ33" s="718"/>
      <c r="BA33" s="718"/>
      <c r="BB33" s="718"/>
      <c r="BC33" s="718"/>
      <c r="BD33" s="718"/>
      <c r="BE33" s="719"/>
      <c r="BF33" s="719"/>
      <c r="BG33" s="720"/>
      <c r="BH33" s="717"/>
      <c r="BI33" s="718"/>
      <c r="BJ33" s="721"/>
    </row>
    <row r="34" spans="2:62" ht="12.75" customHeight="1" outlineLevel="1" x14ac:dyDescent="0.2">
      <c r="B34" s="704" t="s">
        <v>2780</v>
      </c>
      <c r="C34" s="201"/>
      <c r="D34" s="262"/>
      <c r="E34" s="265"/>
      <c r="F34" s="493"/>
      <c r="G34" s="493"/>
      <c r="H34" s="493"/>
      <c r="I34" s="493"/>
      <c r="J34" s="493"/>
      <c r="K34" s="493"/>
      <c r="L34" s="495"/>
      <c r="M34" s="221"/>
      <c r="N34" s="495"/>
      <c r="O34" s="221"/>
      <c r="P34" s="272"/>
      <c r="Q34" s="272"/>
      <c r="R34" s="465"/>
      <c r="S34" s="465"/>
      <c r="T34" s="210"/>
      <c r="U34" s="222"/>
      <c r="W34" s="324"/>
      <c r="X34" s="282"/>
      <c r="Y34" s="221"/>
      <c r="Z34" s="221"/>
      <c r="AA34" s="221"/>
      <c r="AB34" s="221"/>
      <c r="AC34" s="210"/>
      <c r="AD34" s="222"/>
      <c r="AE34" s="42"/>
      <c r="AF34" s="1225"/>
      <c r="AG34" s="221"/>
      <c r="AH34" s="221"/>
      <c r="AI34" s="221"/>
      <c r="AJ34" s="210"/>
      <c r="AK34" s="221"/>
      <c r="AL34" s="221"/>
      <c r="AM34" s="221"/>
      <c r="AN34" s="221"/>
      <c r="AO34" s="221"/>
      <c r="AP34" s="210"/>
      <c r="AQ34" s="222"/>
      <c r="AS34" s="717"/>
      <c r="AT34" s="718"/>
      <c r="AU34" s="718"/>
      <c r="AV34" s="718"/>
      <c r="AW34" s="718"/>
      <c r="AX34" s="718"/>
      <c r="AY34" s="718"/>
      <c r="AZ34" s="718"/>
      <c r="BA34" s="718"/>
      <c r="BB34" s="718"/>
      <c r="BC34" s="718"/>
      <c r="BD34" s="718"/>
      <c r="BE34" s="719"/>
      <c r="BF34" s="719"/>
      <c r="BG34" s="720"/>
      <c r="BH34" s="717"/>
      <c r="BI34" s="718"/>
      <c r="BJ34" s="721"/>
    </row>
    <row r="35" spans="2:62" ht="12.75" customHeight="1" outlineLevel="1" x14ac:dyDescent="0.2">
      <c r="B35" s="200" t="s">
        <v>1284</v>
      </c>
      <c r="C35" s="201"/>
      <c r="D35" s="262">
        <f t="shared" si="9"/>
        <v>0</v>
      </c>
      <c r="E35" s="265">
        <f t="shared" si="10"/>
        <v>0</v>
      </c>
      <c r="F35" s="559"/>
      <c r="G35" s="493">
        <f>VLOOKUP($B35,'Emissions factors'!$B$1221:$AG$1245,17,FALSE)</f>
        <v>0.04</v>
      </c>
      <c r="H35" s="493"/>
      <c r="I35" s="493"/>
      <c r="J35" s="493"/>
      <c r="K35" s="493"/>
      <c r="L35" s="695"/>
      <c r="M35" s="695"/>
      <c r="N35" s="495"/>
      <c r="O35" s="673"/>
      <c r="P35" s="272">
        <f>VLOOKUP($B35,'Emissions factors'!$B$1221:$AG$1245,18,FALSE)</f>
        <v>0.10489999999999999</v>
      </c>
      <c r="Q35" s="272">
        <f>VLOOKUP($B35,'Emissions factors'!$B$1221:$AG$1245,19,FALSE)</f>
        <v>0.40239000000000003</v>
      </c>
      <c r="R35" s="465">
        <f>G35*O35</f>
        <v>0</v>
      </c>
      <c r="S35" s="465">
        <f>O35*P35</f>
        <v>0</v>
      </c>
      <c r="T35" s="210">
        <f>O35*Q35</f>
        <v>0</v>
      </c>
      <c r="U35" s="222">
        <f>IF(OR(F35='Info utili'!$G$532,F35='Info utili'!$G$537),T35,0)</f>
        <v>0</v>
      </c>
      <c r="W35" s="324"/>
      <c r="X35" s="282">
        <f>VLOOKUP($B35,'Emissions factors'!$B$1221:$AG$1245,32,FALSE)</f>
        <v>0.7</v>
      </c>
      <c r="Y35" s="184"/>
      <c r="Z35" s="221">
        <f t="shared" si="7"/>
        <v>0</v>
      </c>
      <c r="AA35" s="221">
        <f t="shared" si="4"/>
        <v>0</v>
      </c>
      <c r="AB35" s="221">
        <f t="shared" si="8"/>
        <v>0</v>
      </c>
      <c r="AC35" s="210">
        <f>SQRT(SUMSQ(Z35:AB35))</f>
        <v>0</v>
      </c>
      <c r="AD35" s="222">
        <f>U35*SQRT(X35^2+Y35^2)</f>
        <v>0</v>
      </c>
      <c r="AE35" s="42"/>
      <c r="AF35" s="184"/>
      <c r="AG35" s="221">
        <f t="shared" si="14"/>
        <v>0</v>
      </c>
      <c r="AH35" s="221">
        <f t="shared" si="15"/>
        <v>0</v>
      </c>
      <c r="AI35" s="221">
        <f t="shared" si="16"/>
        <v>0</v>
      </c>
      <c r="AJ35" s="210">
        <f t="shared" si="17"/>
        <v>0</v>
      </c>
      <c r="AK35" s="221">
        <f t="shared" si="18"/>
        <v>0</v>
      </c>
      <c r="AL35" s="184"/>
      <c r="AM35" s="221">
        <f t="shared" si="19"/>
        <v>0</v>
      </c>
      <c r="AN35" s="221">
        <f t="shared" si="20"/>
        <v>0</v>
      </c>
      <c r="AO35" s="221">
        <f t="shared" si="21"/>
        <v>0</v>
      </c>
      <c r="AP35" s="210">
        <f t="shared" si="22"/>
        <v>0</v>
      </c>
      <c r="AQ35" s="222">
        <f t="shared" si="23"/>
        <v>0</v>
      </c>
      <c r="AS35" s="717">
        <f>O35*VLOOKUP($B35,'Emissions factors'!$B$1221:$AG$1245,20,FALSE)</f>
        <v>0</v>
      </c>
      <c r="AT35" s="718">
        <f>O35*VLOOKUP($B35,'Emissions factors'!$B$1221:$AG$1245,21,FALSE)</f>
        <v>0</v>
      </c>
      <c r="AU35" s="718">
        <f>O35*VLOOKUP($B35,'Emissions factors'!$B$1221:$AG$1245,22,FALSE)</f>
        <v>0</v>
      </c>
      <c r="AV35" s="718">
        <f>O35*VLOOKUP($B35,'Emissions factors'!$B$1221:$AG$1245,23,FALSE)</f>
        <v>0</v>
      </c>
      <c r="AW35" s="718">
        <f>O35*VLOOKUP($B35,'Emissions factors'!$B$1221:$AG$1245,24,FALSE)</f>
        <v>0</v>
      </c>
      <c r="AX35" s="718">
        <f>O35*VLOOKUP($B35,'Emissions factors'!$B$1221:$AG$1245,25,FALSE)</f>
        <v>0</v>
      </c>
      <c r="AY35" s="718">
        <f>O35*VLOOKUP($B35,'Emissions factors'!$B$1221:$AG$1245,26,FALSE)</f>
        <v>0</v>
      </c>
      <c r="AZ35" s="718">
        <f>O35*VLOOKUP($B35,'Emissions factors'!$B$1221:$AG$1245,27,FALSE)</f>
        <v>0</v>
      </c>
      <c r="BA35" s="718">
        <f>O35*VLOOKUP($B35,'Emissions factors'!$B$1221:$AG$1245,28,FALSE)</f>
        <v>0</v>
      </c>
      <c r="BB35" s="718">
        <v>0</v>
      </c>
      <c r="BC35" s="718">
        <v>0</v>
      </c>
      <c r="BD35" s="718">
        <v>0</v>
      </c>
      <c r="BE35" s="719">
        <f t="shared" ref="BE35:BG39" si="24">R35</f>
        <v>0</v>
      </c>
      <c r="BF35" s="719">
        <f t="shared" si="24"/>
        <v>0</v>
      </c>
      <c r="BG35" s="720">
        <f t="shared" si="24"/>
        <v>0</v>
      </c>
      <c r="BH35" s="717">
        <f>O35*VLOOKUP($B35,'Emissions factors'!$B$1221:$AG$1245,29,FALSE)</f>
        <v>0</v>
      </c>
      <c r="BI35" s="718">
        <f>O35*VLOOKUP($B35,'Emissions factors'!$B$1221:$AG$1245,30,FALSE)</f>
        <v>0</v>
      </c>
      <c r="BJ35" s="721">
        <f>O35*VLOOKUP($B35,'Emissions factors'!$B$1221:$AG$1245,31,FALSE)</f>
        <v>0</v>
      </c>
    </row>
    <row r="36" spans="2:62" ht="12.75" customHeight="1" outlineLevel="1" x14ac:dyDescent="0.2">
      <c r="B36" s="200" t="s">
        <v>1293</v>
      </c>
      <c r="C36" s="201"/>
      <c r="D36" s="262">
        <f t="shared" si="9"/>
        <v>0</v>
      </c>
      <c r="E36" s="265">
        <f t="shared" si="10"/>
        <v>0</v>
      </c>
      <c r="F36" s="692"/>
      <c r="G36" s="493">
        <f>VLOOKUP($B36,'Emissions factors'!$B$1221:$AG$1245,17,FALSE)</f>
        <v>0.11</v>
      </c>
      <c r="H36" s="493"/>
      <c r="I36" s="493"/>
      <c r="J36" s="493"/>
      <c r="K36" s="493"/>
      <c r="L36" s="696"/>
      <c r="M36" s="696"/>
      <c r="N36" s="495"/>
      <c r="O36" s="1214"/>
      <c r="P36" s="272">
        <f>VLOOKUP($B36,'Emissions factors'!$B$1221:$AG$1245,18,FALSE)</f>
        <v>0.24809999999999999</v>
      </c>
      <c r="Q36" s="272">
        <f>VLOOKUP($B36,'Emissions factors'!$B$1221:$AG$1245,19,FALSE)</f>
        <v>0.95301599999999997</v>
      </c>
      <c r="R36" s="465">
        <f t="shared" si="11"/>
        <v>0</v>
      </c>
      <c r="S36" s="465">
        <f t="shared" si="12"/>
        <v>0</v>
      </c>
      <c r="T36" s="210">
        <f t="shared" si="13"/>
        <v>0</v>
      </c>
      <c r="U36" s="222">
        <f>IF(OR(F36='Info utili'!$G$532,F36='Info utili'!$G$537),T36,0)</f>
        <v>0</v>
      </c>
      <c r="W36" s="324"/>
      <c r="X36" s="282">
        <f>VLOOKUP($B36,'Emissions factors'!$B$1221:$AG$1245,32,FALSE)</f>
        <v>0.7</v>
      </c>
      <c r="Y36" s="186"/>
      <c r="Z36" s="221">
        <f t="shared" si="7"/>
        <v>0</v>
      </c>
      <c r="AA36" s="221">
        <f t="shared" si="4"/>
        <v>0</v>
      </c>
      <c r="AB36" s="221">
        <f t="shared" si="8"/>
        <v>0</v>
      </c>
      <c r="AC36" s="210">
        <f t="shared" si="5"/>
        <v>0</v>
      </c>
      <c r="AD36" s="222">
        <f t="shared" si="6"/>
        <v>0</v>
      </c>
      <c r="AE36" s="42"/>
      <c r="AF36" s="187"/>
      <c r="AG36" s="221">
        <f t="shared" si="14"/>
        <v>0</v>
      </c>
      <c r="AH36" s="221">
        <f t="shared" si="15"/>
        <v>0</v>
      </c>
      <c r="AI36" s="221">
        <f t="shared" si="16"/>
        <v>0</v>
      </c>
      <c r="AJ36" s="210">
        <f t="shared" si="17"/>
        <v>0</v>
      </c>
      <c r="AK36" s="221">
        <f t="shared" si="18"/>
        <v>0</v>
      </c>
      <c r="AL36" s="187"/>
      <c r="AM36" s="221">
        <f t="shared" si="19"/>
        <v>0</v>
      </c>
      <c r="AN36" s="221">
        <f t="shared" si="20"/>
        <v>0</v>
      </c>
      <c r="AO36" s="221">
        <f t="shared" si="21"/>
        <v>0</v>
      </c>
      <c r="AP36" s="210">
        <f t="shared" si="22"/>
        <v>0</v>
      </c>
      <c r="AQ36" s="222">
        <f t="shared" si="23"/>
        <v>0</v>
      </c>
      <c r="AS36" s="717">
        <f>O36*VLOOKUP($B36,'Emissions factors'!$B$1221:$AG$1245,20,FALSE)</f>
        <v>0</v>
      </c>
      <c r="AT36" s="718">
        <f>O36*VLOOKUP($B36,'Emissions factors'!$B$1221:$AG$1245,21,FALSE)</f>
        <v>0</v>
      </c>
      <c r="AU36" s="718">
        <f>O36*VLOOKUP($B36,'Emissions factors'!$B$1221:$AG$1245,22,FALSE)</f>
        <v>0</v>
      </c>
      <c r="AV36" s="718">
        <f>O36*VLOOKUP($B36,'Emissions factors'!$B$1221:$AG$1245,23,FALSE)</f>
        <v>0</v>
      </c>
      <c r="AW36" s="718">
        <f>O36*VLOOKUP($B36,'Emissions factors'!$B$1221:$AG$1245,24,FALSE)</f>
        <v>0</v>
      </c>
      <c r="AX36" s="718">
        <f>O36*VLOOKUP($B36,'Emissions factors'!$B$1221:$AG$1245,25,FALSE)</f>
        <v>0</v>
      </c>
      <c r="AY36" s="718">
        <f>O36*VLOOKUP($B36,'Emissions factors'!$B$1221:$AG$1245,26,FALSE)</f>
        <v>0</v>
      </c>
      <c r="AZ36" s="718">
        <f>O36*VLOOKUP($B36,'Emissions factors'!$B$1221:$AG$1245,27,FALSE)</f>
        <v>0</v>
      </c>
      <c r="BA36" s="718">
        <f>O36*VLOOKUP($B36,'Emissions factors'!$B$1221:$AG$1245,28,FALSE)</f>
        <v>0</v>
      </c>
      <c r="BB36" s="718">
        <v>0</v>
      </c>
      <c r="BC36" s="718">
        <v>0</v>
      </c>
      <c r="BD36" s="718">
        <v>0</v>
      </c>
      <c r="BE36" s="719">
        <f t="shared" si="24"/>
        <v>0</v>
      </c>
      <c r="BF36" s="719">
        <f t="shared" si="24"/>
        <v>0</v>
      </c>
      <c r="BG36" s="720">
        <f t="shared" si="24"/>
        <v>0</v>
      </c>
      <c r="BH36" s="717">
        <f>O36*VLOOKUP($B36,'Emissions factors'!$B$1221:$AG$1245,29,FALSE)</f>
        <v>0</v>
      </c>
      <c r="BI36" s="718">
        <f>O36*VLOOKUP($B36,'Emissions factors'!$B$1221:$AG$1245,30,FALSE)</f>
        <v>0</v>
      </c>
      <c r="BJ36" s="721">
        <f>O36*VLOOKUP($B36,'Emissions factors'!$B$1221:$AG$1245,31,FALSE)</f>
        <v>0</v>
      </c>
    </row>
    <row r="37" spans="2:62" ht="12.75" customHeight="1" outlineLevel="1" x14ac:dyDescent="0.2">
      <c r="B37" s="200" t="s">
        <v>1304</v>
      </c>
      <c r="C37" s="201"/>
      <c r="D37" s="262">
        <f t="shared" si="9"/>
        <v>0</v>
      </c>
      <c r="E37" s="265">
        <f t="shared" si="10"/>
        <v>0</v>
      </c>
      <c r="F37" s="692"/>
      <c r="G37" s="493">
        <f>VLOOKUP($B37,'Emissions factors'!$B$1221:$AG$1245,17,FALSE)</f>
        <v>6.5000000000000002E-2</v>
      </c>
      <c r="H37" s="493"/>
      <c r="I37" s="493"/>
      <c r="J37" s="493"/>
      <c r="K37" s="493"/>
      <c r="L37" s="696"/>
      <c r="M37" s="696"/>
      <c r="N37" s="495"/>
      <c r="O37" s="1214"/>
      <c r="P37" s="272">
        <f>VLOOKUP($B37,'Emissions factors'!$B$1221:$AG$1245,18,FALSE)</f>
        <v>0.14441999999999999</v>
      </c>
      <c r="Q37" s="272">
        <f>VLOOKUP($B37,'Emissions factors'!$B$1221:$AG$1245,19,FALSE)</f>
        <v>0.55365800000000009</v>
      </c>
      <c r="R37" s="465">
        <f t="shared" si="11"/>
        <v>0</v>
      </c>
      <c r="S37" s="465">
        <f t="shared" si="12"/>
        <v>0</v>
      </c>
      <c r="T37" s="210">
        <f t="shared" si="13"/>
        <v>0</v>
      </c>
      <c r="U37" s="222">
        <f>IF(OR(F37='Info utili'!$G$532,F37='Info utili'!$G$537),T37,0)</f>
        <v>0</v>
      </c>
      <c r="W37" s="324"/>
      <c r="X37" s="282">
        <f>VLOOKUP($B37,'Emissions factors'!$B$1221:$AG$1245,32,FALSE)</f>
        <v>0.7</v>
      </c>
      <c r="Y37" s="186"/>
      <c r="Z37" s="221">
        <f t="shared" si="7"/>
        <v>0</v>
      </c>
      <c r="AA37" s="221">
        <f t="shared" si="4"/>
        <v>0</v>
      </c>
      <c r="AB37" s="221">
        <f t="shared" si="8"/>
        <v>0</v>
      </c>
      <c r="AC37" s="210">
        <f t="shared" si="5"/>
        <v>0</v>
      </c>
      <c r="AD37" s="222">
        <f t="shared" si="6"/>
        <v>0</v>
      </c>
      <c r="AE37" s="42"/>
      <c r="AF37" s="187"/>
      <c r="AG37" s="221">
        <f t="shared" si="14"/>
        <v>0</v>
      </c>
      <c r="AH37" s="221">
        <f t="shared" si="15"/>
        <v>0</v>
      </c>
      <c r="AI37" s="221">
        <f t="shared" si="16"/>
        <v>0</v>
      </c>
      <c r="AJ37" s="210">
        <f t="shared" si="17"/>
        <v>0</v>
      </c>
      <c r="AK37" s="221">
        <f t="shared" si="18"/>
        <v>0</v>
      </c>
      <c r="AL37" s="187"/>
      <c r="AM37" s="221">
        <f t="shared" si="19"/>
        <v>0</v>
      </c>
      <c r="AN37" s="221">
        <f t="shared" si="20"/>
        <v>0</v>
      </c>
      <c r="AO37" s="221">
        <f t="shared" si="21"/>
        <v>0</v>
      </c>
      <c r="AP37" s="210">
        <f t="shared" si="22"/>
        <v>0</v>
      </c>
      <c r="AQ37" s="222">
        <f t="shared" si="23"/>
        <v>0</v>
      </c>
      <c r="AS37" s="717">
        <f>O37*VLOOKUP($B37,'Emissions factors'!$B$1221:$AG$1245,20,FALSE)</f>
        <v>0</v>
      </c>
      <c r="AT37" s="718">
        <f>O37*VLOOKUP($B37,'Emissions factors'!$B$1221:$AG$1245,21,FALSE)</f>
        <v>0</v>
      </c>
      <c r="AU37" s="718">
        <f>O37*VLOOKUP($B37,'Emissions factors'!$B$1221:$AG$1245,22,FALSE)</f>
        <v>0</v>
      </c>
      <c r="AV37" s="718">
        <f>O37*VLOOKUP($B37,'Emissions factors'!$B$1221:$AG$1245,23,FALSE)</f>
        <v>0</v>
      </c>
      <c r="AW37" s="718">
        <f>O37*VLOOKUP($B37,'Emissions factors'!$B$1221:$AG$1245,24,FALSE)</f>
        <v>0</v>
      </c>
      <c r="AX37" s="718">
        <f>O37*VLOOKUP($B37,'Emissions factors'!$B$1221:$AG$1245,25,FALSE)</f>
        <v>0</v>
      </c>
      <c r="AY37" s="718">
        <f>O37*VLOOKUP($B37,'Emissions factors'!$B$1221:$AG$1245,26,FALSE)</f>
        <v>0</v>
      </c>
      <c r="AZ37" s="718">
        <f>O37*VLOOKUP($B37,'Emissions factors'!$B$1221:$AG$1245,27,FALSE)</f>
        <v>0</v>
      </c>
      <c r="BA37" s="718">
        <f>O37*VLOOKUP($B37,'Emissions factors'!$B$1221:$AG$1245,28,FALSE)</f>
        <v>0</v>
      </c>
      <c r="BB37" s="718">
        <v>0</v>
      </c>
      <c r="BC37" s="718">
        <v>0</v>
      </c>
      <c r="BD37" s="718">
        <v>0</v>
      </c>
      <c r="BE37" s="719">
        <f t="shared" si="24"/>
        <v>0</v>
      </c>
      <c r="BF37" s="719">
        <f t="shared" si="24"/>
        <v>0</v>
      </c>
      <c r="BG37" s="720">
        <f t="shared" si="24"/>
        <v>0</v>
      </c>
      <c r="BH37" s="717">
        <f>O37*VLOOKUP($B37,'Emissions factors'!$B$1221:$AG$1245,29,FALSE)</f>
        <v>0</v>
      </c>
      <c r="BI37" s="718">
        <f>O37*VLOOKUP($B37,'Emissions factors'!$B$1221:$AG$1245,30,FALSE)</f>
        <v>0</v>
      </c>
      <c r="BJ37" s="721">
        <f>O37*VLOOKUP($B37,'Emissions factors'!$B$1221:$AG$1245,31,FALSE)</f>
        <v>0</v>
      </c>
    </row>
    <row r="38" spans="2:62" ht="12.75" customHeight="1" outlineLevel="1" x14ac:dyDescent="0.2">
      <c r="B38" s="200" t="s">
        <v>1293</v>
      </c>
      <c r="C38" s="201"/>
      <c r="D38" s="262">
        <f t="shared" si="9"/>
        <v>0</v>
      </c>
      <c r="E38" s="265">
        <f t="shared" si="10"/>
        <v>0</v>
      </c>
      <c r="F38" s="692"/>
      <c r="G38" s="493">
        <f>VLOOKUP($B38,'Emissions factors'!$B$1221:$AG$1245,17,FALSE)</f>
        <v>0.11</v>
      </c>
      <c r="H38" s="493"/>
      <c r="I38" s="493"/>
      <c r="J38" s="493"/>
      <c r="K38" s="493"/>
      <c r="L38" s="696"/>
      <c r="M38" s="696"/>
      <c r="N38" s="495"/>
      <c r="O38" s="1214"/>
      <c r="P38" s="272">
        <f>VLOOKUP($B38,'Emissions factors'!$B$1221:$AG$1245,18,FALSE)</f>
        <v>0.24809999999999999</v>
      </c>
      <c r="Q38" s="272">
        <f>VLOOKUP($B38,'Emissions factors'!$B$1221:$AG$1245,19,FALSE)</f>
        <v>0.95301599999999997</v>
      </c>
      <c r="R38" s="465">
        <f t="shared" si="11"/>
        <v>0</v>
      </c>
      <c r="S38" s="465">
        <f t="shared" si="12"/>
        <v>0</v>
      </c>
      <c r="T38" s="210">
        <f t="shared" si="13"/>
        <v>0</v>
      </c>
      <c r="U38" s="222">
        <f>IF(OR(F38='Info utili'!$G$532,F38='Info utili'!$G$537),T38,0)</f>
        <v>0</v>
      </c>
      <c r="W38" s="324"/>
      <c r="X38" s="282">
        <f>VLOOKUP($B38,'Emissions factors'!$B$1221:$AG$1245,32,FALSE)</f>
        <v>0.7</v>
      </c>
      <c r="Y38" s="186"/>
      <c r="Z38" s="221">
        <f t="shared" si="7"/>
        <v>0</v>
      </c>
      <c r="AA38" s="221">
        <f t="shared" si="4"/>
        <v>0</v>
      </c>
      <c r="AB38" s="221">
        <f t="shared" si="8"/>
        <v>0</v>
      </c>
      <c r="AC38" s="210">
        <f t="shared" si="5"/>
        <v>0</v>
      </c>
      <c r="AD38" s="222">
        <f t="shared" si="6"/>
        <v>0</v>
      </c>
      <c r="AE38" s="42"/>
      <c r="AF38" s="187"/>
      <c r="AG38" s="221">
        <f t="shared" si="14"/>
        <v>0</v>
      </c>
      <c r="AH38" s="221">
        <f t="shared" si="15"/>
        <v>0</v>
      </c>
      <c r="AI38" s="221">
        <f t="shared" si="16"/>
        <v>0</v>
      </c>
      <c r="AJ38" s="210">
        <f t="shared" si="17"/>
        <v>0</v>
      </c>
      <c r="AK38" s="221">
        <f t="shared" si="18"/>
        <v>0</v>
      </c>
      <c r="AL38" s="187"/>
      <c r="AM38" s="221">
        <f t="shared" si="19"/>
        <v>0</v>
      </c>
      <c r="AN38" s="221">
        <f t="shared" si="20"/>
        <v>0</v>
      </c>
      <c r="AO38" s="221">
        <f t="shared" si="21"/>
        <v>0</v>
      </c>
      <c r="AP38" s="210">
        <f t="shared" si="22"/>
        <v>0</v>
      </c>
      <c r="AQ38" s="222">
        <f t="shared" si="23"/>
        <v>0</v>
      </c>
      <c r="AS38" s="717">
        <f>O38*VLOOKUP($B38,'Emissions factors'!$B$1221:$AG$1245,20,FALSE)</f>
        <v>0</v>
      </c>
      <c r="AT38" s="718">
        <f>O38*VLOOKUP($B38,'Emissions factors'!$B$1221:$AG$1245,21,FALSE)</f>
        <v>0</v>
      </c>
      <c r="AU38" s="718">
        <f>O38*VLOOKUP($B38,'Emissions factors'!$B$1221:$AG$1245,22,FALSE)</f>
        <v>0</v>
      </c>
      <c r="AV38" s="718">
        <f>O38*VLOOKUP($B38,'Emissions factors'!$B$1221:$AG$1245,23,FALSE)</f>
        <v>0</v>
      </c>
      <c r="AW38" s="718">
        <f>O38*VLOOKUP($B38,'Emissions factors'!$B$1221:$AG$1245,24,FALSE)</f>
        <v>0</v>
      </c>
      <c r="AX38" s="718">
        <f>O38*VLOOKUP($B38,'Emissions factors'!$B$1221:$AG$1245,25,FALSE)</f>
        <v>0</v>
      </c>
      <c r="AY38" s="718">
        <f>O38*VLOOKUP($B38,'Emissions factors'!$B$1221:$AG$1245,26,FALSE)</f>
        <v>0</v>
      </c>
      <c r="AZ38" s="718">
        <f>O38*VLOOKUP($B38,'Emissions factors'!$B$1221:$AG$1245,27,FALSE)</f>
        <v>0</v>
      </c>
      <c r="BA38" s="718">
        <f>O38*VLOOKUP($B38,'Emissions factors'!$B$1221:$AG$1245,28,FALSE)</f>
        <v>0</v>
      </c>
      <c r="BB38" s="718">
        <v>0</v>
      </c>
      <c r="BC38" s="718">
        <v>0</v>
      </c>
      <c r="BD38" s="718">
        <v>0</v>
      </c>
      <c r="BE38" s="719">
        <f t="shared" si="24"/>
        <v>0</v>
      </c>
      <c r="BF38" s="719">
        <f t="shared" si="24"/>
        <v>0</v>
      </c>
      <c r="BG38" s="720">
        <f t="shared" si="24"/>
        <v>0</v>
      </c>
      <c r="BH38" s="717">
        <f>O38*VLOOKUP($B38,'Emissions factors'!$B$1221:$AG$1245,29,FALSE)</f>
        <v>0</v>
      </c>
      <c r="BI38" s="718">
        <f>O38*VLOOKUP($B38,'Emissions factors'!$B$1221:$AG$1245,30,FALSE)</f>
        <v>0</v>
      </c>
      <c r="BJ38" s="721">
        <f>O38*VLOOKUP($B38,'Emissions factors'!$B$1221:$AG$1245,31,FALSE)</f>
        <v>0</v>
      </c>
    </row>
    <row r="39" spans="2:62" ht="12.75" customHeight="1" outlineLevel="1" x14ac:dyDescent="0.2">
      <c r="B39" s="200" t="s">
        <v>1290</v>
      </c>
      <c r="C39" s="201"/>
      <c r="D39" s="262">
        <f>SUM(R39:T39)</f>
        <v>0</v>
      </c>
      <c r="E39" s="265">
        <f>D39*12/44</f>
        <v>0</v>
      </c>
      <c r="F39" s="443"/>
      <c r="G39" s="493">
        <f>VLOOKUP($B39,'Emissions factors'!$B$1221:$AG$1245,17,FALSE)</f>
        <v>0.105</v>
      </c>
      <c r="H39" s="493"/>
      <c r="I39" s="493"/>
      <c r="J39" s="493"/>
      <c r="K39" s="493"/>
      <c r="L39" s="697"/>
      <c r="M39" s="697"/>
      <c r="N39" s="495"/>
      <c r="O39" s="1224"/>
      <c r="P39" s="272">
        <f>VLOOKUP($B39,'Emissions factors'!$B$1221:$AG$1245,18,FALSE)</f>
        <v>0.17745999999999998</v>
      </c>
      <c r="Q39" s="272">
        <f>VLOOKUP($B39,'Emissions factors'!$B$1221:$AG$1245,19,FALSE)</f>
        <v>0.67971400000000004</v>
      </c>
      <c r="R39" s="465">
        <f>G39*O39</f>
        <v>0</v>
      </c>
      <c r="S39" s="465">
        <f>O39*P39</f>
        <v>0</v>
      </c>
      <c r="T39" s="210">
        <f>O39*Q39</f>
        <v>0</v>
      </c>
      <c r="U39" s="222">
        <f>IF(OR(F39='Info utili'!$G$532,F39='Info utili'!$G$537),T39,0)</f>
        <v>0</v>
      </c>
      <c r="W39" s="42"/>
      <c r="X39" s="282">
        <f>VLOOKUP($B39,'Emissions factors'!$B$1221:$AG$1245,32,FALSE)</f>
        <v>0.7</v>
      </c>
      <c r="Y39" s="189"/>
      <c r="Z39" s="221">
        <f t="shared" si="7"/>
        <v>0</v>
      </c>
      <c r="AA39" s="221">
        <f t="shared" si="4"/>
        <v>0</v>
      </c>
      <c r="AB39" s="221">
        <f t="shared" si="8"/>
        <v>0</v>
      </c>
      <c r="AC39" s="210">
        <f t="shared" si="5"/>
        <v>0</v>
      </c>
      <c r="AD39" s="222">
        <f t="shared" si="6"/>
        <v>0</v>
      </c>
      <c r="AE39" s="42"/>
      <c r="AF39" s="190"/>
      <c r="AG39" s="221">
        <f>R39*$AF39</f>
        <v>0</v>
      </c>
      <c r="AH39" s="221">
        <f>S39*$AF39</f>
        <v>0</v>
      </c>
      <c r="AI39" s="221">
        <f>T39*$AF39</f>
        <v>0</v>
      </c>
      <c r="AJ39" s="210">
        <f>SUM(AG39:AI39)</f>
        <v>0</v>
      </c>
      <c r="AK39" s="221">
        <f>U39*$AF39</f>
        <v>0</v>
      </c>
      <c r="AL39" s="190"/>
      <c r="AM39" s="221">
        <f>AL39*R39</f>
        <v>0</v>
      </c>
      <c r="AN39" s="221">
        <f>AL39*S39</f>
        <v>0</v>
      </c>
      <c r="AO39" s="221">
        <f>AL39*T39</f>
        <v>0</v>
      </c>
      <c r="AP39" s="210">
        <f>SUM(AM39:AO39)</f>
        <v>0</v>
      </c>
      <c r="AQ39" s="222">
        <f>AL39*U39</f>
        <v>0</v>
      </c>
      <c r="AS39" s="717">
        <f>O39*VLOOKUP($B39,'Emissions factors'!$B$1221:$AG$1245,20,FALSE)</f>
        <v>0</v>
      </c>
      <c r="AT39" s="718">
        <f>O39*VLOOKUP($B39,'Emissions factors'!$B$1221:$AG$1245,21,FALSE)</f>
        <v>0</v>
      </c>
      <c r="AU39" s="718">
        <f>O39*VLOOKUP($B39,'Emissions factors'!$B$1221:$AG$1245,22,FALSE)</f>
        <v>0</v>
      </c>
      <c r="AV39" s="718">
        <f>O39*VLOOKUP($B39,'Emissions factors'!$B$1221:$AG$1245,23,FALSE)</f>
        <v>0</v>
      </c>
      <c r="AW39" s="718">
        <f>O39*VLOOKUP($B39,'Emissions factors'!$B$1221:$AG$1245,24,FALSE)</f>
        <v>0</v>
      </c>
      <c r="AX39" s="718">
        <f>O39*VLOOKUP($B39,'Emissions factors'!$B$1221:$AG$1245,25,FALSE)</f>
        <v>0</v>
      </c>
      <c r="AY39" s="718">
        <f>O39*VLOOKUP($B39,'Emissions factors'!$B$1221:$AG$1245,26,FALSE)</f>
        <v>0</v>
      </c>
      <c r="AZ39" s="718">
        <f>O39*VLOOKUP($B39,'Emissions factors'!$B$1221:$AG$1245,27,FALSE)</f>
        <v>0</v>
      </c>
      <c r="BA39" s="718">
        <f>O39*VLOOKUP($B39,'Emissions factors'!$B$1221:$AG$1245,28,FALSE)</f>
        <v>0</v>
      </c>
      <c r="BB39" s="718">
        <v>0</v>
      </c>
      <c r="BC39" s="718">
        <v>0</v>
      </c>
      <c r="BD39" s="718">
        <v>0</v>
      </c>
      <c r="BE39" s="719">
        <f t="shared" si="24"/>
        <v>0</v>
      </c>
      <c r="BF39" s="719">
        <f t="shared" si="24"/>
        <v>0</v>
      </c>
      <c r="BG39" s="720">
        <f t="shared" si="24"/>
        <v>0</v>
      </c>
      <c r="BH39" s="717">
        <f>O39*VLOOKUP($B39,'Emissions factors'!$B$1221:$AG$1245,29,FALSE)</f>
        <v>0</v>
      </c>
      <c r="BI39" s="718">
        <f>O39*VLOOKUP($B39,'Emissions factors'!$B$1221:$AG$1245,30,FALSE)</f>
        <v>0</v>
      </c>
      <c r="BJ39" s="721">
        <f>O39*VLOOKUP($B39,'Emissions factors'!$B$1221:$AG$1245,31,FALSE)</f>
        <v>0</v>
      </c>
    </row>
    <row r="40" spans="2:62" ht="12.75" customHeight="1" outlineLevel="1" x14ac:dyDescent="0.2">
      <c r="B40" s="200"/>
      <c r="C40" s="201"/>
      <c r="D40" s="263"/>
      <c r="E40" s="266"/>
      <c r="F40" s="201"/>
      <c r="G40" s="201"/>
      <c r="H40" s="201"/>
      <c r="I40" s="201"/>
      <c r="J40" s="201"/>
      <c r="K40" s="201"/>
      <c r="L40" s="201"/>
      <c r="M40" s="201"/>
      <c r="N40" s="201"/>
      <c r="O40" s="201"/>
      <c r="P40" s="201"/>
      <c r="Q40" s="201"/>
      <c r="R40" s="201"/>
      <c r="S40" s="201"/>
      <c r="T40" s="221"/>
      <c r="U40" s="203"/>
      <c r="W40" s="42"/>
      <c r="X40" s="200"/>
      <c r="Y40" s="201"/>
      <c r="Z40" s="201"/>
      <c r="AA40" s="201"/>
      <c r="AB40" s="221"/>
      <c r="AC40" s="221"/>
      <c r="AD40" s="222"/>
      <c r="AE40" s="42"/>
      <c r="AF40" s="200"/>
      <c r="AG40" s="362"/>
      <c r="AH40" s="362"/>
      <c r="AI40" s="362"/>
      <c r="AJ40" s="221"/>
      <c r="AK40" s="362"/>
      <c r="AL40" s="201"/>
      <c r="AM40" s="362"/>
      <c r="AN40" s="362"/>
      <c r="AO40" s="221"/>
      <c r="AP40" s="221"/>
      <c r="AQ40" s="203"/>
      <c r="AS40" s="717"/>
      <c r="AT40" s="718"/>
      <c r="AU40" s="718"/>
      <c r="AV40" s="718"/>
      <c r="AW40" s="718"/>
      <c r="AX40" s="718"/>
      <c r="AY40" s="718"/>
      <c r="AZ40" s="718"/>
      <c r="BA40" s="718"/>
      <c r="BB40" s="718"/>
      <c r="BC40" s="718"/>
      <c r="BD40" s="718"/>
      <c r="BE40" s="719"/>
      <c r="BF40" s="719"/>
      <c r="BG40" s="720"/>
      <c r="BH40" s="722"/>
      <c r="BI40" s="786"/>
      <c r="BJ40" s="723"/>
    </row>
    <row r="41" spans="2:62" ht="12.75" customHeight="1" outlineLevel="1" x14ac:dyDescent="0.2">
      <c r="B41" s="253" t="s">
        <v>2828</v>
      </c>
      <c r="C41" s="254"/>
      <c r="D41" s="264">
        <f>SUM(D28:D40)</f>
        <v>0</v>
      </c>
      <c r="E41" s="267">
        <f>SUM(E28:E40)</f>
        <v>0</v>
      </c>
      <c r="F41" s="254"/>
      <c r="G41" s="254"/>
      <c r="H41" s="254"/>
      <c r="I41" s="254"/>
      <c r="J41" s="254"/>
      <c r="K41" s="254"/>
      <c r="L41" s="254"/>
      <c r="M41" s="254"/>
      <c r="N41" s="254"/>
      <c r="O41" s="254"/>
      <c r="P41" s="254"/>
      <c r="Q41" s="254"/>
      <c r="R41" s="259">
        <f>SUM(R28:R40)</f>
        <v>0</v>
      </c>
      <c r="S41" s="259">
        <f>SUM(S28:S40)</f>
        <v>0</v>
      </c>
      <c r="T41" s="259">
        <f>SUM(T28:T40)</f>
        <v>0</v>
      </c>
      <c r="U41" s="428">
        <f>SUM(U28:U40)</f>
        <v>0</v>
      </c>
      <c r="W41" s="42"/>
      <c r="X41" s="258"/>
      <c r="Y41" s="256"/>
      <c r="Z41" s="260">
        <f>SQRT(SUMSQ(Z28:Z40))</f>
        <v>0</v>
      </c>
      <c r="AA41" s="260">
        <f>SQRT(SUMSQ(AA28:AA40))</f>
        <v>0</v>
      </c>
      <c r="AB41" s="260">
        <f>SQRT(SUMSQ(AB28:AB40))</f>
        <v>0</v>
      </c>
      <c r="AC41" s="259">
        <f>SQRT(SUMSQ(AC28:AC40))</f>
        <v>0</v>
      </c>
      <c r="AD41" s="428">
        <f>SQRT(SUMSQ(AD28:AD40))</f>
        <v>0</v>
      </c>
      <c r="AE41" s="42"/>
      <c r="AF41" s="258"/>
      <c r="AG41" s="260">
        <f>SUM(AG28:AG40)</f>
        <v>0</v>
      </c>
      <c r="AH41" s="260">
        <f>SUM(AH28:AH40)</f>
        <v>0</v>
      </c>
      <c r="AI41" s="260">
        <f>SUM(AI28:AI40)</f>
        <v>0</v>
      </c>
      <c r="AJ41" s="259">
        <f>SUM(AJ28:AJ40)</f>
        <v>0</v>
      </c>
      <c r="AK41" s="260">
        <f>SUM(AK28:AK40)</f>
        <v>0</v>
      </c>
      <c r="AL41" s="256"/>
      <c r="AM41" s="260">
        <f>SUM(AM28:AM40)</f>
        <v>0</v>
      </c>
      <c r="AN41" s="260">
        <f>SUM(AN28:AN40)</f>
        <v>0</v>
      </c>
      <c r="AO41" s="260">
        <f>SUM(AO28:AO40)</f>
        <v>0</v>
      </c>
      <c r="AP41" s="259">
        <f>SUM(AP28:AP40)</f>
        <v>0</v>
      </c>
      <c r="AQ41" s="428">
        <f>SUM(AQ28:AQ40)</f>
        <v>0</v>
      </c>
      <c r="AS41" s="724">
        <f t="shared" ref="AS41:BJ41" si="25">SUM(AS28:AS40)</f>
        <v>0</v>
      </c>
      <c r="AT41" s="725">
        <f t="shared" si="25"/>
        <v>0</v>
      </c>
      <c r="AU41" s="725">
        <f t="shared" si="25"/>
        <v>0</v>
      </c>
      <c r="AV41" s="725">
        <f t="shared" si="25"/>
        <v>0</v>
      </c>
      <c r="AW41" s="725">
        <f t="shared" si="25"/>
        <v>0</v>
      </c>
      <c r="AX41" s="725">
        <f t="shared" si="25"/>
        <v>0</v>
      </c>
      <c r="AY41" s="725">
        <f t="shared" si="25"/>
        <v>0</v>
      </c>
      <c r="AZ41" s="725">
        <f t="shared" si="25"/>
        <v>0</v>
      </c>
      <c r="BA41" s="725">
        <f t="shared" si="25"/>
        <v>0</v>
      </c>
      <c r="BB41" s="725">
        <f t="shared" si="25"/>
        <v>0</v>
      </c>
      <c r="BC41" s="725">
        <f t="shared" si="25"/>
        <v>0</v>
      </c>
      <c r="BD41" s="725">
        <f t="shared" si="25"/>
        <v>0</v>
      </c>
      <c r="BE41" s="726">
        <f t="shared" si="25"/>
        <v>0</v>
      </c>
      <c r="BF41" s="726">
        <f t="shared" si="25"/>
        <v>0</v>
      </c>
      <c r="BG41" s="727">
        <f t="shared" si="25"/>
        <v>0</v>
      </c>
      <c r="BH41" s="724">
        <f t="shared" si="25"/>
        <v>0</v>
      </c>
      <c r="BI41" s="725">
        <f t="shared" si="25"/>
        <v>0</v>
      </c>
      <c r="BJ41" s="728">
        <f t="shared" si="25"/>
        <v>0</v>
      </c>
    </row>
    <row r="42" spans="2:62" ht="12.75" customHeight="1" outlineLevel="1" x14ac:dyDescent="0.2"/>
    <row r="43" spans="2:62" ht="12.75" customHeight="1" outlineLevel="1" x14ac:dyDescent="0.2">
      <c r="B43" s="195" t="s">
        <v>2858</v>
      </c>
      <c r="C43" s="196"/>
      <c r="D43" s="358"/>
      <c r="E43" s="358"/>
      <c r="F43" s="196"/>
      <c r="G43" s="196"/>
      <c r="H43" s="196"/>
      <c r="I43" s="196"/>
      <c r="J43" s="196"/>
      <c r="K43" s="196"/>
      <c r="L43" s="196"/>
      <c r="M43" s="196"/>
      <c r="N43" s="196"/>
      <c r="O43" s="198"/>
      <c r="P43" s="198"/>
      <c r="Q43" s="198"/>
      <c r="R43" s="198"/>
      <c r="S43" s="198"/>
      <c r="T43" s="198"/>
      <c r="U43" s="198"/>
      <c r="V43" s="199"/>
      <c r="W43" s="316"/>
      <c r="X43" s="1746" t="s">
        <v>723</v>
      </c>
      <c r="Y43" s="1747"/>
      <c r="Z43" s="1747"/>
      <c r="AA43" s="1747"/>
      <c r="AB43" s="1747"/>
      <c r="AC43" s="1747"/>
      <c r="AD43" s="1748"/>
      <c r="AE43" s="316"/>
      <c r="AF43" s="1746" t="s">
        <v>2066</v>
      </c>
      <c r="AG43" s="1747"/>
      <c r="AH43" s="1747"/>
      <c r="AI43" s="1747"/>
      <c r="AJ43" s="1747"/>
      <c r="AK43" s="1747"/>
      <c r="AL43" s="1747"/>
      <c r="AM43" s="1747"/>
      <c r="AN43" s="1747"/>
      <c r="AO43" s="1747"/>
      <c r="AP43" s="1747"/>
      <c r="AQ43" s="1748"/>
      <c r="AS43" s="1755" t="s">
        <v>2073</v>
      </c>
      <c r="AT43" s="1756"/>
      <c r="AU43" s="1756"/>
      <c r="AV43" s="1756"/>
      <c r="AW43" s="1756"/>
      <c r="AX43" s="1756"/>
      <c r="AY43" s="1756"/>
      <c r="AZ43" s="1756"/>
      <c r="BA43" s="1756"/>
      <c r="BB43" s="1756"/>
      <c r="BC43" s="1756"/>
      <c r="BD43" s="1756"/>
      <c r="BE43" s="1756"/>
      <c r="BF43" s="1756"/>
      <c r="BG43" s="1756"/>
      <c r="BH43" s="1756"/>
      <c r="BI43" s="1756"/>
      <c r="BJ43" s="1757"/>
    </row>
    <row r="44" spans="2:62" ht="12.75" customHeight="1" outlineLevel="1" x14ac:dyDescent="0.2">
      <c r="B44" s="417"/>
      <c r="C44" s="225"/>
      <c r="D44" s="361"/>
      <c r="E44" s="361"/>
      <c r="F44" s="201"/>
      <c r="G44" s="362" t="s">
        <v>61</v>
      </c>
      <c r="H44" s="1745" t="s">
        <v>1249</v>
      </c>
      <c r="I44" s="1745"/>
      <c r="J44" s="1745" t="s">
        <v>1249</v>
      </c>
      <c r="K44" s="1745"/>
      <c r="L44" s="225"/>
      <c r="M44" s="225"/>
      <c r="N44" s="225"/>
      <c r="O44" s="201"/>
      <c r="P44" s="201"/>
      <c r="Q44" s="201"/>
      <c r="R44" s="201"/>
      <c r="S44" s="201"/>
      <c r="T44" s="1745" t="s">
        <v>2646</v>
      </c>
      <c r="U44" s="1745"/>
      <c r="V44" s="427" t="s">
        <v>2639</v>
      </c>
      <c r="W44" s="316"/>
      <c r="X44" s="204"/>
      <c r="Y44" s="362"/>
      <c r="Z44" s="362"/>
      <c r="AA44" s="362"/>
      <c r="AB44" s="362"/>
      <c r="AC44" s="362"/>
      <c r="AD44" s="427" t="s">
        <v>2639</v>
      </c>
      <c r="AE44" s="316"/>
      <c r="AF44" s="216"/>
      <c r="AG44" s="361"/>
      <c r="AH44" s="361"/>
      <c r="AI44" s="361"/>
      <c r="AJ44" s="362"/>
      <c r="AK44" s="362" t="s">
        <v>2639</v>
      </c>
      <c r="AL44" s="217"/>
      <c r="AM44" s="361"/>
      <c r="AN44" s="361"/>
      <c r="AO44" s="361"/>
      <c r="AP44" s="362"/>
      <c r="AQ44" s="427" t="s">
        <v>2639</v>
      </c>
      <c r="AS44" s="1758" t="s">
        <v>61</v>
      </c>
      <c r="AT44" s="1759"/>
      <c r="AU44" s="1759"/>
      <c r="AV44" s="1759"/>
      <c r="AW44" s="1759"/>
      <c r="AX44" s="1759"/>
      <c r="AY44" s="1759"/>
      <c r="AZ44" s="1759"/>
      <c r="BA44" s="1759"/>
      <c r="BB44" s="1759"/>
      <c r="BC44" s="1759"/>
      <c r="BD44" s="1759"/>
      <c r="BE44" s="1759" t="s">
        <v>61</v>
      </c>
      <c r="BF44" s="1759"/>
      <c r="BG44" s="1760"/>
      <c r="BH44" s="730"/>
      <c r="BI44" s="785"/>
      <c r="BJ44" s="731"/>
    </row>
    <row r="45" spans="2:62" ht="12.75" customHeight="1" outlineLevel="1" x14ac:dyDescent="0.2">
      <c r="B45" s="204"/>
      <c r="C45" s="361"/>
      <c r="D45" s="362" t="s">
        <v>56</v>
      </c>
      <c r="E45" s="362" t="s">
        <v>56</v>
      </c>
      <c r="F45" s="205" t="s">
        <v>2634</v>
      </c>
      <c r="G45" s="362" t="s">
        <v>2537</v>
      </c>
      <c r="H45" s="1745" t="s">
        <v>2640</v>
      </c>
      <c r="I45" s="1745"/>
      <c r="J45" s="1745" t="s">
        <v>2641</v>
      </c>
      <c r="K45" s="1835"/>
      <c r="L45" s="205" t="s">
        <v>2642</v>
      </c>
      <c r="M45" s="205" t="s">
        <v>2643</v>
      </c>
      <c r="N45" s="1627" t="s">
        <v>2637</v>
      </c>
      <c r="O45" s="205"/>
      <c r="P45" s="1744" t="s">
        <v>1308</v>
      </c>
      <c r="Q45" s="1745"/>
      <c r="R45" s="1745"/>
      <c r="S45" s="361" t="s">
        <v>61</v>
      </c>
      <c r="T45" s="361" t="s">
        <v>61</v>
      </c>
      <c r="U45" s="361" t="s">
        <v>61</v>
      </c>
      <c r="V45" s="427" t="s">
        <v>30</v>
      </c>
      <c r="W45" s="316"/>
      <c r="X45" s="1626" t="s">
        <v>2605</v>
      </c>
      <c r="Y45" s="362" t="s">
        <v>2110</v>
      </c>
      <c r="Z45" s="362" t="s">
        <v>61</v>
      </c>
      <c r="AA45" s="362" t="s">
        <v>61</v>
      </c>
      <c r="AB45" s="362" t="s">
        <v>61</v>
      </c>
      <c r="AC45" s="361" t="s">
        <v>61</v>
      </c>
      <c r="AD45" s="427" t="s">
        <v>30</v>
      </c>
      <c r="AE45" s="316"/>
      <c r="AF45" s="204" t="s">
        <v>2065</v>
      </c>
      <c r="AG45" s="362" t="s">
        <v>61</v>
      </c>
      <c r="AH45" s="362" t="s">
        <v>61</v>
      </c>
      <c r="AI45" s="362" t="s">
        <v>61</v>
      </c>
      <c r="AJ45" s="361" t="s">
        <v>61</v>
      </c>
      <c r="AK45" s="362" t="s">
        <v>30</v>
      </c>
      <c r="AL45" s="362" t="s">
        <v>2558</v>
      </c>
      <c r="AM45" s="362" t="s">
        <v>61</v>
      </c>
      <c r="AN45" s="362" t="s">
        <v>61</v>
      </c>
      <c r="AO45" s="362" t="s">
        <v>61</v>
      </c>
      <c r="AP45" s="361" t="s">
        <v>61</v>
      </c>
      <c r="AQ45" s="427" t="s">
        <v>30</v>
      </c>
      <c r="AS45" s="1764" t="s">
        <v>14</v>
      </c>
      <c r="AT45" s="1761"/>
      <c r="AU45" s="1761"/>
      <c r="AV45" s="1761" t="s">
        <v>60</v>
      </c>
      <c r="AW45" s="1761"/>
      <c r="AX45" s="1761"/>
      <c r="AY45" s="1761" t="s">
        <v>27</v>
      </c>
      <c r="AZ45" s="1761"/>
      <c r="BA45" s="1761"/>
      <c r="BB45" s="1761" t="s">
        <v>2074</v>
      </c>
      <c r="BC45" s="1761"/>
      <c r="BD45" s="1761"/>
      <c r="BE45" s="1762" t="s">
        <v>41</v>
      </c>
      <c r="BF45" s="1762"/>
      <c r="BG45" s="1763"/>
      <c r="BH45" s="1764" t="s">
        <v>85</v>
      </c>
      <c r="BI45" s="1761"/>
      <c r="BJ45" s="1765"/>
    </row>
    <row r="46" spans="2:62" ht="12.75" customHeight="1" outlineLevel="1" x14ac:dyDescent="0.2">
      <c r="B46" s="704" t="s">
        <v>2781</v>
      </c>
      <c r="C46" s="201"/>
      <c r="D46" s="362" t="s">
        <v>61</v>
      </c>
      <c r="E46" s="362" t="s">
        <v>63</v>
      </c>
      <c r="F46" s="208" t="s">
        <v>2054</v>
      </c>
      <c r="G46" s="270" t="s">
        <v>1279</v>
      </c>
      <c r="H46" s="270" t="s">
        <v>768</v>
      </c>
      <c r="I46" s="270" t="s">
        <v>24</v>
      </c>
      <c r="J46" s="270" t="s">
        <v>768</v>
      </c>
      <c r="K46" s="270" t="str">
        <f>+K27</f>
        <v>combustione</v>
      </c>
      <c r="L46" s="212" t="s">
        <v>2644</v>
      </c>
      <c r="M46" s="212" t="s">
        <v>2645</v>
      </c>
      <c r="N46" s="1627" t="s">
        <v>34</v>
      </c>
      <c r="O46" s="208" t="s">
        <v>57</v>
      </c>
      <c r="P46" s="270" t="str">
        <f>+R27</f>
        <v>manifattura</v>
      </c>
      <c r="Q46" s="270" t="s">
        <v>768</v>
      </c>
      <c r="R46" s="270" t="str">
        <f>+K27</f>
        <v>combustione</v>
      </c>
      <c r="S46" s="363" t="str">
        <f>+R27</f>
        <v>manifattura</v>
      </c>
      <c r="T46" s="363" t="s">
        <v>768</v>
      </c>
      <c r="U46" s="363" t="str">
        <f>+T27</f>
        <v>combustione</v>
      </c>
      <c r="V46" s="427" t="s">
        <v>61</v>
      </c>
      <c r="W46" s="316"/>
      <c r="X46" s="1626" t="s">
        <v>2109</v>
      </c>
      <c r="Y46" s="362"/>
      <c r="Z46" s="270" t="s">
        <v>1279</v>
      </c>
      <c r="AA46" s="270" t="s">
        <v>768</v>
      </c>
      <c r="AB46" s="270" t="s">
        <v>24</v>
      </c>
      <c r="AC46" s="223" t="s">
        <v>41</v>
      </c>
      <c r="AD46" s="427" t="s">
        <v>61</v>
      </c>
      <c r="AE46" s="316"/>
      <c r="AF46" s="204"/>
      <c r="AG46" s="270" t="s">
        <v>1279</v>
      </c>
      <c r="AH46" s="270" t="s">
        <v>768</v>
      </c>
      <c r="AI46" s="270" t="s">
        <v>24</v>
      </c>
      <c r="AJ46" s="223" t="s">
        <v>41</v>
      </c>
      <c r="AK46" s="362" t="s">
        <v>61</v>
      </c>
      <c r="AL46" s="362"/>
      <c r="AM46" s="270" t="s">
        <v>1279</v>
      </c>
      <c r="AN46" s="270" t="s">
        <v>768</v>
      </c>
      <c r="AO46" s="270" t="s">
        <v>24</v>
      </c>
      <c r="AP46" s="223" t="s">
        <v>41</v>
      </c>
      <c r="AQ46" s="427" t="s">
        <v>61</v>
      </c>
      <c r="AS46" s="732" t="s">
        <v>1279</v>
      </c>
      <c r="AT46" s="733" t="s">
        <v>768</v>
      </c>
      <c r="AU46" s="733" t="s">
        <v>24</v>
      </c>
      <c r="AV46" s="733" t="s">
        <v>1279</v>
      </c>
      <c r="AW46" s="733" t="s">
        <v>768</v>
      </c>
      <c r="AX46" s="733" t="s">
        <v>24</v>
      </c>
      <c r="AY46" s="733" t="s">
        <v>1279</v>
      </c>
      <c r="AZ46" s="733" t="s">
        <v>768</v>
      </c>
      <c r="BA46" s="733" t="s">
        <v>24</v>
      </c>
      <c r="BB46" s="733" t="s">
        <v>1279</v>
      </c>
      <c r="BC46" s="733" t="s">
        <v>768</v>
      </c>
      <c r="BD46" s="733" t="s">
        <v>24</v>
      </c>
      <c r="BE46" s="734" t="s">
        <v>1279</v>
      </c>
      <c r="BF46" s="734" t="s">
        <v>768</v>
      </c>
      <c r="BG46" s="735" t="s">
        <v>24</v>
      </c>
      <c r="BH46" s="732" t="s">
        <v>1279</v>
      </c>
      <c r="BI46" s="733" t="s">
        <v>768</v>
      </c>
      <c r="BJ46" s="736" t="s">
        <v>24</v>
      </c>
    </row>
    <row r="47" spans="2:62" ht="12.75" customHeight="1" outlineLevel="1" x14ac:dyDescent="0.2">
      <c r="B47" s="200" t="s">
        <v>1229</v>
      </c>
      <c r="C47" s="201"/>
      <c r="D47" s="262">
        <f t="shared" ref="D47:D59" si="26">SUM(S47:U47)</f>
        <v>0</v>
      </c>
      <c r="E47" s="265">
        <f t="shared" ref="E47:E59" si="27">D47*12/44</f>
        <v>0</v>
      </c>
      <c r="F47" s="559"/>
      <c r="G47" s="493">
        <f>VLOOKUP($B47,'Emissions factors'!$B$1171:$K$1216,2,FALSE)</f>
        <v>3.2999999999999995E-2</v>
      </c>
      <c r="H47" s="493">
        <f>VLOOKUP($B47,'Emissions factors'!$B$1171:$K$1216,3,FALSE)</f>
        <v>3.4326837023255813E-2</v>
      </c>
      <c r="I47" s="493">
        <f>VLOOKUP($B47,'Emissions factors'!$B$1171:$K$1216,4,FALSE)</f>
        <v>0.20370504</v>
      </c>
      <c r="J47" s="493">
        <f>VLOOKUP($B47,'Emissions factors'!$B$1171:$K$1216,5,FALSE)</f>
        <v>3.4326837023255813E-2</v>
      </c>
      <c r="K47" s="493">
        <f>VLOOKUP($B47,'Emissions factors'!$B$1171:$K$1216,6,FALSE)</f>
        <v>0.20370504</v>
      </c>
      <c r="L47" s="494">
        <f>VLOOKUP($B47,'Emissions factors'!$B$1171:$K$1216,7,FALSE)</f>
        <v>0.2</v>
      </c>
      <c r="M47" s="494">
        <f>VLOOKUP($B47,'Emissions factors'!$B$1171:$K$1216,8,FALSE)</f>
        <v>0.26058444187301394</v>
      </c>
      <c r="N47" s="495">
        <f>VLOOKUP($B47,'Emissions factors'!$B$1171:$K$1216,9,FALSE)</f>
        <v>0.46050331760971941</v>
      </c>
      <c r="O47" s="182"/>
      <c r="P47" s="272">
        <f>G47/(M47*(1-L47)*N47)</f>
        <v>0.34374999999999989</v>
      </c>
      <c r="Q47" s="272">
        <f>(H47+(J47-H47)*(1-L47)*M47)/(M47*N47*(1-L47))</f>
        <v>0.35757121899224797</v>
      </c>
      <c r="R47" s="272">
        <f>(I47+(K47-I47)*(1-L47)*M47)/(M47*N47*(1-L47))</f>
        <v>2.1219274999999995</v>
      </c>
      <c r="S47" s="465">
        <f>O47*P47</f>
        <v>0</v>
      </c>
      <c r="T47" s="465">
        <f>O47*Q47</f>
        <v>0</v>
      </c>
      <c r="U47" s="210">
        <f>O47*R47</f>
        <v>0</v>
      </c>
      <c r="V47" s="222">
        <f>IF(OR(F47='Info utili'!$G$532,F47='Info utili'!$G$537),U47,0)</f>
        <v>0</v>
      </c>
      <c r="W47" s="316"/>
      <c r="X47" s="282">
        <f>VLOOKUP($B47,'Emissions factors'!$B$1171:$K$1216,10,FALSE)</f>
        <v>9.2614913518120803E-2</v>
      </c>
      <c r="Y47" s="183"/>
      <c r="Z47" s="221">
        <f>S47*SQRT(X47^2+Y47^2)</f>
        <v>0</v>
      </c>
      <c r="AA47" s="221">
        <f>T47*SQRT(X47^2+Y47^2)</f>
        <v>0</v>
      </c>
      <c r="AB47" s="221">
        <f>U47*SQRT(X47^2+Y47^2)</f>
        <v>0</v>
      </c>
      <c r="AC47" s="210">
        <f>SQRT(SUMSQ(Z47:AB47))</f>
        <v>0</v>
      </c>
      <c r="AD47" s="222">
        <f>V47*SQRT(X47^2+Y47^2)</f>
        <v>0</v>
      </c>
      <c r="AE47" s="316"/>
      <c r="AF47" s="184"/>
      <c r="AG47" s="221">
        <f t="shared" ref="AG47:AG67" si="28">$AF47*S47</f>
        <v>0</v>
      </c>
      <c r="AH47" s="221">
        <f t="shared" ref="AH47:AH67" si="29">$AF47*T47</f>
        <v>0</v>
      </c>
      <c r="AI47" s="221">
        <f t="shared" ref="AI47:AI67" si="30">$AF47*U47</f>
        <v>0</v>
      </c>
      <c r="AJ47" s="210">
        <f>SUM(AG47:AI47)</f>
        <v>0</v>
      </c>
      <c r="AK47" s="221">
        <f t="shared" ref="AK47:AK67" si="31">$AF47*V47</f>
        <v>0</v>
      </c>
      <c r="AL47" s="184"/>
      <c r="AM47" s="221">
        <f t="shared" ref="AM47:AM67" si="32">$AL47*S47</f>
        <v>0</v>
      </c>
      <c r="AN47" s="221">
        <f t="shared" ref="AN47:AN67" si="33">$AL47*T47</f>
        <v>0</v>
      </c>
      <c r="AO47" s="221">
        <f t="shared" ref="AO47:AO67" si="34">$AL47*U47</f>
        <v>0</v>
      </c>
      <c r="AP47" s="210">
        <f t="shared" ref="AP47:AP54" si="35">SUM(AM47:AO47)</f>
        <v>0</v>
      </c>
      <c r="AQ47" s="222">
        <f t="shared" ref="AQ47:AQ67" si="36">$AL47*V47</f>
        <v>0</v>
      </c>
      <c r="AS47" s="717"/>
      <c r="AT47" s="718"/>
      <c r="AU47" s="718"/>
      <c r="AV47" s="718"/>
      <c r="AW47" s="718"/>
      <c r="AX47" s="718"/>
      <c r="AY47" s="718"/>
      <c r="AZ47" s="718"/>
      <c r="BA47" s="718"/>
      <c r="BB47" s="718"/>
      <c r="BC47" s="718"/>
      <c r="BD47" s="718"/>
      <c r="BE47" s="719">
        <f>S47</f>
        <v>0</v>
      </c>
      <c r="BF47" s="719">
        <f>T47</f>
        <v>0</v>
      </c>
      <c r="BG47" s="720">
        <f>U47</f>
        <v>0</v>
      </c>
      <c r="BH47" s="717"/>
      <c r="BI47" s="718"/>
      <c r="BJ47" s="721"/>
    </row>
    <row r="48" spans="2:62" ht="12.75" customHeight="1" outlineLevel="1" x14ac:dyDescent="0.2">
      <c r="B48" s="200" t="str">
        <f>'Emissions factors'!$B$1172</f>
        <v>&lt; 1.5 t diesel V6.1 [1]</v>
      </c>
      <c r="C48" s="201"/>
      <c r="D48" s="262">
        <f t="shared" si="26"/>
        <v>0</v>
      </c>
      <c r="E48" s="265">
        <f t="shared" si="27"/>
        <v>0</v>
      </c>
      <c r="F48" s="442"/>
      <c r="G48" s="493">
        <f>VLOOKUP($B48,'Emissions factors'!$B$1171:$K$1216,2,FALSE)</f>
        <v>2.4749999999999998E-2</v>
      </c>
      <c r="H48" s="493">
        <f>VLOOKUP($B48,'Emissions factors'!$B$1171:$K$1216,3,FALSE)</f>
        <v>2.0214821023255811E-2</v>
      </c>
      <c r="I48" s="493">
        <f>VLOOKUP($B48,'Emissions factors'!$B$1171:$K$1216,4,FALSE)</f>
        <v>0.19164599999999998</v>
      </c>
      <c r="J48" s="493">
        <f>VLOOKUP($B48,'Emissions factors'!$B$1171:$K$1216,5,FALSE)</f>
        <v>2.0214821023255811E-2</v>
      </c>
      <c r="K48" s="493">
        <f>VLOOKUP($B48,'Emissions factors'!$B$1171:$K$1216,6,FALSE)</f>
        <v>0.19164599999999998</v>
      </c>
      <c r="L48" s="496">
        <f>VLOOKUP($B48,'Emissions factors'!$B$1171:$K$1216,7,FALSE)</f>
        <v>0.2</v>
      </c>
      <c r="M48" s="496">
        <f>VLOOKUP($B48,'Emissions factors'!$B$1171:$K$1216,8,FALSE)</f>
        <v>0.26058444187301394</v>
      </c>
      <c r="N48" s="495">
        <f>VLOOKUP($B48,'Emissions factors'!$B$1171:$K$1216,9,FALSE)</f>
        <v>0.46050331760971941</v>
      </c>
      <c r="O48" s="185"/>
      <c r="P48" s="272">
        <f t="shared" ref="P48:P59" si="37">G48/(M48*(1-L48)*N48)</f>
        <v>0.25781249999999994</v>
      </c>
      <c r="Q48" s="272">
        <f t="shared" ref="Q48:Q59" si="38">(H48+(J48-H48)*(1-L48)*M48)/(M48*N48*(1-L48))</f>
        <v>0.21057105232558132</v>
      </c>
      <c r="R48" s="272">
        <f t="shared" ref="R48:R59" si="39">(I48+(K48-I48)*(1-L48)*M48)/(M48*N48*(1-L48))</f>
        <v>1.9963124999999995</v>
      </c>
      <c r="S48" s="465">
        <f t="shared" ref="S48:S67" si="40">O48*P48</f>
        <v>0</v>
      </c>
      <c r="T48" s="465">
        <f t="shared" ref="T48:T67" si="41">O48*Q48</f>
        <v>0</v>
      </c>
      <c r="U48" s="210">
        <f t="shared" ref="U48:U67" si="42">O48*R48</f>
        <v>0</v>
      </c>
      <c r="V48" s="222">
        <f>IF(OR(F48='Info utili'!$G$532,F48='Info utili'!$G$537),U48,0)</f>
        <v>0</v>
      </c>
      <c r="W48" s="316"/>
      <c r="X48" s="282">
        <f>VLOOKUP($B48,'Emissions factors'!$B$1171:$K$1216,10,FALSE)</f>
        <v>8.661075162385995E-2</v>
      </c>
      <c r="Y48" s="186"/>
      <c r="Z48" s="221">
        <f t="shared" ref="Z48:Z67" si="43">S48*SQRT(X48^2+Y48^2)</f>
        <v>0</v>
      </c>
      <c r="AA48" s="221">
        <f t="shared" ref="AA48:AA67" si="44">T48*SQRT(X48^2+Y48^2)</f>
        <v>0</v>
      </c>
      <c r="AB48" s="221">
        <f t="shared" ref="AB48:AB67" si="45">U48*SQRT(X48^2+Y48^2)</f>
        <v>0</v>
      </c>
      <c r="AC48" s="210">
        <f t="shared" ref="AC48:AC67" si="46">SQRT(SUMSQ(Z48:AB48))</f>
        <v>0</v>
      </c>
      <c r="AD48" s="222">
        <f t="shared" ref="AD48:AD67" si="47">V48*SQRT(X48^2+Y48^2)</f>
        <v>0</v>
      </c>
      <c r="AE48" s="316"/>
      <c r="AF48" s="187"/>
      <c r="AG48" s="221">
        <f t="shared" si="28"/>
        <v>0</v>
      </c>
      <c r="AH48" s="221">
        <f t="shared" si="29"/>
        <v>0</v>
      </c>
      <c r="AI48" s="221">
        <f t="shared" si="30"/>
        <v>0</v>
      </c>
      <c r="AJ48" s="210">
        <f>SUM(AG48:AI48)</f>
        <v>0</v>
      </c>
      <c r="AK48" s="221">
        <f t="shared" si="31"/>
        <v>0</v>
      </c>
      <c r="AL48" s="187"/>
      <c r="AM48" s="221">
        <f t="shared" si="32"/>
        <v>0</v>
      </c>
      <c r="AN48" s="221">
        <f t="shared" si="33"/>
        <v>0</v>
      </c>
      <c r="AO48" s="221">
        <f t="shared" si="34"/>
        <v>0</v>
      </c>
      <c r="AP48" s="210">
        <f t="shared" si="35"/>
        <v>0</v>
      </c>
      <c r="AQ48" s="222">
        <f t="shared" si="36"/>
        <v>0</v>
      </c>
      <c r="AS48" s="717"/>
      <c r="AT48" s="718"/>
      <c r="AU48" s="718"/>
      <c r="AV48" s="718"/>
      <c r="AW48" s="718"/>
      <c r="AX48" s="718"/>
      <c r="AY48" s="718"/>
      <c r="AZ48" s="718"/>
      <c r="BA48" s="718"/>
      <c r="BB48" s="718"/>
      <c r="BC48" s="718"/>
      <c r="BD48" s="718"/>
      <c r="BE48" s="719">
        <f t="shared" ref="BE48:BE60" si="48">S48</f>
        <v>0</v>
      </c>
      <c r="BF48" s="719">
        <f t="shared" ref="BF48:BF60" si="49">T48</f>
        <v>0</v>
      </c>
      <c r="BG48" s="720">
        <f t="shared" ref="BG48:BG60" si="50">U48</f>
        <v>0</v>
      </c>
      <c r="BH48" s="717"/>
      <c r="BI48" s="718"/>
      <c r="BJ48" s="721"/>
    </row>
    <row r="49" spans="2:62" ht="12.75" customHeight="1" outlineLevel="1" x14ac:dyDescent="0.2">
      <c r="B49" s="200" t="str">
        <f>'Emissions factors'!$B$1173</f>
        <v>1.5 to 2.5 tonnes petrol V6.1 [1]</v>
      </c>
      <c r="C49" s="201"/>
      <c r="D49" s="262">
        <f t="shared" si="26"/>
        <v>0</v>
      </c>
      <c r="E49" s="265">
        <f t="shared" si="27"/>
        <v>0</v>
      </c>
      <c r="F49" s="442"/>
      <c r="G49" s="493">
        <f>VLOOKUP($B49,'Emissions factors'!$B$1171:$K$1216,2,FALSE)</f>
        <v>4.0333333333333332E-2</v>
      </c>
      <c r="H49" s="493">
        <f>VLOOKUP($B49,'Emissions factors'!$B$1171:$K$1216,3,FALSE)</f>
        <v>3.8822018062015497E-2</v>
      </c>
      <c r="I49" s="493">
        <f>VLOOKUP($B49,'Emissions factors'!$B$1171:$K$1216,4,FALSE)</f>
        <v>0.23038069999999999</v>
      </c>
      <c r="J49" s="493">
        <f>VLOOKUP($B49,'Emissions factors'!$B$1171:$K$1216,5,FALSE)</f>
        <v>3.8822018062015497E-2</v>
      </c>
      <c r="K49" s="493">
        <f>VLOOKUP($B49,'Emissions factors'!$B$1171:$K$1216,6,FALSE)</f>
        <v>0.23038069999999999</v>
      </c>
      <c r="L49" s="496">
        <f>VLOOKUP($B49,'Emissions factors'!$B$1171:$K$1216,7,FALSE)</f>
        <v>0.2</v>
      </c>
      <c r="M49" s="496">
        <f>VLOOKUP($B49,'Emissions factors'!$B$1171:$K$1216,8,FALSE)</f>
        <v>0.30134917135427164</v>
      </c>
      <c r="N49" s="495">
        <f>VLOOKUP($B49,'Emissions factors'!$B$1171:$K$1216,9,FALSE)</f>
        <v>0.69686602772542594</v>
      </c>
      <c r="O49" s="185"/>
      <c r="P49" s="272">
        <f t="shared" si="37"/>
        <v>0.24007936507936506</v>
      </c>
      <c r="Q49" s="272">
        <f t="shared" si="38"/>
        <v>0.23108344084533033</v>
      </c>
      <c r="R49" s="272">
        <f t="shared" si="39"/>
        <v>1.3713136904761904</v>
      </c>
      <c r="S49" s="465">
        <f t="shared" si="40"/>
        <v>0</v>
      </c>
      <c r="T49" s="465">
        <f t="shared" si="41"/>
        <v>0</v>
      </c>
      <c r="U49" s="210">
        <f t="shared" si="42"/>
        <v>0</v>
      </c>
      <c r="V49" s="222">
        <f>IF(OR(F49='Info utili'!$G$532,F49='Info utili'!$G$537),U49,0)</f>
        <v>0</v>
      </c>
      <c r="W49" s="316"/>
      <c r="X49" s="282">
        <f>VLOOKUP($B49,'Emissions factors'!$B$1171:$K$1216,10,FALSE)</f>
        <v>0.10863614244021699</v>
      </c>
      <c r="Y49" s="186"/>
      <c r="Z49" s="221">
        <f>S49*SQRT(X49^2+Y49^2)</f>
        <v>0</v>
      </c>
      <c r="AA49" s="221">
        <f t="shared" si="44"/>
        <v>0</v>
      </c>
      <c r="AB49" s="221">
        <f>U49*SQRT(X49^2+Y49^2)</f>
        <v>0</v>
      </c>
      <c r="AC49" s="210">
        <f>SQRT(SUMSQ(Z49:AB49))</f>
        <v>0</v>
      </c>
      <c r="AD49" s="222">
        <f>V49*SQRT(X49^2+Y49^2)</f>
        <v>0</v>
      </c>
      <c r="AE49" s="316"/>
      <c r="AF49" s="187"/>
      <c r="AG49" s="221">
        <f t="shared" si="28"/>
        <v>0</v>
      </c>
      <c r="AH49" s="221">
        <f t="shared" si="29"/>
        <v>0</v>
      </c>
      <c r="AI49" s="221">
        <f t="shared" si="30"/>
        <v>0</v>
      </c>
      <c r="AJ49" s="210">
        <f>SUM(AG49:AI49)</f>
        <v>0</v>
      </c>
      <c r="AK49" s="221">
        <f t="shared" si="31"/>
        <v>0</v>
      </c>
      <c r="AL49" s="187"/>
      <c r="AM49" s="221">
        <f t="shared" si="32"/>
        <v>0</v>
      </c>
      <c r="AN49" s="221">
        <f t="shared" si="33"/>
        <v>0</v>
      </c>
      <c r="AO49" s="221">
        <f t="shared" si="34"/>
        <v>0</v>
      </c>
      <c r="AP49" s="210">
        <f t="shared" si="35"/>
        <v>0</v>
      </c>
      <c r="AQ49" s="222">
        <f t="shared" si="36"/>
        <v>0</v>
      </c>
      <c r="AS49" s="717"/>
      <c r="AT49" s="718"/>
      <c r="AU49" s="718"/>
      <c r="AV49" s="718"/>
      <c r="AW49" s="718"/>
      <c r="AX49" s="718"/>
      <c r="AY49" s="718"/>
      <c r="AZ49" s="718"/>
      <c r="BA49" s="718"/>
      <c r="BB49" s="718"/>
      <c r="BC49" s="718"/>
      <c r="BD49" s="718"/>
      <c r="BE49" s="719">
        <f t="shared" si="48"/>
        <v>0</v>
      </c>
      <c r="BF49" s="719">
        <f t="shared" si="49"/>
        <v>0</v>
      </c>
      <c r="BG49" s="720">
        <f t="shared" si="50"/>
        <v>0</v>
      </c>
      <c r="BH49" s="717"/>
      <c r="BI49" s="718"/>
      <c r="BJ49" s="721"/>
    </row>
    <row r="50" spans="2:62" ht="12.75" customHeight="1" outlineLevel="1" x14ac:dyDescent="0.2">
      <c r="B50" s="200" t="str">
        <f>'Emissions factors'!$B$1174</f>
        <v>1.5 to 2.5 tonnes diesel, V6.1 [1]</v>
      </c>
      <c r="C50" s="201"/>
      <c r="D50" s="262">
        <f t="shared" si="26"/>
        <v>0</v>
      </c>
      <c r="E50" s="265">
        <f t="shared" si="27"/>
        <v>0</v>
      </c>
      <c r="F50" s="442"/>
      <c r="G50" s="493">
        <f>VLOOKUP($B50,'Emissions factors'!$B$1171:$K$1216,2,FALSE)</f>
        <v>3.0249999999999999E-2</v>
      </c>
      <c r="H50" s="493">
        <f>VLOOKUP($B50,'Emissions factors'!$B$1171:$K$1216,3,FALSE)</f>
        <v>2.3583957860465115E-2</v>
      </c>
      <c r="I50" s="493">
        <f>VLOOKUP($B50,'Emissions factors'!$B$1171:$K$1216,4,FALSE)</f>
        <v>0.22358700000000001</v>
      </c>
      <c r="J50" s="493">
        <f>VLOOKUP($B50,'Emissions factors'!$B$1171:$K$1216,5,FALSE)</f>
        <v>2.3583957860465115E-2</v>
      </c>
      <c r="K50" s="493">
        <f>VLOOKUP($B50,'Emissions factors'!$B$1171:$K$1216,6,FALSE)</f>
        <v>0.22358700000000001</v>
      </c>
      <c r="L50" s="496">
        <f>VLOOKUP($B50,'Emissions factors'!$B$1171:$K$1216,7,FALSE)</f>
        <v>0.2</v>
      </c>
      <c r="M50" s="496">
        <f>VLOOKUP($B50,'Emissions factors'!$B$1171:$K$1216,8,FALSE)</f>
        <v>0.30134917135427164</v>
      </c>
      <c r="N50" s="495">
        <f>VLOOKUP($B50,'Emissions factors'!$B$1171:$K$1216,9,FALSE)</f>
        <v>0.69686602772542594</v>
      </c>
      <c r="O50" s="185"/>
      <c r="P50" s="272">
        <f t="shared" si="37"/>
        <v>0.18005952380952378</v>
      </c>
      <c r="Q50" s="272">
        <f t="shared" si="38"/>
        <v>0.14038070155038759</v>
      </c>
      <c r="R50" s="272">
        <f t="shared" si="39"/>
        <v>1.330875</v>
      </c>
      <c r="S50" s="465">
        <f t="shared" si="40"/>
        <v>0</v>
      </c>
      <c r="T50" s="465">
        <f t="shared" si="41"/>
        <v>0</v>
      </c>
      <c r="U50" s="210">
        <f t="shared" si="42"/>
        <v>0</v>
      </c>
      <c r="V50" s="222">
        <f>IF(OR(F50='Info utili'!$G$532,F50='Info utili'!$G$537),U50,0)</f>
        <v>0</v>
      </c>
      <c r="W50" s="316"/>
      <c r="X50" s="282">
        <f>VLOOKUP($B50,'Emissions factors'!$B$1171:$K$1216,10,FALSE)</f>
        <v>9.906803042200836E-2</v>
      </c>
      <c r="Y50" s="186"/>
      <c r="Z50" s="221">
        <f t="shared" si="43"/>
        <v>0</v>
      </c>
      <c r="AA50" s="221">
        <f t="shared" si="44"/>
        <v>0</v>
      </c>
      <c r="AB50" s="221">
        <f t="shared" si="45"/>
        <v>0</v>
      </c>
      <c r="AC50" s="210">
        <f t="shared" si="46"/>
        <v>0</v>
      </c>
      <c r="AD50" s="222">
        <f t="shared" si="47"/>
        <v>0</v>
      </c>
      <c r="AE50" s="316"/>
      <c r="AF50" s="187"/>
      <c r="AG50" s="221">
        <f t="shared" si="28"/>
        <v>0</v>
      </c>
      <c r="AH50" s="221">
        <f t="shared" si="29"/>
        <v>0</v>
      </c>
      <c r="AI50" s="221">
        <f t="shared" si="30"/>
        <v>0</v>
      </c>
      <c r="AJ50" s="210">
        <f>SUM(AG50:AI50)</f>
        <v>0</v>
      </c>
      <c r="AK50" s="221">
        <f t="shared" si="31"/>
        <v>0</v>
      </c>
      <c r="AL50" s="187"/>
      <c r="AM50" s="221">
        <f t="shared" si="32"/>
        <v>0</v>
      </c>
      <c r="AN50" s="221">
        <f t="shared" si="33"/>
        <v>0</v>
      </c>
      <c r="AO50" s="221">
        <f t="shared" si="34"/>
        <v>0</v>
      </c>
      <c r="AP50" s="210">
        <f t="shared" si="35"/>
        <v>0</v>
      </c>
      <c r="AQ50" s="222">
        <f t="shared" si="36"/>
        <v>0</v>
      </c>
      <c r="AS50" s="717"/>
      <c r="AT50" s="718"/>
      <c r="AU50" s="718"/>
      <c r="AV50" s="718"/>
      <c r="AW50" s="718"/>
      <c r="AX50" s="718"/>
      <c r="AY50" s="718"/>
      <c r="AZ50" s="718"/>
      <c r="BA50" s="718"/>
      <c r="BB50" s="718"/>
      <c r="BC50" s="718"/>
      <c r="BD50" s="718"/>
      <c r="BE50" s="719">
        <f t="shared" si="48"/>
        <v>0</v>
      </c>
      <c r="BF50" s="719">
        <f t="shared" si="49"/>
        <v>0</v>
      </c>
      <c r="BG50" s="720">
        <f t="shared" si="50"/>
        <v>0</v>
      </c>
      <c r="BH50" s="717"/>
      <c r="BI50" s="718"/>
      <c r="BJ50" s="721"/>
    </row>
    <row r="51" spans="2:62" ht="12.75" customHeight="1" outlineLevel="1" x14ac:dyDescent="0.2">
      <c r="B51" s="200" t="str">
        <f>'Emissions factors'!$B$1175</f>
        <v>2.6 to 3.5 tonnes petrol V6.1 [1]</v>
      </c>
      <c r="C51" s="201"/>
      <c r="D51" s="262">
        <f t="shared" si="26"/>
        <v>0</v>
      </c>
      <c r="E51" s="265">
        <f t="shared" si="27"/>
        <v>0</v>
      </c>
      <c r="F51" s="442"/>
      <c r="G51" s="493">
        <f>VLOOKUP($B51,'Emissions factors'!$B$1171:$K$1216,2,FALSE)</f>
        <v>4.6749999999999993E-2</v>
      </c>
      <c r="H51" s="493">
        <f>VLOOKUP($B51,'Emissions factors'!$B$1171:$K$1216,3,FALSE)</f>
        <v>6.8245021224806177E-2</v>
      </c>
      <c r="I51" s="493">
        <f>VLOOKUP($B51,'Emissions factors'!$B$1171:$K$1216,4,FALSE)</f>
        <v>0.40498501999999997</v>
      </c>
      <c r="J51" s="493">
        <f>VLOOKUP($B51,'Emissions factors'!$B$1171:$K$1216,5,FALSE)</f>
        <v>6.8245021224806177E-2</v>
      </c>
      <c r="K51" s="493">
        <f>VLOOKUP($B51,'Emissions factors'!$B$1171:$K$1216,6,FALSE)</f>
        <v>0.40498501999999997</v>
      </c>
      <c r="L51" s="496">
        <f>VLOOKUP($B51,'Emissions factors'!$B$1171:$K$1216,7,FALSE)</f>
        <v>0.2</v>
      </c>
      <c r="M51" s="496">
        <f>VLOOKUP($B51,'Emissions factors'!$B$1171:$K$1216,8,FALSE)</f>
        <v>0.29041032669715572</v>
      </c>
      <c r="N51" s="495">
        <f>VLOOKUP($B51,'Emissions factors'!$B$1171:$K$1216,9,FALSE)</f>
        <v>1.2396253400982309</v>
      </c>
      <c r="O51" s="185"/>
      <c r="P51" s="272">
        <f t="shared" si="37"/>
        <v>0.16232638888888887</v>
      </c>
      <c r="Q51" s="272">
        <f t="shared" si="38"/>
        <v>0.23696187925279924</v>
      </c>
      <c r="R51" s="272">
        <f t="shared" si="39"/>
        <v>1.4061979861111111</v>
      </c>
      <c r="S51" s="465">
        <f t="shared" si="40"/>
        <v>0</v>
      </c>
      <c r="T51" s="465">
        <f t="shared" si="41"/>
        <v>0</v>
      </c>
      <c r="U51" s="210">
        <f t="shared" si="42"/>
        <v>0</v>
      </c>
      <c r="V51" s="222">
        <f>IF(OR(F51='Info utili'!$G$532,F51='Info utili'!$G$537),U51,0)</f>
        <v>0</v>
      </c>
      <c r="W51" s="316"/>
      <c r="X51" s="282">
        <f>VLOOKUP($B51,'Emissions factors'!$B$1171:$K$1216,10,FALSE)</f>
        <v>0.10843974304941136</v>
      </c>
      <c r="Y51" s="186"/>
      <c r="Z51" s="221">
        <f t="shared" si="43"/>
        <v>0</v>
      </c>
      <c r="AA51" s="221">
        <f t="shared" si="44"/>
        <v>0</v>
      </c>
      <c r="AB51" s="221">
        <f t="shared" si="45"/>
        <v>0</v>
      </c>
      <c r="AC51" s="210">
        <f t="shared" si="46"/>
        <v>0</v>
      </c>
      <c r="AD51" s="222">
        <f t="shared" si="47"/>
        <v>0</v>
      </c>
      <c r="AE51" s="316"/>
      <c r="AF51" s="187"/>
      <c r="AG51" s="221">
        <f t="shared" si="28"/>
        <v>0</v>
      </c>
      <c r="AH51" s="221">
        <f t="shared" si="29"/>
        <v>0</v>
      </c>
      <c r="AI51" s="221">
        <f t="shared" si="30"/>
        <v>0</v>
      </c>
      <c r="AJ51" s="210">
        <f t="shared" ref="AJ51:AJ67" si="51">SUM(AG51:AI51)</f>
        <v>0</v>
      </c>
      <c r="AK51" s="221">
        <f t="shared" si="31"/>
        <v>0</v>
      </c>
      <c r="AL51" s="187"/>
      <c r="AM51" s="221">
        <f t="shared" si="32"/>
        <v>0</v>
      </c>
      <c r="AN51" s="221">
        <f t="shared" si="33"/>
        <v>0</v>
      </c>
      <c r="AO51" s="221">
        <f t="shared" si="34"/>
        <v>0</v>
      </c>
      <c r="AP51" s="210">
        <f t="shared" si="35"/>
        <v>0</v>
      </c>
      <c r="AQ51" s="222">
        <f t="shared" si="36"/>
        <v>0</v>
      </c>
      <c r="AS51" s="717"/>
      <c r="AT51" s="718"/>
      <c r="AU51" s="718"/>
      <c r="AV51" s="718"/>
      <c r="AW51" s="718"/>
      <c r="AX51" s="718"/>
      <c r="AY51" s="718"/>
      <c r="AZ51" s="718"/>
      <c r="BA51" s="718"/>
      <c r="BB51" s="718"/>
      <c r="BC51" s="718"/>
      <c r="BD51" s="718"/>
      <c r="BE51" s="719">
        <f t="shared" si="48"/>
        <v>0</v>
      </c>
      <c r="BF51" s="719">
        <f t="shared" si="49"/>
        <v>0</v>
      </c>
      <c r="BG51" s="720">
        <f t="shared" si="50"/>
        <v>0</v>
      </c>
      <c r="BH51" s="717"/>
      <c r="BI51" s="718"/>
      <c r="BJ51" s="721"/>
    </row>
    <row r="52" spans="2:62" ht="12.75" customHeight="1" outlineLevel="1" x14ac:dyDescent="0.2">
      <c r="B52" s="200" t="str">
        <f>'Emissions factors'!$B$1176</f>
        <v>2.6 to 3.5 tonnes diesel V6.1 [1]</v>
      </c>
      <c r="C52" s="201"/>
      <c r="D52" s="262">
        <f t="shared" si="26"/>
        <v>0</v>
      </c>
      <c r="E52" s="265">
        <f t="shared" si="27"/>
        <v>0</v>
      </c>
      <c r="F52" s="442"/>
      <c r="G52" s="493">
        <f>VLOOKUP($B52,'Emissions factors'!$B$1171:$K$1216,2,FALSE)</f>
        <v>3.7400000000000003E-2</v>
      </c>
      <c r="H52" s="493">
        <f>VLOOKUP($B52,'Emissions factors'!$B$1171:$K$1216,3,FALSE)</f>
        <v>3.0322231534883722E-2</v>
      </c>
      <c r="I52" s="493">
        <f>VLOOKUP($B52,'Emissions factors'!$B$1171:$K$1216,4,FALSE)</f>
        <v>0.28746900000000003</v>
      </c>
      <c r="J52" s="493">
        <f>VLOOKUP($B52,'Emissions factors'!$B$1171:$K$1216,5,FALSE)</f>
        <v>3.0322231534883722E-2</v>
      </c>
      <c r="K52" s="493">
        <f>VLOOKUP($B52,'Emissions factors'!$B$1171:$K$1216,6,FALSE)</f>
        <v>0.28746900000000003</v>
      </c>
      <c r="L52" s="496">
        <f>VLOOKUP($B52,'Emissions factors'!$B$1171:$K$1216,7,FALSE)</f>
        <v>0.2</v>
      </c>
      <c r="M52" s="496">
        <f>VLOOKUP($B52,'Emissions factors'!$B$1171:$K$1216,8,FALSE)</f>
        <v>0.29041032669715572</v>
      </c>
      <c r="N52" s="495">
        <f>VLOOKUP($B52,'Emissions factors'!$B$1171:$K$1216,9,FALSE)</f>
        <v>1.2396253400982309</v>
      </c>
      <c r="O52" s="185"/>
      <c r="P52" s="272">
        <f t="shared" si="37"/>
        <v>0.12986111111111112</v>
      </c>
      <c r="Q52" s="272">
        <f t="shared" si="38"/>
        <v>0.10528552616279072</v>
      </c>
      <c r="R52" s="272">
        <f t="shared" si="39"/>
        <v>0.99815625000000019</v>
      </c>
      <c r="S52" s="465">
        <f t="shared" si="40"/>
        <v>0</v>
      </c>
      <c r="T52" s="465">
        <f t="shared" si="41"/>
        <v>0</v>
      </c>
      <c r="U52" s="210">
        <f t="shared" si="42"/>
        <v>0</v>
      </c>
      <c r="V52" s="222">
        <f>IF(OR(F52='Info utili'!$G$532,F52='Info utili'!$G$537),U52,0)</f>
        <v>0</v>
      </c>
      <c r="W52" s="316"/>
      <c r="X52" s="282">
        <f>VLOOKUP($B52,'Emissions factors'!$B$1171:$K$1216,10,FALSE)</f>
        <v>0.11844200487424614</v>
      </c>
      <c r="Y52" s="186"/>
      <c r="Z52" s="221">
        <f t="shared" si="43"/>
        <v>0</v>
      </c>
      <c r="AA52" s="221">
        <f t="shared" si="44"/>
        <v>0</v>
      </c>
      <c r="AB52" s="221">
        <f t="shared" si="45"/>
        <v>0</v>
      </c>
      <c r="AC52" s="210">
        <f t="shared" si="46"/>
        <v>0</v>
      </c>
      <c r="AD52" s="222">
        <f t="shared" si="47"/>
        <v>0</v>
      </c>
      <c r="AE52" s="316"/>
      <c r="AF52" s="187"/>
      <c r="AG52" s="221">
        <f t="shared" si="28"/>
        <v>0</v>
      </c>
      <c r="AH52" s="221">
        <f t="shared" si="29"/>
        <v>0</v>
      </c>
      <c r="AI52" s="221">
        <f t="shared" si="30"/>
        <v>0</v>
      </c>
      <c r="AJ52" s="210">
        <f t="shared" si="51"/>
        <v>0</v>
      </c>
      <c r="AK52" s="221">
        <f t="shared" si="31"/>
        <v>0</v>
      </c>
      <c r="AL52" s="187"/>
      <c r="AM52" s="221">
        <f t="shared" si="32"/>
        <v>0</v>
      </c>
      <c r="AN52" s="221">
        <f t="shared" si="33"/>
        <v>0</v>
      </c>
      <c r="AO52" s="221">
        <f t="shared" si="34"/>
        <v>0</v>
      </c>
      <c r="AP52" s="210">
        <f t="shared" si="35"/>
        <v>0</v>
      </c>
      <c r="AQ52" s="222">
        <f t="shared" si="36"/>
        <v>0</v>
      </c>
      <c r="AS52" s="717"/>
      <c r="AT52" s="718"/>
      <c r="AU52" s="718"/>
      <c r="AV52" s="718"/>
      <c r="AW52" s="718"/>
      <c r="AX52" s="718"/>
      <c r="AY52" s="718"/>
      <c r="AZ52" s="718"/>
      <c r="BA52" s="718"/>
      <c r="BB52" s="718"/>
      <c r="BC52" s="718"/>
      <c r="BD52" s="718"/>
      <c r="BE52" s="719">
        <f t="shared" si="48"/>
        <v>0</v>
      </c>
      <c r="BF52" s="719">
        <f t="shared" si="49"/>
        <v>0</v>
      </c>
      <c r="BG52" s="720">
        <f t="shared" si="50"/>
        <v>0</v>
      </c>
      <c r="BH52" s="717"/>
      <c r="BI52" s="718"/>
      <c r="BJ52" s="721"/>
    </row>
    <row r="53" spans="2:62" ht="12.75" customHeight="1" outlineLevel="1" x14ac:dyDescent="0.2">
      <c r="B53" s="200" t="str">
        <f>'Emissions factors'!$B$1177</f>
        <v>3.5 tonnes, V6.1 [1]</v>
      </c>
      <c r="C53" s="201"/>
      <c r="D53" s="262">
        <f t="shared" si="26"/>
        <v>0</v>
      </c>
      <c r="E53" s="265">
        <f t="shared" si="27"/>
        <v>0</v>
      </c>
      <c r="F53" s="442"/>
      <c r="G53" s="493">
        <f>VLOOKUP($B53,'Emissions factors'!$B$1171:$K$1216,2,FALSE)</f>
        <v>3.85E-2</v>
      </c>
      <c r="H53" s="493">
        <f>VLOOKUP($B53,'Emissions factors'!$B$1171:$K$1216,3,FALSE)</f>
        <v>3.4814413984496119E-2</v>
      </c>
      <c r="I53" s="493">
        <f>VLOOKUP($B53,'Emissions factors'!$B$1171:$K$1216,4,FALSE)</f>
        <v>0.33005699999999999</v>
      </c>
      <c r="J53" s="493">
        <f>VLOOKUP($B53,'Emissions factors'!$B$1171:$K$1216,5,FALSE)</f>
        <v>3.4814413984496119E-2</v>
      </c>
      <c r="K53" s="493">
        <f>VLOOKUP($B53,'Emissions factors'!$B$1171:$K$1216,6,FALSE)</f>
        <v>0.33005699999999999</v>
      </c>
      <c r="L53" s="496">
        <f>VLOOKUP($B53,'Emissions factors'!$B$1171:$K$1216,7,FALSE)</f>
        <v>0.2</v>
      </c>
      <c r="M53" s="496">
        <f>VLOOKUP($B53,'Emissions factors'!$B$1171:$K$1216,8,FALSE)</f>
        <v>0.3</v>
      </c>
      <c r="N53" s="495">
        <f>VLOOKUP($B53,'Emissions factors'!$B$1171:$K$1216,9,FALSE)</f>
        <v>1.4</v>
      </c>
      <c r="O53" s="185"/>
      <c r="P53" s="272">
        <f t="shared" si="37"/>
        <v>0.11458333333333334</v>
      </c>
      <c r="Q53" s="272">
        <f t="shared" si="38"/>
        <v>0.10361432733480987</v>
      </c>
      <c r="R53" s="272">
        <f t="shared" si="39"/>
        <v>0.98231249999999992</v>
      </c>
      <c r="S53" s="465">
        <f t="shared" si="40"/>
        <v>0</v>
      </c>
      <c r="T53" s="465">
        <f t="shared" si="41"/>
        <v>0</v>
      </c>
      <c r="U53" s="210">
        <f t="shared" si="42"/>
        <v>0</v>
      </c>
      <c r="V53" s="222">
        <f>IF(OR(F53='Info utili'!$G$532,F53='Info utili'!$G$537),U53,0)</f>
        <v>0</v>
      </c>
      <c r="W53" s="316"/>
      <c r="X53" s="282">
        <f>VLOOKUP($B53,'Emissions factors'!$B$1171:$K$1216,10,FALSE)</f>
        <v>0.1120395970869712</v>
      </c>
      <c r="Y53" s="186"/>
      <c r="Z53" s="221">
        <f t="shared" si="43"/>
        <v>0</v>
      </c>
      <c r="AA53" s="221">
        <f t="shared" si="44"/>
        <v>0</v>
      </c>
      <c r="AB53" s="221">
        <f t="shared" si="45"/>
        <v>0</v>
      </c>
      <c r="AC53" s="210">
        <f t="shared" si="46"/>
        <v>0</v>
      </c>
      <c r="AD53" s="222">
        <f t="shared" si="47"/>
        <v>0</v>
      </c>
      <c r="AE53" s="316"/>
      <c r="AF53" s="187"/>
      <c r="AG53" s="221">
        <f t="shared" si="28"/>
        <v>0</v>
      </c>
      <c r="AH53" s="221">
        <f t="shared" si="29"/>
        <v>0</v>
      </c>
      <c r="AI53" s="221">
        <f t="shared" si="30"/>
        <v>0</v>
      </c>
      <c r="AJ53" s="210">
        <f t="shared" si="51"/>
        <v>0</v>
      </c>
      <c r="AK53" s="221">
        <f t="shared" si="31"/>
        <v>0</v>
      </c>
      <c r="AL53" s="187"/>
      <c r="AM53" s="221">
        <f t="shared" si="32"/>
        <v>0</v>
      </c>
      <c r="AN53" s="221">
        <f t="shared" si="33"/>
        <v>0</v>
      </c>
      <c r="AO53" s="221">
        <f t="shared" si="34"/>
        <v>0</v>
      </c>
      <c r="AP53" s="210">
        <f t="shared" si="35"/>
        <v>0</v>
      </c>
      <c r="AQ53" s="222">
        <f t="shared" si="36"/>
        <v>0</v>
      </c>
      <c r="AS53" s="717"/>
      <c r="AT53" s="718"/>
      <c r="AU53" s="718"/>
      <c r="AV53" s="718"/>
      <c r="AW53" s="718"/>
      <c r="AX53" s="718"/>
      <c r="AY53" s="718"/>
      <c r="AZ53" s="718"/>
      <c r="BA53" s="718"/>
      <c r="BB53" s="718"/>
      <c r="BC53" s="718"/>
      <c r="BD53" s="718"/>
      <c r="BE53" s="719">
        <f t="shared" si="48"/>
        <v>0</v>
      </c>
      <c r="BF53" s="719">
        <f t="shared" si="49"/>
        <v>0</v>
      </c>
      <c r="BG53" s="720">
        <f t="shared" si="50"/>
        <v>0</v>
      </c>
      <c r="BH53" s="717"/>
      <c r="BI53" s="718"/>
      <c r="BJ53" s="721"/>
    </row>
    <row r="54" spans="2:62" ht="12.75" customHeight="1" outlineLevel="1" x14ac:dyDescent="0.2">
      <c r="B54" s="200" t="str">
        <f>'Emissions factors'!$B$1178</f>
        <v>3,6 to 5 tonnes, V6.1 [1]</v>
      </c>
      <c r="C54" s="201"/>
      <c r="D54" s="262">
        <f t="shared" si="26"/>
        <v>0</v>
      </c>
      <c r="E54" s="265">
        <f t="shared" si="27"/>
        <v>0</v>
      </c>
      <c r="F54" s="442"/>
      <c r="G54" s="493">
        <f>VLOOKUP($B54,'Emissions factors'!$B$1171:$K$1216,2,FALSE)</f>
        <v>4.3477449095827986E-2</v>
      </c>
      <c r="H54" s="493">
        <f>VLOOKUP($B54,'Emissions factors'!$B$1171:$K$1216,3,FALSE)</f>
        <v>4.6989744980568841E-2</v>
      </c>
      <c r="I54" s="493">
        <f>VLOOKUP($B54,'Emissions factors'!$B$1171:$K$1216,4,FALSE)</f>
        <v>0.44548485767872908</v>
      </c>
      <c r="J54" s="493">
        <f>VLOOKUP($B54,'Emissions factors'!$B$1171:$K$1216,5,FALSE)</f>
        <v>6.7619389118379544E-2</v>
      </c>
      <c r="K54" s="493">
        <f>VLOOKUP($B54,'Emissions factors'!$B$1171:$K$1216,6,FALSE)</f>
        <v>0.64106357568402461</v>
      </c>
      <c r="L54" s="496">
        <f>VLOOKUP($B54,'Emissions factors'!$B$1171:$K$1216,7,FALSE)</f>
        <v>0.2</v>
      </c>
      <c r="M54" s="496">
        <f>VLOOKUP($B54,'Emissions factors'!$B$1171:$K$1216,8,FALSE)</f>
        <v>0.3</v>
      </c>
      <c r="N54" s="495">
        <f>VLOOKUP($B54,'Emissions factors'!$B$1171:$K$1216,9,FALSE)</f>
        <v>2.3714972234087996</v>
      </c>
      <c r="O54" s="185"/>
      <c r="P54" s="272">
        <f t="shared" si="37"/>
        <v>7.6388888888888881E-2</v>
      </c>
      <c r="Q54" s="272">
        <f t="shared" si="38"/>
        <v>9.1258908544042436E-2</v>
      </c>
      <c r="R54" s="272">
        <f t="shared" si="39"/>
        <v>0.86517732542430892</v>
      </c>
      <c r="S54" s="465">
        <f t="shared" si="40"/>
        <v>0</v>
      </c>
      <c r="T54" s="465">
        <f t="shared" si="41"/>
        <v>0</v>
      </c>
      <c r="U54" s="210">
        <f t="shared" si="42"/>
        <v>0</v>
      </c>
      <c r="V54" s="222">
        <f>IF(OR(F54='Info utili'!$G$532,F54='Info utili'!$G$537),U54,0)</f>
        <v>0</v>
      </c>
      <c r="W54" s="316"/>
      <c r="X54" s="282">
        <f>VLOOKUP($B54,'Emissions factors'!$B$1171:$K$1216,10,FALSE)</f>
        <v>9.8074719213274708E-2</v>
      </c>
      <c r="Y54" s="186"/>
      <c r="Z54" s="221">
        <f t="shared" si="43"/>
        <v>0</v>
      </c>
      <c r="AA54" s="221">
        <f t="shared" si="44"/>
        <v>0</v>
      </c>
      <c r="AB54" s="221">
        <f t="shared" si="45"/>
        <v>0</v>
      </c>
      <c r="AC54" s="210">
        <f t="shared" si="46"/>
        <v>0</v>
      </c>
      <c r="AD54" s="222">
        <f t="shared" si="47"/>
        <v>0</v>
      </c>
      <c r="AE54" s="316"/>
      <c r="AF54" s="187"/>
      <c r="AG54" s="221">
        <f t="shared" si="28"/>
        <v>0</v>
      </c>
      <c r="AH54" s="221">
        <f t="shared" si="29"/>
        <v>0</v>
      </c>
      <c r="AI54" s="221">
        <f t="shared" si="30"/>
        <v>0</v>
      </c>
      <c r="AJ54" s="210">
        <f t="shared" si="51"/>
        <v>0</v>
      </c>
      <c r="AK54" s="221">
        <f t="shared" si="31"/>
        <v>0</v>
      </c>
      <c r="AL54" s="187"/>
      <c r="AM54" s="221">
        <f t="shared" si="32"/>
        <v>0</v>
      </c>
      <c r="AN54" s="221">
        <f t="shared" si="33"/>
        <v>0</v>
      </c>
      <c r="AO54" s="221">
        <f t="shared" si="34"/>
        <v>0</v>
      </c>
      <c r="AP54" s="210">
        <f t="shared" si="35"/>
        <v>0</v>
      </c>
      <c r="AQ54" s="222">
        <f t="shared" si="36"/>
        <v>0</v>
      </c>
      <c r="AS54" s="717"/>
      <c r="AT54" s="718"/>
      <c r="AU54" s="718"/>
      <c r="AV54" s="718"/>
      <c r="AW54" s="718"/>
      <c r="AX54" s="718"/>
      <c r="AY54" s="718"/>
      <c r="AZ54" s="718"/>
      <c r="BA54" s="718"/>
      <c r="BB54" s="718"/>
      <c r="BC54" s="718"/>
      <c r="BD54" s="718"/>
      <c r="BE54" s="719">
        <f t="shared" si="48"/>
        <v>0</v>
      </c>
      <c r="BF54" s="719">
        <f t="shared" si="49"/>
        <v>0</v>
      </c>
      <c r="BG54" s="720">
        <f t="shared" si="50"/>
        <v>0</v>
      </c>
      <c r="BH54" s="717"/>
      <c r="BI54" s="718"/>
      <c r="BJ54" s="721"/>
    </row>
    <row r="55" spans="2:62" ht="12.75" customHeight="1" outlineLevel="1" x14ac:dyDescent="0.2">
      <c r="B55" s="200" t="str">
        <f>'Emissions factors'!$B$1179</f>
        <v>5.1 to 6 tonnes, V6.1 [1]</v>
      </c>
      <c r="C55" s="201"/>
      <c r="D55" s="262">
        <f t="shared" si="26"/>
        <v>0</v>
      </c>
      <c r="E55" s="265">
        <f t="shared" si="27"/>
        <v>0</v>
      </c>
      <c r="F55" s="442"/>
      <c r="G55" s="493">
        <f>VLOOKUP($B55,'Emissions factors'!$B$1171:$K$1216,2,FALSE)</f>
        <v>5.2000138335546703E-2</v>
      </c>
      <c r="H55" s="493">
        <f>VLOOKUP($B55,'Emissions factors'!$B$1171:$K$1216,3,FALSE)</f>
        <v>3.6829800119905311E-2</v>
      </c>
      <c r="I55" s="493">
        <f>VLOOKUP($B55,'Emissions factors'!$B$1171:$K$1216,4,FALSE)</f>
        <v>0.34916380736981473</v>
      </c>
      <c r="J55" s="493">
        <f>VLOOKUP($B55,'Emissions factors'!$B$1171:$K$1216,5,FALSE)</f>
        <v>5.2998980660351531E-2</v>
      </c>
      <c r="K55" s="493">
        <f>VLOOKUP($B55,'Emissions factors'!$B$1171:$K$1216,6,FALSE)</f>
        <v>0.50245523499558697</v>
      </c>
      <c r="L55" s="496">
        <f>VLOOKUP($B55,'Emissions factors'!$B$1171:$K$1216,7,FALSE)</f>
        <v>0.2</v>
      </c>
      <c r="M55" s="496">
        <f>VLOOKUP($B55,'Emissions factors'!$B$1171:$K$1216,8,FALSE)</f>
        <v>0.3</v>
      </c>
      <c r="N55" s="495">
        <f>VLOOKUP($B55,'Emissions factors'!$B$1171:$K$1216,9,FALSE)</f>
        <v>2.8363711819389108</v>
      </c>
      <c r="O55" s="185"/>
      <c r="P55" s="272">
        <f t="shared" si="37"/>
        <v>7.6388888888888895E-2</v>
      </c>
      <c r="Q55" s="272">
        <f t="shared" si="38"/>
        <v>5.9804119474975354E-2</v>
      </c>
      <c r="R55" s="272">
        <f t="shared" si="39"/>
        <v>0.56697114793723646</v>
      </c>
      <c r="S55" s="465">
        <f t="shared" si="40"/>
        <v>0</v>
      </c>
      <c r="T55" s="465">
        <f t="shared" si="41"/>
        <v>0</v>
      </c>
      <c r="U55" s="210">
        <f t="shared" si="42"/>
        <v>0</v>
      </c>
      <c r="V55" s="222">
        <f>IF(OR(F55='Info utili'!$G$532,F55='Info utili'!$G$537),U55,0)</f>
        <v>0</v>
      </c>
      <c r="W55" s="316"/>
      <c r="X55" s="282">
        <f>VLOOKUP($B55,'Emissions factors'!$B$1171:$K$1216,10,FALSE)</f>
        <v>0.12061335156639592</v>
      </c>
      <c r="Y55" s="186"/>
      <c r="Z55" s="221">
        <f t="shared" si="43"/>
        <v>0</v>
      </c>
      <c r="AA55" s="221">
        <f t="shared" si="44"/>
        <v>0</v>
      </c>
      <c r="AB55" s="221">
        <f t="shared" si="45"/>
        <v>0</v>
      </c>
      <c r="AC55" s="210">
        <f t="shared" si="46"/>
        <v>0</v>
      </c>
      <c r="AD55" s="222">
        <f t="shared" si="47"/>
        <v>0</v>
      </c>
      <c r="AE55" s="316"/>
      <c r="AF55" s="187"/>
      <c r="AG55" s="221">
        <f t="shared" si="28"/>
        <v>0</v>
      </c>
      <c r="AH55" s="221">
        <f t="shared" si="29"/>
        <v>0</v>
      </c>
      <c r="AI55" s="221">
        <f t="shared" si="30"/>
        <v>0</v>
      </c>
      <c r="AJ55" s="210">
        <f t="shared" si="51"/>
        <v>0</v>
      </c>
      <c r="AK55" s="221">
        <f t="shared" si="31"/>
        <v>0</v>
      </c>
      <c r="AL55" s="187"/>
      <c r="AM55" s="221">
        <f t="shared" si="32"/>
        <v>0</v>
      </c>
      <c r="AN55" s="221">
        <f t="shared" si="33"/>
        <v>0</v>
      </c>
      <c r="AO55" s="221">
        <f t="shared" si="34"/>
        <v>0</v>
      </c>
      <c r="AP55" s="210">
        <f t="shared" ref="AP55:AP67" si="52">SUM(AM55:AO55)</f>
        <v>0</v>
      </c>
      <c r="AQ55" s="222">
        <f t="shared" si="36"/>
        <v>0</v>
      </c>
      <c r="AS55" s="717"/>
      <c r="AT55" s="718"/>
      <c r="AU55" s="718"/>
      <c r="AV55" s="718"/>
      <c r="AW55" s="718"/>
      <c r="AX55" s="718"/>
      <c r="AY55" s="718"/>
      <c r="AZ55" s="718"/>
      <c r="BA55" s="718"/>
      <c r="BB55" s="718"/>
      <c r="BC55" s="718"/>
      <c r="BD55" s="718"/>
      <c r="BE55" s="719">
        <f t="shared" si="48"/>
        <v>0</v>
      </c>
      <c r="BF55" s="719">
        <f t="shared" si="49"/>
        <v>0</v>
      </c>
      <c r="BG55" s="720">
        <f t="shared" si="50"/>
        <v>0</v>
      </c>
      <c r="BH55" s="717"/>
      <c r="BI55" s="718"/>
      <c r="BJ55" s="721"/>
    </row>
    <row r="56" spans="2:62" ht="12.75" customHeight="1" outlineLevel="1" x14ac:dyDescent="0.2">
      <c r="B56" s="200" t="str">
        <f>'Emissions factors'!$B$1180</f>
        <v>6.1 to 10.9 tonnes, V6.1 [1]</v>
      </c>
      <c r="C56" s="201"/>
      <c r="D56" s="262">
        <f t="shared" si="26"/>
        <v>0</v>
      </c>
      <c r="E56" s="265">
        <f t="shared" si="27"/>
        <v>0</v>
      </c>
      <c r="F56" s="442"/>
      <c r="G56" s="493">
        <f>VLOOKUP($B56,'Emissions factors'!$B$1171:$K$1216,2,FALSE)</f>
        <v>5.9457783482842363E-2</v>
      </c>
      <c r="H56" s="493">
        <f>VLOOKUP($B56,'Emissions factors'!$B$1171:$K$1216,3,FALSE)</f>
        <v>5.4640146955834516E-2</v>
      </c>
      <c r="I56" s="493">
        <f>VLOOKUP($B56,'Emissions factors'!$B$1171:$K$1216,4,FALSE)</f>
        <v>0.51801426247855564</v>
      </c>
      <c r="J56" s="493">
        <f>VLOOKUP($B56,'Emissions factors'!$B$1171:$K$1216,5,FALSE)</f>
        <v>7.8628504155956971E-2</v>
      </c>
      <c r="K56" s="493">
        <f>VLOOKUP($B56,'Emissions factors'!$B$1171:$K$1216,6,FALSE)</f>
        <v>0.74543515820084838</v>
      </c>
      <c r="L56" s="496">
        <f>VLOOKUP($B56,'Emissions factors'!$B$1171:$K$1216,7,FALSE)</f>
        <v>0.19024681226320964</v>
      </c>
      <c r="M56" s="496">
        <f>VLOOKUP($B56,'Emissions factors'!$B$1171:$K$1216,8,FALSE)</f>
        <v>0.35246971129152921</v>
      </c>
      <c r="N56" s="495">
        <f>VLOOKUP($B56,'Emissions factors'!$B$1171:$K$1216,9,FALSE)</f>
        <v>4.6948483581257348</v>
      </c>
      <c r="O56" s="185"/>
      <c r="P56" s="272">
        <f t="shared" si="37"/>
        <v>4.4372375214804111E-2</v>
      </c>
      <c r="Q56" s="272">
        <f t="shared" si="38"/>
        <v>4.5886557843045447E-2</v>
      </c>
      <c r="R56" s="272">
        <f t="shared" si="39"/>
        <v>0.43502612534988083</v>
      </c>
      <c r="S56" s="465">
        <f t="shared" si="40"/>
        <v>0</v>
      </c>
      <c r="T56" s="465">
        <f t="shared" si="41"/>
        <v>0</v>
      </c>
      <c r="U56" s="210">
        <f t="shared" si="42"/>
        <v>0</v>
      </c>
      <c r="V56" s="222">
        <f>IF(OR(F56='Info utili'!$G$532,F56='Info utili'!$G$537),U56,0)</f>
        <v>0</v>
      </c>
      <c r="W56" s="316"/>
      <c r="X56" s="282">
        <f>VLOOKUP($B56,'Emissions factors'!$B$1171:$K$1216,10,FALSE)</f>
        <v>0.10490741346622363</v>
      </c>
      <c r="Y56" s="186"/>
      <c r="Z56" s="221">
        <f t="shared" si="43"/>
        <v>0</v>
      </c>
      <c r="AA56" s="221">
        <f t="shared" si="44"/>
        <v>0</v>
      </c>
      <c r="AB56" s="221">
        <f t="shared" si="45"/>
        <v>0</v>
      </c>
      <c r="AC56" s="210">
        <f t="shared" si="46"/>
        <v>0</v>
      </c>
      <c r="AD56" s="222">
        <f t="shared" si="47"/>
        <v>0</v>
      </c>
      <c r="AE56" s="316"/>
      <c r="AF56" s="187"/>
      <c r="AG56" s="221">
        <f t="shared" si="28"/>
        <v>0</v>
      </c>
      <c r="AH56" s="221">
        <f t="shared" si="29"/>
        <v>0</v>
      </c>
      <c r="AI56" s="221">
        <f t="shared" si="30"/>
        <v>0</v>
      </c>
      <c r="AJ56" s="210">
        <f t="shared" si="51"/>
        <v>0</v>
      </c>
      <c r="AK56" s="221">
        <f t="shared" si="31"/>
        <v>0</v>
      </c>
      <c r="AL56" s="187"/>
      <c r="AM56" s="221">
        <f t="shared" si="32"/>
        <v>0</v>
      </c>
      <c r="AN56" s="221">
        <f t="shared" si="33"/>
        <v>0</v>
      </c>
      <c r="AO56" s="221">
        <f t="shared" si="34"/>
        <v>0</v>
      </c>
      <c r="AP56" s="210">
        <f t="shared" si="52"/>
        <v>0</v>
      </c>
      <c r="AQ56" s="222">
        <f t="shared" si="36"/>
        <v>0</v>
      </c>
      <c r="AS56" s="717"/>
      <c r="AT56" s="718"/>
      <c r="AU56" s="718"/>
      <c r="AV56" s="718"/>
      <c r="AW56" s="718"/>
      <c r="AX56" s="718"/>
      <c r="AY56" s="718"/>
      <c r="AZ56" s="718"/>
      <c r="BA56" s="718"/>
      <c r="BB56" s="718"/>
      <c r="BC56" s="718"/>
      <c r="BD56" s="718"/>
      <c r="BE56" s="719">
        <f t="shared" si="48"/>
        <v>0</v>
      </c>
      <c r="BF56" s="719">
        <f t="shared" si="49"/>
        <v>0</v>
      </c>
      <c r="BG56" s="720">
        <f t="shared" si="50"/>
        <v>0</v>
      </c>
      <c r="BH56" s="717"/>
      <c r="BI56" s="718"/>
      <c r="BJ56" s="721"/>
    </row>
    <row r="57" spans="2:62" ht="12.75" customHeight="1" outlineLevel="1" x14ac:dyDescent="0.2">
      <c r="B57" s="200" t="str">
        <f>'Emissions factors'!$B$1181</f>
        <v>11 to 19 tonnes, V6.1 [1]</v>
      </c>
      <c r="C57" s="201"/>
      <c r="D57" s="262">
        <f t="shared" si="26"/>
        <v>0</v>
      </c>
      <c r="E57" s="265">
        <f t="shared" si="27"/>
        <v>0</v>
      </c>
      <c r="F57" s="442"/>
      <c r="G57" s="493">
        <f>VLOOKUP($B57,'Emissions factors'!$B$1171:$K$1216,2,FALSE)</f>
        <v>7.479177736456262E-2</v>
      </c>
      <c r="H57" s="493">
        <f>VLOOKUP($B57,'Emissions factors'!$B$1171:$K$1216,3,FALSE)</f>
        <v>7.1865176377148066E-2</v>
      </c>
      <c r="I57" s="493">
        <f>VLOOKUP($B57,'Emissions factors'!$B$1171:$K$1216,4,FALSE)</f>
        <v>0.68131563352108671</v>
      </c>
      <c r="J57" s="493">
        <f>VLOOKUP($B57,'Emissions factors'!$B$1171:$K$1216,5,FALSE)</f>
        <v>0.10341574161589596</v>
      </c>
      <c r="K57" s="493">
        <f>VLOOKUP($B57,'Emissions factors'!$B$1171:$K$1216,6,FALSE)</f>
        <v>0.98042981409131968</v>
      </c>
      <c r="L57" s="496">
        <f>VLOOKUP($B57,'Emissions factors'!$B$1171:$K$1216,7,FALSE)</f>
        <v>0.17752736029736885</v>
      </c>
      <c r="M57" s="496">
        <f>VLOOKUP($B57,'Emissions factors'!$B$1171:$K$1216,8,FALSE)</f>
        <v>0.43315705673044191</v>
      </c>
      <c r="N57" s="495">
        <f>VLOOKUP($B57,'Emissions factors'!$B$1171:$K$1216,9,FALSE)</f>
        <v>9.7909235822700165</v>
      </c>
      <c r="O57" s="185"/>
      <c r="P57" s="272">
        <f t="shared" si="37"/>
        <v>2.1441903609743834E-2</v>
      </c>
      <c r="Q57" s="272">
        <f t="shared" si="38"/>
        <v>2.3825312217553882E-2</v>
      </c>
      <c r="R57" s="272">
        <f t="shared" si="39"/>
        <v>0.2258751526908114</v>
      </c>
      <c r="S57" s="465">
        <f t="shared" si="40"/>
        <v>0</v>
      </c>
      <c r="T57" s="465">
        <f t="shared" si="41"/>
        <v>0</v>
      </c>
      <c r="U57" s="210">
        <f t="shared" si="42"/>
        <v>0</v>
      </c>
      <c r="V57" s="222">
        <f>IF(OR(F57='Info utili'!$G$532,F57='Info utili'!$G$537),U57,0)</f>
        <v>0</v>
      </c>
      <c r="W57" s="316"/>
      <c r="X57" s="282">
        <f>VLOOKUP($B57,'Emissions factors'!$B$1171:$K$1216,10,FALSE)</f>
        <v>0.10140191635304184</v>
      </c>
      <c r="Y57" s="186"/>
      <c r="Z57" s="221">
        <f t="shared" si="43"/>
        <v>0</v>
      </c>
      <c r="AA57" s="221">
        <f t="shared" si="44"/>
        <v>0</v>
      </c>
      <c r="AB57" s="221">
        <f t="shared" si="45"/>
        <v>0</v>
      </c>
      <c r="AC57" s="210">
        <f t="shared" si="46"/>
        <v>0</v>
      </c>
      <c r="AD57" s="222">
        <f t="shared" si="47"/>
        <v>0</v>
      </c>
      <c r="AE57" s="316"/>
      <c r="AF57" s="187"/>
      <c r="AG57" s="221">
        <f t="shared" si="28"/>
        <v>0</v>
      </c>
      <c r="AH57" s="221">
        <f t="shared" si="29"/>
        <v>0</v>
      </c>
      <c r="AI57" s="221">
        <f t="shared" si="30"/>
        <v>0</v>
      </c>
      <c r="AJ57" s="210">
        <f t="shared" si="51"/>
        <v>0</v>
      </c>
      <c r="AK57" s="221">
        <f t="shared" si="31"/>
        <v>0</v>
      </c>
      <c r="AL57" s="187"/>
      <c r="AM57" s="221">
        <f t="shared" si="32"/>
        <v>0</v>
      </c>
      <c r="AN57" s="221">
        <f t="shared" si="33"/>
        <v>0</v>
      </c>
      <c r="AO57" s="221">
        <f t="shared" si="34"/>
        <v>0</v>
      </c>
      <c r="AP57" s="210">
        <f t="shared" si="52"/>
        <v>0</v>
      </c>
      <c r="AQ57" s="222">
        <f t="shared" si="36"/>
        <v>0</v>
      </c>
      <c r="AS57" s="717"/>
      <c r="AT57" s="718"/>
      <c r="AU57" s="718"/>
      <c r="AV57" s="718"/>
      <c r="AW57" s="718"/>
      <c r="AX57" s="718"/>
      <c r="AY57" s="718"/>
      <c r="AZ57" s="718"/>
      <c r="BA57" s="718"/>
      <c r="BB57" s="718"/>
      <c r="BC57" s="718"/>
      <c r="BD57" s="718"/>
      <c r="BE57" s="719">
        <f t="shared" si="48"/>
        <v>0</v>
      </c>
      <c r="BF57" s="719">
        <f t="shared" si="49"/>
        <v>0</v>
      </c>
      <c r="BG57" s="720">
        <f t="shared" si="50"/>
        <v>0</v>
      </c>
      <c r="BH57" s="717"/>
      <c r="BI57" s="718"/>
      <c r="BJ57" s="721"/>
    </row>
    <row r="58" spans="2:62" ht="12.75" customHeight="1" outlineLevel="1" x14ac:dyDescent="0.2">
      <c r="B58" s="200" t="str">
        <f>'Emissions factors'!$B$1182</f>
        <v>19.1 to 21 tonnes, V6.1 [1]</v>
      </c>
      <c r="C58" s="201"/>
      <c r="D58" s="262">
        <f t="shared" si="26"/>
        <v>0</v>
      </c>
      <c r="E58" s="265">
        <f t="shared" si="27"/>
        <v>0</v>
      </c>
      <c r="F58" s="442"/>
      <c r="G58" s="493">
        <f>VLOOKUP($B58,'Emissions factors'!$B$1171:$K$1216,2,FALSE)</f>
        <v>7.7475799086758002E-2</v>
      </c>
      <c r="H58" s="493">
        <f>VLOOKUP($B58,'Emissions factors'!$B$1171:$K$1216,3,FALSE)</f>
        <v>8.2893044645934402E-2</v>
      </c>
      <c r="I58" s="493">
        <f>VLOOKUP($B58,'Emissions factors'!$B$1171:$K$1216,4,FALSE)</f>
        <v>0.78586500547983185</v>
      </c>
      <c r="J58" s="493">
        <f>VLOOKUP($B58,'Emissions factors'!$B$1171:$K$1216,5,FALSE)</f>
        <v>0.11928511302707633</v>
      </c>
      <c r="K58" s="493">
        <f>VLOOKUP($B58,'Emissions factors'!$B$1171:$K$1216,6,FALSE)</f>
        <v>1.1308789103246357</v>
      </c>
      <c r="L58" s="496">
        <f>VLOOKUP($B58,'Emissions factors'!$B$1171:$K$1216,7,FALSE)</f>
        <v>0.14978943133299677</v>
      </c>
      <c r="M58" s="496">
        <f>VLOOKUP($B58,'Emissions factors'!$B$1171:$K$1216,8,FALSE)</f>
        <v>0.42427163527195022</v>
      </c>
      <c r="N58" s="495">
        <f>VLOOKUP($B58,'Emissions factors'!$B$1171:$K$1216,9,FALSE)</f>
        <v>11.621369863013697</v>
      </c>
      <c r="O58" s="185"/>
      <c r="P58" s="272">
        <f t="shared" si="37"/>
        <v>1.8481543711033513E-2</v>
      </c>
      <c r="Q58" s="272">
        <f t="shared" si="38"/>
        <v>2.2905284464183263E-2</v>
      </c>
      <c r="R58" s="272">
        <f t="shared" si="39"/>
        <v>0.2171528573699861</v>
      </c>
      <c r="S58" s="465">
        <f t="shared" si="40"/>
        <v>0</v>
      </c>
      <c r="T58" s="465">
        <f t="shared" si="41"/>
        <v>0</v>
      </c>
      <c r="U58" s="210">
        <f t="shared" si="42"/>
        <v>0</v>
      </c>
      <c r="V58" s="222">
        <f>IF(OR(F58='Info utili'!$G$532,F58='Info utili'!$G$537),U58,0)</f>
        <v>0</v>
      </c>
      <c r="W58" s="316"/>
      <c r="X58" s="282">
        <f>VLOOKUP($B58,'Emissions factors'!$B$1171:$K$1216,10,FALSE)</f>
        <v>9.646483338462726E-2</v>
      </c>
      <c r="Y58" s="186"/>
      <c r="Z58" s="221">
        <f t="shared" si="43"/>
        <v>0</v>
      </c>
      <c r="AA58" s="221">
        <f t="shared" si="44"/>
        <v>0</v>
      </c>
      <c r="AB58" s="221">
        <f t="shared" si="45"/>
        <v>0</v>
      </c>
      <c r="AC58" s="210">
        <f t="shared" si="46"/>
        <v>0</v>
      </c>
      <c r="AD58" s="222">
        <f t="shared" si="47"/>
        <v>0</v>
      </c>
      <c r="AE58" s="316"/>
      <c r="AF58" s="187"/>
      <c r="AG58" s="221">
        <f t="shared" si="28"/>
        <v>0</v>
      </c>
      <c r="AH58" s="221">
        <f t="shared" si="29"/>
        <v>0</v>
      </c>
      <c r="AI58" s="221">
        <f t="shared" si="30"/>
        <v>0</v>
      </c>
      <c r="AJ58" s="210">
        <f t="shared" si="51"/>
        <v>0</v>
      </c>
      <c r="AK58" s="221">
        <f t="shared" si="31"/>
        <v>0</v>
      </c>
      <c r="AL58" s="187"/>
      <c r="AM58" s="221">
        <f t="shared" si="32"/>
        <v>0</v>
      </c>
      <c r="AN58" s="221">
        <f t="shared" si="33"/>
        <v>0</v>
      </c>
      <c r="AO58" s="221">
        <f t="shared" si="34"/>
        <v>0</v>
      </c>
      <c r="AP58" s="210">
        <f t="shared" si="52"/>
        <v>0</v>
      </c>
      <c r="AQ58" s="222">
        <f t="shared" si="36"/>
        <v>0</v>
      </c>
      <c r="AS58" s="717"/>
      <c r="AT58" s="718"/>
      <c r="AU58" s="718"/>
      <c r="AV58" s="718"/>
      <c r="AW58" s="718"/>
      <c r="AX58" s="718"/>
      <c r="AY58" s="718"/>
      <c r="AZ58" s="718"/>
      <c r="BA58" s="718"/>
      <c r="BB58" s="718"/>
      <c r="BC58" s="718"/>
      <c r="BD58" s="718"/>
      <c r="BE58" s="719">
        <f t="shared" si="48"/>
        <v>0</v>
      </c>
      <c r="BF58" s="719">
        <f t="shared" si="49"/>
        <v>0</v>
      </c>
      <c r="BG58" s="720">
        <f t="shared" si="50"/>
        <v>0</v>
      </c>
      <c r="BH58" s="717"/>
      <c r="BI58" s="718"/>
      <c r="BJ58" s="721"/>
    </row>
    <row r="59" spans="2:62" ht="12" customHeight="1" outlineLevel="1" x14ac:dyDescent="0.2">
      <c r="B59" s="200" t="str">
        <f>'Emissions factors'!$B$1183</f>
        <v>&gt; 21 tonnes, V6.1 [1]</v>
      </c>
      <c r="C59" s="201"/>
      <c r="D59" s="262">
        <f t="shared" si="26"/>
        <v>0</v>
      </c>
      <c r="E59" s="265">
        <f t="shared" si="27"/>
        <v>0</v>
      </c>
      <c r="F59" s="442"/>
      <c r="G59" s="493">
        <f>VLOOKUP($B59,'Emissions factors'!$B$1171:$K$1216,2,FALSE)</f>
        <v>8.6396543947465376E-2</v>
      </c>
      <c r="H59" s="493">
        <f>VLOOKUP($B59,'Emissions factors'!$B$1171:$K$1216,3,FALSE)</f>
        <v>0.10423755116522328</v>
      </c>
      <c r="I59" s="493">
        <f>VLOOKUP($B59,'Emissions factors'!$B$1171:$K$1216,4,FALSE)</f>
        <v>0.98822095469598759</v>
      </c>
      <c r="J59" s="493">
        <f>VLOOKUP($B59,'Emissions factors'!$B$1171:$K$1216,5,FALSE)</f>
        <v>0.15000037850605299</v>
      </c>
      <c r="K59" s="493">
        <f>VLOOKUP($B59,'Emissions factors'!$B$1171:$K$1216,6,FALSE)</f>
        <v>1.4220740567576404</v>
      </c>
      <c r="L59" s="496">
        <f>VLOOKUP($B59,'Emissions factors'!$B$1171:$K$1216,7,FALSE)</f>
        <v>0.29927749338549114</v>
      </c>
      <c r="M59" s="496">
        <f>VLOOKUP($B59,'Emissions factors'!$B$1171:$K$1216,8,FALSE)</f>
        <v>0.49671961708996965</v>
      </c>
      <c r="N59" s="495">
        <f>VLOOKUP($B59,'Emissions factors'!$B$1171:$K$1216,9,FALSE)</f>
        <v>16.659237899917965</v>
      </c>
      <c r="O59" s="185"/>
      <c r="P59" s="272">
        <f t="shared" si="37"/>
        <v>1.4899917406531141E-2</v>
      </c>
      <c r="Q59" s="272">
        <f t="shared" si="38"/>
        <v>2.0723765247207895E-2</v>
      </c>
      <c r="R59" s="272">
        <f t="shared" si="39"/>
        <v>0.19647103033943808</v>
      </c>
      <c r="S59" s="465">
        <f t="shared" si="40"/>
        <v>0</v>
      </c>
      <c r="T59" s="465">
        <f t="shared" si="41"/>
        <v>0</v>
      </c>
      <c r="U59" s="210">
        <f t="shared" si="42"/>
        <v>0</v>
      </c>
      <c r="V59" s="222">
        <f>IF(OR(F59='Info utili'!$G$532,F59='Info utili'!$G$537),U59,0)</f>
        <v>0</v>
      </c>
      <c r="W59" s="316"/>
      <c r="X59" s="282">
        <f>VLOOKUP($B59,'Emissions factors'!$B$1171:$K$1216,10,FALSE)</f>
        <v>9.1728422803538628E-2</v>
      </c>
      <c r="Y59" s="186"/>
      <c r="Z59" s="221">
        <f t="shared" si="43"/>
        <v>0</v>
      </c>
      <c r="AA59" s="221">
        <f t="shared" si="44"/>
        <v>0</v>
      </c>
      <c r="AB59" s="221">
        <f t="shared" si="45"/>
        <v>0</v>
      </c>
      <c r="AC59" s="210">
        <f t="shared" si="46"/>
        <v>0</v>
      </c>
      <c r="AD59" s="222">
        <f t="shared" si="47"/>
        <v>0</v>
      </c>
      <c r="AE59" s="316"/>
      <c r="AF59" s="187"/>
      <c r="AG59" s="221">
        <f t="shared" si="28"/>
        <v>0</v>
      </c>
      <c r="AH59" s="221">
        <f t="shared" si="29"/>
        <v>0</v>
      </c>
      <c r="AI59" s="221">
        <f t="shared" si="30"/>
        <v>0</v>
      </c>
      <c r="AJ59" s="210">
        <f t="shared" si="51"/>
        <v>0</v>
      </c>
      <c r="AK59" s="221">
        <f t="shared" si="31"/>
        <v>0</v>
      </c>
      <c r="AL59" s="187"/>
      <c r="AM59" s="221">
        <f t="shared" si="32"/>
        <v>0</v>
      </c>
      <c r="AN59" s="221">
        <f t="shared" si="33"/>
        <v>0</v>
      </c>
      <c r="AO59" s="221">
        <f t="shared" si="34"/>
        <v>0</v>
      </c>
      <c r="AP59" s="210">
        <f t="shared" si="52"/>
        <v>0</v>
      </c>
      <c r="AQ59" s="222">
        <f t="shared" si="36"/>
        <v>0</v>
      </c>
      <c r="AS59" s="717"/>
      <c r="AT59" s="718"/>
      <c r="AU59" s="718"/>
      <c r="AV59" s="718"/>
      <c r="AW59" s="718"/>
      <c r="AX59" s="718"/>
      <c r="AY59" s="718"/>
      <c r="AZ59" s="718"/>
      <c r="BA59" s="718"/>
      <c r="BB59" s="718"/>
      <c r="BC59" s="718"/>
      <c r="BD59" s="718"/>
      <c r="BE59" s="719">
        <f t="shared" si="48"/>
        <v>0</v>
      </c>
      <c r="BF59" s="719">
        <f t="shared" si="49"/>
        <v>0</v>
      </c>
      <c r="BG59" s="720">
        <f t="shared" si="50"/>
        <v>0</v>
      </c>
      <c r="BH59" s="717"/>
      <c r="BI59" s="718"/>
      <c r="BJ59" s="721"/>
    </row>
    <row r="60" spans="2:62" ht="12" customHeight="1" outlineLevel="1" x14ac:dyDescent="0.2">
      <c r="B60" s="200" t="str">
        <f>'Emissions factors'!$B$1184</f>
        <v>Articulated (tractor-trailer), V6.1 [1]</v>
      </c>
      <c r="C60" s="201"/>
      <c r="D60" s="262">
        <f t="shared" ref="D60:D67" si="53">SUM(S60:U60)</f>
        <v>0</v>
      </c>
      <c r="E60" s="265">
        <f t="shared" ref="E60:E67" si="54">D60*12/44</f>
        <v>0</v>
      </c>
      <c r="F60" s="443"/>
      <c r="G60" s="493">
        <f>VLOOKUP($B60,'Emissions factors'!$B$1171:$K$1216,2,FALSE)</f>
        <v>0.10999999999999999</v>
      </c>
      <c r="H60" s="493">
        <f>VLOOKUP($B60,'Emissions factors'!$B$1171:$K$1216,3,FALSE)</f>
        <v>8.6923197162574253E-2</v>
      </c>
      <c r="I60" s="493">
        <f>VLOOKUP($B60,'Emissions factors'!$B$1171:$K$1216,4,FALSE)</f>
        <v>0.82407274465869496</v>
      </c>
      <c r="J60" s="493">
        <f>VLOOKUP($B60,'Emissions factors'!$B$1171:$K$1216,5,FALSE)</f>
        <v>0.12508460079492392</v>
      </c>
      <c r="K60" s="493">
        <f>VLOOKUP($B60,'Emissions factors'!$B$1171:$K$1216,6,FALSE)</f>
        <v>1.1858607788990974</v>
      </c>
      <c r="L60" s="497">
        <f>VLOOKUP($B60,'Emissions factors'!$B$1171:$K$1216,7,FALSE)</f>
        <v>0.21091797527003817</v>
      </c>
      <c r="M60" s="497">
        <f>VLOOKUP($B60,'Emissions factors'!$B$1171:$K$1216,8,FALSE)</f>
        <v>0.57249634491029433</v>
      </c>
      <c r="N60" s="495">
        <f>VLOOKUP($B60,'Emissions factors'!$B$1171:$K$1216,9,FALSE)</f>
        <v>25</v>
      </c>
      <c r="O60" s="188"/>
      <c r="P60" s="272">
        <f>G60/(M60*(1-L60)*N60)</f>
        <v>9.739974232399716E-3</v>
      </c>
      <c r="Q60" s="272">
        <f>(H60+(J60-H60)*(1-L60)*M60)/(M60*N60*(1-L60))</f>
        <v>9.2230897867601087E-3</v>
      </c>
      <c r="R60" s="272">
        <f>(I60+(K60-I60)*(1-L60)*M60)/(M60*N60*(1-L60))</f>
        <v>8.7439224084148823E-2</v>
      </c>
      <c r="S60" s="465">
        <f t="shared" ref="S60:S66" si="55">O60*P60</f>
        <v>0</v>
      </c>
      <c r="T60" s="465">
        <f t="shared" ref="T60:T66" si="56">O60*Q60</f>
        <v>0</v>
      </c>
      <c r="U60" s="210">
        <f t="shared" ref="U60:U66" si="57">O60*R60</f>
        <v>0</v>
      </c>
      <c r="V60" s="222">
        <f>IF(OR(F60='Info utili'!$G$532,F60='Info utili'!$G$537),U60,0)</f>
        <v>0</v>
      </c>
      <c r="W60" s="316"/>
      <c r="X60" s="282">
        <f>VLOOKUP($B60,'Emissions factors'!$B$1171:$K$1216,10,FALSE)</f>
        <v>0.10950044274342019</v>
      </c>
      <c r="Y60" s="189"/>
      <c r="Z60" s="221">
        <f t="shared" si="43"/>
        <v>0</v>
      </c>
      <c r="AA60" s="221">
        <f t="shared" si="44"/>
        <v>0</v>
      </c>
      <c r="AB60" s="221">
        <f t="shared" si="45"/>
        <v>0</v>
      </c>
      <c r="AC60" s="210">
        <f t="shared" si="46"/>
        <v>0</v>
      </c>
      <c r="AD60" s="222">
        <f t="shared" si="47"/>
        <v>0</v>
      </c>
      <c r="AE60" s="316"/>
      <c r="AF60" s="190"/>
      <c r="AG60" s="221">
        <f t="shared" ref="AG60:AG66" si="58">$AF60*S60</f>
        <v>0</v>
      </c>
      <c r="AH60" s="221">
        <f t="shared" ref="AH60:AH66" si="59">$AF60*T60</f>
        <v>0</v>
      </c>
      <c r="AI60" s="221">
        <f t="shared" ref="AI60:AI66" si="60">$AF60*U60</f>
        <v>0</v>
      </c>
      <c r="AJ60" s="210">
        <f t="shared" ref="AJ60:AJ66" si="61">SUM(AG60:AI60)</f>
        <v>0</v>
      </c>
      <c r="AK60" s="221">
        <f t="shared" ref="AK60:AK66" si="62">$AF60*V60</f>
        <v>0</v>
      </c>
      <c r="AL60" s="190"/>
      <c r="AM60" s="221">
        <f t="shared" ref="AM60:AM66" si="63">$AL60*S60</f>
        <v>0</v>
      </c>
      <c r="AN60" s="221">
        <f t="shared" ref="AN60:AN66" si="64">$AL60*T60</f>
        <v>0</v>
      </c>
      <c r="AO60" s="221">
        <f t="shared" ref="AO60:AO66" si="65">$AL60*U60</f>
        <v>0</v>
      </c>
      <c r="AP60" s="210">
        <f t="shared" ref="AP60:AP66" si="66">SUM(AM60:AO60)</f>
        <v>0</v>
      </c>
      <c r="AQ60" s="222">
        <f t="shared" ref="AQ60:AQ66" si="67">$AL60*V60</f>
        <v>0</v>
      </c>
      <c r="AS60" s="717"/>
      <c r="AT60" s="718"/>
      <c r="AU60" s="718"/>
      <c r="AV60" s="718"/>
      <c r="AW60" s="718"/>
      <c r="AX60" s="718"/>
      <c r="AY60" s="718"/>
      <c r="AZ60" s="718"/>
      <c r="BA60" s="718"/>
      <c r="BB60" s="718"/>
      <c r="BC60" s="718"/>
      <c r="BD60" s="718"/>
      <c r="BE60" s="719">
        <f t="shared" si="48"/>
        <v>0</v>
      </c>
      <c r="BF60" s="719">
        <f t="shared" si="49"/>
        <v>0</v>
      </c>
      <c r="BG60" s="720">
        <f t="shared" si="50"/>
        <v>0</v>
      </c>
      <c r="BH60" s="717"/>
      <c r="BI60" s="718"/>
      <c r="BJ60" s="721"/>
    </row>
    <row r="61" spans="2:62" ht="12" customHeight="1" outlineLevel="1" x14ac:dyDescent="0.2">
      <c r="B61" s="200"/>
      <c r="C61" s="201"/>
      <c r="D61" s="262"/>
      <c r="E61" s="265"/>
      <c r="F61" s="493"/>
      <c r="G61" s="493"/>
      <c r="H61" s="493"/>
      <c r="I61" s="493"/>
      <c r="J61" s="493"/>
      <c r="K61" s="493"/>
      <c r="L61" s="272"/>
      <c r="M61" s="272"/>
      <c r="N61" s="495"/>
      <c r="O61" s="272"/>
      <c r="P61" s="272"/>
      <c r="Q61" s="272"/>
      <c r="R61" s="272"/>
      <c r="S61" s="465"/>
      <c r="T61" s="465"/>
      <c r="U61" s="210"/>
      <c r="V61" s="222"/>
      <c r="W61" s="316"/>
      <c r="X61" s="282"/>
      <c r="Y61" s="272"/>
      <c r="Z61" s="221"/>
      <c r="AA61" s="221"/>
      <c r="AB61" s="221"/>
      <c r="AC61" s="210"/>
      <c r="AD61" s="222"/>
      <c r="AE61" s="316"/>
      <c r="AF61" s="1203"/>
      <c r="AG61" s="221"/>
      <c r="AH61" s="221"/>
      <c r="AI61" s="221"/>
      <c r="AJ61" s="210"/>
      <c r="AK61" s="221"/>
      <c r="AL61" s="221"/>
      <c r="AM61" s="221"/>
      <c r="AN61" s="221"/>
      <c r="AO61" s="221"/>
      <c r="AP61" s="210"/>
      <c r="AQ61" s="222"/>
      <c r="AS61" s="717"/>
      <c r="AT61" s="718"/>
      <c r="AU61" s="718"/>
      <c r="AV61" s="718"/>
      <c r="AW61" s="718"/>
      <c r="AX61" s="718"/>
      <c r="AY61" s="718"/>
      <c r="AZ61" s="718"/>
      <c r="BA61" s="718"/>
      <c r="BB61" s="718"/>
      <c r="BC61" s="718"/>
      <c r="BD61" s="718"/>
      <c r="BE61" s="719"/>
      <c r="BF61" s="719"/>
      <c r="BG61" s="720"/>
      <c r="BH61" s="717"/>
      <c r="BI61" s="718"/>
      <c r="BJ61" s="721"/>
    </row>
    <row r="62" spans="2:62" ht="12" customHeight="1" outlineLevel="1" x14ac:dyDescent="0.2">
      <c r="B62" s="704" t="s">
        <v>2780</v>
      </c>
      <c r="C62" s="201"/>
      <c r="D62" s="262"/>
      <c r="E62" s="265"/>
      <c r="F62" s="493"/>
      <c r="G62" s="493"/>
      <c r="H62" s="493"/>
      <c r="I62" s="493"/>
      <c r="J62" s="493"/>
      <c r="K62" s="493"/>
      <c r="L62" s="272"/>
      <c r="M62" s="272"/>
      <c r="N62" s="495"/>
      <c r="O62" s="272"/>
      <c r="P62" s="272"/>
      <c r="Q62" s="272"/>
      <c r="R62" s="272"/>
      <c r="S62" s="465"/>
      <c r="T62" s="465"/>
      <c r="U62" s="210"/>
      <c r="V62" s="222"/>
      <c r="W62" s="316"/>
      <c r="X62" s="282"/>
      <c r="Y62" s="272"/>
      <c r="Z62" s="221"/>
      <c r="AA62" s="221"/>
      <c r="AB62" s="221"/>
      <c r="AC62" s="210"/>
      <c r="AD62" s="222"/>
      <c r="AE62" s="316"/>
      <c r="AF62" s="1225"/>
      <c r="AG62" s="221"/>
      <c r="AH62" s="221"/>
      <c r="AI62" s="221"/>
      <c r="AJ62" s="210"/>
      <c r="AK62" s="221"/>
      <c r="AL62" s="221"/>
      <c r="AM62" s="221"/>
      <c r="AN62" s="221"/>
      <c r="AO62" s="221"/>
      <c r="AP62" s="210"/>
      <c r="AQ62" s="222"/>
      <c r="AS62" s="717"/>
      <c r="AT62" s="718"/>
      <c r="AU62" s="718"/>
      <c r="AV62" s="718"/>
      <c r="AW62" s="718"/>
      <c r="AX62" s="718"/>
      <c r="AY62" s="718"/>
      <c r="AZ62" s="718"/>
      <c r="BA62" s="718"/>
      <c r="BB62" s="718"/>
      <c r="BC62" s="718"/>
      <c r="BD62" s="718"/>
      <c r="BE62" s="719"/>
      <c r="BF62" s="719"/>
      <c r="BG62" s="720"/>
      <c r="BH62" s="717"/>
      <c r="BI62" s="718"/>
      <c r="BJ62" s="721"/>
    </row>
    <row r="63" spans="2:62" ht="12" customHeight="1" outlineLevel="1" x14ac:dyDescent="0.2">
      <c r="B63" s="200" t="s">
        <v>1284</v>
      </c>
      <c r="C63" s="201"/>
      <c r="D63" s="262">
        <f t="shared" si="53"/>
        <v>0</v>
      </c>
      <c r="E63" s="265">
        <f t="shared" si="54"/>
        <v>0</v>
      </c>
      <c r="F63" s="559"/>
      <c r="G63" s="493"/>
      <c r="H63" s="493"/>
      <c r="I63" s="493"/>
      <c r="J63" s="493"/>
      <c r="K63" s="493"/>
      <c r="L63" s="695"/>
      <c r="M63" s="695"/>
      <c r="N63" s="703" t="str">
        <f>IF(RIGHT(B63,12)="déménagement","m3.km :","tonnes.km :")</f>
        <v>tonnes.km :</v>
      </c>
      <c r="O63" s="182"/>
      <c r="P63" s="272">
        <f>VLOOKUP($B63,'Emissions factors'!$B$1221:$AG$1245,2,FALSE)</f>
        <v>8.8599999999999998E-2</v>
      </c>
      <c r="Q63" s="272">
        <f>VLOOKUP($B63,'Emissions factors'!$B$1221:$AG$1245,3,FALSE)</f>
        <v>0.23090000000000002</v>
      </c>
      <c r="R63" s="272">
        <f>VLOOKUP($B63,'Emissions factors'!$B$1221:$AG$1245,4,FALSE)</f>
        <v>0.88444599999999995</v>
      </c>
      <c r="S63" s="465">
        <f>O63*P63</f>
        <v>0</v>
      </c>
      <c r="T63" s="465">
        <f>O63*Q63</f>
        <v>0</v>
      </c>
      <c r="U63" s="210">
        <f>O63*R63</f>
        <v>0</v>
      </c>
      <c r="V63" s="222">
        <f>IF(OR(F63='Info utili'!$G$532,F63='Info utili'!$G$537),U63,0)</f>
        <v>0</v>
      </c>
      <c r="W63" s="316"/>
      <c r="X63" s="282">
        <f>VLOOKUP($B63,'Emissions factors'!$B$1221:$AG$1245,32,FALSE)</f>
        <v>0.7</v>
      </c>
      <c r="Y63" s="183"/>
      <c r="Z63" s="221">
        <f t="shared" si="43"/>
        <v>0</v>
      </c>
      <c r="AA63" s="221">
        <f t="shared" si="44"/>
        <v>0</v>
      </c>
      <c r="AB63" s="221">
        <f t="shared" si="45"/>
        <v>0</v>
      </c>
      <c r="AC63" s="210">
        <f t="shared" si="46"/>
        <v>0</v>
      </c>
      <c r="AD63" s="222">
        <f t="shared" si="47"/>
        <v>0</v>
      </c>
      <c r="AE63" s="316"/>
      <c r="AF63" s="184"/>
      <c r="AG63" s="221">
        <f t="shared" si="58"/>
        <v>0</v>
      </c>
      <c r="AH63" s="221">
        <f t="shared" si="59"/>
        <v>0</v>
      </c>
      <c r="AI63" s="221">
        <f t="shared" si="60"/>
        <v>0</v>
      </c>
      <c r="AJ63" s="210">
        <f t="shared" si="61"/>
        <v>0</v>
      </c>
      <c r="AK63" s="221">
        <f t="shared" si="62"/>
        <v>0</v>
      </c>
      <c r="AL63" s="184"/>
      <c r="AM63" s="221">
        <f t="shared" si="63"/>
        <v>0</v>
      </c>
      <c r="AN63" s="221">
        <f t="shared" si="64"/>
        <v>0</v>
      </c>
      <c r="AO63" s="221">
        <f t="shared" si="65"/>
        <v>0</v>
      </c>
      <c r="AP63" s="210">
        <f t="shared" si="66"/>
        <v>0</v>
      </c>
      <c r="AQ63" s="222">
        <f t="shared" si="67"/>
        <v>0</v>
      </c>
      <c r="AS63" s="717">
        <f>O63*VLOOKUP($B63,'Emissions factors'!$B$1221:$AG$1245,5,FALSE)</f>
        <v>0</v>
      </c>
      <c r="AT63" s="718">
        <f>O63*VLOOKUP($B63,'Emissions factors'!$B$1221:$AG$1245,6,FALSE)</f>
        <v>0</v>
      </c>
      <c r="AU63" s="718">
        <f>O63*VLOOKUP($B63,'Emissions factors'!$B$1221:$AG$1245,7,FALSE)</f>
        <v>0</v>
      </c>
      <c r="AV63" s="718">
        <f>O63*VLOOKUP($B63,'Emissions factors'!$B$1221:$AG$1245,8,FALSE)</f>
        <v>0</v>
      </c>
      <c r="AW63" s="718">
        <f>O63*VLOOKUP($B63,'Emissions factors'!$B$1221:$AG$1245,9,FALSE)</f>
        <v>0</v>
      </c>
      <c r="AX63" s="718">
        <f>O63*VLOOKUP($B63,'Emissions factors'!$B$1221:$AG$1245,10,FALSE)</f>
        <v>0</v>
      </c>
      <c r="AY63" s="718">
        <f>O63*VLOOKUP($B63,'Emissions factors'!$B$1221:$AG$1245,11,FALSE)</f>
        <v>0</v>
      </c>
      <c r="AZ63" s="718">
        <f>O63*VLOOKUP($B63,'Emissions factors'!$B$1221:$AG$1245,12,FALSE)</f>
        <v>0</v>
      </c>
      <c r="BA63" s="718">
        <f>O63*VLOOKUP($B63,'Emissions factors'!$B$1221:$AG$1245,13,FALSE)</f>
        <v>0</v>
      </c>
      <c r="BB63" s="718">
        <v>0</v>
      </c>
      <c r="BC63" s="718">
        <v>0</v>
      </c>
      <c r="BD63" s="718">
        <v>0</v>
      </c>
      <c r="BE63" s="719">
        <f t="shared" ref="BE63:BG67" si="68">S63</f>
        <v>0</v>
      </c>
      <c r="BF63" s="719">
        <f t="shared" si="68"/>
        <v>0</v>
      </c>
      <c r="BG63" s="720">
        <f t="shared" si="68"/>
        <v>0</v>
      </c>
      <c r="BH63" s="717">
        <f>O63*VLOOKUP($B63,'Emissions factors'!$B$1221:$AG$1245,29,FALSE)</f>
        <v>0</v>
      </c>
      <c r="BI63" s="718">
        <f>O63*VLOOKUP($B63,'Emissions factors'!$B$1221:$AG$1245,30,FALSE)</f>
        <v>0</v>
      </c>
      <c r="BJ63" s="721">
        <f>O63*VLOOKUP($B63,'Emissions factors'!$B$1221:$AG$1245,31,FALSE)</f>
        <v>0</v>
      </c>
    </row>
    <row r="64" spans="2:62" ht="12" customHeight="1" outlineLevel="1" x14ac:dyDescent="0.2">
      <c r="B64" s="200" t="s">
        <v>1293</v>
      </c>
      <c r="C64" s="201"/>
      <c r="D64" s="262">
        <f t="shared" si="53"/>
        <v>0</v>
      </c>
      <c r="E64" s="265">
        <f t="shared" si="54"/>
        <v>0</v>
      </c>
      <c r="F64" s="692"/>
      <c r="G64" s="493"/>
      <c r="H64" s="493"/>
      <c r="I64" s="493"/>
      <c r="J64" s="493"/>
      <c r="K64" s="493"/>
      <c r="L64" s="696"/>
      <c r="M64" s="696"/>
      <c r="N64" s="703" t="str">
        <f>IF(RIGHT(B64,12)="déménagement","m3.km :","tonnes.km :")</f>
        <v>tonnes.km :</v>
      </c>
      <c r="O64" s="535"/>
      <c r="P64" s="272">
        <f>VLOOKUP($B64,'Emissions factors'!$B$1221:$AG$1245,2,FALSE)</f>
        <v>8.8000000000000005E-3</v>
      </c>
      <c r="Q64" s="272">
        <f>VLOOKUP($B64,'Emissions factors'!$B$1221:$AG$1245,3,FALSE)</f>
        <v>1.9901000000000002E-2</v>
      </c>
      <c r="R64" s="272">
        <f>VLOOKUP($B64,'Emissions factors'!$B$1221:$AG$1245,4,FALSE)</f>
        <v>7.6242099999999993E-2</v>
      </c>
      <c r="S64" s="465">
        <f t="shared" si="55"/>
        <v>0</v>
      </c>
      <c r="T64" s="465">
        <f t="shared" si="56"/>
        <v>0</v>
      </c>
      <c r="U64" s="210">
        <f t="shared" si="57"/>
        <v>0</v>
      </c>
      <c r="V64" s="222">
        <f>IF(OR(F64='Info utili'!$G$532,F64='Info utili'!$G$537),U64,0)</f>
        <v>0</v>
      </c>
      <c r="W64" s="316"/>
      <c r="X64" s="282">
        <f>VLOOKUP($B64,'Emissions factors'!$B$1221:$AG$1245,32,FALSE)</f>
        <v>0.7</v>
      </c>
      <c r="Y64" s="533"/>
      <c r="Z64" s="221">
        <f t="shared" si="43"/>
        <v>0</v>
      </c>
      <c r="AA64" s="221">
        <f t="shared" si="44"/>
        <v>0</v>
      </c>
      <c r="AB64" s="221">
        <f t="shared" si="45"/>
        <v>0</v>
      </c>
      <c r="AC64" s="210">
        <f t="shared" si="46"/>
        <v>0</v>
      </c>
      <c r="AD64" s="222">
        <f t="shared" si="47"/>
        <v>0</v>
      </c>
      <c r="AE64" s="316"/>
      <c r="AF64" s="531"/>
      <c r="AG64" s="221">
        <f t="shared" si="58"/>
        <v>0</v>
      </c>
      <c r="AH64" s="221">
        <f t="shared" si="59"/>
        <v>0</v>
      </c>
      <c r="AI64" s="221">
        <f t="shared" si="60"/>
        <v>0</v>
      </c>
      <c r="AJ64" s="210">
        <f t="shared" si="61"/>
        <v>0</v>
      </c>
      <c r="AK64" s="221">
        <f t="shared" si="62"/>
        <v>0</v>
      </c>
      <c r="AL64" s="187"/>
      <c r="AM64" s="221">
        <f t="shared" si="63"/>
        <v>0</v>
      </c>
      <c r="AN64" s="221">
        <f t="shared" si="64"/>
        <v>0</v>
      </c>
      <c r="AO64" s="221">
        <f t="shared" si="65"/>
        <v>0</v>
      </c>
      <c r="AP64" s="210">
        <f t="shared" si="66"/>
        <v>0</v>
      </c>
      <c r="AQ64" s="222">
        <f t="shared" si="67"/>
        <v>0</v>
      </c>
      <c r="AS64" s="717">
        <f>O64*VLOOKUP($B64,'Emissions factors'!$B$1221:$AG$1245,5,FALSE)</f>
        <v>0</v>
      </c>
      <c r="AT64" s="718">
        <f>O64*VLOOKUP($B64,'Emissions factors'!$B$1221:$AG$1245,6,FALSE)</f>
        <v>0</v>
      </c>
      <c r="AU64" s="718">
        <f>O64*VLOOKUP($B64,'Emissions factors'!$B$1221:$AG$1245,7,FALSE)</f>
        <v>0</v>
      </c>
      <c r="AV64" s="718">
        <f>O64*VLOOKUP($B64,'Emissions factors'!$B$1221:$AG$1245,8,FALSE)</f>
        <v>0</v>
      </c>
      <c r="AW64" s="718">
        <f>O64*VLOOKUP($B64,'Emissions factors'!$B$1221:$AG$1245,9,FALSE)</f>
        <v>0</v>
      </c>
      <c r="AX64" s="718">
        <f>O64*VLOOKUP($B64,'Emissions factors'!$B$1221:$AG$1245,10,FALSE)</f>
        <v>0</v>
      </c>
      <c r="AY64" s="718">
        <f>O64*VLOOKUP($B64,'Emissions factors'!$B$1221:$AG$1245,11,FALSE)</f>
        <v>0</v>
      </c>
      <c r="AZ64" s="718">
        <f>O64*VLOOKUP($B64,'Emissions factors'!$B$1221:$AG$1245,12,FALSE)</f>
        <v>0</v>
      </c>
      <c r="BA64" s="718">
        <f>O64*VLOOKUP($B64,'Emissions factors'!$B$1221:$AG$1245,13,FALSE)</f>
        <v>0</v>
      </c>
      <c r="BB64" s="718">
        <v>0</v>
      </c>
      <c r="BC64" s="718">
        <v>0</v>
      </c>
      <c r="BD64" s="718">
        <v>0</v>
      </c>
      <c r="BE64" s="719">
        <f t="shared" si="68"/>
        <v>0</v>
      </c>
      <c r="BF64" s="719">
        <f t="shared" si="68"/>
        <v>0</v>
      </c>
      <c r="BG64" s="720">
        <f t="shared" si="68"/>
        <v>0</v>
      </c>
      <c r="BH64" s="717">
        <f>O64*VLOOKUP($B64,'Emissions factors'!$B$1221:$AG$1245,29,FALSE)</f>
        <v>0</v>
      </c>
      <c r="BI64" s="718">
        <f>O64*VLOOKUP($B64,'Emissions factors'!$B$1221:$AG$1245,30,FALSE)</f>
        <v>0</v>
      </c>
      <c r="BJ64" s="721">
        <f>O64*VLOOKUP($B64,'Emissions factors'!$B$1221:$AG$1245,31,FALSE)</f>
        <v>0</v>
      </c>
    </row>
    <row r="65" spans="1:62" ht="12" customHeight="1" outlineLevel="1" x14ac:dyDescent="0.2">
      <c r="B65" s="200" t="s">
        <v>1304</v>
      </c>
      <c r="C65" s="201"/>
      <c r="D65" s="262">
        <f t="shared" si="53"/>
        <v>0</v>
      </c>
      <c r="E65" s="265">
        <f t="shared" si="54"/>
        <v>0</v>
      </c>
      <c r="F65" s="692"/>
      <c r="G65" s="493"/>
      <c r="H65" s="493"/>
      <c r="I65" s="493"/>
      <c r="J65" s="493"/>
      <c r="K65" s="493"/>
      <c r="L65" s="696"/>
      <c r="M65" s="696"/>
      <c r="N65" s="703" t="str">
        <f>IF(RIGHT(B65,12)="déménagement","m3.km :","tonnes.km :")</f>
        <v>tonnes.km :</v>
      </c>
      <c r="O65" s="535"/>
      <c r="P65" s="272">
        <f>VLOOKUP($B65,'Emissions factors'!$B$1221:$AG$1245,2,FALSE)</f>
        <v>7.22E-2</v>
      </c>
      <c r="Q65" s="272">
        <f>VLOOKUP($B65,'Emissions factors'!$B$1221:$AG$1245,3,FALSE)</f>
        <v>0.16041999999999998</v>
      </c>
      <c r="R65" s="272">
        <f>VLOOKUP($B65,'Emissions factors'!$B$1221:$AG$1245,4,FALSE)</f>
        <v>0.61517500000000003</v>
      </c>
      <c r="S65" s="465">
        <f t="shared" si="55"/>
        <v>0</v>
      </c>
      <c r="T65" s="465">
        <f t="shared" si="56"/>
        <v>0</v>
      </c>
      <c r="U65" s="210">
        <f t="shared" si="57"/>
        <v>0</v>
      </c>
      <c r="V65" s="222">
        <f>IF(OR(F65='Info utili'!$G$532,F65='Info utili'!$G$537),U65,0)</f>
        <v>0</v>
      </c>
      <c r="W65" s="316"/>
      <c r="X65" s="282">
        <f>VLOOKUP($B65,'Emissions factors'!$B$1221:$AG$1245,32,FALSE)</f>
        <v>0.7</v>
      </c>
      <c r="Y65" s="533"/>
      <c r="Z65" s="221">
        <f t="shared" si="43"/>
        <v>0</v>
      </c>
      <c r="AA65" s="221">
        <f t="shared" si="44"/>
        <v>0</v>
      </c>
      <c r="AB65" s="221">
        <f t="shared" si="45"/>
        <v>0</v>
      </c>
      <c r="AC65" s="210">
        <f t="shared" si="46"/>
        <v>0</v>
      </c>
      <c r="AD65" s="222">
        <f t="shared" si="47"/>
        <v>0</v>
      </c>
      <c r="AE65" s="316"/>
      <c r="AF65" s="531"/>
      <c r="AG65" s="221">
        <f t="shared" si="58"/>
        <v>0</v>
      </c>
      <c r="AH65" s="221">
        <f t="shared" si="59"/>
        <v>0</v>
      </c>
      <c r="AI65" s="221">
        <f t="shared" si="60"/>
        <v>0</v>
      </c>
      <c r="AJ65" s="210">
        <f t="shared" si="61"/>
        <v>0</v>
      </c>
      <c r="AK65" s="221">
        <f t="shared" si="62"/>
        <v>0</v>
      </c>
      <c r="AL65" s="187"/>
      <c r="AM65" s="221">
        <f t="shared" si="63"/>
        <v>0</v>
      </c>
      <c r="AN65" s="221">
        <f t="shared" si="64"/>
        <v>0</v>
      </c>
      <c r="AO65" s="221">
        <f t="shared" si="65"/>
        <v>0</v>
      </c>
      <c r="AP65" s="210">
        <f t="shared" si="66"/>
        <v>0</v>
      </c>
      <c r="AQ65" s="222">
        <f t="shared" si="67"/>
        <v>0</v>
      </c>
      <c r="AS65" s="717">
        <f>O65*VLOOKUP($B65,'Emissions factors'!$B$1221:$AG$1245,5,FALSE)</f>
        <v>0</v>
      </c>
      <c r="AT65" s="718">
        <f>O65*VLOOKUP($B65,'Emissions factors'!$B$1221:$AG$1245,6,FALSE)</f>
        <v>0</v>
      </c>
      <c r="AU65" s="718">
        <f>O65*VLOOKUP($B65,'Emissions factors'!$B$1221:$AG$1245,7,FALSE)</f>
        <v>0</v>
      </c>
      <c r="AV65" s="718">
        <f>O65*VLOOKUP($B65,'Emissions factors'!$B$1221:$AG$1245,8,FALSE)</f>
        <v>0</v>
      </c>
      <c r="AW65" s="718">
        <f>O65*VLOOKUP($B65,'Emissions factors'!$B$1221:$AG$1245,9,FALSE)</f>
        <v>0</v>
      </c>
      <c r="AX65" s="718">
        <f>O65*VLOOKUP($B65,'Emissions factors'!$B$1221:$AG$1245,10,FALSE)</f>
        <v>0</v>
      </c>
      <c r="AY65" s="718">
        <f>O65*VLOOKUP($B65,'Emissions factors'!$B$1221:$AG$1245,11,FALSE)</f>
        <v>0</v>
      </c>
      <c r="AZ65" s="718">
        <f>O65*VLOOKUP($B65,'Emissions factors'!$B$1221:$AG$1245,12,FALSE)</f>
        <v>0</v>
      </c>
      <c r="BA65" s="718">
        <f>O65*VLOOKUP($B65,'Emissions factors'!$B$1221:$AG$1245,13,FALSE)</f>
        <v>0</v>
      </c>
      <c r="BB65" s="718">
        <v>0</v>
      </c>
      <c r="BC65" s="718">
        <v>0</v>
      </c>
      <c r="BD65" s="718">
        <v>0</v>
      </c>
      <c r="BE65" s="719">
        <f t="shared" si="68"/>
        <v>0</v>
      </c>
      <c r="BF65" s="719">
        <f t="shared" si="68"/>
        <v>0</v>
      </c>
      <c r="BG65" s="720">
        <f t="shared" si="68"/>
        <v>0</v>
      </c>
      <c r="BH65" s="717">
        <f>O65*VLOOKUP($B65,'Emissions factors'!$B$1221:$AG$1245,29,FALSE)</f>
        <v>0</v>
      </c>
      <c r="BI65" s="718">
        <f>O65*VLOOKUP($B65,'Emissions factors'!$B$1221:$AG$1245,30,FALSE)</f>
        <v>0</v>
      </c>
      <c r="BJ65" s="721">
        <f>O65*VLOOKUP($B65,'Emissions factors'!$B$1221:$AG$1245,31,FALSE)</f>
        <v>0</v>
      </c>
    </row>
    <row r="66" spans="1:62" ht="12" customHeight="1" outlineLevel="1" x14ac:dyDescent="0.2">
      <c r="B66" s="200" t="s">
        <v>1302</v>
      </c>
      <c r="C66" s="201"/>
      <c r="D66" s="262">
        <f t="shared" si="53"/>
        <v>0</v>
      </c>
      <c r="E66" s="265">
        <f t="shared" si="54"/>
        <v>0</v>
      </c>
      <c r="F66" s="692"/>
      <c r="G66" s="493"/>
      <c r="H66" s="493"/>
      <c r="I66" s="493"/>
      <c r="J66" s="493"/>
      <c r="K66" s="493"/>
      <c r="L66" s="696"/>
      <c r="M66" s="696"/>
      <c r="N66" s="703" t="str">
        <f>IF(RIGHT(B66,12)="déménagement","m3.km :","tonnes.km :")</f>
        <v>tonnes.km :</v>
      </c>
      <c r="O66" s="535"/>
      <c r="P66" s="272">
        <f>VLOOKUP($B66,'Emissions factors'!$B$1221:$AG$1245,2,FALSE)</f>
        <v>1.83E-2</v>
      </c>
      <c r="Q66" s="272">
        <f>VLOOKUP($B66,'Emissions factors'!$B$1221:$AG$1245,3,FALSE)</f>
        <v>3.7420000000000002E-2</v>
      </c>
      <c r="R66" s="272">
        <f>VLOOKUP($B66,'Emissions factors'!$B$1221:$AG$1245,4,FALSE)</f>
        <v>0.1432041</v>
      </c>
      <c r="S66" s="465">
        <f t="shared" si="55"/>
        <v>0</v>
      </c>
      <c r="T66" s="465">
        <f t="shared" si="56"/>
        <v>0</v>
      </c>
      <c r="U66" s="210">
        <f t="shared" si="57"/>
        <v>0</v>
      </c>
      <c r="V66" s="222">
        <f>IF(OR(F66='Info utili'!$G$532,F66='Info utili'!$G$537),U66,0)</f>
        <v>0</v>
      </c>
      <c r="W66" s="316"/>
      <c r="X66" s="282">
        <f>VLOOKUP($B66,'Emissions factors'!$B$1221:$AG$1245,32,FALSE)</f>
        <v>0.7</v>
      </c>
      <c r="Y66" s="533"/>
      <c r="Z66" s="221">
        <f t="shared" si="43"/>
        <v>0</v>
      </c>
      <c r="AA66" s="221">
        <f t="shared" si="44"/>
        <v>0</v>
      </c>
      <c r="AB66" s="221">
        <f t="shared" si="45"/>
        <v>0</v>
      </c>
      <c r="AC66" s="210">
        <f t="shared" si="46"/>
        <v>0</v>
      </c>
      <c r="AD66" s="222">
        <f t="shared" si="47"/>
        <v>0</v>
      </c>
      <c r="AE66" s="316"/>
      <c r="AF66" s="531"/>
      <c r="AG66" s="221">
        <f t="shared" si="58"/>
        <v>0</v>
      </c>
      <c r="AH66" s="221">
        <f t="shared" si="59"/>
        <v>0</v>
      </c>
      <c r="AI66" s="221">
        <f t="shared" si="60"/>
        <v>0</v>
      </c>
      <c r="AJ66" s="210">
        <f t="shared" si="61"/>
        <v>0</v>
      </c>
      <c r="AK66" s="221">
        <f t="shared" si="62"/>
        <v>0</v>
      </c>
      <c r="AL66" s="187"/>
      <c r="AM66" s="221">
        <f t="shared" si="63"/>
        <v>0</v>
      </c>
      <c r="AN66" s="221">
        <f t="shared" si="64"/>
        <v>0</v>
      </c>
      <c r="AO66" s="221">
        <f t="shared" si="65"/>
        <v>0</v>
      </c>
      <c r="AP66" s="210">
        <f t="shared" si="66"/>
        <v>0</v>
      </c>
      <c r="AQ66" s="222">
        <f t="shared" si="67"/>
        <v>0</v>
      </c>
      <c r="AS66" s="717">
        <f>O66*VLOOKUP($B66,'Emissions factors'!$B$1221:$AG$1245,5,FALSE)</f>
        <v>0</v>
      </c>
      <c r="AT66" s="718">
        <f>O66*VLOOKUP($B66,'Emissions factors'!$B$1221:$AG$1245,6,FALSE)</f>
        <v>0</v>
      </c>
      <c r="AU66" s="718">
        <f>O66*VLOOKUP($B66,'Emissions factors'!$B$1221:$AG$1245,7,FALSE)</f>
        <v>0</v>
      </c>
      <c r="AV66" s="718">
        <f>O66*VLOOKUP($B66,'Emissions factors'!$B$1221:$AG$1245,8,FALSE)</f>
        <v>0</v>
      </c>
      <c r="AW66" s="718">
        <f>O66*VLOOKUP($B66,'Emissions factors'!$B$1221:$AG$1245,9,FALSE)</f>
        <v>0</v>
      </c>
      <c r="AX66" s="718">
        <f>O66*VLOOKUP($B66,'Emissions factors'!$B$1221:$AG$1245,10,FALSE)</f>
        <v>0</v>
      </c>
      <c r="AY66" s="718">
        <f>O66*VLOOKUP($B66,'Emissions factors'!$B$1221:$AG$1245,11,FALSE)</f>
        <v>0</v>
      </c>
      <c r="AZ66" s="718">
        <f>O66*VLOOKUP($B66,'Emissions factors'!$B$1221:$AG$1245,12,FALSE)</f>
        <v>0</v>
      </c>
      <c r="BA66" s="718">
        <f>O66*VLOOKUP($B66,'Emissions factors'!$B$1221:$AG$1245,13,FALSE)</f>
        <v>0</v>
      </c>
      <c r="BB66" s="718">
        <v>0</v>
      </c>
      <c r="BC66" s="718">
        <v>0</v>
      </c>
      <c r="BD66" s="718">
        <v>0</v>
      </c>
      <c r="BE66" s="719">
        <f t="shared" si="68"/>
        <v>0</v>
      </c>
      <c r="BF66" s="719">
        <f t="shared" si="68"/>
        <v>0</v>
      </c>
      <c r="BG66" s="720">
        <f t="shared" si="68"/>
        <v>0</v>
      </c>
      <c r="BH66" s="717">
        <f>O66*VLOOKUP($B66,'Emissions factors'!$B$1221:$AG$1245,29,FALSE)</f>
        <v>0</v>
      </c>
      <c r="BI66" s="718">
        <f>O66*VLOOKUP($B66,'Emissions factors'!$B$1221:$AG$1245,30,FALSE)</f>
        <v>0</v>
      </c>
      <c r="BJ66" s="721">
        <f>O66*VLOOKUP($B66,'Emissions factors'!$B$1221:$AG$1245,31,FALSE)</f>
        <v>0</v>
      </c>
    </row>
    <row r="67" spans="1:62" ht="12.75" customHeight="1" outlineLevel="1" x14ac:dyDescent="0.2">
      <c r="B67" s="200" t="s">
        <v>1290</v>
      </c>
      <c r="C67" s="201"/>
      <c r="D67" s="262">
        <f t="shared" si="53"/>
        <v>0</v>
      </c>
      <c r="E67" s="265">
        <f t="shared" si="54"/>
        <v>0</v>
      </c>
      <c r="F67" s="443"/>
      <c r="G67" s="493"/>
      <c r="H67" s="493"/>
      <c r="I67" s="493"/>
      <c r="J67" s="493"/>
      <c r="K67" s="493"/>
      <c r="L67" s="697"/>
      <c r="M67" s="697"/>
      <c r="N67" s="703" t="str">
        <f>IF(RIGHT(B67,12)="déménagement","m3.km :","tonnes.km :")</f>
        <v>tonnes.km :</v>
      </c>
      <c r="O67" s="188"/>
      <c r="P67" s="272">
        <f>VLOOKUP($B67,'Emissions factors'!$B$1221:$AG$1245,2,FALSE)</f>
        <v>6.6499999999999997E-3</v>
      </c>
      <c r="Q67" s="272">
        <f>VLOOKUP($B67,'Emissions factors'!$B$1221:$AG$1245,3,FALSE)</f>
        <v>1.1205999999999999E-2</v>
      </c>
      <c r="R67" s="272">
        <f>VLOOKUP($B67,'Emissions factors'!$B$1221:$AG$1245,4,FALSE)</f>
        <v>4.2961199999999998E-2</v>
      </c>
      <c r="S67" s="465">
        <f t="shared" si="40"/>
        <v>0</v>
      </c>
      <c r="T67" s="465">
        <f t="shared" si="41"/>
        <v>0</v>
      </c>
      <c r="U67" s="210">
        <f t="shared" si="42"/>
        <v>0</v>
      </c>
      <c r="V67" s="222">
        <f>IF(OR(F67='Info utili'!$G$532,F67='Info utili'!$G$537),U67,0)</f>
        <v>0</v>
      </c>
      <c r="W67" s="316"/>
      <c r="X67" s="282">
        <f>VLOOKUP($B67,'Emissions factors'!$B$1221:$AG$1245,32,FALSE)</f>
        <v>0.7</v>
      </c>
      <c r="Y67" s="189"/>
      <c r="Z67" s="221">
        <f t="shared" si="43"/>
        <v>0</v>
      </c>
      <c r="AA67" s="221">
        <f t="shared" si="44"/>
        <v>0</v>
      </c>
      <c r="AB67" s="221">
        <f t="shared" si="45"/>
        <v>0</v>
      </c>
      <c r="AC67" s="210">
        <f t="shared" si="46"/>
        <v>0</v>
      </c>
      <c r="AD67" s="222">
        <f t="shared" si="47"/>
        <v>0</v>
      </c>
      <c r="AE67" s="316"/>
      <c r="AF67" s="190"/>
      <c r="AG67" s="221">
        <f t="shared" si="28"/>
        <v>0</v>
      </c>
      <c r="AH67" s="221">
        <f t="shared" si="29"/>
        <v>0</v>
      </c>
      <c r="AI67" s="221">
        <f t="shared" si="30"/>
        <v>0</v>
      </c>
      <c r="AJ67" s="210">
        <f t="shared" si="51"/>
        <v>0</v>
      </c>
      <c r="AK67" s="221">
        <f t="shared" si="31"/>
        <v>0</v>
      </c>
      <c r="AL67" s="190"/>
      <c r="AM67" s="221">
        <f t="shared" si="32"/>
        <v>0</v>
      </c>
      <c r="AN67" s="221">
        <f t="shared" si="33"/>
        <v>0</v>
      </c>
      <c r="AO67" s="221">
        <f t="shared" si="34"/>
        <v>0</v>
      </c>
      <c r="AP67" s="210">
        <f t="shared" si="52"/>
        <v>0</v>
      </c>
      <c r="AQ67" s="222">
        <f t="shared" si="36"/>
        <v>0</v>
      </c>
      <c r="AS67" s="717">
        <f>O67*VLOOKUP($B67,'Emissions factors'!$B$1221:$AG$1245,5,FALSE)</f>
        <v>0</v>
      </c>
      <c r="AT67" s="718">
        <f>O67*VLOOKUP($B67,'Emissions factors'!$B$1221:$AG$1245,6,FALSE)</f>
        <v>0</v>
      </c>
      <c r="AU67" s="718">
        <f>O67*VLOOKUP($B67,'Emissions factors'!$B$1221:$AG$1245,7,FALSE)</f>
        <v>0</v>
      </c>
      <c r="AV67" s="718">
        <f>O67*VLOOKUP($B67,'Emissions factors'!$B$1221:$AG$1245,8,FALSE)</f>
        <v>0</v>
      </c>
      <c r="AW67" s="718">
        <f>O67*VLOOKUP($B67,'Emissions factors'!$B$1221:$AG$1245,9,FALSE)</f>
        <v>0</v>
      </c>
      <c r="AX67" s="718">
        <f>O67*VLOOKUP($B67,'Emissions factors'!$B$1221:$AG$1245,10,FALSE)</f>
        <v>0</v>
      </c>
      <c r="AY67" s="718">
        <f>O67*VLOOKUP($B67,'Emissions factors'!$B$1221:$AG$1245,11,FALSE)</f>
        <v>0</v>
      </c>
      <c r="AZ67" s="718">
        <f>O67*VLOOKUP($B67,'Emissions factors'!$B$1221:$AG$1245,12,FALSE)</f>
        <v>0</v>
      </c>
      <c r="BA67" s="718">
        <f>O67*VLOOKUP($B67,'Emissions factors'!$B$1221:$AG$1245,13,FALSE)</f>
        <v>0</v>
      </c>
      <c r="BB67" s="718">
        <v>0</v>
      </c>
      <c r="BC67" s="718">
        <v>0</v>
      </c>
      <c r="BD67" s="718">
        <v>0</v>
      </c>
      <c r="BE67" s="719">
        <f t="shared" si="68"/>
        <v>0</v>
      </c>
      <c r="BF67" s="719">
        <f t="shared" si="68"/>
        <v>0</v>
      </c>
      <c r="BG67" s="720">
        <f t="shared" si="68"/>
        <v>0</v>
      </c>
      <c r="BH67" s="717">
        <f>O67*VLOOKUP($B67,'Emissions factors'!$B$1221:$AG$1245,29,FALSE)</f>
        <v>0</v>
      </c>
      <c r="BI67" s="718">
        <f>O67*VLOOKUP($B67,'Emissions factors'!$B$1221:$AG$1245,30,FALSE)</f>
        <v>0</v>
      </c>
      <c r="BJ67" s="721">
        <f>O67*VLOOKUP($B67,'Emissions factors'!$B$1221:$AG$1245,31,FALSE)</f>
        <v>0</v>
      </c>
    </row>
    <row r="68" spans="1:62" ht="12.75" customHeight="1" outlineLevel="1" x14ac:dyDescent="0.2">
      <c r="B68" s="213"/>
      <c r="C68" s="214"/>
      <c r="D68" s="275"/>
      <c r="E68" s="268"/>
      <c r="F68" s="214"/>
      <c r="G68" s="214"/>
      <c r="H68" s="214"/>
      <c r="I68" s="214"/>
      <c r="J68" s="214"/>
      <c r="K68" s="214"/>
      <c r="L68" s="214"/>
      <c r="M68" s="214"/>
      <c r="N68" s="214"/>
      <c r="O68" s="214"/>
      <c r="P68" s="214"/>
      <c r="Q68" s="214"/>
      <c r="R68" s="214"/>
      <c r="S68" s="214"/>
      <c r="T68" s="214"/>
      <c r="U68" s="227"/>
      <c r="V68" s="466"/>
      <c r="W68" s="316"/>
      <c r="X68" s="200"/>
      <c r="Y68" s="201"/>
      <c r="Z68" s="201"/>
      <c r="AA68" s="201"/>
      <c r="AB68" s="221"/>
      <c r="AC68" s="221"/>
      <c r="AD68" s="222"/>
      <c r="AE68" s="316"/>
      <c r="AF68" s="200"/>
      <c r="AG68" s="362"/>
      <c r="AH68" s="362"/>
      <c r="AI68" s="362"/>
      <c r="AJ68" s="221"/>
      <c r="AK68" s="362"/>
      <c r="AL68" s="201"/>
      <c r="AM68" s="362"/>
      <c r="AN68" s="362"/>
      <c r="AO68" s="221"/>
      <c r="AP68" s="221"/>
      <c r="AQ68" s="203"/>
      <c r="AS68" s="717"/>
      <c r="AT68" s="718"/>
      <c r="AU68" s="718"/>
      <c r="AV68" s="718"/>
      <c r="AW68" s="718"/>
      <c r="AX68" s="718"/>
      <c r="AY68" s="718"/>
      <c r="AZ68" s="718"/>
      <c r="BA68" s="718"/>
      <c r="BB68" s="718"/>
      <c r="BC68" s="718"/>
      <c r="BD68" s="718"/>
      <c r="BE68" s="719"/>
      <c r="BF68" s="719"/>
      <c r="BG68" s="720"/>
      <c r="BH68" s="722"/>
      <c r="BI68" s="786"/>
      <c r="BJ68" s="723"/>
    </row>
    <row r="69" spans="1:62" ht="12.75" customHeight="1" outlineLevel="1" x14ac:dyDescent="0.2">
      <c r="B69" s="253" t="s">
        <v>2828</v>
      </c>
      <c r="C69" s="254"/>
      <c r="D69" s="264">
        <f>SUM(D47:D68)</f>
        <v>0</v>
      </c>
      <c r="E69" s="267">
        <f>SUM(E47:E68)</f>
        <v>0</v>
      </c>
      <c r="F69" s="254"/>
      <c r="G69" s="254"/>
      <c r="H69" s="254"/>
      <c r="I69" s="254"/>
      <c r="J69" s="254"/>
      <c r="K69" s="254"/>
      <c r="L69" s="254"/>
      <c r="M69" s="254"/>
      <c r="N69" s="254"/>
      <c r="O69" s="254"/>
      <c r="P69" s="254"/>
      <c r="Q69" s="254"/>
      <c r="R69" s="254"/>
      <c r="S69" s="259">
        <f>SUM(S47:S68)</f>
        <v>0</v>
      </c>
      <c r="T69" s="259">
        <f>SUM(T47:T68)</f>
        <v>0</v>
      </c>
      <c r="U69" s="259">
        <f>SUM(U47:U68)</f>
        <v>0</v>
      </c>
      <c r="V69" s="428">
        <f>SUM(V47:V68)</f>
        <v>0</v>
      </c>
      <c r="W69" s="316"/>
      <c r="X69" s="258"/>
      <c r="Y69" s="256"/>
      <c r="Z69" s="260">
        <f>SQRT(SUMSQ(Z47:Z68))</f>
        <v>0</v>
      </c>
      <c r="AA69" s="260">
        <f>SQRT(SUMSQ(AA47:AA68))</f>
        <v>0</v>
      </c>
      <c r="AB69" s="260">
        <f>SQRT(SUMSQ(AB47:AB68))</f>
        <v>0</v>
      </c>
      <c r="AC69" s="259">
        <f>SQRT(SUMSQ(AC47:AC68))</f>
        <v>0</v>
      </c>
      <c r="AD69" s="428">
        <f>SQRT(SUMSQ(AD47:AD68))</f>
        <v>0</v>
      </c>
      <c r="AE69" s="316"/>
      <c r="AF69" s="258"/>
      <c r="AG69" s="260">
        <f>SUM(AG47:AG68)</f>
        <v>0</v>
      </c>
      <c r="AH69" s="260">
        <f>SUM(AH47:AH68)</f>
        <v>0</v>
      </c>
      <c r="AI69" s="260">
        <f>SUM(AI47:AI68)</f>
        <v>0</v>
      </c>
      <c r="AJ69" s="259">
        <f>SUM(AJ47:AJ68)</f>
        <v>0</v>
      </c>
      <c r="AK69" s="260">
        <f>SUM(AK47:AK68)</f>
        <v>0</v>
      </c>
      <c r="AL69" s="256"/>
      <c r="AM69" s="260">
        <f>SUM(AM47:AM68)</f>
        <v>0</v>
      </c>
      <c r="AN69" s="260">
        <f>SUM(AN47:AN68)</f>
        <v>0</v>
      </c>
      <c r="AO69" s="260">
        <f>SUM(AO47:AO68)</f>
        <v>0</v>
      </c>
      <c r="AP69" s="259">
        <f>SUM(AP47:AP68)</f>
        <v>0</v>
      </c>
      <c r="AQ69" s="428">
        <f>SUM(AQ47:AQ68)</f>
        <v>0</v>
      </c>
      <c r="AS69" s="724">
        <f t="shared" ref="AS69:BJ69" si="69">SUM(AS47:AS68)</f>
        <v>0</v>
      </c>
      <c r="AT69" s="725">
        <f t="shared" si="69"/>
        <v>0</v>
      </c>
      <c r="AU69" s="725">
        <f t="shared" si="69"/>
        <v>0</v>
      </c>
      <c r="AV69" s="725">
        <f t="shared" si="69"/>
        <v>0</v>
      </c>
      <c r="AW69" s="725">
        <f t="shared" si="69"/>
        <v>0</v>
      </c>
      <c r="AX69" s="725">
        <f t="shared" si="69"/>
        <v>0</v>
      </c>
      <c r="AY69" s="725">
        <f t="shared" si="69"/>
        <v>0</v>
      </c>
      <c r="AZ69" s="725">
        <f t="shared" si="69"/>
        <v>0</v>
      </c>
      <c r="BA69" s="725">
        <f t="shared" si="69"/>
        <v>0</v>
      </c>
      <c r="BB69" s="725">
        <f t="shared" si="69"/>
        <v>0</v>
      </c>
      <c r="BC69" s="725">
        <f t="shared" si="69"/>
        <v>0</v>
      </c>
      <c r="BD69" s="725">
        <f t="shared" si="69"/>
        <v>0</v>
      </c>
      <c r="BE69" s="726">
        <f t="shared" si="69"/>
        <v>0</v>
      </c>
      <c r="BF69" s="726">
        <f t="shared" si="69"/>
        <v>0</v>
      </c>
      <c r="BG69" s="727">
        <f t="shared" si="69"/>
        <v>0</v>
      </c>
      <c r="BH69" s="724">
        <f t="shared" si="69"/>
        <v>0</v>
      </c>
      <c r="BI69" s="725">
        <f t="shared" si="69"/>
        <v>0</v>
      </c>
      <c r="BJ69" s="728">
        <f t="shared" si="69"/>
        <v>0</v>
      </c>
    </row>
    <row r="70" spans="1:62" ht="12.75" customHeight="1" outlineLevel="1" x14ac:dyDescent="0.2">
      <c r="D70" s="316"/>
      <c r="E70" s="316"/>
      <c r="F70" s="316"/>
      <c r="G70" s="316"/>
      <c r="H70" s="316"/>
      <c r="I70" s="316"/>
      <c r="J70" s="316"/>
      <c r="K70" s="42"/>
      <c r="BE70" s="1226"/>
      <c r="BF70" s="1226"/>
      <c r="BG70" s="1226"/>
    </row>
    <row r="71" spans="1:62" ht="12.75" customHeight="1" outlineLevel="1" x14ac:dyDescent="0.2">
      <c r="B71" s="195" t="s">
        <v>2862</v>
      </c>
      <c r="C71" s="196"/>
      <c r="D71" s="196"/>
      <c r="E71" s="196"/>
      <c r="F71" s="196"/>
      <c r="G71" s="198"/>
      <c r="H71" s="196"/>
      <c r="I71" s="196"/>
      <c r="J71" s="196"/>
      <c r="K71" s="198"/>
      <c r="L71" s="196"/>
      <c r="M71" s="196"/>
      <c r="N71" s="196"/>
      <c r="O71" s="198"/>
      <c r="P71" s="198"/>
      <c r="Q71" s="198"/>
      <c r="R71" s="199"/>
      <c r="X71" s="1746" t="s">
        <v>723</v>
      </c>
      <c r="Y71" s="1747"/>
      <c r="Z71" s="1747"/>
      <c r="AA71" s="1747"/>
      <c r="AB71" s="1747"/>
      <c r="AC71" s="1747"/>
      <c r="AD71" s="1748"/>
      <c r="AF71" s="1746" t="s">
        <v>2066</v>
      </c>
      <c r="AG71" s="1747"/>
      <c r="AH71" s="1747"/>
      <c r="AI71" s="1747"/>
      <c r="AJ71" s="1747"/>
      <c r="AK71" s="1747"/>
      <c r="AL71" s="1747"/>
      <c r="AM71" s="1747"/>
      <c r="AN71" s="1747"/>
      <c r="AO71" s="1747"/>
      <c r="AP71" s="1747"/>
      <c r="AQ71" s="1748"/>
      <c r="AS71" s="1755" t="s">
        <v>2073</v>
      </c>
      <c r="AT71" s="1756"/>
      <c r="AU71" s="1756"/>
      <c r="AV71" s="1756"/>
      <c r="AW71" s="1756"/>
      <c r="AX71" s="1756"/>
      <c r="AY71" s="1756"/>
      <c r="AZ71" s="1756"/>
      <c r="BA71" s="1756"/>
      <c r="BB71" s="1756"/>
      <c r="BC71" s="1756"/>
      <c r="BD71" s="1756"/>
      <c r="BE71" s="1756"/>
      <c r="BF71" s="1756"/>
      <c r="BG71" s="1756"/>
      <c r="BH71" s="1756"/>
      <c r="BI71" s="1756"/>
      <c r="BJ71" s="1757"/>
    </row>
    <row r="72" spans="1:62" ht="12.75" customHeight="1" outlineLevel="1" x14ac:dyDescent="0.2">
      <c r="B72" s="417"/>
      <c r="C72" s="225"/>
      <c r="D72" s="361"/>
      <c r="E72" s="361"/>
      <c r="F72" s="201"/>
      <c r="G72" s="201"/>
      <c r="H72" s="225"/>
      <c r="I72" s="225"/>
      <c r="J72" s="225"/>
      <c r="K72" s="201"/>
      <c r="L72" s="225"/>
      <c r="M72" s="225"/>
      <c r="N72" s="225"/>
      <c r="O72" s="201"/>
      <c r="P72" s="1745" t="s">
        <v>2646</v>
      </c>
      <c r="Q72" s="1745"/>
      <c r="R72" s="427" t="s">
        <v>2639</v>
      </c>
      <c r="X72" s="204"/>
      <c r="Y72" s="362"/>
      <c r="Z72" s="362"/>
      <c r="AA72" s="362"/>
      <c r="AB72" s="362"/>
      <c r="AC72" s="362"/>
      <c r="AD72" s="427" t="s">
        <v>2639</v>
      </c>
      <c r="AF72" s="216"/>
      <c r="AG72" s="361"/>
      <c r="AH72" s="361"/>
      <c r="AI72" s="361"/>
      <c r="AJ72" s="362"/>
      <c r="AK72" s="362" t="s">
        <v>2639</v>
      </c>
      <c r="AL72" s="217"/>
      <c r="AM72" s="361"/>
      <c r="AN72" s="361"/>
      <c r="AO72" s="361"/>
      <c r="AP72" s="362"/>
      <c r="AQ72" s="427" t="s">
        <v>2639</v>
      </c>
      <c r="AS72" s="1758" t="s">
        <v>61</v>
      </c>
      <c r="AT72" s="1759"/>
      <c r="AU72" s="1759"/>
      <c r="AV72" s="1759"/>
      <c r="AW72" s="1759"/>
      <c r="AX72" s="1759"/>
      <c r="AY72" s="1759"/>
      <c r="AZ72" s="1759"/>
      <c r="BA72" s="1759"/>
      <c r="BB72" s="1759"/>
      <c r="BC72" s="1759"/>
      <c r="BD72" s="1759"/>
      <c r="BE72" s="1759" t="s">
        <v>61</v>
      </c>
      <c r="BF72" s="1759"/>
      <c r="BG72" s="1760"/>
      <c r="BH72" s="730"/>
      <c r="BI72" s="785"/>
      <c r="BJ72" s="731"/>
    </row>
    <row r="73" spans="1:62" ht="12.75" customHeight="1" outlineLevel="1" x14ac:dyDescent="0.2">
      <c r="B73" s="200"/>
      <c r="C73" s="201"/>
      <c r="D73" s="362" t="s">
        <v>56</v>
      </c>
      <c r="E73" s="362" t="s">
        <v>56</v>
      </c>
      <c r="F73" s="205" t="s">
        <v>2634</v>
      </c>
      <c r="G73" s="205"/>
      <c r="H73" s="1744" t="s">
        <v>2538</v>
      </c>
      <c r="I73" s="1745"/>
      <c r="J73" s="1835"/>
      <c r="K73" s="205"/>
      <c r="L73" s="1744" t="s">
        <v>2539</v>
      </c>
      <c r="M73" s="1745"/>
      <c r="N73" s="1745"/>
      <c r="O73" s="699" t="s">
        <v>61</v>
      </c>
      <c r="P73" s="361" t="s">
        <v>61</v>
      </c>
      <c r="Q73" s="361" t="s">
        <v>61</v>
      </c>
      <c r="R73" s="427" t="s">
        <v>30</v>
      </c>
      <c r="X73" s="1626" t="s">
        <v>2605</v>
      </c>
      <c r="Y73" s="362" t="s">
        <v>2110</v>
      </c>
      <c r="Z73" s="362" t="s">
        <v>61</v>
      </c>
      <c r="AA73" s="362" t="s">
        <v>61</v>
      </c>
      <c r="AB73" s="362" t="s">
        <v>61</v>
      </c>
      <c r="AC73" s="361" t="s">
        <v>61</v>
      </c>
      <c r="AD73" s="427" t="s">
        <v>30</v>
      </c>
      <c r="AF73" s="204" t="s">
        <v>2065</v>
      </c>
      <c r="AG73" s="362" t="s">
        <v>61</v>
      </c>
      <c r="AH73" s="362" t="s">
        <v>61</v>
      </c>
      <c r="AI73" s="362" t="s">
        <v>61</v>
      </c>
      <c r="AJ73" s="361" t="s">
        <v>61</v>
      </c>
      <c r="AK73" s="362" t="s">
        <v>30</v>
      </c>
      <c r="AL73" s="362" t="s">
        <v>2558</v>
      </c>
      <c r="AM73" s="362" t="s">
        <v>61</v>
      </c>
      <c r="AN73" s="362" t="s">
        <v>61</v>
      </c>
      <c r="AO73" s="362" t="s">
        <v>61</v>
      </c>
      <c r="AP73" s="361" t="s">
        <v>61</v>
      </c>
      <c r="AQ73" s="427" t="s">
        <v>30</v>
      </c>
      <c r="AS73" s="1764" t="s">
        <v>14</v>
      </c>
      <c r="AT73" s="1761"/>
      <c r="AU73" s="1761"/>
      <c r="AV73" s="1761" t="s">
        <v>60</v>
      </c>
      <c r="AW73" s="1761"/>
      <c r="AX73" s="1761"/>
      <c r="AY73" s="1761" t="s">
        <v>27</v>
      </c>
      <c r="AZ73" s="1761"/>
      <c r="BA73" s="1761"/>
      <c r="BB73" s="1761" t="s">
        <v>2074</v>
      </c>
      <c r="BC73" s="1761"/>
      <c r="BD73" s="1761"/>
      <c r="BE73" s="1762" t="s">
        <v>41</v>
      </c>
      <c r="BF73" s="1762"/>
      <c r="BG73" s="1763"/>
      <c r="BH73" s="1764" t="s">
        <v>85</v>
      </c>
      <c r="BI73" s="1761"/>
      <c r="BJ73" s="1765"/>
    </row>
    <row r="74" spans="1:62" ht="12.75" customHeight="1" outlineLevel="1" x14ac:dyDescent="0.2">
      <c r="B74" s="200"/>
      <c r="C74" s="201"/>
      <c r="D74" s="362" t="s">
        <v>61</v>
      </c>
      <c r="E74" s="362" t="s">
        <v>63</v>
      </c>
      <c r="F74" s="208" t="s">
        <v>2054</v>
      </c>
      <c r="G74" s="208" t="s">
        <v>88</v>
      </c>
      <c r="H74" s="270" t="s">
        <v>1279</v>
      </c>
      <c r="I74" s="270" t="s">
        <v>768</v>
      </c>
      <c r="J74" s="270" t="str">
        <f>+K46</f>
        <v>combustione</v>
      </c>
      <c r="K74" s="208" t="s">
        <v>2776</v>
      </c>
      <c r="L74" s="701" t="str">
        <f>+P46</f>
        <v>manifattura</v>
      </c>
      <c r="M74" s="1655" t="str">
        <f t="shared" ref="M74:Q74" si="70">+Q46</f>
        <v>upstream</v>
      </c>
      <c r="N74" s="1655" t="str">
        <f t="shared" si="70"/>
        <v>combustione</v>
      </c>
      <c r="O74" s="1654" t="str">
        <f t="shared" si="70"/>
        <v>manifattura</v>
      </c>
      <c r="P74" s="1654" t="str">
        <f t="shared" si="70"/>
        <v>upstream</v>
      </c>
      <c r="Q74" s="1654" t="str">
        <f t="shared" si="70"/>
        <v>combustione</v>
      </c>
      <c r="R74" s="427" t="s">
        <v>61</v>
      </c>
      <c r="X74" s="1626" t="s">
        <v>2109</v>
      </c>
      <c r="Y74" s="362"/>
      <c r="Z74" s="270" t="s">
        <v>1279</v>
      </c>
      <c r="AA74" s="270" t="s">
        <v>768</v>
      </c>
      <c r="AB74" s="270" t="s">
        <v>24</v>
      </c>
      <c r="AC74" s="223" t="s">
        <v>41</v>
      </c>
      <c r="AD74" s="427" t="s">
        <v>61</v>
      </c>
      <c r="AF74" s="204"/>
      <c r="AG74" s="270" t="s">
        <v>1279</v>
      </c>
      <c r="AH74" s="270" t="s">
        <v>768</v>
      </c>
      <c r="AI74" s="270" t="s">
        <v>24</v>
      </c>
      <c r="AJ74" s="223" t="s">
        <v>41</v>
      </c>
      <c r="AK74" s="362" t="s">
        <v>61</v>
      </c>
      <c r="AL74" s="362"/>
      <c r="AM74" s="270" t="s">
        <v>1279</v>
      </c>
      <c r="AN74" s="270" t="s">
        <v>768</v>
      </c>
      <c r="AO74" s="270" t="s">
        <v>24</v>
      </c>
      <c r="AP74" s="223" t="s">
        <v>41</v>
      </c>
      <c r="AQ74" s="427" t="s">
        <v>61</v>
      </c>
      <c r="AS74" s="732" t="s">
        <v>1279</v>
      </c>
      <c r="AT74" s="733" t="s">
        <v>768</v>
      </c>
      <c r="AU74" s="733" t="s">
        <v>24</v>
      </c>
      <c r="AV74" s="733" t="s">
        <v>1279</v>
      </c>
      <c r="AW74" s="733" t="s">
        <v>768</v>
      </c>
      <c r="AX74" s="733" t="s">
        <v>24</v>
      </c>
      <c r="AY74" s="733" t="s">
        <v>1279</v>
      </c>
      <c r="AZ74" s="733" t="s">
        <v>768</v>
      </c>
      <c r="BA74" s="733" t="s">
        <v>24</v>
      </c>
      <c r="BB74" s="733" t="s">
        <v>1279</v>
      </c>
      <c r="BC74" s="733" t="s">
        <v>768</v>
      </c>
      <c r="BD74" s="733" t="s">
        <v>24</v>
      </c>
      <c r="BE74" s="734" t="s">
        <v>1279</v>
      </c>
      <c r="BF74" s="734" t="s">
        <v>768</v>
      </c>
      <c r="BG74" s="735" t="s">
        <v>24</v>
      </c>
      <c r="BH74" s="732" t="s">
        <v>1279</v>
      </c>
      <c r="BI74" s="733" t="s">
        <v>768</v>
      </c>
      <c r="BJ74" s="736" t="s">
        <v>24</v>
      </c>
    </row>
    <row r="75" spans="1:62" ht="12.75" customHeight="1" outlineLevel="1" x14ac:dyDescent="0.2">
      <c r="B75" s="467" t="s">
        <v>1463</v>
      </c>
      <c r="C75" s="468"/>
      <c r="D75" s="262">
        <f>SUM(O75:Q75)</f>
        <v>0</v>
      </c>
      <c r="E75" s="265">
        <f>D75*12/44</f>
        <v>0</v>
      </c>
      <c r="F75" s="559"/>
      <c r="G75" s="182"/>
      <c r="H75" s="493">
        <f>VLOOKUP($B75,'Emissions factors'!$B$1566:$AG$1580,2,FALSE)</f>
        <v>3.6700000000000003E-2</v>
      </c>
      <c r="I75" s="493">
        <f>VLOOKUP($B75,'Emissions factors'!$B$1566:$AG$1580,3,FALSE)</f>
        <v>3.1981000000000002E-2</v>
      </c>
      <c r="J75" s="493">
        <f>VLOOKUP($B75,'Emissions factors'!$B$1566:$AG$1580,4,FALSE)</f>
        <v>0.13542399999999999</v>
      </c>
      <c r="K75" s="182"/>
      <c r="L75" s="493">
        <f>VLOOKUP($B75,'Emissions factors'!$B$1566:$AG$1580,17,FALSE)</f>
        <v>7.3499999999999996E-2</v>
      </c>
      <c r="M75" s="493">
        <f>VLOOKUP($B75,'Emissions factors'!$B$1566:$AG$1580,18,FALSE)</f>
        <v>6.4049999999999996E-2</v>
      </c>
      <c r="N75" s="493">
        <f>VLOOKUP($B75,'Emissions factors'!$B$1566:$AG$1580,19,FALSE)</f>
        <v>0.27084799999999998</v>
      </c>
      <c r="O75" s="465">
        <f>H75*G75+K75*L75</f>
        <v>0</v>
      </c>
      <c r="P75" s="465">
        <f>I75*G75+K75*M75</f>
        <v>0</v>
      </c>
      <c r="Q75" s="210">
        <f>G75*J75+K75*N75</f>
        <v>0</v>
      </c>
      <c r="R75" s="222">
        <f>IF(OR(F75='Info utili'!$G$532,F75='Info utili'!$G$537),Q75,0)</f>
        <v>0</v>
      </c>
      <c r="X75" s="282">
        <f>VLOOKUP($B75,'Emissions factors'!$B$1566:$AG$1580,32,FALSE)</f>
        <v>0.6</v>
      </c>
      <c r="Y75" s="184"/>
      <c r="Z75" s="221">
        <f>O75*SQRT(X75^2+Y75^2)</f>
        <v>0</v>
      </c>
      <c r="AA75" s="221">
        <f>P75*SQRT(X75^2+Y75^2)</f>
        <v>0</v>
      </c>
      <c r="AB75" s="221">
        <f>Q75*SQRT(X75^2+Y75^2)</f>
        <v>0</v>
      </c>
      <c r="AC75" s="210">
        <f>SQRT(SUMSQ(Z75:AB75))</f>
        <v>0</v>
      </c>
      <c r="AD75" s="222">
        <f>R75*SQRT(X75^2+Y75^2)</f>
        <v>0</v>
      </c>
      <c r="AF75" s="184"/>
      <c r="AG75" s="221">
        <f t="shared" ref="AG75:AI77" si="71">O75*$AF75</f>
        <v>0</v>
      </c>
      <c r="AH75" s="221">
        <f t="shared" si="71"/>
        <v>0</v>
      </c>
      <c r="AI75" s="221">
        <f t="shared" si="71"/>
        <v>0</v>
      </c>
      <c r="AJ75" s="210">
        <f>SUM(AG75:AI75)</f>
        <v>0</v>
      </c>
      <c r="AK75" s="221">
        <f>R75*$AF75</f>
        <v>0</v>
      </c>
      <c r="AL75" s="184"/>
      <c r="AM75" s="221">
        <f>AL75*O75</f>
        <v>0</v>
      </c>
      <c r="AN75" s="221">
        <f>AL75*P75</f>
        <v>0</v>
      </c>
      <c r="AO75" s="221">
        <f>AL75*Q75</f>
        <v>0</v>
      </c>
      <c r="AP75" s="210">
        <f>SUM(AM75:AO75)</f>
        <v>0</v>
      </c>
      <c r="AQ75" s="222">
        <f>AL75*R75</f>
        <v>0</v>
      </c>
      <c r="AS75" s="717">
        <f>G75*VLOOKUP($B75,'Emissions factors'!$B$1566:$AG$1580,5,FALSE)+K75*VLOOKUP($B75,'Emissions factors'!$B$1566:$AG$1580,20,FALSE)</f>
        <v>0</v>
      </c>
      <c r="AT75" s="718">
        <f>G75*VLOOKUP($B75,'Emissions factors'!$B$1566:$AG$1580,6,FALSE)+K75*VLOOKUP($B75,'Emissions factors'!$B$1566:$AG$1580,21,FALSE)</f>
        <v>0</v>
      </c>
      <c r="AU75" s="718">
        <f>G75*VLOOKUP($B75,'Emissions factors'!$B$1566:$AG$1580,7,FALSE)+K75*VLOOKUP($B75,'Emissions factors'!$B$1566:$AG$1580,22,FALSE)</f>
        <v>0</v>
      </c>
      <c r="AV75" s="718">
        <f>G75*VLOOKUP($B75,'Emissions factors'!$B$1566:$AG$1580,8,FALSE)+K75*VLOOKUP($B75,'Emissions factors'!$B$1566:$AG$1580,23,FALSE)</f>
        <v>0</v>
      </c>
      <c r="AW75" s="718">
        <f>G75*VLOOKUP($B75,'Emissions factors'!$B$1566:$AG$1580,9,FALSE)+K75*VLOOKUP($B75,'Emissions factors'!$B$1566:$AG$1580,24,FALSE)</f>
        <v>0</v>
      </c>
      <c r="AX75" s="718">
        <f>G75*VLOOKUP($B75,'Emissions factors'!$B$1566:$AG$1580,10,FALSE)+K75*VLOOKUP($B75,'Emissions factors'!$B$1566:$AG$1580,25,FALSE)</f>
        <v>0</v>
      </c>
      <c r="AY75" s="718">
        <f>G75*VLOOKUP($B75,'Emissions factors'!$B$1566:$AG$1580,11,FALSE)+K75*VLOOKUP($B75,'Emissions factors'!$B$1566:$AG$1580,26,FALSE)</f>
        <v>0</v>
      </c>
      <c r="AZ75" s="718">
        <f>G75*VLOOKUP($B75,'Emissions factors'!$B$1566:$AG$1580,12,FALSE)+K75*VLOOKUP($B75,'Emissions factors'!$B$1566:$AG$1580,27,FALSE)</f>
        <v>0</v>
      </c>
      <c r="BA75" s="718">
        <f>G75*VLOOKUP($B75,'Emissions factors'!$B$1566:$AG$1580,13,FALSE)+K75*VLOOKUP($B75,'Emissions factors'!$B$1566:$AG$1580,28,FALSE)</f>
        <v>0</v>
      </c>
      <c r="BB75" s="718">
        <v>0</v>
      </c>
      <c r="BC75" s="718">
        <v>0</v>
      </c>
      <c r="BD75" s="718">
        <v>0</v>
      </c>
      <c r="BE75" s="719">
        <f t="shared" ref="BE75:BG77" si="72">O75</f>
        <v>0</v>
      </c>
      <c r="BF75" s="719">
        <f t="shared" si="72"/>
        <v>0</v>
      </c>
      <c r="BG75" s="720">
        <f t="shared" si="72"/>
        <v>0</v>
      </c>
      <c r="BH75" s="717">
        <f>G75*VLOOKUP($B75,'Emissions factors'!$B$1566:$AG$1580,14,FALSE)+K75*VLOOKUP($B75,'Emissions factors'!$B$1566:$AG$1580,29,FALSE)</f>
        <v>0</v>
      </c>
      <c r="BI75" s="718">
        <f>G75*VLOOKUP($B75,'Emissions factors'!$B$1566:$AG$1580,15,FALSE)+K75*VLOOKUP($B75,'Emissions factors'!$B$1566:$AG$1580,30,FALSE)</f>
        <v>0</v>
      </c>
      <c r="BJ75" s="721">
        <f>G75*VLOOKUP($B75,'Emissions factors'!$B$1566:$AG$1580,16,FALSE)+K75*VLOOKUP($B75,'Emissions factors'!$B$1566:$AG$1580,31,FALSE)</f>
        <v>0</v>
      </c>
    </row>
    <row r="76" spans="1:62" ht="12.75" customHeight="1" outlineLevel="1" x14ac:dyDescent="0.2">
      <c r="B76" s="467" t="s">
        <v>1464</v>
      </c>
      <c r="C76" s="468"/>
      <c r="D76" s="262">
        <f>SUM(O76:Q76)</f>
        <v>0</v>
      </c>
      <c r="E76" s="265">
        <f>D76*12/44</f>
        <v>0</v>
      </c>
      <c r="F76" s="442"/>
      <c r="G76" s="185"/>
      <c r="H76" s="493">
        <f>VLOOKUP($B76,'Emissions factors'!$B$1566:$AG$1580,2,FALSE)</f>
        <v>3.6700000000000003E-2</v>
      </c>
      <c r="I76" s="493">
        <f>VLOOKUP($B76,'Emissions factors'!$B$1566:$AG$1580,3,FALSE)</f>
        <v>3.841E-2</v>
      </c>
      <c r="J76" s="493">
        <f>VLOOKUP($B76,'Emissions factors'!$B$1566:$AG$1580,4,FALSE)</f>
        <v>0.16270899999999999</v>
      </c>
      <c r="K76" s="185"/>
      <c r="L76" s="493">
        <f>VLOOKUP($B76,'Emissions factors'!$B$1566:$AG$1580,17,FALSE)</f>
        <v>7.3499999999999996E-2</v>
      </c>
      <c r="M76" s="493">
        <f>VLOOKUP($B76,'Emissions factors'!$B$1566:$AG$1580,18,FALSE)</f>
        <v>7.6830000000000009E-2</v>
      </c>
      <c r="N76" s="493">
        <f>VLOOKUP($B76,'Emissions factors'!$B$1566:$AG$1580,19,FALSE)</f>
        <v>0.32541799999999999</v>
      </c>
      <c r="O76" s="465">
        <f>H76*G76+K76*L76</f>
        <v>0</v>
      </c>
      <c r="P76" s="465">
        <f>I76*G76+K76*M76</f>
        <v>0</v>
      </c>
      <c r="Q76" s="210">
        <f>G76*J76+K76*N76</f>
        <v>0</v>
      </c>
      <c r="R76" s="222">
        <f>IF(OR(F76='Info utili'!$G$532,F76='Info utili'!$G$537),Q76,0)</f>
        <v>0</v>
      </c>
      <c r="X76" s="282">
        <f>VLOOKUP($B76,'Emissions factors'!$B$1566:$AG$1580,32,FALSE)</f>
        <v>0.6</v>
      </c>
      <c r="Y76" s="187"/>
      <c r="Z76" s="221">
        <f>O76*SQRT(X76^2+Y76^2)</f>
        <v>0</v>
      </c>
      <c r="AA76" s="221">
        <f>P76*SQRT(X76^2+Y76^2)</f>
        <v>0</v>
      </c>
      <c r="AB76" s="221">
        <f>Q76*SQRT(X76^2+Y76^2)</f>
        <v>0</v>
      </c>
      <c r="AC76" s="210">
        <f>SQRT(SUMSQ(Z76:AB76))</f>
        <v>0</v>
      </c>
      <c r="AD76" s="222">
        <f>R76*SQRT(X76^2+Y76^2)</f>
        <v>0</v>
      </c>
      <c r="AF76" s="187"/>
      <c r="AG76" s="221">
        <f t="shared" si="71"/>
        <v>0</v>
      </c>
      <c r="AH76" s="221">
        <f t="shared" si="71"/>
        <v>0</v>
      </c>
      <c r="AI76" s="221">
        <f t="shared" si="71"/>
        <v>0</v>
      </c>
      <c r="AJ76" s="210">
        <f>SUM(AG76:AI76)</f>
        <v>0</v>
      </c>
      <c r="AK76" s="221">
        <f>R76*$AF76</f>
        <v>0</v>
      </c>
      <c r="AL76" s="187"/>
      <c r="AM76" s="221">
        <f>AL76*O76</f>
        <v>0</v>
      </c>
      <c r="AN76" s="221">
        <f>AL76*P76</f>
        <v>0</v>
      </c>
      <c r="AO76" s="221">
        <f>AL76*Q76</f>
        <v>0</v>
      </c>
      <c r="AP76" s="210">
        <f>SUM(AM76:AO76)</f>
        <v>0</v>
      </c>
      <c r="AQ76" s="222">
        <f>AL76*R76</f>
        <v>0</v>
      </c>
      <c r="AS76" s="717">
        <f>G76*VLOOKUP($B76,'Emissions factors'!$B$1566:$AG$1580,5,FALSE)+K76*VLOOKUP($B76,'Emissions factors'!$B$1566:$AG$1580,20,FALSE)</f>
        <v>0</v>
      </c>
      <c r="AT76" s="718">
        <f>G76*VLOOKUP($B76,'Emissions factors'!$B$1566:$AG$1580,6,FALSE)+K76*VLOOKUP($B76,'Emissions factors'!$B$1566:$AG$1580,21,FALSE)</f>
        <v>0</v>
      </c>
      <c r="AU76" s="718">
        <f>G76*VLOOKUP($B76,'Emissions factors'!$B$1566:$AG$1580,7,FALSE)+K76*VLOOKUP($B76,'Emissions factors'!$B$1566:$AG$1580,22,FALSE)</f>
        <v>0</v>
      </c>
      <c r="AV76" s="718">
        <f>G76*VLOOKUP($B76,'Emissions factors'!$B$1566:$AG$1580,8,FALSE)+K76*VLOOKUP($B76,'Emissions factors'!$B$1566:$AG$1580,23,FALSE)</f>
        <v>0</v>
      </c>
      <c r="AW76" s="718">
        <f>G76*VLOOKUP($B76,'Emissions factors'!$B$1566:$AG$1580,9,FALSE)+K76*VLOOKUP($B76,'Emissions factors'!$B$1566:$AG$1580,24,FALSE)</f>
        <v>0</v>
      </c>
      <c r="AX76" s="718">
        <f>G76*VLOOKUP($B76,'Emissions factors'!$B$1566:$AG$1580,10,FALSE)+K76*VLOOKUP($B76,'Emissions factors'!$B$1566:$AG$1580,25,FALSE)</f>
        <v>0</v>
      </c>
      <c r="AY76" s="718">
        <f>G76*VLOOKUP($B76,'Emissions factors'!$B$1566:$AG$1580,11,FALSE)+K76*VLOOKUP($B76,'Emissions factors'!$B$1566:$AG$1580,26,FALSE)</f>
        <v>0</v>
      </c>
      <c r="AZ76" s="718">
        <f>G76*VLOOKUP($B76,'Emissions factors'!$B$1566:$AG$1580,12,FALSE)+K76*VLOOKUP($B76,'Emissions factors'!$B$1566:$AG$1580,27,FALSE)</f>
        <v>0</v>
      </c>
      <c r="BA76" s="718">
        <f>G76*VLOOKUP($B76,'Emissions factors'!$B$1566:$AG$1580,13,FALSE)+K76*VLOOKUP($B76,'Emissions factors'!$B$1566:$AG$1580,28,FALSE)</f>
        <v>0</v>
      </c>
      <c r="BB76" s="718">
        <v>0</v>
      </c>
      <c r="BC76" s="718">
        <v>0</v>
      </c>
      <c r="BD76" s="718">
        <v>0</v>
      </c>
      <c r="BE76" s="719">
        <f t="shared" si="72"/>
        <v>0</v>
      </c>
      <c r="BF76" s="719">
        <f t="shared" si="72"/>
        <v>0</v>
      </c>
      <c r="BG76" s="720">
        <f t="shared" si="72"/>
        <v>0</v>
      </c>
      <c r="BH76" s="717">
        <f>G76*VLOOKUP($B76,'Emissions factors'!$B$1566:$AG$1580,14,FALSE)+K76*VLOOKUP($B76,'Emissions factors'!$B$1566:$AG$1580,29,FALSE)</f>
        <v>0</v>
      </c>
      <c r="BI76" s="718">
        <f>G76*VLOOKUP($B76,'Emissions factors'!$B$1566:$AG$1580,15,FALSE)+K76*VLOOKUP($B76,'Emissions factors'!$B$1566:$AG$1580,30,FALSE)</f>
        <v>0</v>
      </c>
      <c r="BJ76" s="721">
        <f>G76*VLOOKUP($B76,'Emissions factors'!$B$1566:$AG$1580,16,FALSE)+K76*VLOOKUP($B76,'Emissions factors'!$B$1566:$AG$1580,31,FALSE)</f>
        <v>0</v>
      </c>
    </row>
    <row r="77" spans="1:62" ht="12.75" customHeight="1" outlineLevel="1" x14ac:dyDescent="0.2">
      <c r="B77" s="467" t="s">
        <v>1464</v>
      </c>
      <c r="C77" s="468"/>
      <c r="D77" s="262">
        <f>SUM(O77:Q77)</f>
        <v>0</v>
      </c>
      <c r="E77" s="265">
        <f>D77*12/44</f>
        <v>0</v>
      </c>
      <c r="F77" s="443"/>
      <c r="G77" s="188"/>
      <c r="H77" s="493">
        <f>VLOOKUP($B77,'Emissions factors'!$B$1566:$AG$1580,2,FALSE)</f>
        <v>3.6700000000000003E-2</v>
      </c>
      <c r="I77" s="493">
        <f>VLOOKUP($B77,'Emissions factors'!$B$1566:$AG$1580,3,FALSE)</f>
        <v>3.841E-2</v>
      </c>
      <c r="J77" s="493">
        <f>VLOOKUP($B77,'Emissions factors'!$B$1566:$AG$1580,4,FALSE)</f>
        <v>0.16270899999999999</v>
      </c>
      <c r="K77" s="188"/>
      <c r="L77" s="493">
        <f>VLOOKUP($B77,'Emissions factors'!$B$1566:$AG$1580,17,FALSE)</f>
        <v>7.3499999999999996E-2</v>
      </c>
      <c r="M77" s="493">
        <f>VLOOKUP($B77,'Emissions factors'!$B$1566:$AG$1580,18,FALSE)</f>
        <v>7.6830000000000009E-2</v>
      </c>
      <c r="N77" s="493">
        <f>VLOOKUP($B77,'Emissions factors'!$B$1566:$AG$1580,19,FALSE)</f>
        <v>0.32541799999999999</v>
      </c>
      <c r="O77" s="465">
        <f>H77*G77+K77*L77</f>
        <v>0</v>
      </c>
      <c r="P77" s="465">
        <f>I77*G77+K77*M77</f>
        <v>0</v>
      </c>
      <c r="Q77" s="210">
        <f>G77*J77+K77*N77</f>
        <v>0</v>
      </c>
      <c r="R77" s="222">
        <f>IF(OR(F77='Info utili'!$G$532,F77='Info utili'!$G$537),Q77,0)</f>
        <v>0</v>
      </c>
      <c r="X77" s="282">
        <f>VLOOKUP($B77,'Emissions factors'!$B$1566:$AG$1580,32,FALSE)</f>
        <v>0.6</v>
      </c>
      <c r="Y77" s="190"/>
      <c r="Z77" s="221">
        <f>O77*SQRT(X77^2+Y77^2)</f>
        <v>0</v>
      </c>
      <c r="AA77" s="221">
        <f>P77*SQRT(X77^2+Y77^2)</f>
        <v>0</v>
      </c>
      <c r="AB77" s="221">
        <f>Q77*SQRT(X77^2+Y77^2)</f>
        <v>0</v>
      </c>
      <c r="AC77" s="210">
        <f>SQRT(SUMSQ(Z77:AB77))</f>
        <v>0</v>
      </c>
      <c r="AD77" s="222">
        <f>R77*SQRT(X77^2+Y77^2)</f>
        <v>0</v>
      </c>
      <c r="AF77" s="190"/>
      <c r="AG77" s="221">
        <f t="shared" si="71"/>
        <v>0</v>
      </c>
      <c r="AH77" s="221">
        <f t="shared" si="71"/>
        <v>0</v>
      </c>
      <c r="AI77" s="221">
        <f t="shared" si="71"/>
        <v>0</v>
      </c>
      <c r="AJ77" s="210">
        <f>SUM(AG77:AI77)</f>
        <v>0</v>
      </c>
      <c r="AK77" s="221">
        <f>R77*$AF77</f>
        <v>0</v>
      </c>
      <c r="AL77" s="190"/>
      <c r="AM77" s="221">
        <f>AL77*O77</f>
        <v>0</v>
      </c>
      <c r="AN77" s="221">
        <f>AL77*P77</f>
        <v>0</v>
      </c>
      <c r="AO77" s="221">
        <f>AL77*Q77</f>
        <v>0</v>
      </c>
      <c r="AP77" s="210">
        <f>SUM(AM77:AO77)</f>
        <v>0</v>
      </c>
      <c r="AQ77" s="222">
        <f>AL77*R77</f>
        <v>0</v>
      </c>
      <c r="AS77" s="717">
        <f>G77*VLOOKUP($B77,'Emissions factors'!$B$1566:$AG$1580,5,FALSE)+K77*VLOOKUP($B77,'Emissions factors'!$B$1566:$AG$1580,20,FALSE)</f>
        <v>0</v>
      </c>
      <c r="AT77" s="718">
        <f>G77*VLOOKUP($B77,'Emissions factors'!$B$1566:$AG$1580,6,FALSE)+K77*VLOOKUP($B77,'Emissions factors'!$B$1566:$AG$1580,21,FALSE)</f>
        <v>0</v>
      </c>
      <c r="AU77" s="718">
        <f>G77*VLOOKUP($B77,'Emissions factors'!$B$1566:$AG$1580,7,FALSE)+K77*VLOOKUP($B77,'Emissions factors'!$B$1566:$AG$1580,22,FALSE)</f>
        <v>0</v>
      </c>
      <c r="AV77" s="718">
        <f>G77*VLOOKUP($B77,'Emissions factors'!$B$1566:$AG$1580,8,FALSE)+K77*VLOOKUP($B77,'Emissions factors'!$B$1566:$AG$1580,23,FALSE)</f>
        <v>0</v>
      </c>
      <c r="AW77" s="718">
        <f>G77*VLOOKUP($B77,'Emissions factors'!$B$1566:$AG$1580,9,FALSE)+K77*VLOOKUP($B77,'Emissions factors'!$B$1566:$AG$1580,24,FALSE)</f>
        <v>0</v>
      </c>
      <c r="AX77" s="718">
        <f>G77*VLOOKUP($B77,'Emissions factors'!$B$1566:$AG$1580,10,FALSE)+K77*VLOOKUP($B77,'Emissions factors'!$B$1566:$AG$1580,25,FALSE)</f>
        <v>0</v>
      </c>
      <c r="AY77" s="718">
        <f>G77*VLOOKUP($B77,'Emissions factors'!$B$1566:$AG$1580,11,FALSE)+K77*VLOOKUP($B77,'Emissions factors'!$B$1566:$AG$1580,26,FALSE)</f>
        <v>0</v>
      </c>
      <c r="AZ77" s="718">
        <f>G77*VLOOKUP($B77,'Emissions factors'!$B$1566:$AG$1580,12,FALSE)+K77*VLOOKUP($B77,'Emissions factors'!$B$1566:$AG$1580,27,FALSE)</f>
        <v>0</v>
      </c>
      <c r="BA77" s="718">
        <f>G77*VLOOKUP($B77,'Emissions factors'!$B$1566:$AG$1580,13,FALSE)+K77*VLOOKUP($B77,'Emissions factors'!$B$1566:$AG$1580,28,FALSE)</f>
        <v>0</v>
      </c>
      <c r="BB77" s="718">
        <v>0</v>
      </c>
      <c r="BC77" s="718">
        <v>0</v>
      </c>
      <c r="BD77" s="718">
        <v>0</v>
      </c>
      <c r="BE77" s="719">
        <f t="shared" si="72"/>
        <v>0</v>
      </c>
      <c r="BF77" s="719">
        <f t="shared" si="72"/>
        <v>0</v>
      </c>
      <c r="BG77" s="720">
        <f t="shared" si="72"/>
        <v>0</v>
      </c>
      <c r="BH77" s="717">
        <f>G77*VLOOKUP($B77,'Emissions factors'!$B$1566:$AG$1580,14,FALSE)+K77*VLOOKUP($B77,'Emissions factors'!$B$1566:$AG$1580,29,FALSE)</f>
        <v>0</v>
      </c>
      <c r="BI77" s="718">
        <f>G77*VLOOKUP($B77,'Emissions factors'!$B$1566:$AG$1580,15,FALSE)+K77*VLOOKUP($B77,'Emissions factors'!$B$1566:$AG$1580,30,FALSE)</f>
        <v>0</v>
      </c>
      <c r="BJ77" s="721">
        <f>G77*VLOOKUP($B77,'Emissions factors'!$B$1566:$AG$1580,16,FALSE)+K77*VLOOKUP($B77,'Emissions factors'!$B$1566:$AG$1580,31,FALSE)</f>
        <v>0</v>
      </c>
    </row>
    <row r="78" spans="1:62" s="191" customFormat="1" ht="15" customHeight="1" outlineLevel="1" x14ac:dyDescent="0.2">
      <c r="A78" s="40"/>
      <c r="B78" s="200"/>
      <c r="C78" s="201"/>
      <c r="D78" s="263"/>
      <c r="E78" s="266"/>
      <c r="F78" s="201"/>
      <c r="G78" s="201"/>
      <c r="H78" s="201"/>
      <c r="I78" s="201"/>
      <c r="J78" s="201"/>
      <c r="K78" s="201"/>
      <c r="L78" s="201"/>
      <c r="M78" s="201"/>
      <c r="N78" s="201"/>
      <c r="O78" s="201"/>
      <c r="P78" s="201"/>
      <c r="Q78" s="221"/>
      <c r="R78" s="466"/>
      <c r="W78" s="40"/>
      <c r="X78" s="200"/>
      <c r="Y78" s="221"/>
      <c r="Z78" s="221"/>
      <c r="AA78" s="221"/>
      <c r="AB78" s="221"/>
      <c r="AC78" s="214"/>
      <c r="AD78" s="222"/>
      <c r="AE78" s="40"/>
      <c r="AF78" s="480"/>
      <c r="AG78" s="221"/>
      <c r="AH78" s="221"/>
      <c r="AI78" s="221"/>
      <c r="AJ78" s="413"/>
      <c r="AK78" s="221"/>
      <c r="AL78" s="221"/>
      <c r="AM78" s="221"/>
      <c r="AN78" s="221"/>
      <c r="AO78" s="221">
        <f>AL78*Q78</f>
        <v>0</v>
      </c>
      <c r="AP78" s="413"/>
      <c r="AQ78" s="222">
        <f>AL78*R78</f>
        <v>0</v>
      </c>
      <c r="AR78" s="40"/>
      <c r="AS78" s="717"/>
      <c r="AT78" s="718"/>
      <c r="AU78" s="718"/>
      <c r="AV78" s="718"/>
      <c r="AW78" s="718"/>
      <c r="AX78" s="718"/>
      <c r="AY78" s="718"/>
      <c r="AZ78" s="718"/>
      <c r="BA78" s="718"/>
      <c r="BB78" s="718"/>
      <c r="BC78" s="718"/>
      <c r="BD78" s="718"/>
      <c r="BE78" s="719"/>
      <c r="BF78" s="719"/>
      <c r="BG78" s="720"/>
      <c r="BH78" s="722"/>
      <c r="BI78" s="786"/>
      <c r="BJ78" s="723"/>
    </row>
    <row r="79" spans="1:62" ht="12.75" customHeight="1" outlineLevel="1" x14ac:dyDescent="0.2">
      <c r="B79" s="253" t="s">
        <v>2828</v>
      </c>
      <c r="C79" s="254"/>
      <c r="D79" s="264">
        <f>SUM(D75:D78)</f>
        <v>0</v>
      </c>
      <c r="E79" s="267">
        <f>SUM(E75:E78)</f>
        <v>0</v>
      </c>
      <c r="F79" s="254"/>
      <c r="G79" s="254"/>
      <c r="H79" s="254"/>
      <c r="I79" s="254"/>
      <c r="J79" s="254"/>
      <c r="K79" s="254"/>
      <c r="L79" s="254"/>
      <c r="M79" s="254"/>
      <c r="N79" s="254"/>
      <c r="O79" s="259">
        <f>SUM(O75:O78)</f>
        <v>0</v>
      </c>
      <c r="P79" s="259">
        <f>SUM(P75:P78)</f>
        <v>0</v>
      </c>
      <c r="Q79" s="259">
        <f>SUM(Q75:Q78)</f>
        <v>0</v>
      </c>
      <c r="R79" s="428">
        <f>SUM(R75:R78)</f>
        <v>0</v>
      </c>
      <c r="X79" s="258"/>
      <c r="Y79" s="260"/>
      <c r="Z79" s="260">
        <f>SQRT(SUMSQ(Z75:Z78))</f>
        <v>0</v>
      </c>
      <c r="AA79" s="260">
        <f>SQRT(SUMSQ(AA75:AA78))</f>
        <v>0</v>
      </c>
      <c r="AB79" s="260">
        <f>SQRT(SUMSQ(AB75:AB78))</f>
        <v>0</v>
      </c>
      <c r="AC79" s="259">
        <f>SQRT(SUMSQ(AC75:AC78))</f>
        <v>0</v>
      </c>
      <c r="AD79" s="428">
        <f>SQRT(SUMSQ(AD75:AD78))</f>
        <v>0</v>
      </c>
      <c r="AF79" s="489"/>
      <c r="AG79" s="260">
        <f>SUM(AG75:AG78)</f>
        <v>0</v>
      </c>
      <c r="AH79" s="260">
        <f>SUM(AH75:AH78)</f>
        <v>0</v>
      </c>
      <c r="AI79" s="260">
        <f>SUM(AI75:AI78)</f>
        <v>0</v>
      </c>
      <c r="AJ79" s="259">
        <f>SUM(AJ75:AJ78)</f>
        <v>0</v>
      </c>
      <c r="AK79" s="260">
        <f>SUM(AK75:AK78)</f>
        <v>0</v>
      </c>
      <c r="AL79" s="259"/>
      <c r="AM79" s="260">
        <f>SUM(AM75:AM78)</f>
        <v>0</v>
      </c>
      <c r="AN79" s="260">
        <f>SUM(AN75:AN78)</f>
        <v>0</v>
      </c>
      <c r="AO79" s="260">
        <f>SUM(AO75:AO78)</f>
        <v>0</v>
      </c>
      <c r="AP79" s="259">
        <f>SUM(AP75:AP78)</f>
        <v>0</v>
      </c>
      <c r="AQ79" s="428">
        <f>SUM(AQ75:AQ78)</f>
        <v>0</v>
      </c>
      <c r="AS79" s="724">
        <f t="shared" ref="AS79:BJ79" si="73">SUM(AS75:AS78)</f>
        <v>0</v>
      </c>
      <c r="AT79" s="725">
        <f t="shared" si="73"/>
        <v>0</v>
      </c>
      <c r="AU79" s="725">
        <f t="shared" si="73"/>
        <v>0</v>
      </c>
      <c r="AV79" s="725">
        <f t="shared" si="73"/>
        <v>0</v>
      </c>
      <c r="AW79" s="725">
        <f t="shared" si="73"/>
        <v>0</v>
      </c>
      <c r="AX79" s="725">
        <f t="shared" si="73"/>
        <v>0</v>
      </c>
      <c r="AY79" s="725">
        <f t="shared" si="73"/>
        <v>0</v>
      </c>
      <c r="AZ79" s="725">
        <f t="shared" si="73"/>
        <v>0</v>
      </c>
      <c r="BA79" s="725">
        <f t="shared" si="73"/>
        <v>0</v>
      </c>
      <c r="BB79" s="725">
        <f t="shared" si="73"/>
        <v>0</v>
      </c>
      <c r="BC79" s="725">
        <f t="shared" si="73"/>
        <v>0</v>
      </c>
      <c r="BD79" s="725">
        <f t="shared" si="73"/>
        <v>0</v>
      </c>
      <c r="BE79" s="726">
        <f t="shared" si="73"/>
        <v>0</v>
      </c>
      <c r="BF79" s="726">
        <f t="shared" si="73"/>
        <v>0</v>
      </c>
      <c r="BG79" s="727">
        <f t="shared" si="73"/>
        <v>0</v>
      </c>
      <c r="BH79" s="724">
        <f t="shared" si="73"/>
        <v>0</v>
      </c>
      <c r="BI79" s="725">
        <f t="shared" si="73"/>
        <v>0</v>
      </c>
      <c r="BJ79" s="728">
        <f t="shared" si="73"/>
        <v>0</v>
      </c>
    </row>
    <row r="80" spans="1:62" ht="12.75" customHeight="1" outlineLevel="1" x14ac:dyDescent="0.2">
      <c r="B80" s="316"/>
      <c r="C80" s="316"/>
      <c r="D80" s="316"/>
      <c r="E80" s="316"/>
      <c r="F80" s="316"/>
      <c r="G80" s="316"/>
      <c r="H80" s="316"/>
      <c r="I80" s="316"/>
      <c r="J80" s="316"/>
      <c r="K80" s="316"/>
      <c r="L80" s="42"/>
      <c r="BB80" s="743"/>
      <c r="BC80" s="743"/>
      <c r="BD80" s="743"/>
      <c r="BE80" s="743"/>
      <c r="BF80" s="743"/>
      <c r="BG80" s="743"/>
    </row>
    <row r="81" spans="1:62" ht="15" customHeight="1" x14ac:dyDescent="0.2">
      <c r="AR81" s="191"/>
      <c r="BB81" s="743"/>
      <c r="BC81" s="743"/>
      <c r="BD81" s="743"/>
      <c r="BE81" s="743"/>
      <c r="BF81" s="743"/>
      <c r="BG81" s="743"/>
    </row>
    <row r="82" spans="1:62" s="32" customFormat="1" ht="15.75" customHeight="1" collapsed="1" x14ac:dyDescent="0.2">
      <c r="A82" s="40"/>
      <c r="B82" s="1795" t="s">
        <v>2882</v>
      </c>
      <c r="C82" s="1795"/>
      <c r="D82" s="1795"/>
      <c r="E82" s="1795"/>
      <c r="F82" s="1795"/>
      <c r="G82" s="1795"/>
      <c r="H82" s="1795"/>
      <c r="I82" s="1795"/>
      <c r="J82" s="1795"/>
      <c r="K82" s="1795"/>
      <c r="L82" s="1795"/>
      <c r="M82" s="1795"/>
      <c r="N82" s="1795"/>
      <c r="O82" s="1795"/>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40"/>
      <c r="AS82" s="602"/>
      <c r="AT82" s="602"/>
      <c r="AU82" s="602"/>
      <c r="AV82" s="602"/>
      <c r="AW82" s="602"/>
      <c r="AX82" s="602"/>
      <c r="AY82" s="602"/>
      <c r="AZ82" s="602"/>
      <c r="BA82" s="602"/>
      <c r="BB82" s="743"/>
      <c r="BC82" s="743"/>
      <c r="BD82" s="743"/>
      <c r="BE82" s="743"/>
      <c r="BF82" s="743"/>
      <c r="BG82" s="743"/>
      <c r="BH82" s="602"/>
      <c r="BI82" s="602"/>
      <c r="BJ82" s="602"/>
    </row>
    <row r="83" spans="1:62" s="32" customFormat="1" ht="12.75" hidden="1" customHeight="1" outlineLevel="1" x14ac:dyDescent="0.2">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602"/>
      <c r="AT83" s="602"/>
      <c r="AU83" s="602"/>
      <c r="AV83" s="602"/>
      <c r="AW83" s="602"/>
      <c r="AX83" s="602"/>
      <c r="AY83" s="602"/>
      <c r="AZ83" s="602"/>
      <c r="BA83" s="602"/>
      <c r="BB83" s="743"/>
      <c r="BC83" s="743"/>
      <c r="BD83" s="743"/>
      <c r="BE83" s="743"/>
      <c r="BF83" s="743"/>
      <c r="BG83" s="743"/>
      <c r="BH83" s="602"/>
      <c r="BI83" s="602"/>
      <c r="BJ83" s="602"/>
    </row>
    <row r="84" spans="1:62" ht="12.75" hidden="1" customHeight="1" outlineLevel="1" x14ac:dyDescent="0.2">
      <c r="B84" s="195" t="s">
        <v>2865</v>
      </c>
      <c r="C84" s="196"/>
      <c r="D84" s="358"/>
      <c r="E84" s="358"/>
      <c r="F84" s="358"/>
      <c r="G84" s="198"/>
      <c r="H84" s="198"/>
      <c r="I84" s="198"/>
      <c r="J84" s="198"/>
      <c r="K84" s="198"/>
      <c r="L84" s="198"/>
      <c r="M84" s="198"/>
      <c r="N84" s="198"/>
      <c r="O84" s="198"/>
      <c r="P84" s="198"/>
      <c r="Q84" s="198"/>
      <c r="R84" s="198"/>
      <c r="S84" s="358"/>
      <c r="T84" s="358"/>
      <c r="U84" s="199"/>
      <c r="V84" s="42"/>
      <c r="X84" s="1746" t="s">
        <v>723</v>
      </c>
      <c r="Y84" s="1747"/>
      <c r="Z84" s="1747"/>
      <c r="AA84" s="1747"/>
      <c r="AB84" s="1747"/>
      <c r="AC84" s="1748"/>
      <c r="AF84" s="1746" t="s">
        <v>2066</v>
      </c>
      <c r="AG84" s="1747"/>
      <c r="AH84" s="1747"/>
      <c r="AI84" s="1747"/>
      <c r="AJ84" s="1747"/>
      <c r="AK84" s="1747"/>
      <c r="AL84" s="1747"/>
      <c r="AM84" s="1747"/>
      <c r="AN84" s="1747"/>
      <c r="AO84" s="1748"/>
      <c r="AS84" s="1755" t="s">
        <v>2073</v>
      </c>
      <c r="AT84" s="1756"/>
      <c r="AU84" s="1756"/>
      <c r="AV84" s="1756"/>
      <c r="AW84" s="1756"/>
      <c r="AX84" s="1756"/>
      <c r="AY84" s="1756"/>
      <c r="AZ84" s="1756"/>
      <c r="BA84" s="1756"/>
      <c r="BB84" s="1756"/>
      <c r="BC84" s="1756"/>
      <c r="BD84" s="1756"/>
      <c r="BE84" s="1756"/>
      <c r="BF84" s="1756"/>
      <c r="BG84" s="1756"/>
      <c r="BH84" s="1756"/>
      <c r="BI84" s="1756"/>
      <c r="BJ84" s="1757"/>
    </row>
    <row r="85" spans="1:62" ht="12.75" hidden="1" customHeight="1" outlineLevel="1" x14ac:dyDescent="0.2">
      <c r="B85" s="417"/>
      <c r="C85" s="225"/>
      <c r="D85" s="361"/>
      <c r="E85" s="361"/>
      <c r="F85" s="214"/>
      <c r="G85" s="201"/>
      <c r="H85" s="201"/>
      <c r="I85" s="201"/>
      <c r="J85" s="201"/>
      <c r="K85" s="201"/>
      <c r="L85" s="201"/>
      <c r="M85" s="201"/>
      <c r="N85" s="201"/>
      <c r="O85" s="201"/>
      <c r="P85" s="201"/>
      <c r="Q85" s="201"/>
      <c r="R85" s="201"/>
      <c r="S85" s="361"/>
      <c r="T85" s="361"/>
      <c r="U85" s="207"/>
      <c r="V85" s="42"/>
      <c r="X85" s="357"/>
      <c r="Y85" s="358"/>
      <c r="Z85" s="358"/>
      <c r="AA85" s="358"/>
      <c r="AB85" s="358"/>
      <c r="AC85" s="359"/>
      <c r="AF85" s="360"/>
      <c r="AG85" s="361"/>
      <c r="AH85" s="361"/>
      <c r="AI85" s="361"/>
      <c r="AJ85" s="362"/>
      <c r="AK85" s="361"/>
      <c r="AL85" s="361"/>
      <c r="AM85" s="361"/>
      <c r="AN85" s="361"/>
      <c r="AO85" s="218"/>
      <c r="AR85" s="32"/>
      <c r="AS85" s="1758" t="s">
        <v>61</v>
      </c>
      <c r="AT85" s="1759"/>
      <c r="AU85" s="1759"/>
      <c r="AV85" s="1759"/>
      <c r="AW85" s="1759"/>
      <c r="AX85" s="1759"/>
      <c r="AY85" s="1759"/>
      <c r="AZ85" s="1759"/>
      <c r="BA85" s="1759"/>
      <c r="BB85" s="1759"/>
      <c r="BC85" s="1759"/>
      <c r="BD85" s="1759"/>
      <c r="BE85" s="1759" t="s">
        <v>61</v>
      </c>
      <c r="BF85" s="1759"/>
      <c r="BG85" s="1760"/>
      <c r="BH85" s="730"/>
      <c r="BI85" s="785"/>
      <c r="BJ85" s="731"/>
    </row>
    <row r="86" spans="1:62" ht="12.75" hidden="1" customHeight="1" outlineLevel="1" x14ac:dyDescent="0.2">
      <c r="B86" s="204" t="s">
        <v>766</v>
      </c>
      <c r="C86" s="362"/>
      <c r="D86" s="362" t="s">
        <v>56</v>
      </c>
      <c r="E86" s="362" t="s">
        <v>56</v>
      </c>
      <c r="F86" s="205" t="s">
        <v>2634</v>
      </c>
      <c r="G86" s="205" t="s">
        <v>2053</v>
      </c>
      <c r="H86" s="1745" t="s">
        <v>767</v>
      </c>
      <c r="I86" s="1745"/>
      <c r="J86" s="205" t="s">
        <v>2053</v>
      </c>
      <c r="K86" s="1745" t="s">
        <v>769</v>
      </c>
      <c r="L86" s="1745"/>
      <c r="M86" s="205" t="s">
        <v>2053</v>
      </c>
      <c r="N86" s="1745" t="s">
        <v>771</v>
      </c>
      <c r="O86" s="1745"/>
      <c r="P86" s="205" t="s">
        <v>2053</v>
      </c>
      <c r="Q86" s="1744" t="s">
        <v>770</v>
      </c>
      <c r="R86" s="1745"/>
      <c r="S86" s="361" t="s">
        <v>61</v>
      </c>
      <c r="T86" s="361" t="s">
        <v>61</v>
      </c>
      <c r="U86" s="207" t="s">
        <v>61</v>
      </c>
      <c r="V86" s="42"/>
      <c r="W86" s="32"/>
      <c r="X86" s="1626" t="s">
        <v>2605</v>
      </c>
      <c r="Y86" s="362" t="s">
        <v>2110</v>
      </c>
      <c r="Z86" s="362" t="s">
        <v>61</v>
      </c>
      <c r="AA86" s="362" t="s">
        <v>61</v>
      </c>
      <c r="AB86" s="362" t="s">
        <v>61</v>
      </c>
      <c r="AC86" s="207" t="s">
        <v>61</v>
      </c>
      <c r="AD86" s="32"/>
      <c r="AE86" s="32"/>
      <c r="AF86" s="204" t="s">
        <v>2065</v>
      </c>
      <c r="AG86" s="362" t="s">
        <v>61</v>
      </c>
      <c r="AH86" s="362" t="s">
        <v>61</v>
      </c>
      <c r="AI86" s="362" t="s">
        <v>61</v>
      </c>
      <c r="AJ86" s="361" t="s">
        <v>61</v>
      </c>
      <c r="AK86" s="362" t="s">
        <v>2558</v>
      </c>
      <c r="AL86" s="362" t="s">
        <v>61</v>
      </c>
      <c r="AM86" s="362" t="s">
        <v>61</v>
      </c>
      <c r="AN86" s="362" t="s">
        <v>61</v>
      </c>
      <c r="AO86" s="207" t="s">
        <v>61</v>
      </c>
      <c r="AP86" s="32"/>
      <c r="AQ86" s="32"/>
      <c r="AR86" s="32"/>
      <c r="AS86" s="1764" t="s">
        <v>14</v>
      </c>
      <c r="AT86" s="1761"/>
      <c r="AU86" s="1761"/>
      <c r="AV86" s="1761" t="s">
        <v>60</v>
      </c>
      <c r="AW86" s="1761"/>
      <c r="AX86" s="1761"/>
      <c r="AY86" s="1761" t="s">
        <v>27</v>
      </c>
      <c r="AZ86" s="1761"/>
      <c r="BA86" s="1761"/>
      <c r="BB86" s="1761" t="s">
        <v>2074</v>
      </c>
      <c r="BC86" s="1761"/>
      <c r="BD86" s="1761"/>
      <c r="BE86" s="1762" t="s">
        <v>41</v>
      </c>
      <c r="BF86" s="1762"/>
      <c r="BG86" s="1763"/>
      <c r="BH86" s="1764" t="s">
        <v>85</v>
      </c>
      <c r="BI86" s="1761"/>
      <c r="BJ86" s="1765"/>
    </row>
    <row r="87" spans="1:62" s="42" customFormat="1" ht="12.75" hidden="1" customHeight="1" outlineLevel="1" x14ac:dyDescent="0.2">
      <c r="A87" s="40"/>
      <c r="B87" s="204"/>
      <c r="C87" s="362"/>
      <c r="D87" s="362" t="s">
        <v>61</v>
      </c>
      <c r="E87" s="362" t="s">
        <v>63</v>
      </c>
      <c r="F87" s="208" t="s">
        <v>2054</v>
      </c>
      <c r="G87" s="212" t="s">
        <v>34</v>
      </c>
      <c r="H87" s="270" t="s">
        <v>768</v>
      </c>
      <c r="I87" s="270" t="s">
        <v>24</v>
      </c>
      <c r="J87" s="208" t="s">
        <v>2061</v>
      </c>
      <c r="K87" s="270" t="s">
        <v>768</v>
      </c>
      <c r="L87" s="270" t="s">
        <v>24</v>
      </c>
      <c r="M87" s="212" t="s">
        <v>2059</v>
      </c>
      <c r="N87" s="270" t="s">
        <v>768</v>
      </c>
      <c r="O87" s="270" t="s">
        <v>24</v>
      </c>
      <c r="P87" s="212" t="s">
        <v>15</v>
      </c>
      <c r="Q87" s="270" t="s">
        <v>768</v>
      </c>
      <c r="R87" s="270" t="s">
        <v>24</v>
      </c>
      <c r="S87" s="363" t="s">
        <v>768</v>
      </c>
      <c r="T87" s="363" t="s">
        <v>24</v>
      </c>
      <c r="U87" s="274" t="s">
        <v>59</v>
      </c>
      <c r="W87" s="32"/>
      <c r="X87" s="1626" t="s">
        <v>2109</v>
      </c>
      <c r="Y87" s="362"/>
      <c r="Z87" s="270" t="s">
        <v>768</v>
      </c>
      <c r="AA87" s="270" t="s">
        <v>24</v>
      </c>
      <c r="AB87" s="270" t="s">
        <v>59</v>
      </c>
      <c r="AC87" s="207" t="s">
        <v>41</v>
      </c>
      <c r="AD87" s="32"/>
      <c r="AE87" s="32"/>
      <c r="AF87" s="204"/>
      <c r="AG87" s="270" t="s">
        <v>768</v>
      </c>
      <c r="AH87" s="270" t="s">
        <v>24</v>
      </c>
      <c r="AI87" s="270" t="s">
        <v>59</v>
      </c>
      <c r="AJ87" s="223" t="s">
        <v>41</v>
      </c>
      <c r="AK87" s="362"/>
      <c r="AL87" s="270" t="s">
        <v>768</v>
      </c>
      <c r="AM87" s="270" t="s">
        <v>24</v>
      </c>
      <c r="AN87" s="270" t="s">
        <v>59</v>
      </c>
      <c r="AO87" s="219" t="s">
        <v>41</v>
      </c>
      <c r="AP87" s="32"/>
      <c r="AQ87" s="32"/>
      <c r="AR87" s="40"/>
      <c r="AS87" s="732" t="s">
        <v>768</v>
      </c>
      <c r="AT87" s="733" t="s">
        <v>24</v>
      </c>
      <c r="AU87" s="733" t="s">
        <v>59</v>
      </c>
      <c r="AV87" s="733" t="s">
        <v>768</v>
      </c>
      <c r="AW87" s="733" t="s">
        <v>24</v>
      </c>
      <c r="AX87" s="733" t="s">
        <v>59</v>
      </c>
      <c r="AY87" s="733" t="s">
        <v>768</v>
      </c>
      <c r="AZ87" s="733" t="s">
        <v>24</v>
      </c>
      <c r="BA87" s="733" t="s">
        <v>59</v>
      </c>
      <c r="BB87" s="733" t="s">
        <v>768</v>
      </c>
      <c r="BC87" s="733" t="s">
        <v>24</v>
      </c>
      <c r="BD87" s="733" t="s">
        <v>59</v>
      </c>
      <c r="BE87" s="734" t="s">
        <v>768</v>
      </c>
      <c r="BF87" s="734" t="s">
        <v>24</v>
      </c>
      <c r="BG87" s="735" t="s">
        <v>59</v>
      </c>
      <c r="BH87" s="732" t="s">
        <v>768</v>
      </c>
      <c r="BI87" s="733" t="s">
        <v>24</v>
      </c>
      <c r="BJ87" s="736" t="s">
        <v>59</v>
      </c>
    </row>
    <row r="88" spans="1:62" ht="12.75" hidden="1" customHeight="1" outlineLevel="1" x14ac:dyDescent="0.2">
      <c r="B88" s="200" t="s">
        <v>812</v>
      </c>
      <c r="C88" s="201"/>
      <c r="D88" s="262">
        <f>SUM(S88:U88)</f>
        <v>0</v>
      </c>
      <c r="E88" s="265">
        <f>D88*12/44</f>
        <v>0</v>
      </c>
      <c r="F88" s="182"/>
      <c r="G88" s="182"/>
      <c r="H88" s="271">
        <f>VLOOKUP($B88,'Emissions factors'!$B$84:$K$147,2,FALSE)</f>
        <v>665.2</v>
      </c>
      <c r="I88" s="271">
        <f>VLOOKUP($B88,'Emissions factors'!$B$84:$K$147,3,FALSE)</f>
        <v>3160.98</v>
      </c>
      <c r="J88" s="182"/>
      <c r="K88" s="277">
        <f>VLOOKUP($B88,'Emissions factors'!$B$84:$K$147,4,FALSE)</f>
        <v>5.5E-2</v>
      </c>
      <c r="L88" s="277">
        <f>VLOOKUP($B88,'Emissions factors'!$B$84:$K$147,5,FALSE)</f>
        <v>0.257913</v>
      </c>
      <c r="M88" s="182"/>
      <c r="N88" s="271">
        <f>VLOOKUP($B88,'Emissions factors'!$B$84:$K$147,6,FALSE)</f>
        <v>634.20000000000005</v>
      </c>
      <c r="O88" s="271">
        <f>VLOOKUP($B88,'Emissions factors'!$B$84:$K$147,7,FALSE)</f>
        <v>3010.46</v>
      </c>
      <c r="P88" s="182"/>
      <c r="Q88" s="277">
        <f>VLOOKUP($B88,'Emissions factors'!$B$84:$K$147,8,FALSE)</f>
        <v>0.5323</v>
      </c>
      <c r="R88" s="277">
        <f>VLOOKUP($B88,'Emissions factors'!$B$84:$K$147,9,FALSE)</f>
        <v>2.52</v>
      </c>
      <c r="S88" s="210">
        <f>G88*H88+J88*K88+M88*N88+P88*Q88</f>
        <v>0</v>
      </c>
      <c r="T88" s="210">
        <f>G88*I88+J88*L88+M88*O88+P88*R88</f>
        <v>0</v>
      </c>
      <c r="U88" s="211">
        <f>T88*'Emissions factors'!$C$1285</f>
        <v>0</v>
      </c>
      <c r="V88" s="42"/>
      <c r="X88" s="282">
        <f>VLOOKUP($B88,'Emissions factors'!$B$84:$K$147,10,FALSE)</f>
        <v>0.05</v>
      </c>
      <c r="Y88" s="183"/>
      <c r="Z88" s="221">
        <f>S88*SQRT(X88^2+Y88^2)</f>
        <v>0</v>
      </c>
      <c r="AA88" s="221">
        <f>T88*SQRT(X88^2+Y88^2)</f>
        <v>0</v>
      </c>
      <c r="AB88" s="221">
        <f>U88*SQRT(X88^2+Y88^2)</f>
        <v>0</v>
      </c>
      <c r="AC88" s="211">
        <f>SQRT(SUMSQ(Z88:AB88))</f>
        <v>0</v>
      </c>
      <c r="AF88" s="184"/>
      <c r="AG88" s="224">
        <f>S88*AF88</f>
        <v>0</v>
      </c>
      <c r="AH88" s="224">
        <f>T88*AF88</f>
        <v>0</v>
      </c>
      <c r="AI88" s="224">
        <f>U88*AF88</f>
        <v>0</v>
      </c>
      <c r="AJ88" s="210">
        <f>SUM(AG88:AI88)</f>
        <v>0</v>
      </c>
      <c r="AK88" s="184"/>
      <c r="AL88" s="435">
        <f>AK88*S88</f>
        <v>0</v>
      </c>
      <c r="AM88" s="435">
        <f>AK88*T88</f>
        <v>0</v>
      </c>
      <c r="AN88" s="224">
        <f>U88*AK88</f>
        <v>0</v>
      </c>
      <c r="AO88" s="211">
        <f>SUM(AL88:AN88)</f>
        <v>0</v>
      </c>
      <c r="AS88" s="717">
        <f>G88*VLOOKUP($B88,'Emissions factors'!$B$84:$AQ$147,11,FALSE)+J88*VLOOKUP($B88,'Emissions factors'!$B$84:$AQ$147,13,FALSE)+M88*VLOOKUP($B88,'Emissions factors'!$B$84:$AQ$147,15,FALSE)+P88*VLOOKUP($B88,'Emissions factors'!$B$84:$AQ$147,17,FALSE)</f>
        <v>0</v>
      </c>
      <c r="AT88" s="718">
        <f>G88*VLOOKUP($B88,'Emissions factors'!$B$84:$AQ$147,12,FALSE)+J88*VLOOKUP($B88,'Emissions factors'!$B$84:$AQ$147,14,FALSE)+M88*VLOOKUP($B88,'Emissions factors'!$B$84:$AQ$147,16,FALSE)+P88*VLOOKUP($B88,'Emissions factors'!$B$84:$AQ$147,18,FALSE)</f>
        <v>0</v>
      </c>
      <c r="AU88" s="718"/>
      <c r="AV88" s="718">
        <f>G88*VLOOKUP($B88,'Emissions factors'!$B$84:$AQ$147,19,FALSE)+J88*VLOOKUP($B88,'Emissions factors'!$B$84:$AQ$147,21,FALSE)+M88*VLOOKUP($B88,'Emissions factors'!$B$84:$AQ$147,23,FALSE)+P88*VLOOKUP($B88,'Emissions factors'!$B$84:$AQ$147,25,FALSE)</f>
        <v>0</v>
      </c>
      <c r="AW88" s="718">
        <f>G88*VLOOKUP($B88,'Emissions factors'!$B$84:$AQ$147,20,FALSE)+J88*VLOOKUP($B88,'Emissions factors'!$B$84:$AQ$147,22,FALSE)+M88*VLOOKUP($B88,'Emissions factors'!$B$84:$AQ$147,24,FALSE)+P88*VLOOKUP($B88,'Emissions factors'!$B$84:$AQ$147,26,FALSE)</f>
        <v>0</v>
      </c>
      <c r="AX88" s="718"/>
      <c r="AY88" s="718">
        <f>G88*VLOOKUP($B88,'Emissions factors'!$B$84:$AQ$147,27,FALSE)+J88*VLOOKUP($B88,'Emissions factors'!$B$84:$AQ$147,29,FALSE)+M88*VLOOKUP($B88,'Emissions factors'!$B$84:$AQ$147,31,FALSE)+P88*VLOOKUP($B88,'Emissions factors'!$B$84:$AQ$147,33,FALSE)</f>
        <v>0</v>
      </c>
      <c r="AZ88" s="718">
        <f>G88*VLOOKUP($B88,'Emissions factors'!$B$84:$AQ$147,28,FALSE)+J88*VLOOKUP($B88,'Emissions factors'!$B$84:$AQ$147,30,FALSE)+M88*VLOOKUP($B88,'Emissions factors'!$B$84:$AQ$147,32,FALSE)+P88*VLOOKUP($B88,'Emissions factors'!$B$84:$AQ$147,34,FALSE)</f>
        <v>0</v>
      </c>
      <c r="BA88" s="718"/>
      <c r="BB88" s="718"/>
      <c r="BC88" s="718"/>
      <c r="BD88" s="718">
        <f>U88</f>
        <v>0</v>
      </c>
      <c r="BE88" s="719">
        <f t="shared" ref="BE88:BG90" si="74">S88</f>
        <v>0</v>
      </c>
      <c r="BF88" s="719">
        <f t="shared" si="74"/>
        <v>0</v>
      </c>
      <c r="BG88" s="720">
        <f t="shared" si="74"/>
        <v>0</v>
      </c>
      <c r="BH88" s="717">
        <f>G88*VLOOKUP($B88,'Emissions factors'!$B$84:$AQ$147,35,FALSE)+J88*VLOOKUP($B88,'Emissions factors'!$B$84:$AQ$147,37,FALSE)+M88*VLOOKUP($B88,'Emissions factors'!$B$84:$AQ$147,39,FALSE)+P88*VLOOKUP($B88,'Emissions factors'!$B$84:$AQ$147,41,FALSE)</f>
        <v>0</v>
      </c>
      <c r="BI88" s="718">
        <f>G88*VLOOKUP($B88,'Emissions factors'!$B$84:$AQ$147,36,FALSE)+J88*VLOOKUP($B88,'Emissions factors'!$B$84:$AQ$147,38,FALSE)+M88*VLOOKUP($B88,'Emissions factors'!$B$84:$AQ$147,40,FALSE)+P88*VLOOKUP($B88,'Emissions factors'!$B$84:$AQ$147,42,FALSE)</f>
        <v>0</v>
      </c>
      <c r="BJ88" s="721"/>
    </row>
    <row r="89" spans="1:62" ht="12.75" hidden="1" customHeight="1" outlineLevel="1" x14ac:dyDescent="0.2">
      <c r="B89" s="200" t="s">
        <v>797</v>
      </c>
      <c r="C89" s="201"/>
      <c r="D89" s="262">
        <f>SUM(S89:U89)</f>
        <v>0</v>
      </c>
      <c r="E89" s="265">
        <f>D89*12/44</f>
        <v>0</v>
      </c>
      <c r="F89" s="185"/>
      <c r="G89" s="185"/>
      <c r="H89" s="271">
        <f>VLOOKUP($B89,'Emissions factors'!$B$84:$K$147,2,FALSE)</f>
        <v>668.5</v>
      </c>
      <c r="I89" s="271">
        <f>VLOOKUP($B89,'Emissions factors'!$B$84:$K$147,3,FALSE)</f>
        <v>3111.04</v>
      </c>
      <c r="J89" s="185"/>
      <c r="K89" s="277">
        <f>VLOOKUP($B89,'Emissions factors'!$B$84:$K$147,4,FALSE)</f>
        <v>5.5E-2</v>
      </c>
      <c r="L89" s="277">
        <f>VLOOKUP($B89,'Emissions factors'!$B$84:$K$147,5,FALSE)</f>
        <v>0.252913</v>
      </c>
      <c r="M89" s="185"/>
      <c r="N89" s="271">
        <f>VLOOKUP($B89,'Emissions factors'!$B$84:$K$147,6,FALSE)</f>
        <v>634.20000000000005</v>
      </c>
      <c r="O89" s="271">
        <f>VLOOKUP($B89,'Emissions factors'!$B$84:$K$147,7,FALSE)</f>
        <v>2950.46</v>
      </c>
      <c r="P89" s="185"/>
      <c r="Q89" s="277">
        <f>VLOOKUP($B89,'Emissions factors'!$B$84:$K$147,8,FALSE)</f>
        <v>0.53459999999999996</v>
      </c>
      <c r="R89" s="277">
        <f>VLOOKUP($B89,'Emissions factors'!$B$84:$K$147,9,FALSE)</f>
        <v>2.48</v>
      </c>
      <c r="S89" s="210">
        <f>G89*H89+J89*K89+M89*N89+P89*Q89</f>
        <v>0</v>
      </c>
      <c r="T89" s="210">
        <f>G89*I89+J89*L89+M89*O89+P89*R89</f>
        <v>0</v>
      </c>
      <c r="U89" s="211">
        <f>T89*'Emissions factors'!$C$1285</f>
        <v>0</v>
      </c>
      <c r="V89" s="42"/>
      <c r="X89" s="282">
        <f>VLOOKUP($B89,'Emissions factors'!$B$84:$K$147,10,FALSE)</f>
        <v>0.05</v>
      </c>
      <c r="Y89" s="186"/>
      <c r="Z89" s="221">
        <f>S89*SQRT(X89^2+Y89^2)</f>
        <v>0</v>
      </c>
      <c r="AA89" s="221">
        <f>T89*SQRT(X89^2+Y89^2)</f>
        <v>0</v>
      </c>
      <c r="AB89" s="221">
        <f>U89*SQRT(X89^2+Y89^2)</f>
        <v>0</v>
      </c>
      <c r="AC89" s="211">
        <f>SQRT(SUMSQ(Z89:AB89))</f>
        <v>0</v>
      </c>
      <c r="AF89" s="187"/>
      <c r="AG89" s="224">
        <f>S89*AF89</f>
        <v>0</v>
      </c>
      <c r="AH89" s="224">
        <f>T89*AF89</f>
        <v>0</v>
      </c>
      <c r="AI89" s="224">
        <f>U89*AF89</f>
        <v>0</v>
      </c>
      <c r="AJ89" s="210">
        <f>SUM(AG89:AI89)</f>
        <v>0</v>
      </c>
      <c r="AK89" s="187"/>
      <c r="AL89" s="435">
        <f>AK89*S89</f>
        <v>0</v>
      </c>
      <c r="AM89" s="435">
        <f>AK89*T89</f>
        <v>0</v>
      </c>
      <c r="AN89" s="224">
        <f>U89*AK89</f>
        <v>0</v>
      </c>
      <c r="AO89" s="211">
        <f>SUM(AL89:AN89)</f>
        <v>0</v>
      </c>
      <c r="AS89" s="717">
        <f>G89*VLOOKUP($B89,'Emissions factors'!$B$84:$AQ$147,11,FALSE)+J89*VLOOKUP($B89,'Emissions factors'!$B$84:$AQ$147,13,FALSE)+M89*VLOOKUP($B89,'Emissions factors'!$B$84:$AQ$147,15,FALSE)+P89*VLOOKUP($B89,'Emissions factors'!$B$84:$AQ$147,17,FALSE)</f>
        <v>0</v>
      </c>
      <c r="AT89" s="718">
        <f>G89*VLOOKUP($B89,'Emissions factors'!$B$84:$AQ$147,12,FALSE)+J89*VLOOKUP($B89,'Emissions factors'!$B$84:$AQ$147,14,FALSE)+M89*VLOOKUP($B89,'Emissions factors'!$B$84:$AQ$147,16,FALSE)+P89*VLOOKUP($B89,'Emissions factors'!$B$84:$AQ$147,18,FALSE)</f>
        <v>0</v>
      </c>
      <c r="AU89" s="718"/>
      <c r="AV89" s="718">
        <f>G89*VLOOKUP($B89,'Emissions factors'!$B$84:$AQ$147,19,FALSE)+J89*VLOOKUP($B89,'Emissions factors'!$B$84:$AQ$147,21,FALSE)+M89*VLOOKUP($B89,'Emissions factors'!$B$84:$AQ$147,23,FALSE)+P89*VLOOKUP($B89,'Emissions factors'!$B$84:$AQ$147,25,FALSE)</f>
        <v>0</v>
      </c>
      <c r="AW89" s="718">
        <f>G89*VLOOKUP($B89,'Emissions factors'!$B$84:$AQ$147,20,FALSE)+J89*VLOOKUP($B89,'Emissions factors'!$B$84:$AQ$147,22,FALSE)+M89*VLOOKUP($B89,'Emissions factors'!$B$84:$AQ$147,24,FALSE)+P89*VLOOKUP($B89,'Emissions factors'!$B$84:$AQ$147,26,FALSE)</f>
        <v>0</v>
      </c>
      <c r="AX89" s="718"/>
      <c r="AY89" s="718">
        <f>G89*VLOOKUP($B89,'Emissions factors'!$B$84:$AQ$147,27,FALSE)+J89*VLOOKUP($B89,'Emissions factors'!$B$84:$AQ$147,29,FALSE)+M89*VLOOKUP($B89,'Emissions factors'!$B$84:$AQ$147,31,FALSE)+P89*VLOOKUP($B89,'Emissions factors'!$B$84:$AQ$147,33,FALSE)</f>
        <v>0</v>
      </c>
      <c r="AZ89" s="718">
        <f>G89*VLOOKUP($B89,'Emissions factors'!$B$84:$AQ$147,28,FALSE)+J89*VLOOKUP($B89,'Emissions factors'!$B$84:$AQ$147,30,FALSE)+M89*VLOOKUP($B89,'Emissions factors'!$B$84:$AQ$147,32,FALSE)+P89*VLOOKUP($B89,'Emissions factors'!$B$84:$AQ$147,34,FALSE)</f>
        <v>0</v>
      </c>
      <c r="BA89" s="718"/>
      <c r="BB89" s="718"/>
      <c r="BC89" s="718"/>
      <c r="BD89" s="718">
        <f>U89</f>
        <v>0</v>
      </c>
      <c r="BE89" s="719">
        <f t="shared" si="74"/>
        <v>0</v>
      </c>
      <c r="BF89" s="719">
        <f t="shared" si="74"/>
        <v>0</v>
      </c>
      <c r="BG89" s="720">
        <f t="shared" si="74"/>
        <v>0</v>
      </c>
      <c r="BH89" s="717">
        <f>G89*VLOOKUP($B89,'Emissions factors'!$B$84:$AQ$147,35,FALSE)+J89*VLOOKUP($B89,'Emissions factors'!$B$84:$AQ$147,37,FALSE)+M89*VLOOKUP($B89,'Emissions factors'!$B$84:$AQ$147,39,FALSE)+P89*VLOOKUP($B89,'Emissions factors'!$B$84:$AQ$147,41,FALSE)</f>
        <v>0</v>
      </c>
      <c r="BI89" s="718">
        <f>G89*VLOOKUP($B89,'Emissions factors'!$B$84:$AQ$147,36,FALSE)+J89*VLOOKUP($B89,'Emissions factors'!$B$84:$AQ$147,38,FALSE)+M89*VLOOKUP($B89,'Emissions factors'!$B$84:$AQ$147,40,FALSE)+P89*VLOOKUP($B89,'Emissions factors'!$B$84:$AQ$147,42,FALSE)</f>
        <v>0</v>
      </c>
      <c r="BJ89" s="721"/>
    </row>
    <row r="90" spans="1:62" ht="12.75" hidden="1" customHeight="1" outlineLevel="1" x14ac:dyDescent="0.2">
      <c r="B90" s="200" t="s">
        <v>798</v>
      </c>
      <c r="C90" s="201"/>
      <c r="D90" s="262">
        <f>SUM(S90:U90)</f>
        <v>0</v>
      </c>
      <c r="E90" s="265">
        <f>D90*12/44</f>
        <v>0</v>
      </c>
      <c r="F90" s="188"/>
      <c r="G90" s="188"/>
      <c r="H90" s="271">
        <f>VLOOKUP($B90,'Emissions factors'!$B$84:$K$147,2,FALSE)</f>
        <v>634.20000000000005</v>
      </c>
      <c r="I90" s="271">
        <f>VLOOKUP($B90,'Emissions factors'!$B$84:$K$147,3,FALSE)</f>
        <v>3160.46</v>
      </c>
      <c r="J90" s="188"/>
      <c r="K90" s="277">
        <f>VLOOKUP($B90,'Emissions factors'!$B$84:$K$147,4,FALSE)</f>
        <v>5.4399999999999997E-2</v>
      </c>
      <c r="L90" s="277">
        <f>VLOOKUP($B90,'Emissions factors'!$B$84:$K$147,5,FALSE)</f>
        <v>0.258913</v>
      </c>
      <c r="M90" s="188"/>
      <c r="N90" s="271">
        <f>VLOOKUP($B90,'Emissions factors'!$B$84:$K$147,6,FALSE)</f>
        <v>634.20000000000005</v>
      </c>
      <c r="O90" s="271">
        <f>VLOOKUP($B90,'Emissions factors'!$B$84:$K$147,7,FALSE)</f>
        <v>3020.46</v>
      </c>
      <c r="P90" s="188"/>
      <c r="Q90" s="277">
        <f>VLOOKUP($B90,'Emissions factors'!$B$84:$K$147,8,FALSE)</f>
        <v>0.53129999999999999</v>
      </c>
      <c r="R90" s="277">
        <f>VLOOKUP($B90,'Emissions factors'!$B$84:$K$147,9,FALSE)</f>
        <v>2.48</v>
      </c>
      <c r="S90" s="210">
        <f>G90*H90+J90*K90+M90*N90+P90*Q90</f>
        <v>0</v>
      </c>
      <c r="T90" s="210">
        <f>G90*I90+J90*L90+M90*O90+P90*R90</f>
        <v>0</v>
      </c>
      <c r="U90" s="211">
        <f>T90*'Emissions factors'!$C$1285</f>
        <v>0</v>
      </c>
      <c r="V90" s="42"/>
      <c r="X90" s="282">
        <f>VLOOKUP($B90,'Emissions factors'!$B$84:$K$147,10,FALSE)</f>
        <v>0.05</v>
      </c>
      <c r="Y90" s="189"/>
      <c r="Z90" s="221">
        <f>S90*SQRT(X90^2+Y90^2)</f>
        <v>0</v>
      </c>
      <c r="AA90" s="221">
        <f>T90*SQRT(X90^2+Y90^2)</f>
        <v>0</v>
      </c>
      <c r="AB90" s="221">
        <f>U90*SQRT(X90^2+Y90^2)</f>
        <v>0</v>
      </c>
      <c r="AC90" s="211">
        <f>SQRT(SUMSQ(Z90:AB90))</f>
        <v>0</v>
      </c>
      <c r="AF90" s="190"/>
      <c r="AG90" s="224">
        <f>S90*AF90</f>
        <v>0</v>
      </c>
      <c r="AH90" s="224">
        <f>T90*AF90</f>
        <v>0</v>
      </c>
      <c r="AI90" s="224">
        <f>U90*AF90</f>
        <v>0</v>
      </c>
      <c r="AJ90" s="210">
        <f>SUM(AG90:AI90)</f>
        <v>0</v>
      </c>
      <c r="AK90" s="190"/>
      <c r="AL90" s="435">
        <f>AK90*S90</f>
        <v>0</v>
      </c>
      <c r="AM90" s="435">
        <f>AK90*T90</f>
        <v>0</v>
      </c>
      <c r="AN90" s="224">
        <f>U90*AK90</f>
        <v>0</v>
      </c>
      <c r="AO90" s="211">
        <f>SUM(AL90:AN90)</f>
        <v>0</v>
      </c>
      <c r="AR90" s="42"/>
      <c r="AS90" s="717">
        <f>G90*VLOOKUP($B90,'Emissions factors'!$B$84:$AQ$147,11,FALSE)+J90*VLOOKUP($B90,'Emissions factors'!$B$84:$AQ$147,13,FALSE)+M90*VLOOKUP($B90,'Emissions factors'!$B$84:$AQ$147,15,FALSE)+P90*VLOOKUP($B90,'Emissions factors'!$B$84:$AQ$147,17,FALSE)</f>
        <v>0</v>
      </c>
      <c r="AT90" s="718">
        <f>G90*VLOOKUP($B90,'Emissions factors'!$B$84:$AQ$147,12,FALSE)+J90*VLOOKUP($B90,'Emissions factors'!$B$84:$AQ$147,14,FALSE)+M90*VLOOKUP($B90,'Emissions factors'!$B$84:$AQ$147,16,FALSE)+P90*VLOOKUP($B90,'Emissions factors'!$B$84:$AQ$147,18,FALSE)</f>
        <v>0</v>
      </c>
      <c r="AU90" s="718"/>
      <c r="AV90" s="718">
        <f>G90*VLOOKUP($B90,'Emissions factors'!$B$84:$AQ$147,19,FALSE)+J90*VLOOKUP($B90,'Emissions factors'!$B$84:$AQ$147,21,FALSE)+M90*VLOOKUP($B90,'Emissions factors'!$B$84:$AQ$147,23,FALSE)+P90*VLOOKUP($B90,'Emissions factors'!$B$84:$AQ$147,25,FALSE)</f>
        <v>0</v>
      </c>
      <c r="AW90" s="718">
        <f>G90*VLOOKUP($B90,'Emissions factors'!$B$84:$AQ$147,20,FALSE)+J90*VLOOKUP($B90,'Emissions factors'!$B$84:$AQ$147,22,FALSE)+M90*VLOOKUP($B90,'Emissions factors'!$B$84:$AQ$147,24,FALSE)+P90*VLOOKUP($B90,'Emissions factors'!$B$84:$AQ$147,26,FALSE)</f>
        <v>0</v>
      </c>
      <c r="AX90" s="718"/>
      <c r="AY90" s="718">
        <f>G90*VLOOKUP($B90,'Emissions factors'!$B$84:$AQ$147,27,FALSE)+J90*VLOOKUP($B90,'Emissions factors'!$B$84:$AQ$147,29,FALSE)+M90*VLOOKUP($B90,'Emissions factors'!$B$84:$AQ$147,31,FALSE)+P90*VLOOKUP($B90,'Emissions factors'!$B$84:$AQ$147,33,FALSE)</f>
        <v>0</v>
      </c>
      <c r="AZ90" s="718">
        <f>G90*VLOOKUP($B90,'Emissions factors'!$B$84:$AQ$147,28,FALSE)+J90*VLOOKUP($B90,'Emissions factors'!$B$84:$AQ$147,30,FALSE)+M90*VLOOKUP($B90,'Emissions factors'!$B$84:$AQ$147,32,FALSE)+P90*VLOOKUP($B90,'Emissions factors'!$B$84:$AQ$147,34,FALSE)</f>
        <v>0</v>
      </c>
      <c r="BA90" s="718"/>
      <c r="BB90" s="718"/>
      <c r="BC90" s="718"/>
      <c r="BD90" s="718">
        <f>U90</f>
        <v>0</v>
      </c>
      <c r="BE90" s="719">
        <f t="shared" si="74"/>
        <v>0</v>
      </c>
      <c r="BF90" s="719">
        <f t="shared" si="74"/>
        <v>0</v>
      </c>
      <c r="BG90" s="720">
        <f t="shared" si="74"/>
        <v>0</v>
      </c>
      <c r="BH90" s="717">
        <f>G90*VLOOKUP($B90,'Emissions factors'!$B$84:$AQ$147,35,FALSE)+J90*VLOOKUP($B90,'Emissions factors'!$B$84:$AQ$147,37,FALSE)+M90*VLOOKUP($B90,'Emissions factors'!$B$84:$AQ$147,39,FALSE)+P90*VLOOKUP($B90,'Emissions factors'!$B$84:$AQ$147,41,FALSE)</f>
        <v>0</v>
      </c>
      <c r="BI90" s="718">
        <f>G90*VLOOKUP($B90,'Emissions factors'!$B$84:$AQ$147,36,FALSE)+J90*VLOOKUP($B90,'Emissions factors'!$B$84:$AQ$147,38,FALSE)+M90*VLOOKUP($B90,'Emissions factors'!$B$84:$AQ$147,40,FALSE)+P90*VLOOKUP($B90,'Emissions factors'!$B$84:$AQ$147,42,FALSE)</f>
        <v>0</v>
      </c>
      <c r="BJ90" s="721"/>
    </row>
    <row r="91" spans="1:62" ht="12.75" hidden="1" customHeight="1" outlineLevel="1" x14ac:dyDescent="0.2">
      <c r="B91" s="213"/>
      <c r="C91" s="214"/>
      <c r="D91" s="275"/>
      <c r="E91" s="268"/>
      <c r="F91" s="214"/>
      <c r="G91" s="469"/>
      <c r="H91" s="469"/>
      <c r="I91" s="469"/>
      <c r="J91" s="469"/>
      <c r="K91" s="469"/>
      <c r="L91" s="469"/>
      <c r="M91" s="469"/>
      <c r="N91" s="469"/>
      <c r="O91" s="469"/>
      <c r="P91" s="469"/>
      <c r="Q91" s="469"/>
      <c r="R91" s="470"/>
      <c r="S91" s="463"/>
      <c r="T91" s="463"/>
      <c r="U91" s="215"/>
      <c r="V91" s="42"/>
      <c r="W91" s="42"/>
      <c r="X91" s="477"/>
      <c r="Y91" s="227"/>
      <c r="Z91" s="227"/>
      <c r="AA91" s="227"/>
      <c r="AB91" s="227"/>
      <c r="AC91" s="478"/>
      <c r="AD91" s="42"/>
      <c r="AE91" s="42"/>
      <c r="AF91" s="204"/>
      <c r="AG91" s="221"/>
      <c r="AH91" s="224"/>
      <c r="AI91" s="221"/>
      <c r="AJ91" s="201"/>
      <c r="AK91" s="221"/>
      <c r="AL91" s="435"/>
      <c r="AM91" s="435"/>
      <c r="AN91" s="224"/>
      <c r="AO91" s="203"/>
      <c r="AP91" s="42"/>
      <c r="AQ91" s="42"/>
      <c r="AS91" s="717"/>
      <c r="AT91" s="718"/>
      <c r="AU91" s="718"/>
      <c r="AV91" s="718"/>
      <c r="AW91" s="718"/>
      <c r="AX91" s="718"/>
      <c r="AY91" s="718"/>
      <c r="AZ91" s="718"/>
      <c r="BA91" s="718"/>
      <c r="BB91" s="718"/>
      <c r="BC91" s="718"/>
      <c r="BD91" s="718"/>
      <c r="BE91" s="719"/>
      <c r="BF91" s="719"/>
      <c r="BG91" s="720"/>
      <c r="BH91" s="722"/>
      <c r="BI91" s="786"/>
      <c r="BJ91" s="723"/>
    </row>
    <row r="92" spans="1:62" ht="12.75" hidden="1" customHeight="1" outlineLevel="1" x14ac:dyDescent="0.2">
      <c r="B92" s="253" t="s">
        <v>44</v>
      </c>
      <c r="C92" s="254"/>
      <c r="D92" s="264">
        <f>SUM(D88:D91)</f>
        <v>0</v>
      </c>
      <c r="E92" s="267">
        <f>SUM(E88:E91)</f>
        <v>0</v>
      </c>
      <c r="F92" s="255"/>
      <c r="G92" s="256"/>
      <c r="H92" s="256"/>
      <c r="I92" s="256"/>
      <c r="J92" s="256"/>
      <c r="K92" s="256"/>
      <c r="L92" s="256"/>
      <c r="M92" s="256"/>
      <c r="N92" s="256"/>
      <c r="O92" s="256"/>
      <c r="P92" s="256"/>
      <c r="Q92" s="256"/>
      <c r="R92" s="256"/>
      <c r="S92" s="259">
        <f>SUM(S88:S91)</f>
        <v>0</v>
      </c>
      <c r="T92" s="259">
        <f>SUM(T88:T91)</f>
        <v>0</v>
      </c>
      <c r="U92" s="257">
        <f>SUM(U88:U91)</f>
        <v>0</v>
      </c>
      <c r="V92" s="42"/>
      <c r="X92" s="458"/>
      <c r="Y92" s="459"/>
      <c r="Z92" s="260">
        <f>SQRT(SUMSQ(Z88:Z91))</f>
        <v>0</v>
      </c>
      <c r="AA92" s="260">
        <f>SQRT(SUMSQ(AA88:AA91))</f>
        <v>0</v>
      </c>
      <c r="AB92" s="260">
        <f>SQRT(SUMSQ(AB88:AB91))</f>
        <v>0</v>
      </c>
      <c r="AC92" s="257">
        <f>SQRT(SUMSQ(AC88:AC91))</f>
        <v>0</v>
      </c>
      <c r="AF92" s="258"/>
      <c r="AG92" s="490">
        <f>SUM(AG88:AG91)</f>
        <v>0</v>
      </c>
      <c r="AH92" s="490">
        <f>SUM(AH88:AH91)</f>
        <v>0</v>
      </c>
      <c r="AI92" s="260">
        <f>SUM(AI88:AI91)</f>
        <v>0</v>
      </c>
      <c r="AJ92" s="259">
        <f>SUM(AJ88:AJ91)</f>
        <v>0</v>
      </c>
      <c r="AK92" s="254"/>
      <c r="AL92" s="260">
        <f>SUM(AL88:AL91)</f>
        <v>0</v>
      </c>
      <c r="AM92" s="260">
        <f>SUM(AM88:AM91)</f>
        <v>0</v>
      </c>
      <c r="AN92" s="260">
        <f>SUM(AN88:AN91)</f>
        <v>0</v>
      </c>
      <c r="AO92" s="257">
        <f>SUM(AO88:AO91)</f>
        <v>0</v>
      </c>
      <c r="AS92" s="724">
        <f t="shared" ref="AS92:BJ92" si="75">SUM(AS88:AS91)</f>
        <v>0</v>
      </c>
      <c r="AT92" s="725">
        <f t="shared" si="75"/>
        <v>0</v>
      </c>
      <c r="AU92" s="725">
        <f t="shared" si="75"/>
        <v>0</v>
      </c>
      <c r="AV92" s="725">
        <f t="shared" si="75"/>
        <v>0</v>
      </c>
      <c r="AW92" s="725">
        <f t="shared" si="75"/>
        <v>0</v>
      </c>
      <c r="AX92" s="725">
        <f t="shared" si="75"/>
        <v>0</v>
      </c>
      <c r="AY92" s="725">
        <f t="shared" si="75"/>
        <v>0</v>
      </c>
      <c r="AZ92" s="725">
        <f t="shared" si="75"/>
        <v>0</v>
      </c>
      <c r="BA92" s="725">
        <f t="shared" si="75"/>
        <v>0</v>
      </c>
      <c r="BB92" s="725">
        <f t="shared" si="75"/>
        <v>0</v>
      </c>
      <c r="BC92" s="725">
        <f t="shared" si="75"/>
        <v>0</v>
      </c>
      <c r="BD92" s="725">
        <f t="shared" si="75"/>
        <v>0</v>
      </c>
      <c r="BE92" s="726">
        <f t="shared" si="75"/>
        <v>0</v>
      </c>
      <c r="BF92" s="726">
        <f t="shared" si="75"/>
        <v>0</v>
      </c>
      <c r="BG92" s="727">
        <f t="shared" si="75"/>
        <v>0</v>
      </c>
      <c r="BH92" s="724">
        <f t="shared" si="75"/>
        <v>0</v>
      </c>
      <c r="BI92" s="725">
        <f t="shared" si="75"/>
        <v>0</v>
      </c>
      <c r="BJ92" s="728">
        <f t="shared" si="75"/>
        <v>0</v>
      </c>
    </row>
    <row r="93" spans="1:62" ht="15" hidden="1" customHeight="1" outlineLevel="1" x14ac:dyDescent="0.2">
      <c r="BA93" s="751"/>
    </row>
    <row r="94" spans="1:62" ht="12.75" hidden="1" customHeight="1" outlineLevel="1" x14ac:dyDescent="0.2">
      <c r="B94" s="195" t="s">
        <v>2866</v>
      </c>
      <c r="C94" s="196"/>
      <c r="D94" s="358"/>
      <c r="E94" s="358"/>
      <c r="F94" s="198"/>
      <c r="G94" s="198"/>
      <c r="H94" s="217"/>
      <c r="I94" s="217"/>
      <c r="J94" s="217"/>
      <c r="K94" s="358"/>
      <c r="L94" s="358"/>
      <c r="M94" s="358"/>
      <c r="N94" s="218"/>
      <c r="X94" s="1746" t="s">
        <v>723</v>
      </c>
      <c r="Y94" s="1747"/>
      <c r="Z94" s="1747"/>
      <c r="AA94" s="1747"/>
      <c r="AB94" s="1747"/>
      <c r="AC94" s="1747"/>
      <c r="AD94" s="1748"/>
      <c r="AF94" s="1746" t="s">
        <v>2066</v>
      </c>
      <c r="AG94" s="1747"/>
      <c r="AH94" s="1747"/>
      <c r="AI94" s="1747"/>
      <c r="AJ94" s="1747"/>
      <c r="AK94" s="1747"/>
      <c r="AL94" s="1747"/>
      <c r="AM94" s="1747"/>
      <c r="AN94" s="1747"/>
      <c r="AO94" s="1747"/>
      <c r="AP94" s="1747"/>
      <c r="AQ94" s="1748"/>
      <c r="AS94" s="1755" t="s">
        <v>2073</v>
      </c>
      <c r="AT94" s="1756"/>
      <c r="AU94" s="1756"/>
      <c r="AV94" s="1756"/>
      <c r="AW94" s="1756"/>
      <c r="AX94" s="1756"/>
      <c r="AY94" s="1756"/>
      <c r="AZ94" s="1756"/>
      <c r="BA94" s="1756"/>
      <c r="BB94" s="1756"/>
      <c r="BC94" s="1756"/>
      <c r="BD94" s="1756"/>
      <c r="BE94" s="1756"/>
      <c r="BF94" s="1756"/>
      <c r="BG94" s="1756"/>
      <c r="BH94" s="1756"/>
      <c r="BI94" s="1756"/>
      <c r="BJ94" s="1757"/>
    </row>
    <row r="95" spans="1:62" ht="12.75" hidden="1" customHeight="1" outlineLevel="1" x14ac:dyDescent="0.2">
      <c r="B95" s="417"/>
      <c r="C95" s="225"/>
      <c r="D95" s="361"/>
      <c r="E95" s="361"/>
      <c r="F95" s="214"/>
      <c r="G95" s="201"/>
      <c r="H95" s="234"/>
      <c r="I95" s="234"/>
      <c r="J95" s="234"/>
      <c r="K95" s="361"/>
      <c r="L95" s="361"/>
      <c r="M95" s="361"/>
      <c r="N95" s="427" t="s">
        <v>2639</v>
      </c>
      <c r="X95" s="357"/>
      <c r="Y95" s="358"/>
      <c r="Z95" s="361"/>
      <c r="AA95" s="361"/>
      <c r="AB95" s="361"/>
      <c r="AC95" s="361"/>
      <c r="AD95" s="427" t="s">
        <v>2639</v>
      </c>
      <c r="AF95" s="360"/>
      <c r="AG95" s="361"/>
      <c r="AH95" s="361"/>
      <c r="AI95" s="361"/>
      <c r="AJ95" s="362"/>
      <c r="AK95" s="361" t="s">
        <v>2639</v>
      </c>
      <c r="AL95" s="361"/>
      <c r="AM95" s="361"/>
      <c r="AN95" s="361"/>
      <c r="AO95" s="361"/>
      <c r="AP95" s="362"/>
      <c r="AQ95" s="427" t="s">
        <v>2639</v>
      </c>
      <c r="AS95" s="1758" t="s">
        <v>61</v>
      </c>
      <c r="AT95" s="1759"/>
      <c r="AU95" s="1759"/>
      <c r="AV95" s="1759"/>
      <c r="AW95" s="1759"/>
      <c r="AX95" s="1759"/>
      <c r="AY95" s="1759"/>
      <c r="AZ95" s="1759"/>
      <c r="BA95" s="1759"/>
      <c r="BB95" s="1759"/>
      <c r="BC95" s="1759"/>
      <c r="BD95" s="1759"/>
      <c r="BE95" s="1759" t="s">
        <v>61</v>
      </c>
      <c r="BF95" s="1759"/>
      <c r="BG95" s="1760"/>
      <c r="BH95" s="730"/>
      <c r="BI95" s="785"/>
      <c r="BJ95" s="731"/>
    </row>
    <row r="96" spans="1:62" ht="12.75" hidden="1" customHeight="1" outlineLevel="1" x14ac:dyDescent="0.2">
      <c r="B96" s="200"/>
      <c r="C96" s="201"/>
      <c r="D96" s="362" t="s">
        <v>56</v>
      </c>
      <c r="E96" s="362" t="s">
        <v>56</v>
      </c>
      <c r="F96" s="205" t="s">
        <v>2634</v>
      </c>
      <c r="G96" s="205"/>
      <c r="H96" s="1744" t="s">
        <v>1308</v>
      </c>
      <c r="I96" s="1745"/>
      <c r="J96" s="1745"/>
      <c r="K96" s="361" t="s">
        <v>61</v>
      </c>
      <c r="L96" s="361" t="s">
        <v>61</v>
      </c>
      <c r="M96" s="361" t="s">
        <v>61</v>
      </c>
      <c r="N96" s="427" t="s">
        <v>30</v>
      </c>
      <c r="X96" s="1626" t="s">
        <v>2605</v>
      </c>
      <c r="Y96" s="362" t="s">
        <v>2110</v>
      </c>
      <c r="Z96" s="362" t="s">
        <v>61</v>
      </c>
      <c r="AA96" s="362" t="s">
        <v>61</v>
      </c>
      <c r="AB96" s="362" t="s">
        <v>61</v>
      </c>
      <c r="AC96" s="361" t="s">
        <v>61</v>
      </c>
      <c r="AD96" s="427" t="s">
        <v>30</v>
      </c>
      <c r="AF96" s="204" t="s">
        <v>2065</v>
      </c>
      <c r="AG96" s="362" t="s">
        <v>61</v>
      </c>
      <c r="AH96" s="362" t="s">
        <v>61</v>
      </c>
      <c r="AI96" s="362" t="s">
        <v>61</v>
      </c>
      <c r="AJ96" s="361" t="s">
        <v>61</v>
      </c>
      <c r="AK96" s="362" t="s">
        <v>30</v>
      </c>
      <c r="AL96" s="362" t="s">
        <v>2558</v>
      </c>
      <c r="AM96" s="362" t="s">
        <v>61</v>
      </c>
      <c r="AN96" s="362" t="s">
        <v>61</v>
      </c>
      <c r="AO96" s="362" t="s">
        <v>61</v>
      </c>
      <c r="AP96" s="361" t="s">
        <v>61</v>
      </c>
      <c r="AQ96" s="427" t="s">
        <v>30</v>
      </c>
      <c r="AS96" s="1764" t="s">
        <v>14</v>
      </c>
      <c r="AT96" s="1761"/>
      <c r="AU96" s="1761"/>
      <c r="AV96" s="1761" t="s">
        <v>60</v>
      </c>
      <c r="AW96" s="1761"/>
      <c r="AX96" s="1761"/>
      <c r="AY96" s="1761" t="s">
        <v>27</v>
      </c>
      <c r="AZ96" s="1761"/>
      <c r="BA96" s="1761"/>
      <c r="BB96" s="1761" t="s">
        <v>2074</v>
      </c>
      <c r="BC96" s="1761"/>
      <c r="BD96" s="1761"/>
      <c r="BE96" s="1762" t="s">
        <v>41</v>
      </c>
      <c r="BF96" s="1762"/>
      <c r="BG96" s="1763"/>
      <c r="BH96" s="1764" t="s">
        <v>85</v>
      </c>
      <c r="BI96" s="1761"/>
      <c r="BJ96" s="1765"/>
    </row>
    <row r="97" spans="1:62" ht="12.75" hidden="1" customHeight="1" outlineLevel="1" x14ac:dyDescent="0.2">
      <c r="B97" s="200"/>
      <c r="C97" s="201"/>
      <c r="D97" s="362" t="s">
        <v>61</v>
      </c>
      <c r="E97" s="362" t="s">
        <v>63</v>
      </c>
      <c r="F97" s="208" t="s">
        <v>2054</v>
      </c>
      <c r="G97" s="208" t="s">
        <v>57</v>
      </c>
      <c r="H97" s="270" t="s">
        <v>768</v>
      </c>
      <c r="I97" s="270" t="s">
        <v>24</v>
      </c>
      <c r="J97" s="270" t="s">
        <v>59</v>
      </c>
      <c r="K97" s="363" t="s">
        <v>768</v>
      </c>
      <c r="L97" s="363" t="s">
        <v>24</v>
      </c>
      <c r="M97" s="363" t="s">
        <v>59</v>
      </c>
      <c r="N97" s="427" t="s">
        <v>61</v>
      </c>
      <c r="X97" s="1626" t="s">
        <v>2109</v>
      </c>
      <c r="Y97" s="362"/>
      <c r="Z97" s="270" t="s">
        <v>768</v>
      </c>
      <c r="AA97" s="270" t="s">
        <v>24</v>
      </c>
      <c r="AB97" s="270" t="s">
        <v>59</v>
      </c>
      <c r="AC97" s="361" t="s">
        <v>41</v>
      </c>
      <c r="AD97" s="427" t="s">
        <v>61</v>
      </c>
      <c r="AF97" s="204"/>
      <c r="AG97" s="270" t="s">
        <v>768</v>
      </c>
      <c r="AH97" s="270" t="s">
        <v>24</v>
      </c>
      <c r="AI97" s="270" t="s">
        <v>59</v>
      </c>
      <c r="AJ97" s="223" t="s">
        <v>41</v>
      </c>
      <c r="AK97" s="362" t="s">
        <v>61</v>
      </c>
      <c r="AL97" s="362"/>
      <c r="AM97" s="270" t="s">
        <v>768</v>
      </c>
      <c r="AN97" s="270" t="s">
        <v>24</v>
      </c>
      <c r="AO97" s="270" t="s">
        <v>59</v>
      </c>
      <c r="AP97" s="223" t="s">
        <v>41</v>
      </c>
      <c r="AQ97" s="427" t="s">
        <v>61</v>
      </c>
      <c r="AS97" s="732" t="s">
        <v>768</v>
      </c>
      <c r="AT97" s="733" t="s">
        <v>24</v>
      </c>
      <c r="AU97" s="733" t="s">
        <v>59</v>
      </c>
      <c r="AV97" s="733" t="s">
        <v>768</v>
      </c>
      <c r="AW97" s="733" t="s">
        <v>24</v>
      </c>
      <c r="AX97" s="733" t="s">
        <v>59</v>
      </c>
      <c r="AY97" s="733" t="s">
        <v>768</v>
      </c>
      <c r="AZ97" s="733" t="s">
        <v>24</v>
      </c>
      <c r="BA97" s="733" t="s">
        <v>59</v>
      </c>
      <c r="BB97" s="733" t="s">
        <v>768</v>
      </c>
      <c r="BC97" s="733" t="s">
        <v>24</v>
      </c>
      <c r="BD97" s="733" t="s">
        <v>59</v>
      </c>
      <c r="BE97" s="734" t="s">
        <v>768</v>
      </c>
      <c r="BF97" s="734" t="s">
        <v>24</v>
      </c>
      <c r="BG97" s="735" t="s">
        <v>59</v>
      </c>
      <c r="BH97" s="732" t="s">
        <v>768</v>
      </c>
      <c r="BI97" s="733" t="s">
        <v>24</v>
      </c>
      <c r="BJ97" s="736" t="s">
        <v>59</v>
      </c>
    </row>
    <row r="98" spans="1:62" ht="12.75" hidden="1" customHeight="1" outlineLevel="1" x14ac:dyDescent="0.2">
      <c r="B98" s="200" t="s">
        <v>1360</v>
      </c>
      <c r="C98" s="201"/>
      <c r="D98" s="262">
        <f>SUM(K98:M98)</f>
        <v>0</v>
      </c>
      <c r="E98" s="265">
        <f>D98*12/44</f>
        <v>0</v>
      </c>
      <c r="F98" s="559"/>
      <c r="G98" s="182"/>
      <c r="H98" s="272">
        <f>VLOOKUP(B98,'Emissions factors'!$B$1290:$M$1328,2,FALSE)</f>
        <v>0.16800000000000001</v>
      </c>
      <c r="I98" s="272">
        <f>VLOOKUP(B98,'Emissions factors'!$B$1290:$M$1328,3,FALSE)</f>
        <v>1.47</v>
      </c>
      <c r="J98" s="272">
        <f>IF(LEFT(B98,8)="Régional",0,I98*'Emissions factors'!$C$1285)</f>
        <v>1.47</v>
      </c>
      <c r="K98" s="465">
        <f>G98*H98</f>
        <v>0</v>
      </c>
      <c r="L98" s="465">
        <f>G98*I98</f>
        <v>0</v>
      </c>
      <c r="M98" s="210">
        <f>G98*J98</f>
        <v>0</v>
      </c>
      <c r="N98" s="222">
        <f>IF(OR(F98='Info utili'!$G$532,F98='Info utili'!$G$537),L98,0)</f>
        <v>0</v>
      </c>
      <c r="X98" s="282">
        <f>VLOOKUP(B98,'Emissions factors'!$B$1290:$M$1328,12,FALSE)</f>
        <v>0.2</v>
      </c>
      <c r="Y98" s="183"/>
      <c r="Z98" s="432">
        <f>K98*SQRT(X98^2+Y98^2)</f>
        <v>0</v>
      </c>
      <c r="AA98" s="432">
        <f>L98*SQRT(X98^2+Y98^2)</f>
        <v>0</v>
      </c>
      <c r="AB98" s="221">
        <f>M98*SQRT(X98^2+Y98^2)</f>
        <v>0</v>
      </c>
      <c r="AC98" s="210">
        <f>SQRT(SUMSQ(Z98:AB98))</f>
        <v>0</v>
      </c>
      <c r="AD98" s="222">
        <f>N98*SQRT(X98^2+Y98^2)</f>
        <v>0</v>
      </c>
      <c r="AF98" s="183"/>
      <c r="AG98" s="221">
        <f>AF98*K98</f>
        <v>0</v>
      </c>
      <c r="AH98" s="221">
        <f>AF98*L98</f>
        <v>0</v>
      </c>
      <c r="AI98" s="221">
        <f>AF98*M98</f>
        <v>0</v>
      </c>
      <c r="AJ98" s="210">
        <f>SUM(AG98:AI98)</f>
        <v>0</v>
      </c>
      <c r="AK98" s="221">
        <f>AF98*N98</f>
        <v>0</v>
      </c>
      <c r="AL98" s="183"/>
      <c r="AM98" s="221">
        <f>AL98*K98</f>
        <v>0</v>
      </c>
      <c r="AN98" s="221">
        <f>AL98*L98</f>
        <v>0</v>
      </c>
      <c r="AO98" s="221">
        <f>AL98*M98</f>
        <v>0</v>
      </c>
      <c r="AP98" s="210">
        <f>SUM(AM98:AO98)</f>
        <v>0</v>
      </c>
      <c r="AQ98" s="222">
        <f>AL98*N98</f>
        <v>0</v>
      </c>
      <c r="AS98" s="717">
        <f>G98*VLOOKUP(B98,'Emissions factors'!$B$1290:$M$1328,4,FALSE)</f>
        <v>0</v>
      </c>
      <c r="AT98" s="718">
        <f>G98*VLOOKUP(B98,'Emissions factors'!$B$1290:$M$1328,5,FALSE)</f>
        <v>0</v>
      </c>
      <c r="AU98" s="718"/>
      <c r="AV98" s="718">
        <f>G98*VLOOKUP(B98,'Emissions factors'!$B$1290:$M$1328,6,FALSE)</f>
        <v>0</v>
      </c>
      <c r="AW98" s="718">
        <f>G98*VLOOKUP(B98,'Emissions factors'!$B$1290:$M$1328,7,FALSE)</f>
        <v>0</v>
      </c>
      <c r="AX98" s="718"/>
      <c r="AY98" s="718">
        <f>G98*VLOOKUP(B98,'Emissions factors'!$B$1290:$M$1328,8,FALSE)</f>
        <v>0</v>
      </c>
      <c r="AZ98" s="718">
        <f>G98*VLOOKUP(B98,'Emissions factors'!$B$1290:$M$1328,9,FALSE)</f>
        <v>0</v>
      </c>
      <c r="BA98" s="718"/>
      <c r="BB98" s="718"/>
      <c r="BC98" s="718"/>
      <c r="BD98" s="718">
        <f>M98</f>
        <v>0</v>
      </c>
      <c r="BE98" s="719">
        <f t="shared" ref="BE98:BG100" si="76">K98</f>
        <v>0</v>
      </c>
      <c r="BF98" s="719">
        <f t="shared" si="76"/>
        <v>0</v>
      </c>
      <c r="BG98" s="720">
        <f t="shared" si="76"/>
        <v>0</v>
      </c>
      <c r="BH98" s="717">
        <f>G98*VLOOKUP(B98,'Emissions factors'!$B$1290:$M$1328,10,FALSE)</f>
        <v>0</v>
      </c>
      <c r="BI98" s="718">
        <f>G98*VLOOKUP(B98,'Emissions factors'!$B$1290:$M$1328,11,FALSE)</f>
        <v>0</v>
      </c>
      <c r="BJ98" s="721"/>
    </row>
    <row r="99" spans="1:62" ht="12.75" hidden="1" customHeight="1" outlineLevel="1" x14ac:dyDescent="0.2">
      <c r="B99" s="200" t="s">
        <v>1331</v>
      </c>
      <c r="C99" s="201"/>
      <c r="D99" s="262">
        <f>SUM(K99:M99)</f>
        <v>0</v>
      </c>
      <c r="E99" s="265">
        <f>D99*12/44</f>
        <v>0</v>
      </c>
      <c r="F99" s="442"/>
      <c r="G99" s="185"/>
      <c r="H99" s="272">
        <f>VLOOKUP(B99,'Emissions factors'!$B$1290:$M$1328,2,FALSE)</f>
        <v>0.2989</v>
      </c>
      <c r="I99" s="272">
        <f>VLOOKUP(B99,'Emissions factors'!$B$1290:$M$1328,3,FALSE)</f>
        <v>1.42</v>
      </c>
      <c r="J99" s="272">
        <f>IF(LEFT(B99,8)="Régional",0,I99*'Emissions factors'!$C$1285)</f>
        <v>1.42</v>
      </c>
      <c r="K99" s="465">
        <f>G99*H99</f>
        <v>0</v>
      </c>
      <c r="L99" s="465">
        <f>G99*I99</f>
        <v>0</v>
      </c>
      <c r="M99" s="210">
        <f>G99*J99</f>
        <v>0</v>
      </c>
      <c r="N99" s="222">
        <f>IF(OR(F99='Info utili'!$G$532,F99='Info utili'!$G$537),L99,0)</f>
        <v>0</v>
      </c>
      <c r="X99" s="282">
        <f>VLOOKUP(B99,'Emissions factors'!$B$1290:$M$1328,12,FALSE)</f>
        <v>0.5</v>
      </c>
      <c r="Y99" s="186"/>
      <c r="Z99" s="432">
        <f>K99*SQRT(X99^2+Y99^2)</f>
        <v>0</v>
      </c>
      <c r="AA99" s="432">
        <f>L99*SQRT(X99^2+Y99^2)</f>
        <v>0</v>
      </c>
      <c r="AB99" s="221">
        <f>M99*SQRT(X99^2+Y99^2)</f>
        <v>0</v>
      </c>
      <c r="AC99" s="210">
        <f>SQRT(SUMSQ(Z99:AB99))</f>
        <v>0</v>
      </c>
      <c r="AD99" s="222">
        <f>N99*SQRT(X99^2+Y99^2)</f>
        <v>0</v>
      </c>
      <c r="AF99" s="186"/>
      <c r="AG99" s="221">
        <f>AF99*K99</f>
        <v>0</v>
      </c>
      <c r="AH99" s="221">
        <f>AF99*L99</f>
        <v>0</v>
      </c>
      <c r="AI99" s="221">
        <f>AF99*M99</f>
        <v>0</v>
      </c>
      <c r="AJ99" s="210">
        <f>SUM(AG99:AI99)</f>
        <v>0</v>
      </c>
      <c r="AK99" s="221">
        <f>AF99*N99</f>
        <v>0</v>
      </c>
      <c r="AL99" s="186"/>
      <c r="AM99" s="221">
        <f>AL99*K99</f>
        <v>0</v>
      </c>
      <c r="AN99" s="221">
        <f>AL99*L99</f>
        <v>0</v>
      </c>
      <c r="AO99" s="221">
        <f>AL99*M99</f>
        <v>0</v>
      </c>
      <c r="AP99" s="210">
        <f>SUM(AM99:AO99)</f>
        <v>0</v>
      </c>
      <c r="AQ99" s="222">
        <f>AL99*N99</f>
        <v>0</v>
      </c>
      <c r="AS99" s="717">
        <f>G99*VLOOKUP(B99,'Emissions factors'!$B$1290:$M$1328,4,FALSE)</f>
        <v>0</v>
      </c>
      <c r="AT99" s="718">
        <f>G99*VLOOKUP(B99,'Emissions factors'!$B$1290:$M$1328,5,FALSE)</f>
        <v>0</v>
      </c>
      <c r="AU99" s="718"/>
      <c r="AV99" s="718">
        <f>G99*VLOOKUP(B99,'Emissions factors'!$B$1290:$M$1328,6,FALSE)</f>
        <v>0</v>
      </c>
      <c r="AW99" s="718">
        <f>G99*VLOOKUP(B99,'Emissions factors'!$B$1290:$M$1328,7,FALSE)</f>
        <v>0</v>
      </c>
      <c r="AX99" s="718"/>
      <c r="AY99" s="718">
        <f>G99*VLOOKUP(B99,'Emissions factors'!$B$1290:$M$1328,8,FALSE)</f>
        <v>0</v>
      </c>
      <c r="AZ99" s="718">
        <f>G99*VLOOKUP(B99,'Emissions factors'!$B$1290:$M$1328,9,FALSE)</f>
        <v>0</v>
      </c>
      <c r="BA99" s="718"/>
      <c r="BB99" s="718"/>
      <c r="BC99" s="718"/>
      <c r="BD99" s="718">
        <f>M99</f>
        <v>0</v>
      </c>
      <c r="BE99" s="719">
        <f t="shared" si="76"/>
        <v>0</v>
      </c>
      <c r="BF99" s="719">
        <f t="shared" si="76"/>
        <v>0</v>
      </c>
      <c r="BG99" s="720">
        <f t="shared" si="76"/>
        <v>0</v>
      </c>
      <c r="BH99" s="717">
        <f>G99*VLOOKUP(B99,'Emissions factors'!$B$1290:$M$1328,10,FALSE)</f>
        <v>0</v>
      </c>
      <c r="BI99" s="718">
        <f>G99*VLOOKUP(B99,'Emissions factors'!$B$1290:$M$1328,11,FALSE)</f>
        <v>0</v>
      </c>
      <c r="BJ99" s="721"/>
    </row>
    <row r="100" spans="1:62" s="191" customFormat="1" ht="15" hidden="1" customHeight="1" outlineLevel="1" x14ac:dyDescent="0.2">
      <c r="A100" s="40"/>
      <c r="B100" s="200" t="s">
        <v>1357</v>
      </c>
      <c r="C100" s="201"/>
      <c r="D100" s="262">
        <f>SUM(K100:M100)</f>
        <v>0</v>
      </c>
      <c r="E100" s="265">
        <f>D100*12/44</f>
        <v>0</v>
      </c>
      <c r="F100" s="443"/>
      <c r="G100" s="188"/>
      <c r="H100" s="272">
        <f>VLOOKUP(B100,'Emissions factors'!$B$1290:$M$1328,2,FALSE)</f>
        <v>0.21249999999999999</v>
      </c>
      <c r="I100" s="272">
        <f>VLOOKUP(B100,'Emissions factors'!$B$1290:$M$1328,3,FALSE)</f>
        <v>1.01</v>
      </c>
      <c r="J100" s="272">
        <f>IF(LEFT(B100,8)="Régional",0,I100*'Emissions factors'!$C$1285)</f>
        <v>1.01</v>
      </c>
      <c r="K100" s="465">
        <f>G100*H100</f>
        <v>0</v>
      </c>
      <c r="L100" s="465">
        <f>G100*I100</f>
        <v>0</v>
      </c>
      <c r="M100" s="210">
        <f>G100*J100</f>
        <v>0</v>
      </c>
      <c r="N100" s="222">
        <f>IF(OR(F100='Info utili'!$G$532,F100='Info utili'!$G$537),L100,0)</f>
        <v>0</v>
      </c>
      <c r="O100" s="40"/>
      <c r="P100" s="40"/>
      <c r="Q100" s="40"/>
      <c r="R100" s="40"/>
      <c r="S100" s="40"/>
      <c r="T100" s="40"/>
      <c r="U100" s="40"/>
      <c r="V100" s="40"/>
      <c r="W100" s="40"/>
      <c r="X100" s="282">
        <f>VLOOKUP(B100,'Emissions factors'!$B$1290:$M$1328,12,FALSE)</f>
        <v>0.5</v>
      </c>
      <c r="Y100" s="189"/>
      <c r="Z100" s="432">
        <f>K100*SQRT(X100^2+Y100^2)</f>
        <v>0</v>
      </c>
      <c r="AA100" s="432">
        <f>L100*SQRT(X100^2+Y100^2)</f>
        <v>0</v>
      </c>
      <c r="AB100" s="221">
        <f>M100*SQRT(X100^2+Y100^2)</f>
        <v>0</v>
      </c>
      <c r="AC100" s="210">
        <f>SQRT(SUMSQ(Z100:AB100))</f>
        <v>0</v>
      </c>
      <c r="AD100" s="222">
        <f>N100*SQRT(X100^2+Y100^2)</f>
        <v>0</v>
      </c>
      <c r="AE100" s="40"/>
      <c r="AF100" s="189"/>
      <c r="AG100" s="221">
        <f>AF100*K100</f>
        <v>0</v>
      </c>
      <c r="AH100" s="221">
        <f>AF100*L100</f>
        <v>0</v>
      </c>
      <c r="AI100" s="221">
        <f>AF100*M100</f>
        <v>0</v>
      </c>
      <c r="AJ100" s="210">
        <f>SUM(AG100:AI100)</f>
        <v>0</v>
      </c>
      <c r="AK100" s="221">
        <f>AF100*N100</f>
        <v>0</v>
      </c>
      <c r="AL100" s="189"/>
      <c r="AM100" s="221">
        <f>AL100*K100</f>
        <v>0</v>
      </c>
      <c r="AN100" s="221">
        <f>AL100*L100</f>
        <v>0</v>
      </c>
      <c r="AO100" s="221">
        <f>AL100*M100</f>
        <v>0</v>
      </c>
      <c r="AP100" s="210">
        <f>SUM(AM100:AO100)</f>
        <v>0</v>
      </c>
      <c r="AQ100" s="222">
        <f>AL100*N100</f>
        <v>0</v>
      </c>
      <c r="AR100" s="40"/>
      <c r="AS100" s="717">
        <f>G100*VLOOKUP(B100,'Emissions factors'!$B$1290:$M$1328,4,FALSE)</f>
        <v>0</v>
      </c>
      <c r="AT100" s="718">
        <f>G100*VLOOKUP(B100,'Emissions factors'!$B$1290:$M$1328,5,FALSE)</f>
        <v>0</v>
      </c>
      <c r="AU100" s="718"/>
      <c r="AV100" s="718">
        <f>G100*VLOOKUP(B100,'Emissions factors'!$B$1290:$M$1328,6,FALSE)</f>
        <v>0</v>
      </c>
      <c r="AW100" s="718">
        <f>G100*VLOOKUP(B100,'Emissions factors'!$B$1290:$M$1328,7,FALSE)</f>
        <v>0</v>
      </c>
      <c r="AX100" s="718"/>
      <c r="AY100" s="718">
        <f>G100*VLOOKUP(B100,'Emissions factors'!$B$1290:$M$1328,8,FALSE)</f>
        <v>0</v>
      </c>
      <c r="AZ100" s="718">
        <f>G100*VLOOKUP(B100,'Emissions factors'!$B$1290:$M$1328,9,FALSE)</f>
        <v>0</v>
      </c>
      <c r="BA100" s="718"/>
      <c r="BB100" s="718"/>
      <c r="BC100" s="718"/>
      <c r="BD100" s="718">
        <f>M100</f>
        <v>0</v>
      </c>
      <c r="BE100" s="719">
        <f t="shared" si="76"/>
        <v>0</v>
      </c>
      <c r="BF100" s="719">
        <f t="shared" si="76"/>
        <v>0</v>
      </c>
      <c r="BG100" s="720">
        <f t="shared" si="76"/>
        <v>0</v>
      </c>
      <c r="BH100" s="717">
        <f>G100*VLOOKUP(B100,'Emissions factors'!$B$1290:$M$1328,10,FALSE)</f>
        <v>0</v>
      </c>
      <c r="BI100" s="718">
        <f>G100*VLOOKUP(B100,'Emissions factors'!$B$1290:$M$1328,11,FALSE)</f>
        <v>0</v>
      </c>
      <c r="BJ100" s="721"/>
    </row>
    <row r="101" spans="1:62" ht="12.75" hidden="1" customHeight="1" outlineLevel="1" x14ac:dyDescent="0.2">
      <c r="B101" s="213"/>
      <c r="C101" s="214"/>
      <c r="D101" s="275"/>
      <c r="E101" s="268"/>
      <c r="F101" s="214"/>
      <c r="G101" s="214"/>
      <c r="H101" s="214"/>
      <c r="I101" s="214"/>
      <c r="J101" s="214"/>
      <c r="K101" s="214"/>
      <c r="L101" s="214"/>
      <c r="M101" s="227"/>
      <c r="N101" s="466"/>
      <c r="X101" s="213"/>
      <c r="Y101" s="214"/>
      <c r="Z101" s="214"/>
      <c r="AA101" s="214"/>
      <c r="AB101" s="227"/>
      <c r="AC101" s="201"/>
      <c r="AD101" s="466"/>
      <c r="AF101" s="213"/>
      <c r="AG101" s="214"/>
      <c r="AH101" s="214"/>
      <c r="AI101" s="214"/>
      <c r="AJ101" s="201"/>
      <c r="AK101" s="413"/>
      <c r="AL101" s="214"/>
      <c r="AM101" s="214"/>
      <c r="AN101" s="214"/>
      <c r="AO101" s="214"/>
      <c r="AP101" s="201"/>
      <c r="AQ101" s="466"/>
      <c r="AS101" s="717"/>
      <c r="AT101" s="718"/>
      <c r="AU101" s="718"/>
      <c r="AV101" s="718"/>
      <c r="AW101" s="718"/>
      <c r="AX101" s="718"/>
      <c r="AY101" s="718"/>
      <c r="AZ101" s="718"/>
      <c r="BA101" s="718"/>
      <c r="BB101" s="718"/>
      <c r="BC101" s="718"/>
      <c r="BD101" s="718"/>
      <c r="BE101" s="719"/>
      <c r="BF101" s="719"/>
      <c r="BG101" s="720"/>
      <c r="BH101" s="722"/>
      <c r="BI101" s="786"/>
      <c r="BJ101" s="723"/>
    </row>
    <row r="102" spans="1:62" ht="12.75" hidden="1" customHeight="1" outlineLevel="1" x14ac:dyDescent="0.2">
      <c r="B102" s="484" t="s">
        <v>44</v>
      </c>
      <c r="C102" s="485"/>
      <c r="D102" s="264">
        <f>SUM(D98:D101)</f>
        <v>0</v>
      </c>
      <c r="E102" s="267">
        <f>SUM(E98:E101)</f>
        <v>0</v>
      </c>
      <c r="F102" s="459"/>
      <c r="G102" s="459"/>
      <c r="H102" s="459"/>
      <c r="I102" s="459"/>
      <c r="J102" s="459"/>
      <c r="K102" s="460">
        <f>SUM(K98:K101)</f>
        <v>0</v>
      </c>
      <c r="L102" s="460">
        <f>SUM(L98:L101)</f>
        <v>0</v>
      </c>
      <c r="M102" s="460">
        <f>SUM(M98:M101)</f>
        <v>0</v>
      </c>
      <c r="N102" s="486">
        <f>SUM(N98:N101)</f>
        <v>0</v>
      </c>
      <c r="X102" s="258"/>
      <c r="Y102" s="256"/>
      <c r="Z102" s="260">
        <f>SQRT(SUMSQ(Z98:Z101))</f>
        <v>0</v>
      </c>
      <c r="AA102" s="260">
        <f>SQRT(SUMSQ(AA98:AA101))</f>
        <v>0</v>
      </c>
      <c r="AB102" s="260">
        <f>SQRT(SUMSQ(AB98:AB101))</f>
        <v>0</v>
      </c>
      <c r="AC102" s="259">
        <f>SQRT(SUMSQ(AC98:AC101))</f>
        <v>0</v>
      </c>
      <c r="AD102" s="428">
        <f>SQRT(SUMSQ(AD98:AD101))</f>
        <v>0</v>
      </c>
      <c r="AF102" s="258"/>
      <c r="AG102" s="260">
        <f>SUM(AG98:AG101)</f>
        <v>0</v>
      </c>
      <c r="AH102" s="260">
        <f>SUM(AH98:AH101)</f>
        <v>0</v>
      </c>
      <c r="AI102" s="260">
        <f>SUM(AI98:AI101)</f>
        <v>0</v>
      </c>
      <c r="AJ102" s="259">
        <f>SUM(AJ98:AJ101)</f>
        <v>0</v>
      </c>
      <c r="AK102" s="260">
        <f>SUM(AK98:AK101)</f>
        <v>0</v>
      </c>
      <c r="AL102" s="256"/>
      <c r="AM102" s="260">
        <f>SUM(AM98:AM101)</f>
        <v>0</v>
      </c>
      <c r="AN102" s="260">
        <f>SUM(AN98:AN101)</f>
        <v>0</v>
      </c>
      <c r="AO102" s="260">
        <f>SUM(AO98:AO101)</f>
        <v>0</v>
      </c>
      <c r="AP102" s="259">
        <f>SUM(AP98:AP101)</f>
        <v>0</v>
      </c>
      <c r="AQ102" s="428">
        <f>SUM(AQ98:AQ101)</f>
        <v>0</v>
      </c>
      <c r="AS102" s="724">
        <f t="shared" ref="AS102:BJ102" si="77">SUM(AS98:AS101)</f>
        <v>0</v>
      </c>
      <c r="AT102" s="725">
        <f t="shared" si="77"/>
        <v>0</v>
      </c>
      <c r="AU102" s="725">
        <f t="shared" si="77"/>
        <v>0</v>
      </c>
      <c r="AV102" s="725">
        <f t="shared" si="77"/>
        <v>0</v>
      </c>
      <c r="AW102" s="725">
        <f t="shared" si="77"/>
        <v>0</v>
      </c>
      <c r="AX102" s="725">
        <f t="shared" si="77"/>
        <v>0</v>
      </c>
      <c r="AY102" s="725">
        <f t="shared" si="77"/>
        <v>0</v>
      </c>
      <c r="AZ102" s="725">
        <f t="shared" si="77"/>
        <v>0</v>
      </c>
      <c r="BA102" s="725">
        <f t="shared" si="77"/>
        <v>0</v>
      </c>
      <c r="BB102" s="725">
        <f t="shared" si="77"/>
        <v>0</v>
      </c>
      <c r="BC102" s="725">
        <f t="shared" si="77"/>
        <v>0</v>
      </c>
      <c r="BD102" s="725">
        <f t="shared" si="77"/>
        <v>0</v>
      </c>
      <c r="BE102" s="726">
        <f t="shared" si="77"/>
        <v>0</v>
      </c>
      <c r="BF102" s="726">
        <f t="shared" si="77"/>
        <v>0</v>
      </c>
      <c r="BG102" s="727">
        <f t="shared" si="77"/>
        <v>0</v>
      </c>
      <c r="BH102" s="724">
        <f t="shared" si="77"/>
        <v>0</v>
      </c>
      <c r="BI102" s="725">
        <f t="shared" si="77"/>
        <v>0</v>
      </c>
      <c r="BJ102" s="728">
        <f t="shared" si="77"/>
        <v>0</v>
      </c>
    </row>
    <row r="103" spans="1:62" ht="12.75" hidden="1" customHeight="1" outlineLevel="1" x14ac:dyDescent="0.2">
      <c r="AR103" s="191"/>
    </row>
    <row r="104" spans="1:62" ht="16" collapsed="1" x14ac:dyDescent="0.2">
      <c r="BC104" s="751"/>
    </row>
    <row r="105" spans="1:62" ht="15.75" customHeight="1" collapsed="1" x14ac:dyDescent="0.2">
      <c r="B105" s="1795" t="s">
        <v>2883</v>
      </c>
      <c r="C105" s="1795"/>
      <c r="D105" s="1795"/>
      <c r="E105" s="1795"/>
      <c r="F105" s="1795"/>
      <c r="G105" s="1795"/>
      <c r="H105" s="1795"/>
      <c r="I105" s="1795"/>
      <c r="J105" s="1795"/>
      <c r="K105" s="1795"/>
      <c r="L105" s="1795"/>
      <c r="M105" s="1795"/>
      <c r="N105" s="1795"/>
      <c r="O105" s="1795"/>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91"/>
      <c r="AL105" s="191"/>
      <c r="AM105" s="191"/>
      <c r="AN105" s="191"/>
      <c r="AO105" s="191"/>
      <c r="AP105" s="191"/>
      <c r="AQ105" s="191"/>
      <c r="BC105" s="751"/>
    </row>
    <row r="106" spans="1:62" ht="12.75" hidden="1" customHeight="1" outlineLevel="1" x14ac:dyDescent="0.2"/>
    <row r="107" spans="1:62" ht="12.75" hidden="1" customHeight="1" outlineLevel="1" x14ac:dyDescent="0.2">
      <c r="B107" s="195" t="s">
        <v>2867</v>
      </c>
      <c r="C107" s="196"/>
      <c r="D107" s="196"/>
      <c r="E107" s="196"/>
      <c r="F107" s="196"/>
      <c r="G107" s="198"/>
      <c r="H107" s="198"/>
      <c r="I107" s="199"/>
      <c r="K107" s="321"/>
      <c r="L107" s="321"/>
      <c r="M107" s="321"/>
      <c r="N107" s="321"/>
      <c r="O107" s="321"/>
      <c r="P107" s="321"/>
      <c r="Q107" s="321"/>
      <c r="R107" s="321"/>
      <c r="S107" s="321"/>
      <c r="X107" s="1746" t="s">
        <v>723</v>
      </c>
      <c r="Y107" s="1747"/>
      <c r="Z107" s="1748"/>
      <c r="AF107" s="1746" t="s">
        <v>2066</v>
      </c>
      <c r="AG107" s="1747"/>
      <c r="AH107" s="1747"/>
      <c r="AI107" s="1748"/>
      <c r="AS107" s="1755" t="s">
        <v>2073</v>
      </c>
      <c r="AT107" s="1756"/>
      <c r="AU107" s="1756"/>
      <c r="AV107" s="1756"/>
      <c r="AW107" s="1756"/>
      <c r="AX107" s="1757"/>
    </row>
    <row r="108" spans="1:62" ht="12.75" hidden="1" customHeight="1" outlineLevel="1" x14ac:dyDescent="0.2">
      <c r="B108" s="200"/>
      <c r="C108" s="201"/>
      <c r="D108" s="361"/>
      <c r="E108" s="361"/>
      <c r="F108" s="201"/>
      <c r="G108" s="201"/>
      <c r="H108" s="201"/>
      <c r="I108" s="203"/>
      <c r="K108" s="321"/>
      <c r="T108" s="321"/>
      <c r="X108" s="204"/>
      <c r="Y108" s="362"/>
      <c r="Z108" s="203"/>
      <c r="AA108" s="321"/>
      <c r="AF108" s="204"/>
      <c r="AG108" s="362"/>
      <c r="AH108" s="362"/>
      <c r="AI108" s="203"/>
      <c r="AS108" s="787"/>
      <c r="AT108" s="788"/>
      <c r="AU108" s="788"/>
      <c r="AV108" s="788"/>
      <c r="AW108" s="739"/>
      <c r="AX108" s="780"/>
      <c r="AY108" s="605"/>
      <c r="AZ108" s="605"/>
      <c r="BA108" s="605"/>
    </row>
    <row r="109" spans="1:62" ht="12.75" hidden="1" customHeight="1" outlineLevel="1" x14ac:dyDescent="0.2">
      <c r="B109" s="204"/>
      <c r="C109" s="362"/>
      <c r="D109" s="362" t="s">
        <v>56</v>
      </c>
      <c r="E109" s="362" t="s">
        <v>56</v>
      </c>
      <c r="F109" s="205" t="s">
        <v>2634</v>
      </c>
      <c r="G109" s="205" t="s">
        <v>2053</v>
      </c>
      <c r="H109" s="1627" t="s">
        <v>61</v>
      </c>
      <c r="I109" s="207" t="s">
        <v>61</v>
      </c>
      <c r="K109" s="321"/>
      <c r="T109" s="321"/>
      <c r="X109" s="1626" t="s">
        <v>2605</v>
      </c>
      <c r="Y109" s="362" t="s">
        <v>2110</v>
      </c>
      <c r="Z109" s="207" t="s">
        <v>61</v>
      </c>
      <c r="AA109" s="321"/>
      <c r="AF109" s="204" t="s">
        <v>2065</v>
      </c>
      <c r="AG109" s="361" t="s">
        <v>61</v>
      </c>
      <c r="AH109" s="362" t="s">
        <v>2558</v>
      </c>
      <c r="AI109" s="207" t="s">
        <v>61</v>
      </c>
      <c r="AS109" s="1739" t="s">
        <v>61</v>
      </c>
      <c r="AT109" s="1740"/>
      <c r="AU109" s="1740"/>
      <c r="AV109" s="1740"/>
      <c r="AW109" s="741" t="s">
        <v>61</v>
      </c>
      <c r="AX109" s="742"/>
      <c r="BB109" s="743"/>
    </row>
    <row r="110" spans="1:62" ht="12.75" hidden="1" customHeight="1" outlineLevel="1" x14ac:dyDescent="0.2">
      <c r="B110" s="204"/>
      <c r="C110" s="362"/>
      <c r="D110" s="362" t="s">
        <v>61</v>
      </c>
      <c r="E110" s="362" t="s">
        <v>63</v>
      </c>
      <c r="F110" s="208" t="s">
        <v>2054</v>
      </c>
      <c r="G110" s="212" t="s">
        <v>74</v>
      </c>
      <c r="H110" s="362" t="s">
        <v>2057</v>
      </c>
      <c r="I110" s="207"/>
      <c r="K110" s="321"/>
      <c r="T110" s="321"/>
      <c r="X110" s="1626" t="s">
        <v>2109</v>
      </c>
      <c r="Y110" s="362"/>
      <c r="Z110" s="207"/>
      <c r="AA110" s="321"/>
      <c r="AF110" s="204"/>
      <c r="AG110" s="361"/>
      <c r="AH110" s="362"/>
      <c r="AI110" s="207"/>
      <c r="AS110" s="744" t="s">
        <v>14</v>
      </c>
      <c r="AT110" s="745" t="s">
        <v>60</v>
      </c>
      <c r="AU110" s="745" t="s">
        <v>27</v>
      </c>
      <c r="AV110" s="745" t="s">
        <v>2074</v>
      </c>
      <c r="AW110" s="746" t="s">
        <v>41</v>
      </c>
      <c r="AX110" s="747" t="s">
        <v>85</v>
      </c>
      <c r="BB110" s="743"/>
    </row>
    <row r="111" spans="1:62" ht="12.75" hidden="1" customHeight="1" outlineLevel="1" x14ac:dyDescent="0.2">
      <c r="B111" s="471" t="s">
        <v>2647</v>
      </c>
      <c r="C111" s="472"/>
      <c r="D111" s="262">
        <f>I111</f>
        <v>0</v>
      </c>
      <c r="E111" s="265">
        <f>D111*12/44</f>
        <v>0</v>
      </c>
      <c r="F111" s="325"/>
      <c r="G111" s="325"/>
      <c r="H111" s="272">
        <f>IF(ISNA(VLOOKUP("Transports - "&amp;Description!D4&amp;" [1]",'Emissions factors'!$B$615:$D$684,2,FALSE)),'Emissions factors'!$C$682+'Emissions factors'!$D$682,VLOOKUP("Transports - "&amp;Description!D4&amp;" [1]",'Emissions factors'!$B$615:$D$684,2,FALSE)+VLOOKUP("Transports - "&amp;Description!D4&amp;" [1]",'Emissions factors'!$B$615:$D$684,3,FALSE))</f>
        <v>0.107</v>
      </c>
      <c r="I111" s="211">
        <f>G111*H111</f>
        <v>0</v>
      </c>
      <c r="K111" s="321"/>
      <c r="T111" s="321"/>
      <c r="X111" s="282">
        <f>'Emissions factors'!$F$682</f>
        <v>0.3</v>
      </c>
      <c r="Y111" s="326"/>
      <c r="Z111" s="222">
        <f>I111*SQRT(X111^2+Y111^2)</f>
        <v>0</v>
      </c>
      <c r="AA111" s="321"/>
      <c r="AF111" s="327"/>
      <c r="AG111" s="221">
        <f>AF111*I111</f>
        <v>0</v>
      </c>
      <c r="AH111" s="327"/>
      <c r="AI111" s="222">
        <f>AH111*I111</f>
        <v>0</v>
      </c>
      <c r="AS111" s="717"/>
      <c r="AT111" s="718"/>
      <c r="AU111" s="718"/>
      <c r="AV111" s="718"/>
      <c r="AW111" s="720">
        <f>I111</f>
        <v>0</v>
      </c>
      <c r="AX111" s="748"/>
    </row>
    <row r="112" spans="1:62" ht="12.75" hidden="1" customHeight="1" outlineLevel="1" x14ac:dyDescent="0.2">
      <c r="B112" s="471"/>
      <c r="C112" s="472"/>
      <c r="D112" s="491"/>
      <c r="E112" s="498"/>
      <c r="F112" s="472"/>
      <c r="G112" s="221"/>
      <c r="H112" s="209"/>
      <c r="I112" s="211"/>
      <c r="K112" s="321"/>
      <c r="T112" s="321"/>
      <c r="X112" s="200"/>
      <c r="Y112" s="201"/>
      <c r="Z112" s="222"/>
      <c r="AA112" s="321"/>
      <c r="AF112" s="200"/>
      <c r="AG112" s="362"/>
      <c r="AH112" s="201"/>
      <c r="AI112" s="222"/>
      <c r="AS112" s="717"/>
      <c r="AT112" s="718"/>
      <c r="AU112" s="718"/>
      <c r="AV112" s="718"/>
      <c r="AW112" s="720"/>
      <c r="AX112" s="749"/>
    </row>
    <row r="113" spans="1:62" s="32" customFormat="1" ht="12.75" hidden="1" customHeight="1" outlineLevel="1" x14ac:dyDescent="0.2">
      <c r="A113" s="40"/>
      <c r="B113" s="253" t="s">
        <v>44</v>
      </c>
      <c r="C113" s="254"/>
      <c r="D113" s="264">
        <f>SUM(D111:D112)</f>
        <v>0</v>
      </c>
      <c r="E113" s="267">
        <f>SUM(E111:E112)</f>
        <v>0</v>
      </c>
      <c r="F113" s="255"/>
      <c r="G113" s="256"/>
      <c r="H113" s="256"/>
      <c r="I113" s="257">
        <f>SUM(I111:I112)</f>
        <v>0</v>
      </c>
      <c r="J113" s="40"/>
      <c r="K113" s="321"/>
      <c r="L113" s="40"/>
      <c r="M113" s="40"/>
      <c r="N113" s="40"/>
      <c r="O113" s="40"/>
      <c r="P113" s="40"/>
      <c r="Q113" s="40"/>
      <c r="R113" s="40"/>
      <c r="S113" s="40"/>
      <c r="T113" s="321"/>
      <c r="U113" s="40"/>
      <c r="V113" s="40"/>
      <c r="W113" s="40"/>
      <c r="X113" s="258"/>
      <c r="Y113" s="256"/>
      <c r="Z113" s="257">
        <f>SQRT(SUMSQ(Z111:Z112))</f>
        <v>0</v>
      </c>
      <c r="AA113" s="321"/>
      <c r="AB113" s="40"/>
      <c r="AC113" s="40"/>
      <c r="AD113" s="40"/>
      <c r="AE113" s="40"/>
      <c r="AF113" s="258"/>
      <c r="AG113" s="259">
        <f>SUM(AG111:AG112)</f>
        <v>0</v>
      </c>
      <c r="AH113" s="256"/>
      <c r="AI113" s="257">
        <f>SUM(AI111:AI112)</f>
        <v>0</v>
      </c>
      <c r="AJ113" s="40"/>
      <c r="AK113" s="40"/>
      <c r="AL113" s="40"/>
      <c r="AM113" s="40"/>
      <c r="AN113" s="40"/>
      <c r="AO113" s="40"/>
      <c r="AP113" s="40"/>
      <c r="AQ113" s="40"/>
      <c r="AR113" s="40"/>
      <c r="AS113" s="724">
        <f t="shared" ref="AS113:AX113" si="78">SUM(AS111:AS112)</f>
        <v>0</v>
      </c>
      <c r="AT113" s="725">
        <f t="shared" si="78"/>
        <v>0</v>
      </c>
      <c r="AU113" s="725">
        <f t="shared" si="78"/>
        <v>0</v>
      </c>
      <c r="AV113" s="725">
        <f t="shared" si="78"/>
        <v>0</v>
      </c>
      <c r="AW113" s="727">
        <f t="shared" si="78"/>
        <v>0</v>
      </c>
      <c r="AX113" s="750">
        <f t="shared" si="78"/>
        <v>0</v>
      </c>
      <c r="AY113" s="602"/>
      <c r="AZ113" s="602"/>
      <c r="BA113" s="602"/>
      <c r="BB113" s="602"/>
      <c r="BC113" s="602"/>
      <c r="BD113" s="743"/>
      <c r="BE113" s="743"/>
      <c r="BF113" s="743"/>
      <c r="BG113" s="743"/>
      <c r="BH113" s="743"/>
      <c r="BI113" s="743"/>
      <c r="BJ113" s="743"/>
    </row>
    <row r="114" spans="1:62" s="32" customFormat="1" ht="12.75" hidden="1" customHeight="1" outlineLevel="1" x14ac:dyDescent="0.2">
      <c r="A114" s="40"/>
      <c r="B114" s="42"/>
      <c r="C114" s="42"/>
      <c r="D114" s="40"/>
      <c r="E114" s="40"/>
      <c r="F114" s="42"/>
      <c r="G114" s="42"/>
      <c r="H114" s="324"/>
      <c r="I114" s="42"/>
      <c r="J114" s="42"/>
      <c r="K114" s="40"/>
      <c r="L114" s="40"/>
      <c r="M114" s="40"/>
      <c r="N114" s="40"/>
      <c r="O114" s="40"/>
      <c r="P114" s="40"/>
      <c r="Q114" s="40"/>
      <c r="R114" s="40"/>
      <c r="S114" s="40"/>
      <c r="T114" s="40"/>
      <c r="U114" s="40"/>
      <c r="V114" s="40"/>
      <c r="W114" s="40"/>
      <c r="X114" s="42"/>
      <c r="Y114" s="42"/>
      <c r="Z114" s="321"/>
      <c r="AA114" s="321"/>
      <c r="AB114" s="40"/>
      <c r="AC114" s="40"/>
      <c r="AD114" s="40"/>
      <c r="AE114" s="40"/>
      <c r="AF114" s="321"/>
      <c r="AG114" s="321"/>
      <c r="AH114" s="321"/>
      <c r="AI114" s="321"/>
      <c r="AJ114" s="40"/>
      <c r="AK114" s="40"/>
      <c r="AL114" s="40"/>
      <c r="AM114" s="40"/>
      <c r="AN114" s="40"/>
      <c r="AO114" s="40"/>
      <c r="AP114" s="40"/>
      <c r="AQ114" s="40"/>
      <c r="AR114" s="40"/>
      <c r="AS114" s="602"/>
      <c r="AT114" s="602"/>
      <c r="AU114" s="602"/>
      <c r="AV114" s="602"/>
      <c r="AW114" s="602"/>
      <c r="AX114" s="602"/>
      <c r="AY114" s="602"/>
      <c r="AZ114" s="602"/>
      <c r="BA114" s="602"/>
      <c r="BB114" s="605"/>
      <c r="BC114" s="602"/>
      <c r="BD114" s="743"/>
      <c r="BE114" s="743"/>
      <c r="BF114" s="743"/>
      <c r="BG114" s="743"/>
      <c r="BH114" s="743"/>
      <c r="BI114" s="743"/>
      <c r="BJ114" s="743"/>
    </row>
    <row r="115" spans="1:62" ht="12" hidden="1" customHeight="1" outlineLevel="1" x14ac:dyDescent="0.2">
      <c r="B115" s="195" t="s">
        <v>2868</v>
      </c>
      <c r="C115" s="196"/>
      <c r="D115" s="196"/>
      <c r="E115" s="196"/>
      <c r="F115" s="198"/>
      <c r="G115" s="198"/>
      <c r="H115" s="198"/>
      <c r="I115" s="235"/>
      <c r="X115" s="1746" t="s">
        <v>723</v>
      </c>
      <c r="Y115" s="1747"/>
      <c r="Z115" s="1748"/>
      <c r="AB115" s="42"/>
      <c r="AF115" s="1746" t="s">
        <v>2066</v>
      </c>
      <c r="AG115" s="1747"/>
      <c r="AH115" s="1747"/>
      <c r="AI115" s="1748"/>
      <c r="AS115" s="1755" t="s">
        <v>2073</v>
      </c>
      <c r="AT115" s="1756"/>
      <c r="AU115" s="1756"/>
      <c r="AV115" s="1756"/>
      <c r="AW115" s="1756"/>
      <c r="AX115" s="1757"/>
    </row>
    <row r="116" spans="1:62" ht="15" hidden="1" customHeight="1" outlineLevel="1" x14ac:dyDescent="0.2">
      <c r="B116" s="200"/>
      <c r="C116" s="201"/>
      <c r="D116" s="361"/>
      <c r="E116" s="361"/>
      <c r="F116" s="201"/>
      <c r="G116" s="201"/>
      <c r="H116" s="201"/>
      <c r="I116" s="226"/>
      <c r="X116" s="204"/>
      <c r="Y116" s="362"/>
      <c r="Z116" s="203"/>
      <c r="AA116" s="42"/>
      <c r="AF116" s="204"/>
      <c r="AG116" s="362"/>
      <c r="AH116" s="362"/>
      <c r="AI116" s="203"/>
      <c r="AR116" s="32"/>
      <c r="AS116" s="787"/>
      <c r="AT116" s="788"/>
      <c r="AU116" s="788"/>
      <c r="AV116" s="788"/>
      <c r="AW116" s="739"/>
      <c r="AX116" s="780"/>
      <c r="BC116" s="751"/>
    </row>
    <row r="117" spans="1:62" ht="12.75" hidden="1" customHeight="1" outlineLevel="1" x14ac:dyDescent="0.2">
      <c r="B117" s="204"/>
      <c r="C117" s="362"/>
      <c r="D117" s="362" t="s">
        <v>56</v>
      </c>
      <c r="E117" s="362" t="s">
        <v>56</v>
      </c>
      <c r="F117" s="205" t="s">
        <v>2052</v>
      </c>
      <c r="G117" s="205"/>
      <c r="H117" s="1627" t="s">
        <v>849</v>
      </c>
      <c r="I117" s="207" t="s">
        <v>61</v>
      </c>
      <c r="S117" s="32"/>
      <c r="X117" s="1626" t="s">
        <v>2605</v>
      </c>
      <c r="Y117" s="362" t="s">
        <v>2110</v>
      </c>
      <c r="Z117" s="207" t="s">
        <v>61</v>
      </c>
      <c r="AA117" s="42"/>
      <c r="AF117" s="204" t="s">
        <v>2065</v>
      </c>
      <c r="AG117" s="361" t="s">
        <v>61</v>
      </c>
      <c r="AH117" s="362" t="s">
        <v>2558</v>
      </c>
      <c r="AI117" s="207" t="s">
        <v>61</v>
      </c>
      <c r="AR117" s="32"/>
      <c r="AS117" s="1739" t="s">
        <v>61</v>
      </c>
      <c r="AT117" s="1740"/>
      <c r="AU117" s="1740"/>
      <c r="AV117" s="1740"/>
      <c r="AW117" s="741" t="s">
        <v>61</v>
      </c>
      <c r="AX117" s="742"/>
    </row>
    <row r="118" spans="1:62" s="42" customFormat="1" ht="12.75" hidden="1" customHeight="1" outlineLevel="1" x14ac:dyDescent="0.2">
      <c r="A118" s="40"/>
      <c r="B118" s="204"/>
      <c r="C118" s="362"/>
      <c r="D118" s="362" t="s">
        <v>61</v>
      </c>
      <c r="E118" s="362" t="s">
        <v>63</v>
      </c>
      <c r="F118" s="208" t="s">
        <v>37</v>
      </c>
      <c r="G118" s="208" t="s">
        <v>61</v>
      </c>
      <c r="H118" s="1627" t="s">
        <v>2488</v>
      </c>
      <c r="I118" s="207"/>
      <c r="J118" s="32"/>
      <c r="K118" s="32"/>
      <c r="L118" s="32"/>
      <c r="M118" s="32"/>
      <c r="N118" s="32"/>
      <c r="O118" s="32"/>
      <c r="P118" s="32"/>
      <c r="Q118" s="32"/>
      <c r="R118" s="32"/>
      <c r="S118" s="32"/>
      <c r="T118" s="40"/>
      <c r="U118" s="40"/>
      <c r="V118" s="40"/>
      <c r="W118" s="32"/>
      <c r="X118" s="1626" t="s">
        <v>2109</v>
      </c>
      <c r="Y118" s="362"/>
      <c r="Z118" s="207"/>
      <c r="AA118" s="50"/>
      <c r="AB118" s="32"/>
      <c r="AC118" s="32"/>
      <c r="AD118" s="32"/>
      <c r="AE118" s="32"/>
      <c r="AF118" s="204"/>
      <c r="AG118" s="361"/>
      <c r="AH118" s="362"/>
      <c r="AI118" s="207"/>
      <c r="AJ118" s="32"/>
      <c r="AK118" s="32"/>
      <c r="AL118" s="32"/>
      <c r="AM118" s="32"/>
      <c r="AN118" s="32"/>
      <c r="AO118" s="32"/>
      <c r="AP118" s="32"/>
      <c r="AQ118" s="32"/>
      <c r="AR118" s="40"/>
      <c r="AS118" s="744" t="s">
        <v>14</v>
      </c>
      <c r="AT118" s="745" t="s">
        <v>60</v>
      </c>
      <c r="AU118" s="745" t="s">
        <v>27</v>
      </c>
      <c r="AV118" s="745" t="s">
        <v>2074</v>
      </c>
      <c r="AW118" s="746" t="s">
        <v>41</v>
      </c>
      <c r="AX118" s="747" t="s">
        <v>85</v>
      </c>
      <c r="AY118" s="602"/>
      <c r="AZ118" s="602"/>
      <c r="BA118" s="602"/>
      <c r="BB118" s="602"/>
      <c r="BC118" s="602"/>
      <c r="BD118" s="605"/>
      <c r="BE118" s="605"/>
      <c r="BF118" s="605"/>
      <c r="BG118" s="605"/>
      <c r="BH118" s="605"/>
      <c r="BI118" s="605"/>
      <c r="BJ118" s="605"/>
    </row>
    <row r="119" spans="1:62" s="42" customFormat="1" ht="12.75" hidden="1" customHeight="1" outlineLevel="1" x14ac:dyDescent="0.2">
      <c r="A119" s="40"/>
      <c r="B119" s="200" t="s">
        <v>2487</v>
      </c>
      <c r="C119" s="234"/>
      <c r="D119" s="262">
        <f>I119</f>
        <v>0</v>
      </c>
      <c r="E119" s="265">
        <f>D119*12/44</f>
        <v>0</v>
      </c>
      <c r="F119" s="238">
        <f>G111</f>
        <v>0</v>
      </c>
      <c r="G119" s="238">
        <f>I113</f>
        <v>0</v>
      </c>
      <c r="H119" s="281">
        <f>'Emissions factors'!$C$994</f>
        <v>0.1</v>
      </c>
      <c r="I119" s="211">
        <f>G119*H119</f>
        <v>0</v>
      </c>
      <c r="J119" s="32"/>
      <c r="K119" s="32"/>
      <c r="L119" s="32"/>
      <c r="M119" s="32"/>
      <c r="N119" s="32"/>
      <c r="O119" s="32"/>
      <c r="P119" s="32"/>
      <c r="Q119" s="32"/>
      <c r="R119" s="32"/>
      <c r="S119" s="40"/>
      <c r="T119" s="40"/>
      <c r="U119" s="40"/>
      <c r="V119" s="40"/>
      <c r="W119" s="32"/>
      <c r="X119" s="282">
        <f>'Emissions factors'!$D$994</f>
        <v>0.3</v>
      </c>
      <c r="Y119" s="479">
        <f>IF(I113=0,0,Z113/I113)</f>
        <v>0</v>
      </c>
      <c r="Z119" s="222">
        <f>I119*SQRT(X119^2+Y119^2)</f>
        <v>0</v>
      </c>
      <c r="AA119" s="50"/>
      <c r="AB119" s="32"/>
      <c r="AC119" s="32"/>
      <c r="AD119" s="32"/>
      <c r="AE119" s="32"/>
      <c r="AF119" s="476">
        <f>AF111</f>
        <v>0</v>
      </c>
      <c r="AG119" s="221">
        <f>I119*AF119</f>
        <v>0</v>
      </c>
      <c r="AH119" s="476">
        <f>AH111</f>
        <v>0</v>
      </c>
      <c r="AI119" s="222">
        <f>I119*AH119</f>
        <v>0</v>
      </c>
      <c r="AJ119" s="32"/>
      <c r="AK119" s="32"/>
      <c r="AL119" s="32"/>
      <c r="AM119" s="32"/>
      <c r="AN119" s="32"/>
      <c r="AO119" s="32"/>
      <c r="AP119" s="32"/>
      <c r="AQ119" s="32"/>
      <c r="AR119" s="40"/>
      <c r="AS119" s="717">
        <f>AS113*H119</f>
        <v>0</v>
      </c>
      <c r="AT119" s="718">
        <f>AT113*H119</f>
        <v>0</v>
      </c>
      <c r="AU119" s="718">
        <f>AU113*H119</f>
        <v>0</v>
      </c>
      <c r="AV119" s="718">
        <f>AV113*H119</f>
        <v>0</v>
      </c>
      <c r="AW119" s="720">
        <f>I119</f>
        <v>0</v>
      </c>
      <c r="AX119" s="748">
        <f>AX113*H119</f>
        <v>0</v>
      </c>
      <c r="AY119" s="602"/>
      <c r="AZ119" s="602"/>
      <c r="BA119" s="602"/>
      <c r="BB119" s="602"/>
      <c r="BC119" s="602"/>
      <c r="BD119" s="605"/>
      <c r="BE119" s="605"/>
      <c r="BF119" s="605"/>
      <c r="BG119" s="605"/>
      <c r="BH119" s="605"/>
      <c r="BI119" s="605"/>
      <c r="BJ119" s="605"/>
    </row>
    <row r="120" spans="1:62" ht="12.75" hidden="1" customHeight="1" outlineLevel="1" x14ac:dyDescent="0.2">
      <c r="B120" s="200"/>
      <c r="C120" s="201"/>
      <c r="D120" s="491"/>
      <c r="E120" s="498"/>
      <c r="F120" s="201"/>
      <c r="G120" s="201"/>
      <c r="H120" s="201"/>
      <c r="I120" s="211"/>
      <c r="X120" s="200"/>
      <c r="Y120" s="234"/>
      <c r="Z120" s="222"/>
      <c r="AA120" s="42"/>
      <c r="AF120" s="200"/>
      <c r="AG120" s="362"/>
      <c r="AH120" s="201"/>
      <c r="AI120" s="222"/>
      <c r="AS120" s="717"/>
      <c r="AT120" s="718"/>
      <c r="AU120" s="718"/>
      <c r="AV120" s="718"/>
      <c r="AW120" s="720"/>
      <c r="AX120" s="749"/>
    </row>
    <row r="121" spans="1:62" s="32" customFormat="1" ht="15" hidden="1" customHeight="1" outlineLevel="1" x14ac:dyDescent="0.2">
      <c r="A121" s="40"/>
      <c r="B121" s="253" t="s">
        <v>44</v>
      </c>
      <c r="C121" s="254"/>
      <c r="D121" s="264">
        <f>SUM(D119:D120)</f>
        <v>0</v>
      </c>
      <c r="E121" s="267">
        <f>SUM(E119:E120)</f>
        <v>0</v>
      </c>
      <c r="F121" s="256"/>
      <c r="G121" s="256"/>
      <c r="H121" s="256"/>
      <c r="I121" s="257">
        <f>SUM(I119:I120)</f>
        <v>0</v>
      </c>
      <c r="J121" s="40"/>
      <c r="K121" s="40"/>
      <c r="L121" s="40"/>
      <c r="M121" s="40"/>
      <c r="N121" s="40"/>
      <c r="O121" s="40"/>
      <c r="P121" s="40"/>
      <c r="Q121" s="40"/>
      <c r="R121" s="40"/>
      <c r="S121" s="40"/>
      <c r="T121" s="40"/>
      <c r="U121" s="40"/>
      <c r="V121" s="40"/>
      <c r="W121" s="40"/>
      <c r="X121" s="258"/>
      <c r="Y121" s="256"/>
      <c r="Z121" s="257">
        <f>SQRT(SUMSQ(Z119:Z120))</f>
        <v>0</v>
      </c>
      <c r="AA121" s="42"/>
      <c r="AB121" s="40"/>
      <c r="AC121" s="40"/>
      <c r="AD121" s="40"/>
      <c r="AE121" s="40"/>
      <c r="AF121" s="258"/>
      <c r="AG121" s="259">
        <f>SUM(AG119:AG120)</f>
        <v>0</v>
      </c>
      <c r="AH121" s="256"/>
      <c r="AI121" s="257">
        <f>SUM(AI119:AI120)</f>
        <v>0</v>
      </c>
      <c r="AJ121" s="40"/>
      <c r="AK121" s="40"/>
      <c r="AL121" s="40"/>
      <c r="AM121" s="40"/>
      <c r="AN121" s="40"/>
      <c r="AO121" s="40"/>
      <c r="AP121" s="40"/>
      <c r="AQ121" s="40"/>
      <c r="AR121" s="42"/>
      <c r="AS121" s="724">
        <f t="shared" ref="AS121:AX121" si="79">SUM(AS119:AS120)</f>
        <v>0</v>
      </c>
      <c r="AT121" s="725">
        <f t="shared" si="79"/>
        <v>0</v>
      </c>
      <c r="AU121" s="725">
        <f t="shared" si="79"/>
        <v>0</v>
      </c>
      <c r="AV121" s="725">
        <f t="shared" si="79"/>
        <v>0</v>
      </c>
      <c r="AW121" s="727">
        <f t="shared" si="79"/>
        <v>0</v>
      </c>
      <c r="AX121" s="750">
        <f t="shared" si="79"/>
        <v>0</v>
      </c>
      <c r="AY121" s="751"/>
      <c r="AZ121" s="751"/>
      <c r="BA121" s="751"/>
      <c r="BB121" s="602"/>
      <c r="BC121" s="602"/>
      <c r="BD121" s="743"/>
      <c r="BE121" s="743"/>
      <c r="BF121" s="743"/>
      <c r="BG121" s="743"/>
      <c r="BH121" s="743"/>
      <c r="BI121" s="743"/>
      <c r="BJ121" s="743"/>
    </row>
    <row r="122" spans="1:62" s="32" customFormat="1" ht="12.75" hidden="1" customHeight="1" outlineLevel="1" x14ac:dyDescent="0.2">
      <c r="A122" s="40"/>
      <c r="B122" s="40"/>
      <c r="C122" s="40"/>
      <c r="D122" s="40"/>
      <c r="E122" s="40"/>
      <c r="F122" s="40"/>
      <c r="G122" s="40"/>
      <c r="H122" s="40"/>
      <c r="I122" s="40"/>
      <c r="J122" s="40"/>
      <c r="K122" s="40"/>
      <c r="L122" s="42"/>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605"/>
      <c r="AT122" s="602"/>
      <c r="AU122" s="602"/>
      <c r="AV122" s="602"/>
      <c r="AW122" s="602"/>
      <c r="AX122" s="602"/>
      <c r="AY122" s="602"/>
      <c r="AZ122" s="602"/>
      <c r="BA122" s="602"/>
      <c r="BB122" s="602"/>
      <c r="BC122" s="602"/>
      <c r="BD122" s="602"/>
      <c r="BE122" s="602"/>
      <c r="BF122" s="743"/>
      <c r="BG122" s="743"/>
      <c r="BH122" s="743"/>
      <c r="BI122" s="743"/>
      <c r="BJ122" s="743"/>
    </row>
    <row r="123" spans="1:62" ht="12.75" hidden="1" customHeight="1" outlineLevel="1" x14ac:dyDescent="0.2">
      <c r="B123" s="195" t="s">
        <v>2869</v>
      </c>
      <c r="C123" s="196"/>
      <c r="D123" s="196"/>
      <c r="E123" s="196"/>
      <c r="F123" s="196"/>
      <c r="G123" s="198"/>
      <c r="H123" s="198"/>
      <c r="I123" s="198"/>
      <c r="J123" s="198"/>
      <c r="K123" s="198"/>
      <c r="L123" s="198"/>
      <c r="M123" s="198"/>
      <c r="N123" s="198"/>
      <c r="O123" s="198"/>
      <c r="P123" s="198"/>
      <c r="Q123" s="198"/>
      <c r="R123" s="198"/>
      <c r="S123" s="198"/>
      <c r="T123" s="199"/>
      <c r="U123" s="42"/>
      <c r="V123" s="42"/>
      <c r="W123" s="42"/>
      <c r="X123" s="1746" t="s">
        <v>723</v>
      </c>
      <c r="Y123" s="1747"/>
      <c r="Z123" s="1747"/>
      <c r="AA123" s="1747"/>
      <c r="AB123" s="1748"/>
      <c r="AC123" s="42"/>
      <c r="AD123" s="42"/>
      <c r="AE123" s="42"/>
      <c r="AF123" s="1746" t="s">
        <v>2066</v>
      </c>
      <c r="AG123" s="1747"/>
      <c r="AH123" s="1747"/>
      <c r="AI123" s="1747"/>
      <c r="AJ123" s="1747"/>
      <c r="AK123" s="1747"/>
      <c r="AL123" s="1747"/>
      <c r="AM123" s="1748"/>
      <c r="AN123" s="42"/>
      <c r="AO123" s="42"/>
      <c r="AP123" s="42"/>
      <c r="AQ123" s="42"/>
      <c r="AS123" s="1755" t="s">
        <v>2073</v>
      </c>
      <c r="AT123" s="1756"/>
      <c r="AU123" s="1756"/>
      <c r="AV123" s="1756"/>
      <c r="AW123" s="1756"/>
      <c r="AX123" s="1756"/>
      <c r="AY123" s="1756"/>
      <c r="AZ123" s="1756"/>
      <c r="BA123" s="1756"/>
      <c r="BB123" s="1756"/>
      <c r="BC123" s="1756"/>
      <c r="BD123" s="1757"/>
    </row>
    <row r="124" spans="1:62" ht="12.75" hidden="1" customHeight="1" outlineLevel="1" x14ac:dyDescent="0.2">
      <c r="B124" s="200"/>
      <c r="C124" s="201"/>
      <c r="D124" s="361"/>
      <c r="E124" s="361"/>
      <c r="F124" s="201"/>
      <c r="G124" s="201"/>
      <c r="H124" s="362"/>
      <c r="I124" s="362"/>
      <c r="J124" s="201"/>
      <c r="K124" s="201"/>
      <c r="L124" s="201"/>
      <c r="M124" s="201"/>
      <c r="N124" s="201"/>
      <c r="O124" s="201"/>
      <c r="P124" s="201"/>
      <c r="Q124" s="201"/>
      <c r="R124" s="201"/>
      <c r="S124" s="201"/>
      <c r="T124" s="203"/>
      <c r="U124" s="42"/>
      <c r="X124" s="216"/>
      <c r="Y124" s="217"/>
      <c r="Z124" s="217"/>
      <c r="AA124" s="217"/>
      <c r="AB124" s="218"/>
      <c r="AF124" s="216"/>
      <c r="AG124" s="217"/>
      <c r="AH124" s="217"/>
      <c r="AI124" s="217"/>
      <c r="AJ124" s="217"/>
      <c r="AK124" s="217"/>
      <c r="AL124" s="198"/>
      <c r="AM124" s="199"/>
      <c r="AR124" s="32"/>
      <c r="AS124" s="1758" t="s">
        <v>61</v>
      </c>
      <c r="AT124" s="1759"/>
      <c r="AU124" s="1759"/>
      <c r="AV124" s="1759"/>
      <c r="AW124" s="1759"/>
      <c r="AX124" s="1759"/>
      <c r="AY124" s="1759"/>
      <c r="AZ124" s="1759"/>
      <c r="BA124" s="1740" t="s">
        <v>61</v>
      </c>
      <c r="BB124" s="1836"/>
      <c r="BC124" s="730"/>
      <c r="BD124" s="731"/>
    </row>
    <row r="125" spans="1:62" ht="12.75" hidden="1" customHeight="1" outlineLevel="1" x14ac:dyDescent="0.2">
      <c r="B125" s="204" t="s">
        <v>766</v>
      </c>
      <c r="C125" s="362"/>
      <c r="D125" s="362" t="s">
        <v>56</v>
      </c>
      <c r="E125" s="362" t="s">
        <v>56</v>
      </c>
      <c r="F125" s="205" t="s">
        <v>2634</v>
      </c>
      <c r="G125" s="205" t="s">
        <v>2053</v>
      </c>
      <c r="H125" s="1745" t="s">
        <v>767</v>
      </c>
      <c r="I125" s="1745"/>
      <c r="J125" s="205" t="s">
        <v>2053</v>
      </c>
      <c r="K125" s="1745" t="s">
        <v>769</v>
      </c>
      <c r="L125" s="1745"/>
      <c r="M125" s="205" t="s">
        <v>2053</v>
      </c>
      <c r="N125" s="1745" t="s">
        <v>771</v>
      </c>
      <c r="O125" s="1745"/>
      <c r="P125" s="205" t="s">
        <v>2053</v>
      </c>
      <c r="Q125" s="1744" t="s">
        <v>770</v>
      </c>
      <c r="R125" s="1745"/>
      <c r="S125" s="361" t="s">
        <v>61</v>
      </c>
      <c r="T125" s="207" t="s">
        <v>61</v>
      </c>
      <c r="U125" s="42"/>
      <c r="V125" s="32"/>
      <c r="W125" s="32"/>
      <c r="X125" s="1626" t="s">
        <v>2605</v>
      </c>
      <c r="Y125" s="362" t="s">
        <v>2110</v>
      </c>
      <c r="Z125" s="362" t="s">
        <v>61</v>
      </c>
      <c r="AA125" s="362" t="s">
        <v>61</v>
      </c>
      <c r="AB125" s="207" t="s">
        <v>61</v>
      </c>
      <c r="AC125" s="32"/>
      <c r="AD125" s="32"/>
      <c r="AE125" s="32"/>
      <c r="AF125" s="204" t="s">
        <v>2065</v>
      </c>
      <c r="AG125" s="362" t="s">
        <v>61</v>
      </c>
      <c r="AH125" s="362" t="s">
        <v>61</v>
      </c>
      <c r="AI125" s="361" t="s">
        <v>61</v>
      </c>
      <c r="AJ125" s="362" t="s">
        <v>2558</v>
      </c>
      <c r="AK125" s="362" t="s">
        <v>61</v>
      </c>
      <c r="AL125" s="362" t="s">
        <v>61</v>
      </c>
      <c r="AM125" s="207" t="s">
        <v>61</v>
      </c>
      <c r="AN125" s="32"/>
      <c r="AO125" s="32"/>
      <c r="AP125" s="32"/>
      <c r="AQ125" s="32"/>
      <c r="AS125" s="1764" t="s">
        <v>14</v>
      </c>
      <c r="AT125" s="1761"/>
      <c r="AU125" s="1761" t="s">
        <v>60</v>
      </c>
      <c r="AV125" s="1761"/>
      <c r="AW125" s="1761" t="s">
        <v>27</v>
      </c>
      <c r="AX125" s="1761"/>
      <c r="AY125" s="1761" t="s">
        <v>2074</v>
      </c>
      <c r="AZ125" s="1761"/>
      <c r="BA125" s="1762" t="s">
        <v>41</v>
      </c>
      <c r="BB125" s="1763"/>
      <c r="BC125" s="1764" t="s">
        <v>85</v>
      </c>
      <c r="BD125" s="1765"/>
    </row>
    <row r="126" spans="1:62" ht="12.75" hidden="1" customHeight="1" outlineLevel="1" x14ac:dyDescent="0.2">
      <c r="B126" s="204"/>
      <c r="C126" s="362"/>
      <c r="D126" s="362" t="s">
        <v>61</v>
      </c>
      <c r="E126" s="362" t="s">
        <v>63</v>
      </c>
      <c r="F126" s="208" t="s">
        <v>2054</v>
      </c>
      <c r="G126" s="208" t="s">
        <v>34</v>
      </c>
      <c r="H126" s="270" t="s">
        <v>768</v>
      </c>
      <c r="I126" s="270" t="s">
        <v>24</v>
      </c>
      <c r="J126" s="208" t="s">
        <v>2061</v>
      </c>
      <c r="K126" s="270" t="s">
        <v>768</v>
      </c>
      <c r="L126" s="270" t="s">
        <v>24</v>
      </c>
      <c r="M126" s="212" t="s">
        <v>2059</v>
      </c>
      <c r="N126" s="270" t="s">
        <v>768</v>
      </c>
      <c r="O126" s="270" t="s">
        <v>24</v>
      </c>
      <c r="P126" s="212" t="s">
        <v>15</v>
      </c>
      <c r="Q126" s="270" t="s">
        <v>768</v>
      </c>
      <c r="R126" s="270" t="s">
        <v>24</v>
      </c>
      <c r="S126" s="363" t="s">
        <v>768</v>
      </c>
      <c r="T126" s="274" t="s">
        <v>24</v>
      </c>
      <c r="U126" s="42"/>
      <c r="V126" s="32"/>
      <c r="W126" s="32"/>
      <c r="X126" s="1626" t="s">
        <v>2109</v>
      </c>
      <c r="Y126" s="362"/>
      <c r="Z126" s="270" t="s">
        <v>768</v>
      </c>
      <c r="AA126" s="270" t="s">
        <v>24</v>
      </c>
      <c r="AB126" s="219" t="s">
        <v>41</v>
      </c>
      <c r="AC126" s="32"/>
      <c r="AD126" s="32"/>
      <c r="AE126" s="32"/>
      <c r="AF126" s="204"/>
      <c r="AG126" s="270" t="s">
        <v>768</v>
      </c>
      <c r="AH126" s="270" t="s">
        <v>24</v>
      </c>
      <c r="AI126" s="223" t="s">
        <v>41</v>
      </c>
      <c r="AJ126" s="362"/>
      <c r="AK126" s="270" t="s">
        <v>768</v>
      </c>
      <c r="AL126" s="270" t="s">
        <v>24</v>
      </c>
      <c r="AM126" s="219" t="s">
        <v>41</v>
      </c>
      <c r="AN126" s="32"/>
      <c r="AO126" s="32"/>
      <c r="AP126" s="32"/>
      <c r="AQ126" s="32"/>
      <c r="AS126" s="732" t="s">
        <v>768</v>
      </c>
      <c r="AT126" s="733" t="s">
        <v>24</v>
      </c>
      <c r="AU126" s="733" t="s">
        <v>768</v>
      </c>
      <c r="AV126" s="733" t="s">
        <v>24</v>
      </c>
      <c r="AW126" s="733" t="s">
        <v>768</v>
      </c>
      <c r="AX126" s="733" t="s">
        <v>24</v>
      </c>
      <c r="AY126" s="733" t="s">
        <v>768</v>
      </c>
      <c r="AZ126" s="733" t="s">
        <v>24</v>
      </c>
      <c r="BA126" s="734" t="s">
        <v>768</v>
      </c>
      <c r="BB126" s="735" t="s">
        <v>24</v>
      </c>
      <c r="BC126" s="732" t="s">
        <v>768</v>
      </c>
      <c r="BD126" s="736" t="s">
        <v>24</v>
      </c>
    </row>
    <row r="127" spans="1:62" ht="12.75" hidden="1" customHeight="1" outlineLevel="1" x14ac:dyDescent="0.2">
      <c r="B127" s="200" t="s">
        <v>802</v>
      </c>
      <c r="C127" s="201"/>
      <c r="D127" s="262">
        <f>S127+T127</f>
        <v>0</v>
      </c>
      <c r="E127" s="265">
        <f>D127*12/44</f>
        <v>0</v>
      </c>
      <c r="F127" s="182"/>
      <c r="G127" s="182"/>
      <c r="H127" s="271">
        <f>VLOOKUP($B127,'Emissions factors'!$B$84:$K$147,2,FALSE)</f>
        <v>503.1</v>
      </c>
      <c r="I127" s="271">
        <f>VLOOKUP($B127,'Emissions factors'!$B$84:$K$147,3,FALSE)</f>
        <v>3141</v>
      </c>
      <c r="J127" s="182"/>
      <c r="K127" s="277">
        <f>VLOOKUP($B127,'Emissions factors'!$B$84:$K$147,4,FALSE)</f>
        <v>4.1300000000000003E-2</v>
      </c>
      <c r="L127" s="277">
        <f>VLOOKUP($B127,'Emissions factors'!$B$84:$K$147,5,FALSE)</f>
        <v>0.28299999999999997</v>
      </c>
      <c r="M127" s="182"/>
      <c r="N127" s="271">
        <f>VLOOKUP($B127,'Emissions factors'!$B$84:$K$147,6,FALSE)</f>
        <v>528.5</v>
      </c>
      <c r="O127" s="271">
        <f>VLOOKUP($B127,'Emissions factors'!$B$84:$K$147,7,FALSE)</f>
        <v>3302.02</v>
      </c>
      <c r="P127" s="182"/>
      <c r="Q127" s="277">
        <f>VLOOKUP($B127,'Emissions factors'!$B$84:$K$147,8,FALSE)</f>
        <v>0.45289999999999997</v>
      </c>
      <c r="R127" s="277">
        <f>VLOOKUP($B127,'Emissions factors'!$B$84:$K$147,9,FALSE)</f>
        <v>2.8288600000000002</v>
      </c>
      <c r="S127" s="210">
        <f>G127*H127+J127*K127+M127*N127+P127*Q127</f>
        <v>0</v>
      </c>
      <c r="T127" s="211">
        <f>G127*I127+J127*L127+M127*O127+P127*R127</f>
        <v>0</v>
      </c>
      <c r="U127" s="42"/>
      <c r="X127" s="282">
        <f>VLOOKUP($B127,'Emissions factors'!$B$84:$K$147,10,FALSE)</f>
        <v>0.05</v>
      </c>
      <c r="Y127" s="184"/>
      <c r="Z127" s="221">
        <f>S127*SQRT(X127^2+Y127^2)</f>
        <v>0</v>
      </c>
      <c r="AA127" s="221">
        <f>T127*SQRT(X127^2+Y127^2)</f>
        <v>0</v>
      </c>
      <c r="AB127" s="211">
        <f>SQRT(Z127^2+AA127^2)</f>
        <v>0</v>
      </c>
      <c r="AF127" s="184"/>
      <c r="AG127" s="221">
        <f>S127*AF127</f>
        <v>0</v>
      </c>
      <c r="AH127" s="224">
        <f>T127*AF127</f>
        <v>0</v>
      </c>
      <c r="AI127" s="210">
        <f>AG127+AH127</f>
        <v>0</v>
      </c>
      <c r="AJ127" s="184"/>
      <c r="AK127" s="221">
        <f>S127*AJ127</f>
        <v>0</v>
      </c>
      <c r="AL127" s="224">
        <f>T127*AJ127</f>
        <v>0</v>
      </c>
      <c r="AM127" s="211">
        <f>AK127+AL127</f>
        <v>0</v>
      </c>
      <c r="AS127" s="717">
        <f>G127*VLOOKUP($B127,'Emissions factors'!$B$84:$AQ$147,11,FALSE)+J127*VLOOKUP($B127,'Emissions factors'!$B$84:$AQ$147,13,FALSE)+M127*VLOOKUP($B127,'Emissions factors'!$B$84:$AQ$147,15,FALSE)+P127*VLOOKUP($B127,'Emissions factors'!$B$84:$AQ$147,17,FALSE)</f>
        <v>0</v>
      </c>
      <c r="AT127" s="718">
        <f>G127*VLOOKUP($B127,'Emissions factors'!$B$84:$AQ$147,12,FALSE)+J127*VLOOKUP($B127,'Emissions factors'!$B$84:$AQ$147,14,FALSE)+M127*VLOOKUP($B127,'Emissions factors'!$B$84:$AQ$147,16,FALSE)+P127*VLOOKUP($B127,'Emissions factors'!$B$84:$AQ$147,18,FALSE)</f>
        <v>0</v>
      </c>
      <c r="AU127" s="718">
        <f>G127*VLOOKUP($B127,'Emissions factors'!$B$84:$AQ$147,19,FALSE)+J127*VLOOKUP($B127,'Emissions factors'!$B$84:$AQ$147,21,FALSE)+M127*VLOOKUP($B127,'Emissions factors'!$B$84:$AQ$147,23,FALSE)+P127*VLOOKUP($B127,'Emissions factors'!$B$84:$AQ$147,25,FALSE)</f>
        <v>0</v>
      </c>
      <c r="AV127" s="718">
        <f>G127*VLOOKUP($B127,'Emissions factors'!$B$84:$AQ$147,20,FALSE)+J127*VLOOKUP($B127,'Emissions factors'!$B$84:$AQ$147,22,FALSE)+M127*VLOOKUP($B127,'Emissions factors'!$B$84:$AQ$147,24,FALSE)+P127*VLOOKUP($B127,'Emissions factors'!$B$84:$AQ$147,26,FALSE)</f>
        <v>0</v>
      </c>
      <c r="AW127" s="718">
        <f>G127*VLOOKUP($B127,'Emissions factors'!$B$84:$AQ$147,27,FALSE)+J127*VLOOKUP($B127,'Emissions factors'!$B$84:$AQ$147,29,FALSE)+M127*VLOOKUP($B127,'Emissions factors'!$B$84:$AQ$147,31,FALSE)+P127*VLOOKUP($B127,'Emissions factors'!$B$84:$AQ$147,33,FALSE)</f>
        <v>0</v>
      </c>
      <c r="AX127" s="718">
        <f>G127*VLOOKUP($B127,'Emissions factors'!$B$84:$AQ$147,28,FALSE)+J127*VLOOKUP($B127,'Emissions factors'!$B$84:$AQ$147,30,FALSE)+M127*VLOOKUP($B127,'Emissions factors'!$B$84:$AQ$147,32,FALSE)+P127*VLOOKUP($B127,'Emissions factors'!$B$84:$AQ$147,34,FALSE)</f>
        <v>0</v>
      </c>
      <c r="AY127" s="718">
        <v>0</v>
      </c>
      <c r="AZ127" s="718">
        <v>0</v>
      </c>
      <c r="BA127" s="719">
        <f t="shared" ref="BA127:BB129" si="80">S127</f>
        <v>0</v>
      </c>
      <c r="BB127" s="720">
        <f t="shared" si="80"/>
        <v>0</v>
      </c>
      <c r="BC127" s="718">
        <f>G127*VLOOKUP($B127,'Emissions factors'!$B$84:$AQ$147,35,FALSE)+J127*VLOOKUP($B127,'Emissions factors'!$B$84:$AQ$147,37,FALSE)+M127*VLOOKUP($B127,'Emissions factors'!$B$84:$AQ$147,39,FALSE)+P127*VLOOKUP($B127,'Emissions factors'!$B$84:$AQ$147,41,FALSE)</f>
        <v>0</v>
      </c>
      <c r="BD127" s="721">
        <f>G127*VLOOKUP($B127,'Emissions factors'!$B$84:$AQ$147,36,FALSE)+J127*VLOOKUP($B127,'Emissions factors'!$B$84:$AQ$147,38,FALSE)+M127*VLOOKUP($B127,'Emissions factors'!$B$84:$AQ$147,40,FALSE)+P127*VLOOKUP($B127,'Emissions factors'!$B$84:$AQ$147,42,FALSE)</f>
        <v>0</v>
      </c>
    </row>
    <row r="128" spans="1:62" ht="12.75" hidden="1" customHeight="1" outlineLevel="1" x14ac:dyDescent="0.2">
      <c r="B128" s="200" t="s">
        <v>818</v>
      </c>
      <c r="C128" s="201"/>
      <c r="D128" s="262">
        <f>S128+T128</f>
        <v>0</v>
      </c>
      <c r="E128" s="265">
        <f>D128*12/44</f>
        <v>0</v>
      </c>
      <c r="F128" s="185"/>
      <c r="G128" s="185"/>
      <c r="H128" s="271">
        <f>VLOOKUP($B128,'Emissions factors'!$B$84:$K$147,2,FALSE)</f>
        <v>269.5</v>
      </c>
      <c r="I128" s="271">
        <f>VLOOKUP($B128,'Emissions factors'!$B$84:$K$147,3,FALSE)</f>
        <v>3070</v>
      </c>
      <c r="J128" s="185"/>
      <c r="K128" s="277">
        <f>VLOOKUP($B128,'Emissions factors'!$B$84:$K$147,4,FALSE)</f>
        <v>0</v>
      </c>
      <c r="L128" s="277">
        <f>VLOOKUP($B128,'Emissions factors'!$B$84:$K$147,5,FALSE)</f>
        <v>0</v>
      </c>
      <c r="M128" s="185"/>
      <c r="N128" s="271">
        <f>VLOOKUP($B128,'Emissions factors'!$B$84:$K$147,6,FALSE)</f>
        <v>0</v>
      </c>
      <c r="O128" s="271">
        <f>VLOOKUP($B128,'Emissions factors'!$B$84:$K$147,7,FALSE)</f>
        <v>0</v>
      </c>
      <c r="P128" s="185"/>
      <c r="Q128" s="277">
        <f>VLOOKUP($B128,'Emissions factors'!$B$84:$K$147,8,FALSE)</f>
        <v>0</v>
      </c>
      <c r="R128" s="277">
        <f>VLOOKUP($B128,'Emissions factors'!$B$84:$K$147,9,FALSE)</f>
        <v>0</v>
      </c>
      <c r="S128" s="210">
        <f>G128*H128+J128*K128+M128*N128+P128*Q128</f>
        <v>0</v>
      </c>
      <c r="T128" s="211">
        <f>G128*I128+J128*L128+M128*O128+P128*R128</f>
        <v>0</v>
      </c>
      <c r="U128" s="42"/>
      <c r="X128" s="282">
        <f>VLOOKUP($B128,'Emissions factors'!$B$84:$K$147,10,FALSE)</f>
        <v>0.05</v>
      </c>
      <c r="Y128" s="187"/>
      <c r="Z128" s="221">
        <f>S128*SQRT(X128^2+Y128^2)</f>
        <v>0</v>
      </c>
      <c r="AA128" s="221">
        <f>T128*SQRT(X128^2+Y128^2)</f>
        <v>0</v>
      </c>
      <c r="AB128" s="211">
        <f>SQRT(Z128^2+AA128^2)</f>
        <v>0</v>
      </c>
      <c r="AF128" s="187"/>
      <c r="AG128" s="221">
        <f>S128*AF128</f>
        <v>0</v>
      </c>
      <c r="AH128" s="224">
        <f>T128*AF128</f>
        <v>0</v>
      </c>
      <c r="AI128" s="210">
        <f>AG128+AH128</f>
        <v>0</v>
      </c>
      <c r="AJ128" s="187"/>
      <c r="AK128" s="221">
        <f>S128*AJ128</f>
        <v>0</v>
      </c>
      <c r="AL128" s="224">
        <f>T128*AJ128</f>
        <v>0</v>
      </c>
      <c r="AM128" s="211">
        <f>AK128+AL128</f>
        <v>0</v>
      </c>
      <c r="AS128" s="717">
        <f>G128*VLOOKUP($B128,'Emissions factors'!$B$84:$AQ$147,11,FALSE)+J128*VLOOKUP($B128,'Emissions factors'!$B$84:$AQ$147,13,FALSE)+M128*VLOOKUP($B128,'Emissions factors'!$B$84:$AQ$147,15,FALSE)+P128*VLOOKUP($B128,'Emissions factors'!$B$84:$AQ$147,17,FALSE)</f>
        <v>0</v>
      </c>
      <c r="AT128" s="718">
        <f>G128*VLOOKUP($B128,'Emissions factors'!$B$84:$AQ$147,12,FALSE)+J128*VLOOKUP($B128,'Emissions factors'!$B$84:$AQ$147,14,FALSE)+M128*VLOOKUP($B128,'Emissions factors'!$B$84:$AQ$147,16,FALSE)+P128*VLOOKUP($B128,'Emissions factors'!$B$84:$AQ$147,18,FALSE)</f>
        <v>0</v>
      </c>
      <c r="AU128" s="718">
        <f>G128*VLOOKUP($B128,'Emissions factors'!$B$84:$AQ$147,19,FALSE)+J128*VLOOKUP($B128,'Emissions factors'!$B$84:$AQ$147,21,FALSE)+M128*VLOOKUP($B128,'Emissions factors'!$B$84:$AQ$147,23,FALSE)+P128*VLOOKUP($B128,'Emissions factors'!$B$84:$AQ$147,25,FALSE)</f>
        <v>0</v>
      </c>
      <c r="AV128" s="718">
        <f>G128*VLOOKUP($B128,'Emissions factors'!$B$84:$AQ$147,20,FALSE)+J128*VLOOKUP($B128,'Emissions factors'!$B$84:$AQ$147,22,FALSE)+M128*VLOOKUP($B128,'Emissions factors'!$B$84:$AQ$147,24,FALSE)+P128*VLOOKUP($B128,'Emissions factors'!$B$84:$AQ$147,26,FALSE)</f>
        <v>0</v>
      </c>
      <c r="AW128" s="718">
        <f>G128*VLOOKUP($B128,'Emissions factors'!$B$84:$AQ$147,27,FALSE)+J128*VLOOKUP($B128,'Emissions factors'!$B$84:$AQ$147,29,FALSE)+M128*VLOOKUP($B128,'Emissions factors'!$B$84:$AQ$147,31,FALSE)+P128*VLOOKUP($B128,'Emissions factors'!$B$84:$AQ$147,33,FALSE)</f>
        <v>0</v>
      </c>
      <c r="AX128" s="718">
        <f>G128*VLOOKUP($B128,'Emissions factors'!$B$84:$AQ$147,28,FALSE)+J128*VLOOKUP($B128,'Emissions factors'!$B$84:$AQ$147,30,FALSE)+M128*VLOOKUP($B128,'Emissions factors'!$B$84:$AQ$147,32,FALSE)+P128*VLOOKUP($B128,'Emissions factors'!$B$84:$AQ$147,34,FALSE)</f>
        <v>0</v>
      </c>
      <c r="AY128" s="718">
        <v>0</v>
      </c>
      <c r="AZ128" s="718">
        <v>0</v>
      </c>
      <c r="BA128" s="719">
        <f t="shared" si="80"/>
        <v>0</v>
      </c>
      <c r="BB128" s="720">
        <f t="shared" si="80"/>
        <v>0</v>
      </c>
      <c r="BC128" s="718">
        <f>G128*VLOOKUP($B128,'Emissions factors'!$B$84:$AQ$147,35,FALSE)+J128*VLOOKUP($B128,'Emissions factors'!$B$84:$AQ$147,37,FALSE)+M128*VLOOKUP($B128,'Emissions factors'!$B$84:$AQ$147,39,FALSE)+P128*VLOOKUP($B128,'Emissions factors'!$B$84:$AQ$147,41,FALSE)</f>
        <v>0</v>
      </c>
      <c r="BD128" s="721">
        <f>G128*VLOOKUP($B128,'Emissions factors'!$B$84:$AQ$147,36,FALSE)+J128*VLOOKUP($B128,'Emissions factors'!$B$84:$AQ$147,38,FALSE)+M128*VLOOKUP($B128,'Emissions factors'!$B$84:$AQ$147,40,FALSE)+P128*VLOOKUP($B128,'Emissions factors'!$B$84:$AQ$147,42,FALSE)</f>
        <v>0</v>
      </c>
    </row>
    <row r="129" spans="1:62" ht="12.75" hidden="1" customHeight="1" outlineLevel="1" x14ac:dyDescent="0.2">
      <c r="B129" s="200" t="s">
        <v>824</v>
      </c>
      <c r="C129" s="201"/>
      <c r="D129" s="262">
        <f>S129+T129</f>
        <v>0</v>
      </c>
      <c r="E129" s="265">
        <f>D129*12/44</f>
        <v>0</v>
      </c>
      <c r="F129" s="188"/>
      <c r="G129" s="188"/>
      <c r="H129" s="271">
        <f>VLOOKUP($B129,'Emissions factors'!$B$84:$K$147,2,FALSE)</f>
        <v>247.39999999999998</v>
      </c>
      <c r="I129" s="271">
        <f>VLOOKUP($B129,'Emissions factors'!$B$84:$K$147,3,FALSE)</f>
        <v>3030.7000000000003</v>
      </c>
      <c r="J129" s="188"/>
      <c r="K129" s="277">
        <f>VLOOKUP($B129,'Emissions factors'!$B$84:$K$147,4,FALSE)</f>
        <v>3.1899999999999998E-2</v>
      </c>
      <c r="L129" s="277">
        <f>VLOOKUP($B129,'Emissions factors'!$B$84:$K$147,5,FALSE)</f>
        <v>0.38894000000000001</v>
      </c>
      <c r="M129" s="188"/>
      <c r="N129" s="271">
        <f>VLOOKUP($B129,'Emissions factors'!$B$84:$K$147,6,FALSE)</f>
        <v>372</v>
      </c>
      <c r="O129" s="271">
        <f>VLOOKUP($B129,'Emissions factors'!$B$84:$K$147,7,FALSE)</f>
        <v>4536</v>
      </c>
      <c r="P129" s="188"/>
      <c r="Q129" s="277">
        <f>VLOOKUP($B129,'Emissions factors'!$B$84:$K$147,8,FALSE)</f>
        <v>0</v>
      </c>
      <c r="R129" s="277">
        <f>VLOOKUP($B129,'Emissions factors'!$B$84:$K$147,9,FALSE)</f>
        <v>0</v>
      </c>
      <c r="S129" s="210">
        <f>G129*H129+J129*K129+M129*N129+P129*Q129</f>
        <v>0</v>
      </c>
      <c r="T129" s="211">
        <f>G129*I129+J129*L129+M129*O129+P129*R129</f>
        <v>0</v>
      </c>
      <c r="U129" s="42"/>
      <c r="X129" s="282">
        <f>VLOOKUP($B129,'Emissions factors'!$B$84:$K$147,10,FALSE)</f>
        <v>0.2</v>
      </c>
      <c r="Y129" s="190"/>
      <c r="Z129" s="221">
        <f>S129*SQRT(X129^2+Y129^2)</f>
        <v>0</v>
      </c>
      <c r="AA129" s="221">
        <f>T129*SQRT(X129^2+Y129^2)</f>
        <v>0</v>
      </c>
      <c r="AB129" s="211">
        <f>SQRT(Z129^2+AA129^2)</f>
        <v>0</v>
      </c>
      <c r="AF129" s="190"/>
      <c r="AG129" s="221">
        <f>S129*AF129</f>
        <v>0</v>
      </c>
      <c r="AH129" s="224">
        <f>T129*AF129</f>
        <v>0</v>
      </c>
      <c r="AI129" s="210">
        <f>AG129+AH129</f>
        <v>0</v>
      </c>
      <c r="AJ129" s="190"/>
      <c r="AK129" s="221">
        <f>S129*AJ129</f>
        <v>0</v>
      </c>
      <c r="AL129" s="224">
        <f>T129*AJ129</f>
        <v>0</v>
      </c>
      <c r="AM129" s="211">
        <f>AK129+AL129</f>
        <v>0</v>
      </c>
      <c r="AS129" s="717">
        <f>G129*VLOOKUP($B129,'Emissions factors'!$B$84:$AQ$147,11,FALSE)+J129*VLOOKUP($B129,'Emissions factors'!$B$84:$AQ$147,13,FALSE)+M129*VLOOKUP($B129,'Emissions factors'!$B$84:$AQ$147,15,FALSE)+P129*VLOOKUP($B129,'Emissions factors'!$B$84:$AQ$147,17,FALSE)</f>
        <v>0</v>
      </c>
      <c r="AT129" s="718">
        <f>G129*VLOOKUP($B129,'Emissions factors'!$B$84:$AQ$147,12,FALSE)+J129*VLOOKUP($B129,'Emissions factors'!$B$84:$AQ$147,14,FALSE)+M129*VLOOKUP($B129,'Emissions factors'!$B$84:$AQ$147,16,FALSE)+P129*VLOOKUP($B129,'Emissions factors'!$B$84:$AQ$147,18,FALSE)</f>
        <v>0</v>
      </c>
      <c r="AU129" s="718">
        <f>G129*VLOOKUP($B129,'Emissions factors'!$B$84:$AQ$147,19,FALSE)+J129*VLOOKUP($B129,'Emissions factors'!$B$84:$AQ$147,21,FALSE)+M129*VLOOKUP($B129,'Emissions factors'!$B$84:$AQ$147,23,FALSE)+P129*VLOOKUP($B129,'Emissions factors'!$B$84:$AQ$147,25,FALSE)</f>
        <v>0</v>
      </c>
      <c r="AV129" s="718">
        <f>G129*VLOOKUP($B129,'Emissions factors'!$B$84:$AQ$147,20,FALSE)+J129*VLOOKUP($B129,'Emissions factors'!$B$84:$AQ$147,22,FALSE)+M129*VLOOKUP($B129,'Emissions factors'!$B$84:$AQ$147,24,FALSE)+P129*VLOOKUP($B129,'Emissions factors'!$B$84:$AQ$147,26,FALSE)</f>
        <v>0</v>
      </c>
      <c r="AW129" s="718">
        <f>G129*VLOOKUP($B129,'Emissions factors'!$B$84:$AQ$147,27,FALSE)+J129*VLOOKUP($B129,'Emissions factors'!$B$84:$AQ$147,29,FALSE)+M129*VLOOKUP($B129,'Emissions factors'!$B$84:$AQ$147,31,FALSE)+P129*VLOOKUP($B129,'Emissions factors'!$B$84:$AQ$147,33,FALSE)</f>
        <v>0</v>
      </c>
      <c r="AX129" s="718">
        <f>G129*VLOOKUP($B129,'Emissions factors'!$B$84:$AQ$147,28,FALSE)+J129*VLOOKUP($B129,'Emissions factors'!$B$84:$AQ$147,30,FALSE)+M129*VLOOKUP($B129,'Emissions factors'!$B$84:$AQ$147,32,FALSE)+P129*VLOOKUP($B129,'Emissions factors'!$B$84:$AQ$147,34,FALSE)</f>
        <v>0</v>
      </c>
      <c r="AY129" s="718">
        <v>0</v>
      </c>
      <c r="AZ129" s="718">
        <v>0</v>
      </c>
      <c r="BA129" s="719">
        <f t="shared" si="80"/>
        <v>0</v>
      </c>
      <c r="BB129" s="720">
        <f t="shared" si="80"/>
        <v>0</v>
      </c>
      <c r="BC129" s="718">
        <f>G129*VLOOKUP($B129,'Emissions factors'!$B$84:$AQ$147,35,FALSE)+J129*VLOOKUP($B129,'Emissions factors'!$B$84:$AQ$147,37,FALSE)+M129*VLOOKUP($B129,'Emissions factors'!$B$84:$AQ$147,39,FALSE)+P129*VLOOKUP($B129,'Emissions factors'!$B$84:$AQ$147,41,FALSE)</f>
        <v>0</v>
      </c>
      <c r="BD129" s="721">
        <f>G129*VLOOKUP($B129,'Emissions factors'!$B$84:$AQ$147,36,FALSE)+J129*VLOOKUP($B129,'Emissions factors'!$B$84:$AQ$147,38,FALSE)+M129*VLOOKUP($B129,'Emissions factors'!$B$84:$AQ$147,40,FALSE)+P129*VLOOKUP($B129,'Emissions factors'!$B$84:$AQ$147,42,FALSE)</f>
        <v>0</v>
      </c>
    </row>
    <row r="130" spans="1:62" ht="12.75" hidden="1" customHeight="1" outlineLevel="1" x14ac:dyDescent="0.2">
      <c r="B130" s="213"/>
      <c r="C130" s="214"/>
      <c r="D130" s="275"/>
      <c r="E130" s="268"/>
      <c r="F130" s="214"/>
      <c r="G130" s="214"/>
      <c r="H130" s="214"/>
      <c r="I130" s="214"/>
      <c r="J130" s="214"/>
      <c r="K130" s="214"/>
      <c r="L130" s="214"/>
      <c r="M130" s="214"/>
      <c r="N130" s="214"/>
      <c r="O130" s="214"/>
      <c r="P130" s="214"/>
      <c r="Q130" s="214"/>
      <c r="R130" s="214"/>
      <c r="S130" s="463"/>
      <c r="T130" s="215"/>
      <c r="U130" s="42"/>
      <c r="X130" s="213"/>
      <c r="Y130" s="214"/>
      <c r="Z130" s="214"/>
      <c r="AA130" s="214"/>
      <c r="AB130" s="433"/>
      <c r="AF130" s="213"/>
      <c r="AG130" s="214"/>
      <c r="AH130" s="214"/>
      <c r="AI130" s="269"/>
      <c r="AJ130" s="214"/>
      <c r="AK130" s="214"/>
      <c r="AL130" s="214"/>
      <c r="AM130" s="433"/>
      <c r="AS130" s="717"/>
      <c r="AT130" s="718"/>
      <c r="AU130" s="718"/>
      <c r="AV130" s="718"/>
      <c r="AW130" s="718"/>
      <c r="AX130" s="718"/>
      <c r="AY130" s="718"/>
      <c r="AZ130" s="718"/>
      <c r="BA130" s="719"/>
      <c r="BB130" s="720"/>
      <c r="BC130" s="722"/>
      <c r="BD130" s="723"/>
    </row>
    <row r="131" spans="1:62" ht="12.75" hidden="1" customHeight="1" outlineLevel="1" x14ac:dyDescent="0.2">
      <c r="B131" s="253" t="s">
        <v>44</v>
      </c>
      <c r="C131" s="254"/>
      <c r="D131" s="264">
        <f>SUM(D127:D130)</f>
        <v>0</v>
      </c>
      <c r="E131" s="267">
        <f>SUM(E127:E130)</f>
        <v>0</v>
      </c>
      <c r="F131" s="255"/>
      <c r="G131" s="256"/>
      <c r="H131" s="256"/>
      <c r="I131" s="256"/>
      <c r="J131" s="256"/>
      <c r="K131" s="256"/>
      <c r="L131" s="256"/>
      <c r="M131" s="256"/>
      <c r="N131" s="256"/>
      <c r="O131" s="256"/>
      <c r="P131" s="256"/>
      <c r="Q131" s="256"/>
      <c r="R131" s="256"/>
      <c r="S131" s="259">
        <f>SUM(S127:S130)</f>
        <v>0</v>
      </c>
      <c r="T131" s="257">
        <f>SUM(T127:T130)</f>
        <v>0</v>
      </c>
      <c r="U131" s="42"/>
      <c r="X131" s="258"/>
      <c r="Y131" s="256"/>
      <c r="Z131" s="260">
        <f>SQRT(SUMSQ(Z127:Z130))</f>
        <v>0</v>
      </c>
      <c r="AA131" s="260">
        <f>SQRT(SUMSQ(AA127:AA130))</f>
        <v>0</v>
      </c>
      <c r="AB131" s="257">
        <f>SQRT(SUMSQ(AB127:AB130))</f>
        <v>0</v>
      </c>
      <c r="AF131" s="258"/>
      <c r="AG131" s="260">
        <f>SUM(AG127:AG130)</f>
        <v>0</v>
      </c>
      <c r="AH131" s="260">
        <f>SUM(AH127:AH130)</f>
        <v>0</v>
      </c>
      <c r="AI131" s="259">
        <f>SUM(AI127:AI130)</f>
        <v>0</v>
      </c>
      <c r="AJ131" s="256"/>
      <c r="AK131" s="260">
        <f>SUM(AK127:AK130)</f>
        <v>0</v>
      </c>
      <c r="AL131" s="260">
        <f>SUM(AL127:AL130)</f>
        <v>0</v>
      </c>
      <c r="AM131" s="257">
        <f>SUM(AM127:AM130)</f>
        <v>0</v>
      </c>
      <c r="AS131" s="724">
        <f t="shared" ref="AS131:BD131" si="81">SUM(AS127:AS130)</f>
        <v>0</v>
      </c>
      <c r="AT131" s="725">
        <f t="shared" si="81"/>
        <v>0</v>
      </c>
      <c r="AU131" s="725">
        <f t="shared" si="81"/>
        <v>0</v>
      </c>
      <c r="AV131" s="725">
        <f t="shared" si="81"/>
        <v>0</v>
      </c>
      <c r="AW131" s="725">
        <f t="shared" si="81"/>
        <v>0</v>
      </c>
      <c r="AX131" s="725">
        <f t="shared" si="81"/>
        <v>0</v>
      </c>
      <c r="AY131" s="725">
        <f t="shared" si="81"/>
        <v>0</v>
      </c>
      <c r="AZ131" s="725">
        <f t="shared" si="81"/>
        <v>0</v>
      </c>
      <c r="BA131" s="726">
        <f t="shared" si="81"/>
        <v>0</v>
      </c>
      <c r="BB131" s="727">
        <f t="shared" si="81"/>
        <v>0</v>
      </c>
      <c r="BC131" s="724">
        <f t="shared" si="81"/>
        <v>0</v>
      </c>
      <c r="BD131" s="728">
        <f t="shared" si="81"/>
        <v>0</v>
      </c>
    </row>
    <row r="132" spans="1:62" ht="12.75" hidden="1" customHeight="1" outlineLevel="1" x14ac:dyDescent="0.2"/>
    <row r="133" spans="1:62" ht="12.75" hidden="1" customHeight="1" outlineLevel="1" x14ac:dyDescent="0.2">
      <c r="B133" s="195" t="s">
        <v>2870</v>
      </c>
      <c r="C133" s="196"/>
      <c r="D133" s="196"/>
      <c r="E133" s="196"/>
      <c r="F133" s="196"/>
      <c r="G133" s="198"/>
      <c r="H133" s="198"/>
      <c r="I133" s="199"/>
      <c r="X133" s="1746" t="s">
        <v>723</v>
      </c>
      <c r="Y133" s="1747"/>
      <c r="Z133" s="1748"/>
      <c r="AF133" s="1746" t="s">
        <v>2066</v>
      </c>
      <c r="AG133" s="1747"/>
      <c r="AH133" s="1747"/>
      <c r="AI133" s="1748"/>
      <c r="AS133" s="1755" t="s">
        <v>2073</v>
      </c>
      <c r="AT133" s="1756"/>
      <c r="AU133" s="1756"/>
      <c r="AV133" s="1756"/>
      <c r="AW133" s="1756"/>
      <c r="AX133" s="1757"/>
      <c r="BC133" s="605"/>
    </row>
    <row r="134" spans="1:62" ht="12.75" hidden="1" customHeight="1" outlineLevel="1" x14ac:dyDescent="0.2">
      <c r="B134" s="417"/>
      <c r="C134" s="225"/>
      <c r="D134" s="361"/>
      <c r="E134" s="361"/>
      <c r="F134" s="201"/>
      <c r="G134" s="201"/>
      <c r="H134" s="201"/>
      <c r="I134" s="203"/>
      <c r="X134" s="204"/>
      <c r="Y134" s="362"/>
      <c r="Z134" s="203"/>
      <c r="AF134" s="204"/>
      <c r="AG134" s="362"/>
      <c r="AH134" s="362"/>
      <c r="AI134" s="203"/>
      <c r="AS134" s="778"/>
      <c r="AT134" s="779"/>
      <c r="AU134" s="779"/>
      <c r="AV134" s="779"/>
      <c r="AW134" s="741"/>
      <c r="AX134" s="780"/>
      <c r="BC134" s="605"/>
    </row>
    <row r="135" spans="1:62" ht="12.75" hidden="1" customHeight="1" outlineLevel="1" x14ac:dyDescent="0.2">
      <c r="B135" s="200"/>
      <c r="C135" s="201"/>
      <c r="D135" s="362" t="s">
        <v>56</v>
      </c>
      <c r="E135" s="362" t="s">
        <v>56</v>
      </c>
      <c r="F135" s="205" t="s">
        <v>2634</v>
      </c>
      <c r="G135" s="205"/>
      <c r="H135" s="362" t="s">
        <v>61</v>
      </c>
      <c r="I135" s="207" t="s">
        <v>61</v>
      </c>
      <c r="X135" s="1626" t="s">
        <v>2605</v>
      </c>
      <c r="Y135" s="362" t="s">
        <v>2110</v>
      </c>
      <c r="Z135" s="207" t="s">
        <v>61</v>
      </c>
      <c r="AF135" s="204" t="s">
        <v>2065</v>
      </c>
      <c r="AG135" s="361" t="s">
        <v>61</v>
      </c>
      <c r="AH135" s="362" t="s">
        <v>2558</v>
      </c>
      <c r="AI135" s="207" t="s">
        <v>61</v>
      </c>
      <c r="AS135" s="1739" t="s">
        <v>61</v>
      </c>
      <c r="AT135" s="1740"/>
      <c r="AU135" s="1740"/>
      <c r="AV135" s="1740"/>
      <c r="AW135" s="741" t="s">
        <v>61</v>
      </c>
      <c r="AX135" s="742"/>
      <c r="AY135" s="743"/>
      <c r="AZ135" s="743"/>
      <c r="BA135" s="743"/>
    </row>
    <row r="136" spans="1:62" ht="12.75" hidden="1" customHeight="1" outlineLevel="1" x14ac:dyDescent="0.2">
      <c r="B136" s="200"/>
      <c r="C136" s="201"/>
      <c r="D136" s="362" t="s">
        <v>61</v>
      </c>
      <c r="E136" s="362" t="s">
        <v>63</v>
      </c>
      <c r="F136" s="208" t="s">
        <v>2054</v>
      </c>
      <c r="G136" s="208" t="s">
        <v>57</v>
      </c>
      <c r="H136" s="362" t="s">
        <v>2540</v>
      </c>
      <c r="I136" s="207"/>
      <c r="X136" s="1626" t="s">
        <v>2109</v>
      </c>
      <c r="Y136" s="362"/>
      <c r="Z136" s="207"/>
      <c r="AF136" s="204"/>
      <c r="AG136" s="361"/>
      <c r="AH136" s="362"/>
      <c r="AI136" s="207"/>
      <c r="AS136" s="744" t="s">
        <v>14</v>
      </c>
      <c r="AT136" s="745" t="s">
        <v>60</v>
      </c>
      <c r="AU136" s="745" t="s">
        <v>27</v>
      </c>
      <c r="AV136" s="745" t="s">
        <v>2074</v>
      </c>
      <c r="AW136" s="746" t="s">
        <v>41</v>
      </c>
      <c r="AX136" s="747" t="s">
        <v>85</v>
      </c>
      <c r="AY136" s="743"/>
      <c r="AZ136" s="743"/>
      <c r="BA136" s="743"/>
      <c r="BC136" s="743"/>
    </row>
    <row r="137" spans="1:62" ht="12.75" hidden="1" customHeight="1" outlineLevel="1" x14ac:dyDescent="0.2">
      <c r="B137" s="200" t="s">
        <v>970</v>
      </c>
      <c r="C137" s="201"/>
      <c r="D137" s="262">
        <f>I137</f>
        <v>0</v>
      </c>
      <c r="E137" s="265">
        <f>D137*12/44</f>
        <v>0</v>
      </c>
      <c r="F137" s="182"/>
      <c r="G137" s="182"/>
      <c r="H137" s="272">
        <f>VLOOKUP($B137,'Emissions factors'!$B$1252:$H$1280,2,FALSE)</f>
        <v>4.4499999999999998E-2</v>
      </c>
      <c r="I137" s="211">
        <f>G137*H137</f>
        <v>0</v>
      </c>
      <c r="X137" s="282">
        <f>VLOOKUP($B137,'Emissions factors'!$B$1252:$H$1280,7,FALSE)</f>
        <v>0.5</v>
      </c>
      <c r="Y137" s="183"/>
      <c r="Z137" s="222">
        <f>I137*SQRT(X137^2+Y137^2)</f>
        <v>0</v>
      </c>
      <c r="AF137" s="184"/>
      <c r="AG137" s="221">
        <f>AF137*I137</f>
        <v>0</v>
      </c>
      <c r="AH137" s="184"/>
      <c r="AI137" s="222">
        <f>AH137*I137</f>
        <v>0</v>
      </c>
      <c r="AS137" s="717">
        <f>G137*VLOOKUP($B137,'Emissions factors'!$B$1252:$H$1280,3,FALSE)</f>
        <v>0</v>
      </c>
      <c r="AT137" s="718">
        <f>G137*VLOOKUP($B137,'Emissions factors'!$B$1252:$H$1280,4,FALSE)</f>
        <v>0</v>
      </c>
      <c r="AU137" s="718">
        <f>G137*VLOOKUP($B137,'Emissions factors'!$B$1252:$H$1280,5,FALSE)</f>
        <v>0</v>
      </c>
      <c r="AV137" s="718">
        <v>0</v>
      </c>
      <c r="AW137" s="720">
        <f>I137</f>
        <v>0</v>
      </c>
      <c r="AX137" s="748">
        <f>G137*VLOOKUP($B137,'Emissions factors'!$B$1252:$H$1280,6,FALSE)</f>
        <v>0</v>
      </c>
      <c r="BC137" s="743"/>
    </row>
    <row r="138" spans="1:62" ht="12.75" hidden="1" customHeight="1" outlineLevel="1" x14ac:dyDescent="0.2">
      <c r="B138" s="200" t="s">
        <v>1318</v>
      </c>
      <c r="C138" s="201"/>
      <c r="D138" s="262">
        <f>I138</f>
        <v>0</v>
      </c>
      <c r="E138" s="265">
        <f>D138*12/44</f>
        <v>0</v>
      </c>
      <c r="F138" s="185"/>
      <c r="G138" s="185"/>
      <c r="H138" s="272">
        <f>VLOOKUP($B138,'Emissions factors'!$B$1252:$H$1280,2,FALSE)</f>
        <v>2.4157580000000001E-2</v>
      </c>
      <c r="I138" s="211">
        <f>G138*H138</f>
        <v>0</v>
      </c>
      <c r="X138" s="282">
        <f>VLOOKUP($B138,'Emissions factors'!$B$1252:$H$1280,7,FALSE)</f>
        <v>0.7</v>
      </c>
      <c r="Y138" s="186"/>
      <c r="Z138" s="222">
        <f>I138*SQRT(X138^2+Y138^2)</f>
        <v>0</v>
      </c>
      <c r="AF138" s="187"/>
      <c r="AG138" s="221">
        <f>AF138*I138</f>
        <v>0</v>
      </c>
      <c r="AH138" s="187"/>
      <c r="AI138" s="222">
        <f>AH138*I138</f>
        <v>0</v>
      </c>
      <c r="AS138" s="717">
        <f>G138*VLOOKUP($B138,'Emissions factors'!$B$1252:$H$1280,3,FALSE)</f>
        <v>0</v>
      </c>
      <c r="AT138" s="718">
        <f>G138*VLOOKUP($B138,'Emissions factors'!$B$1252:$H$1280,4,FALSE)</f>
        <v>0</v>
      </c>
      <c r="AU138" s="718">
        <f>G138*VLOOKUP($B138,'Emissions factors'!$B$1252:$H$1280,5,FALSE)</f>
        <v>0</v>
      </c>
      <c r="AV138" s="718">
        <v>0</v>
      </c>
      <c r="AW138" s="720">
        <f>I138</f>
        <v>0</v>
      </c>
      <c r="AX138" s="748">
        <f>G138*VLOOKUP($B138,'Emissions factors'!$B$1252:$H$1280,6,FALSE)</f>
        <v>0</v>
      </c>
    </row>
    <row r="139" spans="1:62" s="191" customFormat="1" ht="15" hidden="1" customHeight="1" outlineLevel="1" x14ac:dyDescent="0.2">
      <c r="A139" s="40"/>
      <c r="B139" s="200" t="s">
        <v>1316</v>
      </c>
      <c r="C139" s="201"/>
      <c r="D139" s="262">
        <f>I139</f>
        <v>0</v>
      </c>
      <c r="E139" s="265">
        <f>D139*12/44</f>
        <v>0</v>
      </c>
      <c r="F139" s="188"/>
      <c r="G139" s="188"/>
      <c r="H139" s="272">
        <f>VLOOKUP($B139,'Emissions factors'!$B$1252:$H$1280,2,FALSE)</f>
        <v>4.3207929999999999E-3</v>
      </c>
      <c r="I139" s="211">
        <f>G139*H139</f>
        <v>0</v>
      </c>
      <c r="J139" s="40"/>
      <c r="K139" s="40"/>
      <c r="L139" s="40"/>
      <c r="M139" s="40"/>
      <c r="N139" s="40"/>
      <c r="O139" s="40"/>
      <c r="P139" s="40"/>
      <c r="Q139" s="40"/>
      <c r="R139" s="40"/>
      <c r="S139" s="40"/>
      <c r="T139" s="40"/>
      <c r="U139" s="40"/>
      <c r="V139" s="40"/>
      <c r="W139" s="40"/>
      <c r="X139" s="282">
        <f>VLOOKUP($B139,'Emissions factors'!$B$1252:$H$1280,7,FALSE)</f>
        <v>0.7</v>
      </c>
      <c r="Y139" s="189"/>
      <c r="Z139" s="222">
        <f>I139*SQRT(X139^2+Y139^2)</f>
        <v>0</v>
      </c>
      <c r="AA139" s="40"/>
      <c r="AB139" s="40"/>
      <c r="AC139" s="40"/>
      <c r="AD139" s="40"/>
      <c r="AE139" s="40"/>
      <c r="AF139" s="190"/>
      <c r="AG139" s="221">
        <f>AF139*I139</f>
        <v>0</v>
      </c>
      <c r="AH139" s="190"/>
      <c r="AI139" s="222">
        <f>AH139*I139</f>
        <v>0</v>
      </c>
      <c r="AJ139" s="40"/>
      <c r="AK139" s="40"/>
      <c r="AL139" s="40"/>
      <c r="AM139" s="40"/>
      <c r="AN139" s="40"/>
      <c r="AO139" s="40"/>
      <c r="AP139" s="40"/>
      <c r="AQ139" s="40"/>
      <c r="AR139" s="40"/>
      <c r="AS139" s="717">
        <f>G139*VLOOKUP($B139,'Emissions factors'!$B$1252:$H$1280,3,FALSE)</f>
        <v>0</v>
      </c>
      <c r="AT139" s="718">
        <f>G139*VLOOKUP($B139,'Emissions factors'!$B$1252:$H$1280,4,FALSE)</f>
        <v>0</v>
      </c>
      <c r="AU139" s="718">
        <f>G139*VLOOKUP($B139,'Emissions factors'!$B$1252:$H$1280,5,FALSE)</f>
        <v>0</v>
      </c>
      <c r="AV139" s="718">
        <v>0</v>
      </c>
      <c r="AW139" s="720">
        <f>I139</f>
        <v>0</v>
      </c>
      <c r="AX139" s="748">
        <f>G139*VLOOKUP($B139,'Emissions factors'!$B$1252:$H$1280,6,FALSE)</f>
        <v>0</v>
      </c>
      <c r="AY139" s="602"/>
      <c r="AZ139" s="602"/>
      <c r="BA139" s="602"/>
      <c r="BB139" s="743"/>
      <c r="BC139" s="602"/>
      <c r="BD139" s="751"/>
      <c r="BE139" s="751"/>
      <c r="BF139" s="751"/>
      <c r="BG139" s="751"/>
      <c r="BH139" s="751"/>
      <c r="BI139" s="751"/>
      <c r="BJ139" s="751"/>
    </row>
    <row r="140" spans="1:62" ht="12.75" hidden="1" customHeight="1" outlineLevel="1" x14ac:dyDescent="0.2">
      <c r="B140" s="200"/>
      <c r="C140" s="201"/>
      <c r="D140" s="262"/>
      <c r="E140" s="265"/>
      <c r="F140" s="462"/>
      <c r="G140" s="201"/>
      <c r="H140" s="201"/>
      <c r="I140" s="222"/>
      <c r="X140" s="200"/>
      <c r="Y140" s="201"/>
      <c r="Z140" s="222"/>
      <c r="AF140" s="200"/>
      <c r="AG140" s="362"/>
      <c r="AH140" s="201"/>
      <c r="AI140" s="222"/>
      <c r="AS140" s="717"/>
      <c r="AT140" s="718"/>
      <c r="AU140" s="718"/>
      <c r="AV140" s="718"/>
      <c r="AW140" s="720"/>
      <c r="AX140" s="749"/>
      <c r="AY140" s="605"/>
      <c r="AZ140" s="605"/>
      <c r="BA140" s="605"/>
    </row>
    <row r="141" spans="1:62" s="42" customFormat="1" ht="12.75" hidden="1" customHeight="1" outlineLevel="1" x14ac:dyDescent="0.2">
      <c r="A141" s="40"/>
      <c r="B141" s="253" t="s">
        <v>2828</v>
      </c>
      <c r="C141" s="254"/>
      <c r="D141" s="264">
        <f>SUM(D137:D140)</f>
        <v>0</v>
      </c>
      <c r="E141" s="267">
        <f>SUM(E137:E140)</f>
        <v>0</v>
      </c>
      <c r="F141" s="255"/>
      <c r="G141" s="254"/>
      <c r="H141" s="254"/>
      <c r="I141" s="257">
        <f>SUM(I137:I140)</f>
        <v>0</v>
      </c>
      <c r="J141" s="40"/>
      <c r="K141" s="40"/>
      <c r="L141" s="40"/>
      <c r="M141" s="40"/>
      <c r="N141" s="40"/>
      <c r="O141" s="40"/>
      <c r="P141" s="40"/>
      <c r="Q141" s="40"/>
      <c r="R141" s="40"/>
      <c r="S141" s="40"/>
      <c r="T141" s="40"/>
      <c r="U141" s="40"/>
      <c r="V141" s="40"/>
      <c r="W141" s="40"/>
      <c r="X141" s="258"/>
      <c r="Y141" s="256"/>
      <c r="Z141" s="257">
        <f>SQRT(SUMSQ(Z137:Z140))</f>
        <v>0</v>
      </c>
      <c r="AA141" s="40"/>
      <c r="AB141" s="40"/>
      <c r="AC141" s="40"/>
      <c r="AD141" s="40"/>
      <c r="AE141" s="40"/>
      <c r="AF141" s="258"/>
      <c r="AG141" s="259">
        <f>SUM(AG137:AG140)</f>
        <v>0</v>
      </c>
      <c r="AH141" s="256"/>
      <c r="AI141" s="257">
        <f>SUM(AI137:AI140)</f>
        <v>0</v>
      </c>
      <c r="AJ141" s="40"/>
      <c r="AK141" s="40"/>
      <c r="AL141" s="40"/>
      <c r="AM141" s="40"/>
      <c r="AN141" s="40"/>
      <c r="AO141" s="40"/>
      <c r="AP141" s="40"/>
      <c r="AQ141" s="40"/>
      <c r="AR141" s="40"/>
      <c r="AS141" s="724">
        <f t="shared" ref="AS141:AX141" si="82">SUM(AS137:AS140)</f>
        <v>0</v>
      </c>
      <c r="AT141" s="725">
        <f t="shared" si="82"/>
        <v>0</v>
      </c>
      <c r="AU141" s="725">
        <f t="shared" si="82"/>
        <v>0</v>
      </c>
      <c r="AV141" s="725">
        <f t="shared" si="82"/>
        <v>0</v>
      </c>
      <c r="AW141" s="727">
        <f t="shared" si="82"/>
        <v>0</v>
      </c>
      <c r="AX141" s="750">
        <f t="shared" si="82"/>
        <v>0</v>
      </c>
      <c r="AY141" s="602"/>
      <c r="AZ141" s="602"/>
      <c r="BA141" s="602"/>
      <c r="BB141" s="602"/>
      <c r="BC141" s="602"/>
      <c r="BD141" s="605"/>
      <c r="BE141" s="605"/>
      <c r="BF141" s="605"/>
      <c r="BG141" s="605"/>
      <c r="BH141" s="605"/>
      <c r="BI141" s="605"/>
      <c r="BJ141" s="605"/>
    </row>
    <row r="142" spans="1:62" ht="15" hidden="1" customHeight="1" outlineLevel="1" x14ac:dyDescent="0.2">
      <c r="AR142" s="191"/>
      <c r="BE142" s="743"/>
    </row>
    <row r="143" spans="1:62" s="32" customFormat="1" collapsed="1" x14ac:dyDescent="0.2">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602"/>
      <c r="AT143" s="602"/>
      <c r="AU143" s="602"/>
      <c r="AV143" s="602"/>
      <c r="AW143" s="602"/>
      <c r="AX143" s="602"/>
      <c r="AY143" s="602"/>
      <c r="AZ143" s="602"/>
      <c r="BA143" s="602"/>
      <c r="BB143" s="602"/>
      <c r="BC143" s="605"/>
      <c r="BD143" s="602"/>
      <c r="BE143" s="743"/>
      <c r="BF143" s="743"/>
      <c r="BG143" s="743"/>
      <c r="BH143" s="743"/>
      <c r="BI143" s="743"/>
      <c r="BJ143" s="743"/>
    </row>
    <row r="144" spans="1:62" s="32" customFormat="1" ht="15.75" customHeight="1" collapsed="1" x14ac:dyDescent="0.2">
      <c r="A144" s="40"/>
      <c r="B144" s="1795" t="s">
        <v>2917</v>
      </c>
      <c r="C144" s="1795"/>
      <c r="D144" s="1795"/>
      <c r="E144" s="1795"/>
      <c r="F144" s="1795"/>
      <c r="G144" s="1795"/>
      <c r="H144" s="1795"/>
      <c r="I144" s="1795"/>
      <c r="J144" s="1795"/>
      <c r="K144" s="1795"/>
      <c r="L144" s="1795"/>
      <c r="M144" s="1795"/>
      <c r="N144" s="1795"/>
      <c r="O144" s="1795"/>
      <c r="P144" s="191"/>
      <c r="Q144" s="191"/>
      <c r="R144" s="191"/>
      <c r="S144" s="191"/>
      <c r="T144" s="191"/>
      <c r="U144" s="191"/>
      <c r="V144" s="191"/>
      <c r="W144" s="191"/>
      <c r="X144" s="191"/>
      <c r="Y144" s="191"/>
      <c r="Z144" s="191"/>
      <c r="AA144" s="191"/>
      <c r="AB144" s="191"/>
      <c r="AC144" s="191"/>
      <c r="AD144" s="191"/>
      <c r="AE144" s="191"/>
      <c r="AF144" s="191"/>
      <c r="AG144" s="191"/>
      <c r="AH144" s="191"/>
      <c r="AI144" s="191"/>
      <c r="AJ144" s="191"/>
      <c r="AK144" s="191"/>
      <c r="AL144" s="191"/>
      <c r="AM144" s="191"/>
      <c r="AN144" s="191"/>
      <c r="AO144" s="191"/>
      <c r="AP144" s="191"/>
      <c r="AQ144" s="191"/>
      <c r="AR144" s="42"/>
      <c r="AS144" s="602"/>
      <c r="AT144" s="602"/>
      <c r="AU144" s="602"/>
      <c r="AV144" s="602"/>
      <c r="AW144" s="602"/>
      <c r="AX144" s="602"/>
      <c r="AY144" s="602"/>
      <c r="AZ144" s="602"/>
      <c r="BA144" s="602"/>
      <c r="BB144" s="602"/>
      <c r="BC144" s="605"/>
      <c r="BD144" s="602"/>
      <c r="BE144" s="743"/>
      <c r="BF144" s="743"/>
      <c r="BG144" s="743"/>
      <c r="BH144" s="743"/>
      <c r="BI144" s="743"/>
      <c r="BJ144" s="743"/>
    </row>
    <row r="145" spans="2:56" ht="12.75" hidden="1" customHeight="1" outlineLevel="1" x14ac:dyDescent="0.2">
      <c r="D145" s="316"/>
      <c r="E145" s="316"/>
      <c r="F145" s="316"/>
      <c r="G145" s="316"/>
      <c r="H145" s="316"/>
      <c r="I145" s="316"/>
      <c r="J145" s="316"/>
      <c r="K145" s="316"/>
      <c r="T145" s="42"/>
      <c r="AS145" s="743"/>
      <c r="AT145" s="743"/>
      <c r="AU145" s="743"/>
      <c r="AV145" s="743"/>
      <c r="AW145" s="743"/>
      <c r="AX145" s="743"/>
      <c r="AY145" s="743"/>
      <c r="AZ145" s="743"/>
      <c r="BA145" s="743"/>
      <c r="BB145" s="743"/>
    </row>
    <row r="146" spans="2:56" ht="12.75" hidden="1" customHeight="1" outlineLevel="1" x14ac:dyDescent="0.2">
      <c r="B146" s="195" t="s">
        <v>2907</v>
      </c>
      <c r="C146" s="196"/>
      <c r="D146" s="196"/>
      <c r="E146" s="196"/>
      <c r="F146" s="358"/>
      <c r="G146" s="198"/>
      <c r="H146" s="198"/>
      <c r="I146" s="198"/>
      <c r="J146" s="198"/>
      <c r="K146" s="198"/>
      <c r="L146" s="198"/>
      <c r="M146" s="198"/>
      <c r="N146" s="198"/>
      <c r="O146" s="198"/>
      <c r="P146" s="198"/>
      <c r="Q146" s="198"/>
      <c r="R146" s="198"/>
      <c r="S146" s="198"/>
      <c r="T146" s="199"/>
      <c r="U146" s="42"/>
      <c r="V146" s="42"/>
      <c r="W146" s="42"/>
      <c r="X146" s="1746" t="s">
        <v>723</v>
      </c>
      <c r="Y146" s="1747"/>
      <c r="Z146" s="1747"/>
      <c r="AA146" s="1747"/>
      <c r="AB146" s="1748"/>
      <c r="AC146" s="32"/>
      <c r="AD146" s="42"/>
      <c r="AE146" s="42"/>
      <c r="AF146" s="1746" t="s">
        <v>2066</v>
      </c>
      <c r="AG146" s="1747"/>
      <c r="AH146" s="1747"/>
      <c r="AI146" s="1747"/>
      <c r="AJ146" s="1747"/>
      <c r="AK146" s="1747"/>
      <c r="AL146" s="1747"/>
      <c r="AM146" s="1748"/>
      <c r="AN146" s="42"/>
      <c r="AO146" s="42"/>
      <c r="AP146" s="42"/>
      <c r="AQ146" s="42"/>
      <c r="AR146" s="32"/>
      <c r="AS146" s="1755" t="s">
        <v>2073</v>
      </c>
      <c r="AT146" s="1756"/>
      <c r="AU146" s="1756"/>
      <c r="AV146" s="1756"/>
      <c r="AW146" s="1756"/>
      <c r="AX146" s="1756"/>
      <c r="AY146" s="1756"/>
      <c r="AZ146" s="1756"/>
      <c r="BA146" s="1756"/>
      <c r="BB146" s="1756"/>
      <c r="BC146" s="1756"/>
      <c r="BD146" s="1757"/>
    </row>
    <row r="147" spans="2:56" ht="12.75" hidden="1" customHeight="1" outlineLevel="1" x14ac:dyDescent="0.2">
      <c r="B147" s="200"/>
      <c r="C147" s="201"/>
      <c r="D147" s="361"/>
      <c r="E147" s="361"/>
      <c r="F147" s="201"/>
      <c r="G147" s="201"/>
      <c r="H147" s="362"/>
      <c r="I147" s="362"/>
      <c r="J147" s="201"/>
      <c r="K147" s="201"/>
      <c r="L147" s="201"/>
      <c r="M147" s="201"/>
      <c r="N147" s="201"/>
      <c r="O147" s="201"/>
      <c r="P147" s="201"/>
      <c r="Q147" s="201"/>
      <c r="R147" s="201"/>
      <c r="S147" s="201"/>
      <c r="T147" s="203"/>
      <c r="U147" s="42"/>
      <c r="X147" s="216"/>
      <c r="Y147" s="217"/>
      <c r="Z147" s="217"/>
      <c r="AA147" s="217"/>
      <c r="AB147" s="218"/>
      <c r="AC147" s="32"/>
      <c r="AF147" s="216"/>
      <c r="AG147" s="217"/>
      <c r="AH147" s="217"/>
      <c r="AI147" s="217"/>
      <c r="AJ147" s="217"/>
      <c r="AK147" s="217"/>
      <c r="AL147" s="198"/>
      <c r="AM147" s="199"/>
      <c r="AR147" s="32"/>
      <c r="AS147" s="1758" t="s">
        <v>61</v>
      </c>
      <c r="AT147" s="1759"/>
      <c r="AU147" s="1759"/>
      <c r="AV147" s="1759"/>
      <c r="AW147" s="1759"/>
      <c r="AX147" s="1759"/>
      <c r="AY147" s="1759"/>
      <c r="AZ147" s="1759"/>
      <c r="BA147" s="1759" t="s">
        <v>61</v>
      </c>
      <c r="BB147" s="1760"/>
      <c r="BC147" s="730"/>
      <c r="BD147" s="731"/>
    </row>
    <row r="148" spans="2:56" ht="12.75" hidden="1" customHeight="1" outlineLevel="1" x14ac:dyDescent="0.2">
      <c r="B148" s="204" t="s">
        <v>2906</v>
      </c>
      <c r="C148" s="362"/>
      <c r="D148" s="362" t="s">
        <v>56</v>
      </c>
      <c r="E148" s="362" t="s">
        <v>56</v>
      </c>
      <c r="F148" s="205" t="s">
        <v>2634</v>
      </c>
      <c r="G148" s="205" t="s">
        <v>2053</v>
      </c>
      <c r="H148" s="1745" t="s">
        <v>767</v>
      </c>
      <c r="I148" s="1745"/>
      <c r="J148" s="205" t="s">
        <v>2053</v>
      </c>
      <c r="K148" s="1745" t="s">
        <v>769</v>
      </c>
      <c r="L148" s="1745"/>
      <c r="M148" s="205" t="s">
        <v>2053</v>
      </c>
      <c r="N148" s="1745" t="s">
        <v>771</v>
      </c>
      <c r="O148" s="1745"/>
      <c r="P148" s="205" t="s">
        <v>2053</v>
      </c>
      <c r="Q148" s="1744" t="s">
        <v>770</v>
      </c>
      <c r="R148" s="1745"/>
      <c r="S148" s="361" t="s">
        <v>61</v>
      </c>
      <c r="T148" s="207" t="s">
        <v>61</v>
      </c>
      <c r="U148" s="42"/>
      <c r="V148" s="32"/>
      <c r="W148" s="32"/>
      <c r="X148" s="1629" t="s">
        <v>2605</v>
      </c>
      <c r="Y148" s="362" t="s">
        <v>2110</v>
      </c>
      <c r="Z148" s="362" t="s">
        <v>61</v>
      </c>
      <c r="AA148" s="362" t="s">
        <v>61</v>
      </c>
      <c r="AB148" s="207" t="s">
        <v>61</v>
      </c>
      <c r="AC148" s="32"/>
      <c r="AD148" s="32"/>
      <c r="AE148" s="32"/>
      <c r="AF148" s="204" t="s">
        <v>2065</v>
      </c>
      <c r="AG148" s="362" t="s">
        <v>61</v>
      </c>
      <c r="AH148" s="362" t="s">
        <v>61</v>
      </c>
      <c r="AI148" s="361" t="s">
        <v>61</v>
      </c>
      <c r="AJ148" s="362" t="s">
        <v>2558</v>
      </c>
      <c r="AK148" s="362" t="s">
        <v>61</v>
      </c>
      <c r="AL148" s="362" t="s">
        <v>61</v>
      </c>
      <c r="AM148" s="207" t="s">
        <v>61</v>
      </c>
      <c r="AN148" s="32"/>
      <c r="AO148" s="32"/>
      <c r="AP148" s="32"/>
      <c r="AQ148" s="32"/>
      <c r="AS148" s="1764" t="s">
        <v>14</v>
      </c>
      <c r="AT148" s="1761"/>
      <c r="AU148" s="1761" t="s">
        <v>60</v>
      </c>
      <c r="AV148" s="1761"/>
      <c r="AW148" s="1761" t="s">
        <v>27</v>
      </c>
      <c r="AX148" s="1761"/>
      <c r="AY148" s="1761" t="s">
        <v>2074</v>
      </c>
      <c r="AZ148" s="1761"/>
      <c r="BA148" s="1762" t="s">
        <v>41</v>
      </c>
      <c r="BB148" s="1763"/>
      <c r="BC148" s="1764" t="s">
        <v>85</v>
      </c>
      <c r="BD148" s="1765"/>
    </row>
    <row r="149" spans="2:56" ht="12.75" hidden="1" customHeight="1" outlineLevel="1" x14ac:dyDescent="0.2">
      <c r="B149" s="204"/>
      <c r="C149" s="362"/>
      <c r="D149" s="362" t="s">
        <v>61</v>
      </c>
      <c r="E149" s="362" t="s">
        <v>63</v>
      </c>
      <c r="F149" s="208" t="s">
        <v>2054</v>
      </c>
      <c r="G149" s="208" t="s">
        <v>34</v>
      </c>
      <c r="H149" s="270" t="s">
        <v>768</v>
      </c>
      <c r="I149" s="270" t="s">
        <v>24</v>
      </c>
      <c r="J149" s="208" t="s">
        <v>2061</v>
      </c>
      <c r="K149" s="270" t="s">
        <v>768</v>
      </c>
      <c r="L149" s="270" t="s">
        <v>24</v>
      </c>
      <c r="M149" s="212" t="s">
        <v>2059</v>
      </c>
      <c r="N149" s="270" t="s">
        <v>768</v>
      </c>
      <c r="O149" s="270" t="s">
        <v>24</v>
      </c>
      <c r="P149" s="212" t="s">
        <v>15</v>
      </c>
      <c r="Q149" s="270" t="s">
        <v>768</v>
      </c>
      <c r="R149" s="270" t="s">
        <v>24</v>
      </c>
      <c r="S149" s="363" t="s">
        <v>768</v>
      </c>
      <c r="T149" s="274" t="s">
        <v>24</v>
      </c>
      <c r="U149" s="42"/>
      <c r="V149" s="32"/>
      <c r="W149" s="32"/>
      <c r="X149" s="1629" t="s">
        <v>2109</v>
      </c>
      <c r="Y149" s="362"/>
      <c r="Z149" s="270" t="s">
        <v>768</v>
      </c>
      <c r="AA149" s="270" t="s">
        <v>24</v>
      </c>
      <c r="AB149" s="219" t="s">
        <v>41</v>
      </c>
      <c r="AC149" s="32"/>
      <c r="AD149" s="32"/>
      <c r="AE149" s="32"/>
      <c r="AF149" s="204"/>
      <c r="AG149" s="270" t="s">
        <v>768</v>
      </c>
      <c r="AH149" s="270" t="s">
        <v>24</v>
      </c>
      <c r="AI149" s="223" t="s">
        <v>41</v>
      </c>
      <c r="AJ149" s="362"/>
      <c r="AK149" s="270" t="s">
        <v>768</v>
      </c>
      <c r="AL149" s="270" t="s">
        <v>24</v>
      </c>
      <c r="AM149" s="219" t="s">
        <v>41</v>
      </c>
      <c r="AN149" s="32"/>
      <c r="AO149" s="32"/>
      <c r="AP149" s="32"/>
      <c r="AQ149" s="32"/>
      <c r="AS149" s="732" t="s">
        <v>768</v>
      </c>
      <c r="AT149" s="733" t="s">
        <v>24</v>
      </c>
      <c r="AU149" s="733" t="s">
        <v>768</v>
      </c>
      <c r="AV149" s="733" t="s">
        <v>24</v>
      </c>
      <c r="AW149" s="733" t="s">
        <v>768</v>
      </c>
      <c r="AX149" s="733" t="s">
        <v>24</v>
      </c>
      <c r="AY149" s="733" t="s">
        <v>768</v>
      </c>
      <c r="AZ149" s="733" t="s">
        <v>24</v>
      </c>
      <c r="BA149" s="734" t="s">
        <v>768</v>
      </c>
      <c r="BB149" s="735" t="s">
        <v>24</v>
      </c>
      <c r="BC149" s="732" t="s">
        <v>768</v>
      </c>
      <c r="BD149" s="736" t="s">
        <v>24</v>
      </c>
    </row>
    <row r="150" spans="2:56" ht="12.75" hidden="1" customHeight="1" outlineLevel="1" x14ac:dyDescent="0.2">
      <c r="B150" s="200" t="s">
        <v>809</v>
      </c>
      <c r="C150" s="201"/>
      <c r="D150" s="262">
        <f>S150+T150</f>
        <v>0</v>
      </c>
      <c r="E150" s="265">
        <f>D150*12/44</f>
        <v>0</v>
      </c>
      <c r="F150" s="182"/>
      <c r="G150" s="182"/>
      <c r="H150" s="271">
        <f>VLOOKUP($B150,'Emissions factors'!$B$84:$K$147,2,FALSE)</f>
        <v>503.1</v>
      </c>
      <c r="I150" s="271">
        <f>VLOOKUP($B150,'Emissions factors'!$B$84:$K$147,3,FALSE)</f>
        <v>3141</v>
      </c>
      <c r="J150" s="182"/>
      <c r="K150" s="277">
        <f>VLOOKUP($B150,'Emissions factors'!$B$84:$K$147,4,FALSE)</f>
        <v>4.4000000000000004E-2</v>
      </c>
      <c r="L150" s="277">
        <f>VLOOKUP($B150,'Emissions factors'!$B$84:$K$147,5,FALSE)</f>
        <v>0.28288600000000003</v>
      </c>
      <c r="M150" s="182"/>
      <c r="N150" s="271">
        <f>VLOOKUP($B150,'Emissions factors'!$B$84:$K$147,6,FALSE)</f>
        <v>528.5</v>
      </c>
      <c r="O150" s="271">
        <f>VLOOKUP($B150,'Emissions factors'!$B$84:$K$147,7,FALSE)</f>
        <v>3302.02</v>
      </c>
      <c r="P150" s="182"/>
      <c r="Q150" s="277">
        <f>VLOOKUP($B150,'Emissions factors'!$B$84:$K$147,8,FALSE)</f>
        <v>0.45289999999999997</v>
      </c>
      <c r="R150" s="277">
        <f>VLOOKUP($B150,'Emissions factors'!$B$84:$K$147,9,FALSE)</f>
        <v>2.48</v>
      </c>
      <c r="S150" s="210">
        <f>G150*H150+J150*K150+M150*N150+P150*Q150</f>
        <v>0</v>
      </c>
      <c r="T150" s="211">
        <f>G150*I150+J150*L150+M150*O150+P150*R150</f>
        <v>0</v>
      </c>
      <c r="U150" s="42"/>
      <c r="X150" s="282">
        <f>VLOOKUP($B150,'Emissions factors'!$B$84:$K$147,10,FALSE)</f>
        <v>0.05</v>
      </c>
      <c r="Y150" s="184"/>
      <c r="Z150" s="221">
        <f>S150*SQRT(X150^2+Y150^2)</f>
        <v>0</v>
      </c>
      <c r="AA150" s="221">
        <f>T150*SQRT(X150^2+Y150^2)</f>
        <v>0</v>
      </c>
      <c r="AB150" s="211">
        <f>SQRT(Z150^2+AA150^2)</f>
        <v>0</v>
      </c>
      <c r="AF150" s="184"/>
      <c r="AG150" s="221">
        <f>S150*AF150</f>
        <v>0</v>
      </c>
      <c r="AH150" s="224">
        <f>T150*AF150</f>
        <v>0</v>
      </c>
      <c r="AI150" s="210">
        <f>AG150+AH150</f>
        <v>0</v>
      </c>
      <c r="AJ150" s="184"/>
      <c r="AK150" s="221">
        <f>S150*AJ150</f>
        <v>0</v>
      </c>
      <c r="AL150" s="224">
        <f>T150*AJ150</f>
        <v>0</v>
      </c>
      <c r="AM150" s="211">
        <f>AK150+AL150</f>
        <v>0</v>
      </c>
      <c r="AS150" s="717">
        <f>G150*VLOOKUP($B150,'Emissions factors'!$B$84:$AQ$147,11,FALSE)+J150*VLOOKUP($B150,'Emissions factors'!$B$84:$AQ$147,13,FALSE)+M150*VLOOKUP($B150,'Emissions factors'!$B$84:$AQ$147,15,FALSE)+P150*VLOOKUP($B150,'Emissions factors'!$B$84:$AQ$147,17,FALSE)</f>
        <v>0</v>
      </c>
      <c r="AT150" s="718">
        <f>G150*VLOOKUP($B150,'Emissions factors'!$B$84:$AQ$147,12,FALSE)+J150*VLOOKUP($B150,'Emissions factors'!$B$84:$AQ$147,14,FALSE)+M150*VLOOKUP($B150,'Emissions factors'!$B$84:$AQ$147,16,FALSE)+P150*VLOOKUP($B150,'Emissions factors'!$B$84:$AQ$147,18,FALSE)</f>
        <v>0</v>
      </c>
      <c r="AU150" s="718">
        <f>G150*VLOOKUP($B150,'Emissions factors'!$B$84:$AQ$147,19,FALSE)+J150*VLOOKUP($B150,'Emissions factors'!$B$84:$AQ$147,21,FALSE)+M150*VLOOKUP($B150,'Emissions factors'!$B$84:$AQ$147,23,FALSE)+P150*VLOOKUP($B150,'Emissions factors'!$B$84:$AQ$147,25,FALSE)</f>
        <v>0</v>
      </c>
      <c r="AV150" s="718">
        <f>G150*VLOOKUP($B150,'Emissions factors'!$B$84:$AQ$147,20,FALSE)+J150*VLOOKUP($B150,'Emissions factors'!$B$84:$AQ$147,22,FALSE)+M150*VLOOKUP($B150,'Emissions factors'!$B$84:$AQ$147,24,FALSE)+P150*VLOOKUP($B150,'Emissions factors'!$B$84:$AQ$147,26,FALSE)</f>
        <v>0</v>
      </c>
      <c r="AW150" s="718">
        <f>G150*VLOOKUP($B150,'Emissions factors'!$B$84:$AQ$147,27,FALSE)+J150*VLOOKUP($B150,'Emissions factors'!$B$84:$AQ$147,29,FALSE)+M150*VLOOKUP($B150,'Emissions factors'!$B$84:$AQ$147,31,FALSE)+P150*VLOOKUP($B150,'Emissions factors'!$B$84:$AQ$147,33,FALSE)</f>
        <v>0</v>
      </c>
      <c r="AX150" s="718">
        <f>G150*VLOOKUP($B150,'Emissions factors'!$B$84:$AQ$147,28,FALSE)+J150*VLOOKUP($B150,'Emissions factors'!$B$84:$AQ$147,30,FALSE)+M150*VLOOKUP($B150,'Emissions factors'!$B$84:$AQ$147,32,FALSE)+P150*VLOOKUP($B150,'Emissions factors'!$B$84:$AQ$147,34,FALSE)</f>
        <v>0</v>
      </c>
      <c r="AY150" s="718">
        <v>0</v>
      </c>
      <c r="AZ150" s="718">
        <v>0</v>
      </c>
      <c r="BA150" s="719">
        <f t="shared" ref="BA150:BB152" si="83">S150</f>
        <v>0</v>
      </c>
      <c r="BB150" s="720">
        <f t="shared" si="83"/>
        <v>0</v>
      </c>
      <c r="BC150" s="718">
        <f>G150*VLOOKUP($B150,'Emissions factors'!$B$84:$AQ$147,35,FALSE)+J150*VLOOKUP($B150,'Emissions factors'!$B$84:$AQ$147,37,FALSE)+M150*VLOOKUP($B150,'Emissions factors'!$B$84:$AQ$147,39,FALSE)+P150*VLOOKUP($B150,'Emissions factors'!$B$84:$AQ$147,41,FALSE)</f>
        <v>0</v>
      </c>
      <c r="BD150" s="721">
        <f>G150*VLOOKUP($B150,'Emissions factors'!$B$84:$AQ$147,36,FALSE)+J150*VLOOKUP($B150,'Emissions factors'!$B$84:$AQ$147,38,FALSE)+M150*VLOOKUP($B150,'Emissions factors'!$B$84:$AQ$147,40,FALSE)+P150*VLOOKUP($B150,'Emissions factors'!$B$84:$AQ$147,42,FALSE)</f>
        <v>0</v>
      </c>
    </row>
    <row r="151" spans="2:56" ht="12.75" hidden="1" customHeight="1" outlineLevel="1" x14ac:dyDescent="0.2">
      <c r="B151" s="200" t="s">
        <v>814</v>
      </c>
      <c r="C151" s="201"/>
      <c r="D151" s="262">
        <f>S151+T151</f>
        <v>0</v>
      </c>
      <c r="E151" s="265">
        <f>D151*12/44</f>
        <v>0</v>
      </c>
      <c r="F151" s="185"/>
      <c r="G151" s="185"/>
      <c r="H151" s="271">
        <f>VLOOKUP($B151,'Emissions factors'!$B$84:$K$147,2,FALSE)</f>
        <v>676.2</v>
      </c>
      <c r="I151" s="271">
        <f>VLOOKUP($B151,'Emissions factors'!$B$84:$K$147,3,FALSE)</f>
        <v>3169.22</v>
      </c>
      <c r="J151" s="185"/>
      <c r="K151" s="277">
        <f>VLOOKUP($B151,'Emissions factors'!$B$84:$K$147,4,FALSE)</f>
        <v>5.8999999999999997E-2</v>
      </c>
      <c r="L151" s="277">
        <f>VLOOKUP($B151,'Emissions factors'!$B$84:$K$147,5,FALSE)</f>
        <v>0.271646</v>
      </c>
      <c r="M151" s="185"/>
      <c r="N151" s="271">
        <f>VLOOKUP($B151,'Emissions factors'!$B$84:$K$147,6,FALSE)</f>
        <v>676.2</v>
      </c>
      <c r="O151" s="271">
        <f>VLOOKUP($B151,'Emissions factors'!$B$84:$K$147,7,FALSE)</f>
        <v>3169.22</v>
      </c>
      <c r="P151" s="185"/>
      <c r="Q151" s="277">
        <f>VLOOKUP($B151,'Emissions factors'!$B$84:$K$147,8,FALSE)</f>
        <v>0.5706</v>
      </c>
      <c r="R151" s="277">
        <f>VLOOKUP($B151,'Emissions factors'!$B$84:$K$147,9,FALSE)</f>
        <v>2.48</v>
      </c>
      <c r="S151" s="210">
        <f>G151*H151+J151*K151+M151*N151+P151*Q151</f>
        <v>0</v>
      </c>
      <c r="T151" s="211">
        <f>G151*I151+J151*L151+M151*O151+P151*R151</f>
        <v>0</v>
      </c>
      <c r="U151" s="42"/>
      <c r="X151" s="282">
        <f>VLOOKUP($B151,'Emissions factors'!$B$84:$K$147,10,FALSE)</f>
        <v>0.05</v>
      </c>
      <c r="Y151" s="187"/>
      <c r="Z151" s="221">
        <f>S151*SQRT(X151^2+Y151^2)</f>
        <v>0</v>
      </c>
      <c r="AA151" s="221">
        <f>T151*SQRT(X151^2+Y151^2)</f>
        <v>0</v>
      </c>
      <c r="AB151" s="211">
        <f>SQRT(Z151^2+AA151^2)</f>
        <v>0</v>
      </c>
      <c r="AF151" s="187"/>
      <c r="AG151" s="221">
        <f>S151*AF151</f>
        <v>0</v>
      </c>
      <c r="AH151" s="224">
        <f>T151*AF151</f>
        <v>0</v>
      </c>
      <c r="AI151" s="210">
        <f>AG151+AH151</f>
        <v>0</v>
      </c>
      <c r="AJ151" s="187"/>
      <c r="AK151" s="221">
        <f>S151*AJ151</f>
        <v>0</v>
      </c>
      <c r="AL151" s="224">
        <f>T151*AJ151</f>
        <v>0</v>
      </c>
      <c r="AM151" s="211">
        <f>AK151+AL151</f>
        <v>0</v>
      </c>
      <c r="AS151" s="717">
        <f>G151*VLOOKUP($B151,'Emissions factors'!$B$84:$AQ$147,11,FALSE)+J151*VLOOKUP($B151,'Emissions factors'!$B$84:$AQ$147,13,FALSE)+M151*VLOOKUP($B151,'Emissions factors'!$B$84:$AQ$147,15,FALSE)+P151*VLOOKUP($B151,'Emissions factors'!$B$84:$AQ$147,17,FALSE)</f>
        <v>0</v>
      </c>
      <c r="AT151" s="718">
        <f>G151*VLOOKUP($B151,'Emissions factors'!$B$84:$AQ$147,12,FALSE)+J151*VLOOKUP($B151,'Emissions factors'!$B$84:$AQ$147,14,FALSE)+M151*VLOOKUP($B151,'Emissions factors'!$B$84:$AQ$147,16,FALSE)+P151*VLOOKUP($B151,'Emissions factors'!$B$84:$AQ$147,18,FALSE)</f>
        <v>0</v>
      </c>
      <c r="AU151" s="718">
        <f>G151*VLOOKUP($B151,'Emissions factors'!$B$84:$AQ$147,19,FALSE)+J151*VLOOKUP($B151,'Emissions factors'!$B$84:$AQ$147,21,FALSE)+M151*VLOOKUP($B151,'Emissions factors'!$B$84:$AQ$147,23,FALSE)+P151*VLOOKUP($B151,'Emissions factors'!$B$84:$AQ$147,25,FALSE)</f>
        <v>0</v>
      </c>
      <c r="AV151" s="718">
        <f>G151*VLOOKUP($B151,'Emissions factors'!$B$84:$AQ$147,20,FALSE)+J151*VLOOKUP($B151,'Emissions factors'!$B$84:$AQ$147,22,FALSE)+M151*VLOOKUP($B151,'Emissions factors'!$B$84:$AQ$147,24,FALSE)+P151*VLOOKUP($B151,'Emissions factors'!$B$84:$AQ$147,26,FALSE)</f>
        <v>0</v>
      </c>
      <c r="AW151" s="718">
        <f>G151*VLOOKUP($B151,'Emissions factors'!$B$84:$AQ$147,27,FALSE)+J151*VLOOKUP($B151,'Emissions factors'!$B$84:$AQ$147,29,FALSE)+M151*VLOOKUP($B151,'Emissions factors'!$B$84:$AQ$147,31,FALSE)+P151*VLOOKUP($B151,'Emissions factors'!$B$84:$AQ$147,33,FALSE)</f>
        <v>0</v>
      </c>
      <c r="AX151" s="718">
        <f>G151*VLOOKUP($B151,'Emissions factors'!$B$84:$AQ$147,28,FALSE)+J151*VLOOKUP($B151,'Emissions factors'!$B$84:$AQ$147,30,FALSE)+M151*VLOOKUP($B151,'Emissions factors'!$B$84:$AQ$147,32,FALSE)+P151*VLOOKUP($B151,'Emissions factors'!$B$84:$AQ$147,34,FALSE)</f>
        <v>0</v>
      </c>
      <c r="AY151" s="718">
        <v>0</v>
      </c>
      <c r="AZ151" s="718">
        <v>0</v>
      </c>
      <c r="BA151" s="719">
        <f t="shared" si="83"/>
        <v>0</v>
      </c>
      <c r="BB151" s="720">
        <f t="shared" si="83"/>
        <v>0</v>
      </c>
      <c r="BC151" s="718">
        <f>G151*VLOOKUP($B151,'Emissions factors'!$B$84:$AQ$147,35,FALSE)+J151*VLOOKUP($B151,'Emissions factors'!$B$84:$AQ$147,37,FALSE)+M151*VLOOKUP($B151,'Emissions factors'!$B$84:$AQ$147,39,FALSE)+P151*VLOOKUP($B151,'Emissions factors'!$B$84:$AQ$147,41,FALSE)</f>
        <v>0</v>
      </c>
      <c r="BD151" s="721">
        <f>G151*VLOOKUP($B151,'Emissions factors'!$B$84:$AQ$147,36,FALSE)+J151*VLOOKUP($B151,'Emissions factors'!$B$84:$AQ$147,38,FALSE)+M151*VLOOKUP($B151,'Emissions factors'!$B$84:$AQ$147,40,FALSE)+P151*VLOOKUP($B151,'Emissions factors'!$B$84:$AQ$147,42,FALSE)</f>
        <v>0</v>
      </c>
    </row>
    <row r="152" spans="2:56" ht="12.75" hidden="1" customHeight="1" outlineLevel="1" x14ac:dyDescent="0.2">
      <c r="B152" s="200" t="s">
        <v>815</v>
      </c>
      <c r="C152" s="201"/>
      <c r="D152" s="262">
        <f>S152+T152</f>
        <v>0</v>
      </c>
      <c r="E152" s="265">
        <f>D152*12/44</f>
        <v>0</v>
      </c>
      <c r="F152" s="188"/>
      <c r="G152" s="188"/>
      <c r="H152" s="271">
        <f>VLOOKUP($B152,'Emissions factors'!$B$84:$K$147,2,FALSE)</f>
        <v>676.2</v>
      </c>
      <c r="I152" s="271">
        <f>VLOOKUP($B152,'Emissions factors'!$B$84:$K$147,3,FALSE)</f>
        <v>3169.22</v>
      </c>
      <c r="J152" s="188"/>
      <c r="K152" s="277">
        <f>VLOOKUP($B152,'Emissions factors'!$B$84:$K$147,4,FALSE)</f>
        <v>5.8999999999999997E-2</v>
      </c>
      <c r="L152" s="277">
        <f>VLOOKUP($B152,'Emissions factors'!$B$84:$K$147,5,FALSE)</f>
        <v>0.271646</v>
      </c>
      <c r="M152" s="188"/>
      <c r="N152" s="271">
        <f>VLOOKUP($B152,'Emissions factors'!$B$84:$K$147,6,FALSE)</f>
        <v>676.2</v>
      </c>
      <c r="O152" s="271">
        <f>VLOOKUP($B152,'Emissions factors'!$B$84:$K$147,7,FALSE)</f>
        <v>3169.22</v>
      </c>
      <c r="P152" s="188"/>
      <c r="Q152" s="277">
        <f>VLOOKUP($B152,'Emissions factors'!$B$84:$K$147,8,FALSE)</f>
        <v>0.5706</v>
      </c>
      <c r="R152" s="277">
        <f>VLOOKUP($B152,'Emissions factors'!$B$84:$K$147,9,FALSE)</f>
        <v>2.48</v>
      </c>
      <c r="S152" s="210">
        <f>G152*H152+J152*K152+M152*N152+P152*Q152</f>
        <v>0</v>
      </c>
      <c r="T152" s="211">
        <f>G152*I152+J152*L152+M152*O152+P152*R152</f>
        <v>0</v>
      </c>
      <c r="U152" s="42"/>
      <c r="X152" s="282">
        <f>VLOOKUP($B152,'Emissions factors'!$B$84:$K$147,10,FALSE)</f>
        <v>0.05</v>
      </c>
      <c r="Y152" s="190"/>
      <c r="Z152" s="221">
        <f>S152*SQRT(X152^2+Y152^2)</f>
        <v>0</v>
      </c>
      <c r="AA152" s="221">
        <f>T152*SQRT(X152^2+Y152^2)</f>
        <v>0</v>
      </c>
      <c r="AB152" s="211">
        <f>SQRT(Z152^2+AA152^2)</f>
        <v>0</v>
      </c>
      <c r="AF152" s="190"/>
      <c r="AG152" s="221">
        <f>S152*AF152</f>
        <v>0</v>
      </c>
      <c r="AH152" s="224">
        <f>T152*AF152</f>
        <v>0</v>
      </c>
      <c r="AI152" s="210">
        <f>AG152+AH152</f>
        <v>0</v>
      </c>
      <c r="AJ152" s="190"/>
      <c r="AK152" s="221">
        <f>S152*AJ152</f>
        <v>0</v>
      </c>
      <c r="AL152" s="224">
        <f>T152*AJ152</f>
        <v>0</v>
      </c>
      <c r="AM152" s="211">
        <f>AK152+AL152</f>
        <v>0</v>
      </c>
      <c r="AS152" s="717">
        <f>G152*VLOOKUP($B152,'Emissions factors'!$B$84:$AQ$147,11,FALSE)+J152*VLOOKUP($B152,'Emissions factors'!$B$84:$AQ$147,13,FALSE)+M152*VLOOKUP($B152,'Emissions factors'!$B$84:$AQ$147,15,FALSE)+P152*VLOOKUP($B152,'Emissions factors'!$B$84:$AQ$147,17,FALSE)</f>
        <v>0</v>
      </c>
      <c r="AT152" s="718">
        <f>G152*VLOOKUP($B152,'Emissions factors'!$B$84:$AQ$147,12,FALSE)+J152*VLOOKUP($B152,'Emissions factors'!$B$84:$AQ$147,14,FALSE)+M152*VLOOKUP($B152,'Emissions factors'!$B$84:$AQ$147,16,FALSE)+P152*VLOOKUP($B152,'Emissions factors'!$B$84:$AQ$147,18,FALSE)</f>
        <v>0</v>
      </c>
      <c r="AU152" s="718">
        <f>G152*VLOOKUP($B152,'Emissions factors'!$B$84:$AQ$147,19,FALSE)+J152*VLOOKUP($B152,'Emissions factors'!$B$84:$AQ$147,21,FALSE)+M152*VLOOKUP($B152,'Emissions factors'!$B$84:$AQ$147,23,FALSE)+P152*VLOOKUP($B152,'Emissions factors'!$B$84:$AQ$147,25,FALSE)</f>
        <v>0</v>
      </c>
      <c r="AV152" s="718">
        <f>G152*VLOOKUP($B152,'Emissions factors'!$B$84:$AQ$147,20,FALSE)+J152*VLOOKUP($B152,'Emissions factors'!$B$84:$AQ$147,22,FALSE)+M152*VLOOKUP($B152,'Emissions factors'!$B$84:$AQ$147,24,FALSE)+P152*VLOOKUP($B152,'Emissions factors'!$B$84:$AQ$147,26,FALSE)</f>
        <v>0</v>
      </c>
      <c r="AW152" s="718">
        <f>G152*VLOOKUP($B152,'Emissions factors'!$B$84:$AQ$147,27,FALSE)+J152*VLOOKUP($B152,'Emissions factors'!$B$84:$AQ$147,29,FALSE)+M152*VLOOKUP($B152,'Emissions factors'!$B$84:$AQ$147,31,FALSE)+P152*VLOOKUP($B152,'Emissions factors'!$B$84:$AQ$147,33,FALSE)</f>
        <v>0</v>
      </c>
      <c r="AX152" s="718">
        <f>G152*VLOOKUP($B152,'Emissions factors'!$B$84:$AQ$147,28,FALSE)+J152*VLOOKUP($B152,'Emissions factors'!$B$84:$AQ$147,30,FALSE)+M152*VLOOKUP($B152,'Emissions factors'!$B$84:$AQ$147,32,FALSE)+P152*VLOOKUP($B152,'Emissions factors'!$B$84:$AQ$147,34,FALSE)</f>
        <v>0</v>
      </c>
      <c r="AY152" s="718">
        <v>0</v>
      </c>
      <c r="AZ152" s="718">
        <v>0</v>
      </c>
      <c r="BA152" s="719">
        <f t="shared" si="83"/>
        <v>0</v>
      </c>
      <c r="BB152" s="720">
        <f t="shared" si="83"/>
        <v>0</v>
      </c>
      <c r="BC152" s="718">
        <f>G152*VLOOKUP($B152,'Emissions factors'!$B$84:$AQ$147,35,FALSE)+J152*VLOOKUP($B152,'Emissions factors'!$B$84:$AQ$147,37,FALSE)+M152*VLOOKUP($B152,'Emissions factors'!$B$84:$AQ$147,39,FALSE)+P152*VLOOKUP($B152,'Emissions factors'!$B$84:$AQ$147,41,FALSE)</f>
        <v>0</v>
      </c>
      <c r="BD152" s="721">
        <f>G152*VLOOKUP($B152,'Emissions factors'!$B$84:$AQ$147,36,FALSE)+J152*VLOOKUP($B152,'Emissions factors'!$B$84:$AQ$147,38,FALSE)+M152*VLOOKUP($B152,'Emissions factors'!$B$84:$AQ$147,40,FALSE)+P152*VLOOKUP($B152,'Emissions factors'!$B$84:$AQ$147,42,FALSE)</f>
        <v>0</v>
      </c>
    </row>
    <row r="153" spans="2:56" ht="12.75" hidden="1" customHeight="1" outlineLevel="1" x14ac:dyDescent="0.2">
      <c r="B153" s="200"/>
      <c r="C153" s="201"/>
      <c r="D153" s="263"/>
      <c r="E153" s="266"/>
      <c r="F153" s="410"/>
      <c r="G153" s="410"/>
      <c r="H153" s="273"/>
      <c r="I153" s="273"/>
      <c r="J153" s="410"/>
      <c r="K153" s="273"/>
      <c r="L153" s="273"/>
      <c r="M153" s="410"/>
      <c r="N153" s="273"/>
      <c r="O153" s="273"/>
      <c r="P153" s="410"/>
      <c r="Q153" s="273"/>
      <c r="R153" s="272"/>
      <c r="S153" s="210"/>
      <c r="T153" s="211"/>
      <c r="U153" s="42"/>
      <c r="X153" s="282"/>
      <c r="Y153" s="221"/>
      <c r="Z153" s="221"/>
      <c r="AA153" s="221"/>
      <c r="AB153" s="211"/>
      <c r="AF153" s="200"/>
      <c r="AG153" s="221"/>
      <c r="AH153" s="224"/>
      <c r="AI153" s="285"/>
      <c r="AJ153" s="224"/>
      <c r="AK153" s="221"/>
      <c r="AL153" s="224"/>
      <c r="AM153" s="211"/>
      <c r="AS153" s="717"/>
      <c r="AT153" s="718"/>
      <c r="AU153" s="718"/>
      <c r="AV153" s="718"/>
      <c r="AW153" s="718"/>
      <c r="AX153" s="718"/>
      <c r="AY153" s="718"/>
      <c r="AZ153" s="718"/>
      <c r="BA153" s="719"/>
      <c r="BB153" s="720"/>
      <c r="BC153" s="717"/>
      <c r="BD153" s="721"/>
    </row>
    <row r="154" spans="2:56" ht="12.75" hidden="1" customHeight="1" outlineLevel="1" x14ac:dyDescent="0.2">
      <c r="B154" s="200" t="s">
        <v>843</v>
      </c>
      <c r="C154" s="201"/>
      <c r="D154" s="262">
        <f>S154+T154</f>
        <v>0</v>
      </c>
      <c r="E154" s="265">
        <f>D154*12/44</f>
        <v>0</v>
      </c>
      <c r="F154" s="182"/>
      <c r="G154" s="182"/>
      <c r="H154" s="271">
        <f>VLOOKUP($B154,'Emissions factors'!$B$152:$K$165,2,FALSE)</f>
        <v>40.700000000000003</v>
      </c>
      <c r="I154" s="271">
        <f>VLOOKUP($B154,'Emissions factors'!$B$152:$K$165,3,FALSE)</f>
        <v>48.2</v>
      </c>
      <c r="J154" s="182"/>
      <c r="K154" s="277">
        <f>VLOOKUP($B154,'Emissions factors'!$B$152:$K$165,4,FALSE)</f>
        <v>1.115E-2</v>
      </c>
      <c r="L154" s="277">
        <f>VLOOKUP($B154,'Emissions factors'!$B$152:$K$165,5,FALSE)</f>
        <v>1.32E-2</v>
      </c>
      <c r="M154" s="182"/>
      <c r="N154" s="271">
        <f>VLOOKUP($B154,'Emissions factors'!$B$152:$K$165,6,FALSE)</f>
        <v>0</v>
      </c>
      <c r="O154" s="271">
        <f>VLOOKUP($B154,'Emissions factors'!$B$152:$K$165,7,FALSE)</f>
        <v>0</v>
      </c>
      <c r="P154" s="182"/>
      <c r="Q154" s="271">
        <f>VLOOKUP($B154,'Emissions factors'!$B$152:$K$165,8,FALSE)</f>
        <v>0</v>
      </c>
      <c r="R154" s="271">
        <f>VLOOKUP($B154,'Emissions factors'!$B$152:$K$165,9,FALSE)</f>
        <v>0</v>
      </c>
      <c r="S154" s="210">
        <f>G154*H154+J154*K154+M154*N154+P154*Q154</f>
        <v>0</v>
      </c>
      <c r="T154" s="211">
        <f>G154*I154+J154*L154+M154*O154+P154*R154</f>
        <v>0</v>
      </c>
      <c r="U154" s="42"/>
      <c r="X154" s="282">
        <f>VLOOKUP($B154,'Emissions factors'!$B$152:$K$165,10,FALSE)</f>
        <v>0.5</v>
      </c>
      <c r="Y154" s="184"/>
      <c r="Z154" s="221">
        <f>S154*SQRT(X154^2+Y154^2)</f>
        <v>0</v>
      </c>
      <c r="AA154" s="221">
        <f>T154*SQRT(X154^2+Y154^2)</f>
        <v>0</v>
      </c>
      <c r="AB154" s="211">
        <f>SQRT(Z154^2+AA154^2)</f>
        <v>0</v>
      </c>
      <c r="AF154" s="184"/>
      <c r="AG154" s="221">
        <f>S154*AF154</f>
        <v>0</v>
      </c>
      <c r="AH154" s="224">
        <f>T154*AF154</f>
        <v>0</v>
      </c>
      <c r="AI154" s="210">
        <f>AG154+AH154</f>
        <v>0</v>
      </c>
      <c r="AJ154" s="184"/>
      <c r="AK154" s="221">
        <f>S154*AJ154</f>
        <v>0</v>
      </c>
      <c r="AL154" s="224">
        <f>T154*AJ154</f>
        <v>0</v>
      </c>
      <c r="AM154" s="211">
        <f>AK154+AL154</f>
        <v>0</v>
      </c>
      <c r="AS154" s="717">
        <f>G154*VLOOKUP($B154,'Emissions factors'!$B$152:$AQ$165,11,FALSE)+J154*VLOOKUP($B154,'Emissions factors'!$B$152:$AQ$165,13,FALSE)+M154*VLOOKUP($B154,'Emissions factors'!$B$152:$AQ$165,15,FALSE)+P154*VLOOKUP($B154,'Emissions factors'!$B$152:$AQ$165,17,FALSE)</f>
        <v>0</v>
      </c>
      <c r="AT154" s="718">
        <f>G154*VLOOKUP($B154,'Emissions factors'!$B$152:$AQ$165,12,FALSE)+J154*VLOOKUP($B154,'Emissions factors'!$B$152:$AQ$165,14,FALSE)+M154*VLOOKUP($B154,'Emissions factors'!$B$152:$AQ$165,16,FALSE)+P154*VLOOKUP($B154,'Emissions factors'!$B$152:$AQ$165,18,FALSE)</f>
        <v>0</v>
      </c>
      <c r="AU154" s="718">
        <f>G154*VLOOKUP($B154,'Emissions factors'!$B$152:$AQ$165,19,FALSE)+J154*VLOOKUP($B154,'Emissions factors'!$B$152:$AQ$165,21,FALSE)+M154*VLOOKUP($B154,'Emissions factors'!$B$152:$AQ$165,23,FALSE)+P154*VLOOKUP($B154,'Emissions factors'!$B$152:$AQ$165,25,FALSE)</f>
        <v>0</v>
      </c>
      <c r="AV154" s="718">
        <f>G154*VLOOKUP($B154,'Emissions factors'!$B$152:$AQ$165,20,FALSE)+J154*VLOOKUP($B154,'Emissions factors'!$B$152:$AQ$165,22,FALSE)+M154*VLOOKUP($B154,'Emissions factors'!$B$152:$AQ$165,24,FALSE)+P154*VLOOKUP($B154,'Emissions factors'!$B$152:$AQ$165,26,FALSE)</f>
        <v>0</v>
      </c>
      <c r="AW154" s="718">
        <f>G154*VLOOKUP($B154,'Emissions factors'!$B$152:$AQ$165,27,FALSE)+J154*VLOOKUP($B154,'Emissions factors'!$B$152:$AQ$165,29,FALSE)+M154*VLOOKUP($B154,'Emissions factors'!$B$152:$AQ$165,31,FALSE)+P154*VLOOKUP($B154,'Emissions factors'!$B$152:$AQ$165,33,FALSE)</f>
        <v>0</v>
      </c>
      <c r="AX154" s="718">
        <f>G154*VLOOKUP($B154,'Emissions factors'!$B$152:$AQ$165,28,FALSE)+J154*VLOOKUP($B154,'Emissions factors'!$B$152:$AQ$165,30,FALSE)+M154*VLOOKUP($B154,'Emissions factors'!$B$152:$AQ$165,32,FALSE)+P154*VLOOKUP($B154,'Emissions factors'!$B$152:$AQ$165,34,FALSE)</f>
        <v>0</v>
      </c>
      <c r="AY154" s="718">
        <v>0</v>
      </c>
      <c r="AZ154" s="718">
        <v>0</v>
      </c>
      <c r="BA154" s="719">
        <f>S154</f>
        <v>0</v>
      </c>
      <c r="BB154" s="720">
        <f>T154</f>
        <v>0</v>
      </c>
      <c r="BC154" s="717">
        <f>G154*VLOOKUP($B154,'Emissions factors'!$B$152:$AQ$165,35,FALSE)+J154*VLOOKUP($B154,'Emissions factors'!$B$152:$AQ$165,37,FALSE)+M154*VLOOKUP($B154,'Emissions factors'!$B$152:$AQ$165,39,FALSE)+P154*VLOOKUP($B154,'Emissions factors'!$B$152:$AQ$165,41,FALSE)</f>
        <v>0</v>
      </c>
      <c r="BD154" s="721">
        <f>G154*VLOOKUP($B154,'Emissions factors'!$B$152:$AQ$165,36,FALSE)+J154*VLOOKUP($B154,'Emissions factors'!$B$152:$AQ$165,38,FALSE)+M154*VLOOKUP($B154,'Emissions factors'!$B$152:$AQ$165,40,FALSE)+P154*VLOOKUP($B154,'Emissions factors'!$B$152:$AQ$165,42,FALSE)</f>
        <v>0</v>
      </c>
    </row>
    <row r="155" spans="2:56" ht="12.75" hidden="1" customHeight="1" outlineLevel="1" x14ac:dyDescent="0.2">
      <c r="B155" s="200" t="s">
        <v>839</v>
      </c>
      <c r="C155" s="201"/>
      <c r="D155" s="262">
        <f>S155+T155</f>
        <v>0</v>
      </c>
      <c r="E155" s="265">
        <f>D155*12/44</f>
        <v>0</v>
      </c>
      <c r="F155" s="188"/>
      <c r="G155" s="188"/>
      <c r="H155" s="271">
        <f>VLOOKUP($B155,'Emissions factors'!$B$152:$K$165,2,FALSE)</f>
        <v>41.2</v>
      </c>
      <c r="I155" s="271">
        <f>VLOOKUP($B155,'Emissions factors'!$B$152:$K$165,3,FALSE)</f>
        <v>72.599999999999994</v>
      </c>
      <c r="J155" s="188"/>
      <c r="K155" s="277">
        <f>VLOOKUP($B155,'Emissions factors'!$B$152:$K$165,4,FALSE)</f>
        <v>1.068E-2</v>
      </c>
      <c r="L155" s="277">
        <f>VLOOKUP($B155,'Emissions factors'!$B$152:$K$165,5,FALSE)</f>
        <v>1.8800000000000001E-2</v>
      </c>
      <c r="M155" s="188"/>
      <c r="N155" s="271">
        <f>VLOOKUP($B155,'Emissions factors'!$B$152:$K$165,6,FALSE)</f>
        <v>0</v>
      </c>
      <c r="O155" s="271">
        <f>VLOOKUP($B155,'Emissions factors'!$B$152:$K$165,7,FALSE)</f>
        <v>0</v>
      </c>
      <c r="P155" s="188"/>
      <c r="Q155" s="271">
        <f>VLOOKUP($B155,'Emissions factors'!$B$152:$K$165,8,FALSE)</f>
        <v>0</v>
      </c>
      <c r="R155" s="271">
        <f>VLOOKUP($B155,'Emissions factors'!$B$152:$K$165,9,FALSE)</f>
        <v>0</v>
      </c>
      <c r="S155" s="210">
        <f>G155*H155+J155*K155+M155*N155+P155*Q155</f>
        <v>0</v>
      </c>
      <c r="T155" s="211">
        <f>G155*I155+J155*L155+M155*O155+P155*R155</f>
        <v>0</v>
      </c>
      <c r="U155" s="42"/>
      <c r="X155" s="282">
        <f>VLOOKUP($B155,'Emissions factors'!$B$152:$K$165,10,FALSE)</f>
        <v>0.5</v>
      </c>
      <c r="Y155" s="190"/>
      <c r="Z155" s="221">
        <f>S155*SQRT(X155^2+Y155^2)</f>
        <v>0</v>
      </c>
      <c r="AA155" s="221">
        <f>T155*SQRT(X155^2+Y155^2)</f>
        <v>0</v>
      </c>
      <c r="AB155" s="211">
        <f>SQRT(Z155^2+AA155^2)</f>
        <v>0</v>
      </c>
      <c r="AF155" s="190"/>
      <c r="AG155" s="221">
        <f>S155*AF155</f>
        <v>0</v>
      </c>
      <c r="AH155" s="224">
        <f>T155*AF155</f>
        <v>0</v>
      </c>
      <c r="AI155" s="210">
        <f>AG155+AH155</f>
        <v>0</v>
      </c>
      <c r="AJ155" s="190"/>
      <c r="AK155" s="221">
        <f>S155*AJ155</f>
        <v>0</v>
      </c>
      <c r="AL155" s="224">
        <f>T155*AJ155</f>
        <v>0</v>
      </c>
      <c r="AM155" s="211">
        <f>AK155+AL155</f>
        <v>0</v>
      </c>
      <c r="AS155" s="717">
        <f>G155*VLOOKUP($B155,'Emissions factors'!$B$152:$AQ$165,11,FALSE)+J155*VLOOKUP($B155,'Emissions factors'!$B$152:$AQ$165,13,FALSE)+M155*VLOOKUP($B155,'Emissions factors'!$B$152:$AQ$165,15,FALSE)+P155*VLOOKUP($B155,'Emissions factors'!$B$152:$AQ$165,17,FALSE)</f>
        <v>0</v>
      </c>
      <c r="AT155" s="718">
        <f>G155*VLOOKUP($B155,'Emissions factors'!$B$152:$AQ$165,12,FALSE)+J155*VLOOKUP($B155,'Emissions factors'!$B$152:$AQ$165,14,FALSE)+M155*VLOOKUP($B155,'Emissions factors'!$B$152:$AQ$165,16,FALSE)+P155*VLOOKUP($B155,'Emissions factors'!$B$152:$AQ$165,18,FALSE)</f>
        <v>0</v>
      </c>
      <c r="AU155" s="718">
        <f>G155*VLOOKUP($B155,'Emissions factors'!$B$152:$AQ$165,19,FALSE)+J155*VLOOKUP($B155,'Emissions factors'!$B$152:$AQ$165,21,FALSE)+M155*VLOOKUP($B155,'Emissions factors'!$B$152:$AQ$165,23,FALSE)+P155*VLOOKUP($B155,'Emissions factors'!$B$152:$AQ$165,25,FALSE)</f>
        <v>0</v>
      </c>
      <c r="AV155" s="718">
        <f>G155*VLOOKUP($B155,'Emissions factors'!$B$152:$AQ$165,20,FALSE)+J155*VLOOKUP($B155,'Emissions factors'!$B$152:$AQ$165,22,FALSE)+M155*VLOOKUP($B155,'Emissions factors'!$B$152:$AQ$165,24,FALSE)+P155*VLOOKUP($B155,'Emissions factors'!$B$152:$AQ$165,26,FALSE)</f>
        <v>0</v>
      </c>
      <c r="AW155" s="718">
        <f>G155*VLOOKUP($B155,'Emissions factors'!$B$152:$AQ$165,27,FALSE)+J155*VLOOKUP($B155,'Emissions factors'!$B$152:$AQ$165,29,FALSE)+M155*VLOOKUP($B155,'Emissions factors'!$B$152:$AQ$165,31,FALSE)+P155*VLOOKUP($B155,'Emissions factors'!$B$152:$AQ$165,33,FALSE)</f>
        <v>0</v>
      </c>
      <c r="AX155" s="718">
        <f>G155*VLOOKUP($B155,'Emissions factors'!$B$152:$AQ$165,28,FALSE)+J155*VLOOKUP($B155,'Emissions factors'!$B$152:$AQ$165,30,FALSE)+M155*VLOOKUP($B155,'Emissions factors'!$B$152:$AQ$165,32,FALSE)+P155*VLOOKUP($B155,'Emissions factors'!$B$152:$AQ$165,34,FALSE)</f>
        <v>0</v>
      </c>
      <c r="AY155" s="718">
        <v>0</v>
      </c>
      <c r="AZ155" s="718">
        <v>0</v>
      </c>
      <c r="BA155" s="719">
        <f>S155</f>
        <v>0</v>
      </c>
      <c r="BB155" s="720">
        <f>T155</f>
        <v>0</v>
      </c>
      <c r="BC155" s="717">
        <f>G155*VLOOKUP($B155,'Emissions factors'!$B$152:$AQ$165,35,FALSE)+J155*VLOOKUP($B155,'Emissions factors'!$B$152:$AQ$165,37,FALSE)+M155*VLOOKUP($B155,'Emissions factors'!$B$152:$AQ$165,39,FALSE)+P155*VLOOKUP($B155,'Emissions factors'!$B$152:$AQ$165,41,FALSE)</f>
        <v>0</v>
      </c>
      <c r="BD155" s="721">
        <f>G155*VLOOKUP($B155,'Emissions factors'!$B$152:$AQ$165,36,FALSE)+J155*VLOOKUP($B155,'Emissions factors'!$B$152:$AQ$165,38,FALSE)+M155*VLOOKUP($B155,'Emissions factors'!$B$152:$AQ$165,40,FALSE)+P155*VLOOKUP($B155,'Emissions factors'!$B$152:$AQ$165,42,FALSE)</f>
        <v>0</v>
      </c>
    </row>
    <row r="156" spans="2:56" ht="12.75" hidden="1" customHeight="1" outlineLevel="1" x14ac:dyDescent="0.2">
      <c r="B156" s="213"/>
      <c r="C156" s="214"/>
      <c r="D156" s="275"/>
      <c r="E156" s="268"/>
      <c r="F156" s="214"/>
      <c r="G156" s="214"/>
      <c r="H156" s="214"/>
      <c r="I156" s="214"/>
      <c r="J156" s="214"/>
      <c r="K156" s="214"/>
      <c r="L156" s="214"/>
      <c r="M156" s="214"/>
      <c r="N156" s="214"/>
      <c r="O156" s="214"/>
      <c r="P156" s="214"/>
      <c r="Q156" s="214"/>
      <c r="R156" s="214"/>
      <c r="S156" s="463"/>
      <c r="T156" s="215"/>
      <c r="U156" s="42"/>
      <c r="X156" s="213"/>
      <c r="Y156" s="214"/>
      <c r="Z156" s="214"/>
      <c r="AA156" s="214"/>
      <c r="AB156" s="433"/>
      <c r="AC156" s="32"/>
      <c r="AF156" s="213"/>
      <c r="AG156" s="214"/>
      <c r="AH156" s="214"/>
      <c r="AI156" s="269"/>
      <c r="AJ156" s="214"/>
      <c r="AK156" s="214"/>
      <c r="AL156" s="214"/>
      <c r="AM156" s="433"/>
      <c r="AS156" s="717"/>
      <c r="AT156" s="718"/>
      <c r="AU156" s="718"/>
      <c r="AV156" s="718"/>
      <c r="AW156" s="718"/>
      <c r="AX156" s="718"/>
      <c r="AY156" s="718"/>
      <c r="AZ156" s="718"/>
      <c r="BA156" s="719"/>
      <c r="BB156" s="720"/>
      <c r="BC156" s="722"/>
      <c r="BD156" s="723"/>
    </row>
    <row r="157" spans="2:56" ht="12.75" hidden="1" customHeight="1" outlineLevel="1" x14ac:dyDescent="0.2">
      <c r="B157" s="253" t="s">
        <v>44</v>
      </c>
      <c r="C157" s="254"/>
      <c r="D157" s="264">
        <f>SUM(D150:D156)</f>
        <v>0</v>
      </c>
      <c r="E157" s="267">
        <f>SUM(E150:E156)</f>
        <v>0</v>
      </c>
      <c r="F157" s="255"/>
      <c r="G157" s="256"/>
      <c r="H157" s="256"/>
      <c r="I157" s="256"/>
      <c r="J157" s="256"/>
      <c r="K157" s="256"/>
      <c r="L157" s="256"/>
      <c r="M157" s="256"/>
      <c r="N157" s="256"/>
      <c r="O157" s="256"/>
      <c r="P157" s="256"/>
      <c r="Q157" s="256"/>
      <c r="R157" s="256"/>
      <c r="S157" s="259">
        <f>SUM(S150:S156)</f>
        <v>0</v>
      </c>
      <c r="T157" s="257">
        <f>SUM(T150:T156)</f>
        <v>0</v>
      </c>
      <c r="U157" s="42"/>
      <c r="X157" s="258"/>
      <c r="Y157" s="256"/>
      <c r="Z157" s="260">
        <f>SQRT(SUMSQ(Z150:Z156))</f>
        <v>0</v>
      </c>
      <c r="AA157" s="260">
        <f>SQRT(SUMSQ(AA150:AA156))</f>
        <v>0</v>
      </c>
      <c r="AB157" s="257">
        <f>SQRT(SUMSQ(AB150:AB156))</f>
        <v>0</v>
      </c>
      <c r="AC157" s="32"/>
      <c r="AF157" s="258"/>
      <c r="AG157" s="260">
        <f>SUM(AG150:AG156)</f>
        <v>0</v>
      </c>
      <c r="AH157" s="260">
        <f>SUM(AH150:AH156)</f>
        <v>0</v>
      </c>
      <c r="AI157" s="259">
        <f>SUM(AI150:AI156)</f>
        <v>0</v>
      </c>
      <c r="AJ157" s="256"/>
      <c r="AK157" s="260">
        <f>SUM(AK150:AK156)</f>
        <v>0</v>
      </c>
      <c r="AL157" s="260">
        <f>SUM(AL150:AL156)</f>
        <v>0</v>
      </c>
      <c r="AM157" s="257">
        <f>SUM(AM150:AM156)</f>
        <v>0</v>
      </c>
      <c r="AS157" s="724">
        <f t="shared" ref="AS157:BD157" si="84">SUM(AS150:AS156)</f>
        <v>0</v>
      </c>
      <c r="AT157" s="725">
        <f t="shared" si="84"/>
        <v>0</v>
      </c>
      <c r="AU157" s="725">
        <f t="shared" si="84"/>
        <v>0</v>
      </c>
      <c r="AV157" s="725">
        <f t="shared" si="84"/>
        <v>0</v>
      </c>
      <c r="AW157" s="725">
        <f t="shared" si="84"/>
        <v>0</v>
      </c>
      <c r="AX157" s="725">
        <f t="shared" si="84"/>
        <v>0</v>
      </c>
      <c r="AY157" s="725">
        <f t="shared" si="84"/>
        <v>0</v>
      </c>
      <c r="AZ157" s="725">
        <f t="shared" si="84"/>
        <v>0</v>
      </c>
      <c r="BA157" s="726">
        <f t="shared" si="84"/>
        <v>0</v>
      </c>
      <c r="BB157" s="727">
        <f t="shared" si="84"/>
        <v>0</v>
      </c>
      <c r="BC157" s="724">
        <f t="shared" si="84"/>
        <v>0</v>
      </c>
      <c r="BD157" s="728">
        <f t="shared" si="84"/>
        <v>0</v>
      </c>
    </row>
    <row r="158" spans="2:56" ht="12.75" hidden="1" customHeight="1" outlineLevel="1" x14ac:dyDescent="0.2">
      <c r="P158" s="42"/>
      <c r="V158" s="32"/>
      <c r="W158" s="32"/>
      <c r="X158" s="32"/>
      <c r="Y158" s="32"/>
      <c r="Z158" s="32"/>
      <c r="AA158" s="32"/>
      <c r="AB158" s="32"/>
      <c r="BA158" s="743"/>
    </row>
    <row r="159" spans="2:56" ht="12.75" hidden="1" customHeight="1" outlineLevel="1" x14ac:dyDescent="0.2">
      <c r="B159" s="195" t="s">
        <v>2905</v>
      </c>
      <c r="C159" s="196"/>
      <c r="D159" s="196"/>
      <c r="E159" s="196"/>
      <c r="F159" s="198"/>
      <c r="G159" s="198"/>
      <c r="H159" s="198"/>
      <c r="I159" s="198"/>
      <c r="J159" s="198"/>
      <c r="K159" s="198"/>
      <c r="L159" s="198"/>
      <c r="M159" s="217"/>
      <c r="N159" s="217"/>
      <c r="O159" s="218"/>
      <c r="X159" s="1746" t="s">
        <v>723</v>
      </c>
      <c r="Y159" s="1747"/>
      <c r="Z159" s="1747"/>
      <c r="AA159" s="1747"/>
      <c r="AB159" s="1747"/>
      <c r="AC159" s="1748"/>
      <c r="AF159" s="1746" t="s">
        <v>2066</v>
      </c>
      <c r="AG159" s="1747"/>
      <c r="AH159" s="1747"/>
      <c r="AI159" s="1747"/>
      <c r="AJ159" s="1747"/>
      <c r="AK159" s="1747"/>
      <c r="AL159" s="1747"/>
      <c r="AM159" s="1747"/>
      <c r="AN159" s="1747"/>
      <c r="AO159" s="1748"/>
      <c r="AS159" s="1755" t="s">
        <v>2073</v>
      </c>
      <c r="AT159" s="1756"/>
      <c r="AU159" s="1756"/>
      <c r="AV159" s="1756"/>
      <c r="AW159" s="1756"/>
      <c r="AX159" s="1756"/>
      <c r="AY159" s="1756"/>
      <c r="AZ159" s="1756"/>
      <c r="BA159" s="1756"/>
      <c r="BB159" s="1756"/>
      <c r="BC159" s="1756"/>
      <c r="BD159" s="1757"/>
    </row>
    <row r="160" spans="2:56" ht="12.75" hidden="1" customHeight="1" outlineLevel="1" x14ac:dyDescent="0.2">
      <c r="B160" s="204"/>
      <c r="C160" s="362"/>
      <c r="D160" s="361"/>
      <c r="E160" s="361"/>
      <c r="F160" s="201"/>
      <c r="G160" s="201"/>
      <c r="H160" s="201"/>
      <c r="I160" s="201"/>
      <c r="J160" s="214"/>
      <c r="K160" s="201"/>
      <c r="L160" s="201"/>
      <c r="M160" s="1745" t="s">
        <v>2646</v>
      </c>
      <c r="N160" s="1745"/>
      <c r="O160" s="427" t="s">
        <v>2639</v>
      </c>
      <c r="X160" s="216"/>
      <c r="Y160" s="217"/>
      <c r="Z160" s="361"/>
      <c r="AA160" s="361"/>
      <c r="AB160" s="361"/>
      <c r="AC160" s="427" t="s">
        <v>2639</v>
      </c>
      <c r="AF160" s="216"/>
      <c r="AG160" s="361"/>
      <c r="AH160" s="361"/>
      <c r="AI160" s="361"/>
      <c r="AJ160" s="362" t="s">
        <v>2639</v>
      </c>
      <c r="AK160" s="217"/>
      <c r="AL160" s="361"/>
      <c r="AM160" s="361"/>
      <c r="AN160" s="361"/>
      <c r="AO160" s="427" t="s">
        <v>2639</v>
      </c>
      <c r="AS160" s="1758" t="s">
        <v>61</v>
      </c>
      <c r="AT160" s="1759"/>
      <c r="AU160" s="1759"/>
      <c r="AV160" s="1759"/>
      <c r="AW160" s="1759"/>
      <c r="AX160" s="1759"/>
      <c r="AY160" s="1759"/>
      <c r="AZ160" s="1759"/>
      <c r="BA160" s="1759" t="s">
        <v>61</v>
      </c>
      <c r="BB160" s="1760"/>
      <c r="BC160" s="730"/>
      <c r="BD160" s="731"/>
    </row>
    <row r="161" spans="2:56" ht="12.75" hidden="1" customHeight="1" outlineLevel="1" x14ac:dyDescent="0.2">
      <c r="B161" s="1629" t="s">
        <v>1365</v>
      </c>
      <c r="C161" s="362"/>
      <c r="D161" s="362" t="s">
        <v>56</v>
      </c>
      <c r="E161" s="362" t="s">
        <v>56</v>
      </c>
      <c r="F161" s="205" t="s">
        <v>2634</v>
      </c>
      <c r="G161" s="205"/>
      <c r="H161" s="1744" t="s">
        <v>1308</v>
      </c>
      <c r="I161" s="1745"/>
      <c r="J161" s="205"/>
      <c r="K161" s="1744" t="s">
        <v>1281</v>
      </c>
      <c r="L161" s="1745"/>
      <c r="M161" s="361" t="s">
        <v>61</v>
      </c>
      <c r="N161" s="361" t="s">
        <v>61</v>
      </c>
      <c r="O161" s="427" t="s">
        <v>30</v>
      </c>
      <c r="X161" s="1629" t="s">
        <v>2605</v>
      </c>
      <c r="Y161" s="362" t="s">
        <v>2110</v>
      </c>
      <c r="Z161" s="362" t="s">
        <v>61</v>
      </c>
      <c r="AA161" s="362" t="s">
        <v>61</v>
      </c>
      <c r="AB161" s="361" t="s">
        <v>61</v>
      </c>
      <c r="AC161" s="427" t="s">
        <v>30</v>
      </c>
      <c r="AF161" s="204" t="s">
        <v>2065</v>
      </c>
      <c r="AG161" s="362" t="s">
        <v>61</v>
      </c>
      <c r="AH161" s="362" t="s">
        <v>61</v>
      </c>
      <c r="AI161" s="361" t="s">
        <v>61</v>
      </c>
      <c r="AJ161" s="362" t="s">
        <v>30</v>
      </c>
      <c r="AK161" s="362" t="s">
        <v>2558</v>
      </c>
      <c r="AL161" s="362" t="s">
        <v>61</v>
      </c>
      <c r="AM161" s="362" t="s">
        <v>61</v>
      </c>
      <c r="AN161" s="361" t="s">
        <v>61</v>
      </c>
      <c r="AO161" s="427" t="s">
        <v>30</v>
      </c>
      <c r="AS161" s="1764" t="s">
        <v>14</v>
      </c>
      <c r="AT161" s="1761"/>
      <c r="AU161" s="1761" t="s">
        <v>60</v>
      </c>
      <c r="AV161" s="1761"/>
      <c r="AW161" s="1761" t="s">
        <v>27</v>
      </c>
      <c r="AX161" s="1761"/>
      <c r="AY161" s="1761" t="s">
        <v>2074</v>
      </c>
      <c r="AZ161" s="1761"/>
      <c r="BA161" s="1762" t="s">
        <v>41</v>
      </c>
      <c r="BB161" s="1763"/>
      <c r="BC161" s="1764" t="s">
        <v>85</v>
      </c>
      <c r="BD161" s="1765"/>
    </row>
    <row r="162" spans="2:56" ht="14.25" hidden="1" customHeight="1" outlineLevel="1" x14ac:dyDescent="0.2">
      <c r="B162" s="204"/>
      <c r="C162" s="362"/>
      <c r="D162" s="362" t="s">
        <v>61</v>
      </c>
      <c r="E162" s="362" t="s">
        <v>63</v>
      </c>
      <c r="F162" s="208" t="s">
        <v>2054</v>
      </c>
      <c r="G162" s="208" t="s">
        <v>57</v>
      </c>
      <c r="H162" s="691" t="s">
        <v>768</v>
      </c>
      <c r="I162" s="691" t="s">
        <v>24</v>
      </c>
      <c r="J162" s="208" t="s">
        <v>2635</v>
      </c>
      <c r="K162" s="691" t="s">
        <v>768</v>
      </c>
      <c r="L162" s="691" t="s">
        <v>24</v>
      </c>
      <c r="M162" s="363" t="s">
        <v>768</v>
      </c>
      <c r="N162" s="363" t="s">
        <v>24</v>
      </c>
      <c r="O162" s="427" t="s">
        <v>61</v>
      </c>
      <c r="X162" s="1629" t="s">
        <v>2109</v>
      </c>
      <c r="Y162" s="362"/>
      <c r="Z162" s="270" t="s">
        <v>768</v>
      </c>
      <c r="AA162" s="270" t="s">
        <v>24</v>
      </c>
      <c r="AB162" s="223" t="s">
        <v>41</v>
      </c>
      <c r="AC162" s="427" t="s">
        <v>61</v>
      </c>
      <c r="AF162" s="204"/>
      <c r="AG162" s="270" t="s">
        <v>768</v>
      </c>
      <c r="AH162" s="270" t="s">
        <v>24</v>
      </c>
      <c r="AI162" s="223" t="s">
        <v>41</v>
      </c>
      <c r="AJ162" s="362" t="s">
        <v>61</v>
      </c>
      <c r="AK162" s="362"/>
      <c r="AL162" s="270" t="s">
        <v>768</v>
      </c>
      <c r="AM162" s="270" t="s">
        <v>24</v>
      </c>
      <c r="AN162" s="223" t="s">
        <v>41</v>
      </c>
      <c r="AO162" s="427" t="s">
        <v>61</v>
      </c>
      <c r="AS162" s="732" t="s">
        <v>768</v>
      </c>
      <c r="AT162" s="733" t="s">
        <v>24</v>
      </c>
      <c r="AU162" s="733" t="s">
        <v>768</v>
      </c>
      <c r="AV162" s="733" t="s">
        <v>24</v>
      </c>
      <c r="AW162" s="733" t="s">
        <v>768</v>
      </c>
      <c r="AX162" s="733" t="s">
        <v>24</v>
      </c>
      <c r="AY162" s="733" t="s">
        <v>768</v>
      </c>
      <c r="AZ162" s="733" t="s">
        <v>24</v>
      </c>
      <c r="BA162" s="734" t="s">
        <v>768</v>
      </c>
      <c r="BB162" s="735" t="s">
        <v>24</v>
      </c>
      <c r="BC162" s="732" t="s">
        <v>768</v>
      </c>
      <c r="BD162" s="736" t="s">
        <v>24</v>
      </c>
    </row>
    <row r="163" spans="2:56" ht="12.75" hidden="1" customHeight="1" outlineLevel="1" x14ac:dyDescent="0.2">
      <c r="B163" s="200" t="s">
        <v>1366</v>
      </c>
      <c r="C163" s="201"/>
      <c r="D163" s="262">
        <f>M163+N163</f>
        <v>0</v>
      </c>
      <c r="E163" s="265">
        <f>D163*12/44</f>
        <v>0</v>
      </c>
      <c r="F163" s="559"/>
      <c r="G163" s="182"/>
      <c r="H163" s="492">
        <f>VLOOKUP($B163,'Emissions factors'!$B$1336:$W$1341,2,FALSE)</f>
        <v>4.6049999999999997E-3</v>
      </c>
      <c r="I163" s="492">
        <f>VLOOKUP($B163,'Emissions factors'!$B$1336:$W$1341,3,FALSE)</f>
        <v>2.8481599999999999E-2</v>
      </c>
      <c r="J163" s="182"/>
      <c r="K163" s="789">
        <f>VLOOKUP($B163,'Emissions factors'!$B$1336:$W$1341,12,FALSE)</f>
        <v>16.78</v>
      </c>
      <c r="L163" s="789">
        <f>VLOOKUP($B163,'Emissions factors'!$B$1336:$W$1341,13,FALSE)</f>
        <v>103.6627</v>
      </c>
      <c r="M163" s="465">
        <f>G163*H163+J163*K163</f>
        <v>0</v>
      </c>
      <c r="N163" s="210">
        <f>G163*I163+J163*L163</f>
        <v>0</v>
      </c>
      <c r="O163" s="222">
        <f>IF(OR(F163='Info utili'!$G$532,F163='Info utili'!$G$537),N163,0)</f>
        <v>0</v>
      </c>
      <c r="X163" s="282">
        <f>VLOOKUP($B163,'Emissions factors'!$B$1336:$W$1341,22,FALSE)</f>
        <v>0.6</v>
      </c>
      <c r="Y163" s="184"/>
      <c r="Z163" s="221">
        <f>M163*SQRT(X163^2+Y163^2)</f>
        <v>0</v>
      </c>
      <c r="AA163" s="221">
        <f>N163*SQRT(X163^2+Y163^2)</f>
        <v>0</v>
      </c>
      <c r="AB163" s="210">
        <f>SQRT(Z163^2+AA163^2)</f>
        <v>0</v>
      </c>
      <c r="AC163" s="222">
        <f>O163*SQRT(X163^2+Y163^2)</f>
        <v>0</v>
      </c>
      <c r="AF163" s="183"/>
      <c r="AG163" s="221">
        <f t="shared" ref="AG163:AH165" si="85">$AF163*M163</f>
        <v>0</v>
      </c>
      <c r="AH163" s="221">
        <f t="shared" si="85"/>
        <v>0</v>
      </c>
      <c r="AI163" s="210">
        <f>AG163+AH163</f>
        <v>0</v>
      </c>
      <c r="AJ163" s="221">
        <f>AF163*O163</f>
        <v>0</v>
      </c>
      <c r="AK163" s="183"/>
      <c r="AL163" s="221">
        <f t="shared" ref="AL163:AM165" si="86">$AK163*M163</f>
        <v>0</v>
      </c>
      <c r="AM163" s="221">
        <f t="shared" si="86"/>
        <v>0</v>
      </c>
      <c r="AN163" s="210">
        <f>AL163+AM163</f>
        <v>0</v>
      </c>
      <c r="AO163" s="222">
        <f>AK163*O163</f>
        <v>0</v>
      </c>
      <c r="AS163" s="717">
        <f>G163*VLOOKUP($B163,'Emissions factors'!$B$1336:$W$1341,4,FALSE)+J163*VLOOKUP($B163,'Emissions factors'!$B$1336:$W$1341,14,FALSE)</f>
        <v>0</v>
      </c>
      <c r="AT163" s="718">
        <f>G163*VLOOKUP($B163,'Emissions factors'!$B$1336:$W$1341,5,FALSE)+J163*VLOOKUP($B163,'Emissions factors'!$B$1336:$W$1341,15,FALSE)</f>
        <v>0</v>
      </c>
      <c r="AU163" s="718">
        <f>G163*VLOOKUP($B163,'Emissions factors'!$B$1336:$W$1341,6,FALSE)+J163*VLOOKUP($B163,'Emissions factors'!$B$1336:$W$1341,16,FALSE)</f>
        <v>0</v>
      </c>
      <c r="AV163" s="718">
        <f>G163*VLOOKUP($B163,'Emissions factors'!$B$1336:$W$1341,7,FALSE)+J163*VLOOKUP($B163,'Emissions factors'!$B$1336:$W$1341,17,FALSE)</f>
        <v>0</v>
      </c>
      <c r="AW163" s="718">
        <f>G163*VLOOKUP($B163,'Emissions factors'!$B$1336:$W$1341,8,FALSE)+J163*VLOOKUP($B163,'Emissions factors'!$B$1336:$W$1341,18,FALSE)</f>
        <v>0</v>
      </c>
      <c r="AX163" s="718">
        <f>G163*VLOOKUP($B163,'Emissions factors'!$B$1336:$W$1341,9,FALSE)+J163*VLOOKUP($B163,'Emissions factors'!$B$1336:$W$1341,19,FALSE)</f>
        <v>0</v>
      </c>
      <c r="AY163" s="718">
        <v>0</v>
      </c>
      <c r="AZ163" s="718">
        <v>0</v>
      </c>
      <c r="BA163" s="719">
        <f t="shared" ref="BA163:BB165" si="87">M163</f>
        <v>0</v>
      </c>
      <c r="BB163" s="720">
        <f t="shared" si="87"/>
        <v>0</v>
      </c>
      <c r="BC163" s="717">
        <f>G163*VLOOKUP($B163,'Emissions factors'!$B$1336:$W$1341,10,FALSE)+J163*VLOOKUP($B163,'Emissions factors'!$B$1336:$W$1341,20,FALSE)</f>
        <v>0</v>
      </c>
      <c r="BD163" s="721">
        <f>G163*VLOOKUP($B163,'Emissions factors'!$B$1336:$W$1341,11,FALSE)+J163*VLOOKUP($B163,'Emissions factors'!$B$1336:$W$1341,21,FALSE)</f>
        <v>0</v>
      </c>
    </row>
    <row r="164" spans="2:56" ht="12.75" hidden="1" customHeight="1" outlineLevel="1" x14ac:dyDescent="0.2">
      <c r="B164" s="200" t="s">
        <v>1368</v>
      </c>
      <c r="C164" s="201"/>
      <c r="D164" s="262">
        <f>M164+N164</f>
        <v>0</v>
      </c>
      <c r="E164" s="265">
        <f>D164*12/44</f>
        <v>0</v>
      </c>
      <c r="F164" s="442"/>
      <c r="G164" s="185"/>
      <c r="H164" s="492">
        <f>VLOOKUP($B164,'Emissions factors'!$B$1336:$W$1341,2,FALSE)</f>
        <v>2.8179999999999998E-3</v>
      </c>
      <c r="I164" s="492">
        <f>VLOOKUP($B164,'Emissions factors'!$B$1336:$W$1341,3,FALSE)</f>
        <v>1.7612430000000002E-2</v>
      </c>
      <c r="J164" s="185"/>
      <c r="K164" s="789">
        <f>VLOOKUP($B164,'Emissions factors'!$B$1336:$W$1341,12,FALSE)</f>
        <v>52.19</v>
      </c>
      <c r="L164" s="789">
        <f>VLOOKUP($B164,'Emissions factors'!$B$1336:$W$1341,13,FALSE)</f>
        <v>326.07600000000002</v>
      </c>
      <c r="M164" s="465">
        <f>G164*H164+J164*K164</f>
        <v>0</v>
      </c>
      <c r="N164" s="210">
        <f>G164*I164+J164*L164</f>
        <v>0</v>
      </c>
      <c r="O164" s="222">
        <f>IF(OR(F164='Info utili'!$G$532,F164='Info utili'!$G$537),N164,0)</f>
        <v>0</v>
      </c>
      <c r="X164" s="282">
        <f>VLOOKUP($B164,'Emissions factors'!$B$1336:$W$1341,22,FALSE)</f>
        <v>0.6</v>
      </c>
      <c r="Y164" s="187"/>
      <c r="Z164" s="221">
        <f>M164*SQRT(X164^2+Y164^2)</f>
        <v>0</v>
      </c>
      <c r="AA164" s="221">
        <f>N164*SQRT(X164^2+Y164^2)</f>
        <v>0</v>
      </c>
      <c r="AB164" s="210">
        <f>SQRT(Z164^2+AA164^2)</f>
        <v>0</v>
      </c>
      <c r="AC164" s="222">
        <f>O164*SQRT(X164^2+Y164^2)</f>
        <v>0</v>
      </c>
      <c r="AF164" s="186"/>
      <c r="AG164" s="221">
        <f t="shared" si="85"/>
        <v>0</v>
      </c>
      <c r="AH164" s="221">
        <f t="shared" si="85"/>
        <v>0</v>
      </c>
      <c r="AI164" s="210">
        <f>AG164+AH164</f>
        <v>0</v>
      </c>
      <c r="AJ164" s="221">
        <f>AF164*O164</f>
        <v>0</v>
      </c>
      <c r="AK164" s="186"/>
      <c r="AL164" s="221">
        <f t="shared" si="86"/>
        <v>0</v>
      </c>
      <c r="AM164" s="221">
        <f t="shared" si="86"/>
        <v>0</v>
      </c>
      <c r="AN164" s="210">
        <f>AL164+AM164</f>
        <v>0</v>
      </c>
      <c r="AO164" s="222">
        <f>AK164*O164</f>
        <v>0</v>
      </c>
      <c r="AS164" s="717">
        <f>G164*VLOOKUP($B164,'Emissions factors'!$B$1336:$W$1341,4,FALSE)+J164*VLOOKUP($B164,'Emissions factors'!$B$1336:$W$1341,14,FALSE)</f>
        <v>0</v>
      </c>
      <c r="AT164" s="718">
        <f>G164*VLOOKUP($B164,'Emissions factors'!$B$1336:$W$1341,5,FALSE)+J164*VLOOKUP($B164,'Emissions factors'!$B$1336:$W$1341,15,FALSE)</f>
        <v>0</v>
      </c>
      <c r="AU164" s="718">
        <f>G164*VLOOKUP($B164,'Emissions factors'!$B$1336:$W$1341,6,FALSE)+J164*VLOOKUP($B164,'Emissions factors'!$B$1336:$W$1341,16,FALSE)</f>
        <v>0</v>
      </c>
      <c r="AV164" s="718">
        <f>G164*VLOOKUP($B164,'Emissions factors'!$B$1336:$W$1341,7,FALSE)+J164*VLOOKUP($B164,'Emissions factors'!$B$1336:$W$1341,17,FALSE)</f>
        <v>0</v>
      </c>
      <c r="AW164" s="718">
        <f>G164*VLOOKUP($B164,'Emissions factors'!$B$1336:$W$1341,8,FALSE)+J164*VLOOKUP($B164,'Emissions factors'!$B$1336:$W$1341,18,FALSE)</f>
        <v>0</v>
      </c>
      <c r="AX164" s="718">
        <f>G164*VLOOKUP($B164,'Emissions factors'!$B$1336:$W$1341,9,FALSE)+J164*VLOOKUP($B164,'Emissions factors'!$B$1336:$W$1341,19,FALSE)</f>
        <v>0</v>
      </c>
      <c r="AY164" s="718">
        <v>0</v>
      </c>
      <c r="AZ164" s="718">
        <v>0</v>
      </c>
      <c r="BA164" s="719">
        <f t="shared" si="87"/>
        <v>0</v>
      </c>
      <c r="BB164" s="720">
        <f t="shared" si="87"/>
        <v>0</v>
      </c>
      <c r="BC164" s="717">
        <f>G164*VLOOKUP($B164,'Emissions factors'!$B$1336:$W$1341,10,FALSE)+J164*VLOOKUP($B164,'Emissions factors'!$B$1336:$W$1341,20,FALSE)</f>
        <v>0</v>
      </c>
      <c r="BD164" s="721">
        <f>G164*VLOOKUP($B164,'Emissions factors'!$B$1336:$W$1341,11,FALSE)+J164*VLOOKUP($B164,'Emissions factors'!$B$1336:$W$1341,21,FALSE)</f>
        <v>0</v>
      </c>
    </row>
    <row r="165" spans="2:56" ht="12.75" hidden="1" customHeight="1" outlineLevel="1" x14ac:dyDescent="0.2">
      <c r="B165" s="200" t="s">
        <v>1370</v>
      </c>
      <c r="C165" s="201"/>
      <c r="D165" s="262">
        <f>M165+N165</f>
        <v>0</v>
      </c>
      <c r="E165" s="265">
        <f>D165*12/44</f>
        <v>0</v>
      </c>
      <c r="F165" s="443"/>
      <c r="G165" s="188"/>
      <c r="H165" s="492">
        <f>VLOOKUP($B165,'Emissions factors'!$B$1336:$W$1341,2,FALSE)</f>
        <v>1.4139999999999999E-3</v>
      </c>
      <c r="I165" s="492">
        <f>VLOOKUP($B165,'Emissions factors'!$B$1336:$W$1341,3,FALSE)</f>
        <v>8.8264299999999997E-3</v>
      </c>
      <c r="J165" s="188"/>
      <c r="K165" s="789">
        <f>VLOOKUP($B165,'Emissions factors'!$B$1336:$W$1341,12,FALSE)</f>
        <v>105.91</v>
      </c>
      <c r="L165" s="789">
        <f>VLOOKUP($B165,'Emissions factors'!$B$1336:$W$1341,13,FALSE)</f>
        <v>661.226</v>
      </c>
      <c r="M165" s="465">
        <f>G165*H165+J165*K165</f>
        <v>0</v>
      </c>
      <c r="N165" s="210">
        <f>G165*I165+J165*L165</f>
        <v>0</v>
      </c>
      <c r="O165" s="222">
        <f>IF(OR(F165='Info utili'!$G$532,F165='Info utili'!$G$537),N165,0)</f>
        <v>0</v>
      </c>
      <c r="X165" s="282">
        <f>VLOOKUP($B165,'Emissions factors'!$B$1336:$W$1341,22,FALSE)</f>
        <v>0.6</v>
      </c>
      <c r="Y165" s="190"/>
      <c r="Z165" s="221">
        <f>M165*SQRT(X165^2+Y165^2)</f>
        <v>0</v>
      </c>
      <c r="AA165" s="221">
        <f>N165*SQRT(X165^2+Y165^2)</f>
        <v>0</v>
      </c>
      <c r="AB165" s="210">
        <f>SQRT(Z165^2+AA165^2)</f>
        <v>0</v>
      </c>
      <c r="AC165" s="222">
        <f>O165*SQRT(X165^2+Y165^2)</f>
        <v>0</v>
      </c>
      <c r="AF165" s="189"/>
      <c r="AG165" s="221">
        <f t="shared" si="85"/>
        <v>0</v>
      </c>
      <c r="AH165" s="221">
        <f t="shared" si="85"/>
        <v>0</v>
      </c>
      <c r="AI165" s="210">
        <f>AG165+AH165</f>
        <v>0</v>
      </c>
      <c r="AJ165" s="221">
        <f>AF165*O165</f>
        <v>0</v>
      </c>
      <c r="AK165" s="189"/>
      <c r="AL165" s="221">
        <f t="shared" si="86"/>
        <v>0</v>
      </c>
      <c r="AM165" s="221">
        <f t="shared" si="86"/>
        <v>0</v>
      </c>
      <c r="AN165" s="210">
        <f>AL165+AM165</f>
        <v>0</v>
      </c>
      <c r="AO165" s="222">
        <f>AK165*O165</f>
        <v>0</v>
      </c>
      <c r="AS165" s="717">
        <f>G165*VLOOKUP($B165,'Emissions factors'!$B$1336:$W$1341,4,FALSE)+J165*VLOOKUP($B165,'Emissions factors'!$B$1336:$W$1341,14,FALSE)</f>
        <v>0</v>
      </c>
      <c r="AT165" s="718">
        <f>G165*VLOOKUP($B165,'Emissions factors'!$B$1336:$W$1341,5,FALSE)+J165*VLOOKUP($B165,'Emissions factors'!$B$1336:$W$1341,15,FALSE)</f>
        <v>0</v>
      </c>
      <c r="AU165" s="718">
        <f>G165*VLOOKUP($B165,'Emissions factors'!$B$1336:$W$1341,6,FALSE)+J165*VLOOKUP($B165,'Emissions factors'!$B$1336:$W$1341,16,FALSE)</f>
        <v>0</v>
      </c>
      <c r="AV165" s="718">
        <f>G165*VLOOKUP($B165,'Emissions factors'!$B$1336:$W$1341,7,FALSE)+J165*VLOOKUP($B165,'Emissions factors'!$B$1336:$W$1341,17,FALSE)</f>
        <v>0</v>
      </c>
      <c r="AW165" s="718">
        <f>G165*VLOOKUP($B165,'Emissions factors'!$B$1336:$W$1341,8,FALSE)+J165*VLOOKUP($B165,'Emissions factors'!$B$1336:$W$1341,18,FALSE)</f>
        <v>0</v>
      </c>
      <c r="AX165" s="718">
        <f>G165*VLOOKUP($B165,'Emissions factors'!$B$1336:$W$1341,9,FALSE)+J165*VLOOKUP($B165,'Emissions factors'!$B$1336:$W$1341,19,FALSE)</f>
        <v>0</v>
      </c>
      <c r="AY165" s="718">
        <v>0</v>
      </c>
      <c r="AZ165" s="718">
        <v>0</v>
      </c>
      <c r="BA165" s="719">
        <f t="shared" si="87"/>
        <v>0</v>
      </c>
      <c r="BB165" s="720">
        <f t="shared" si="87"/>
        <v>0</v>
      </c>
      <c r="BC165" s="717">
        <f>G165*VLOOKUP($B165,'Emissions factors'!$B$1336:$W$1341,10,FALSE)+J165*VLOOKUP($B165,'Emissions factors'!$B$1336:$W$1341,20,FALSE)</f>
        <v>0</v>
      </c>
      <c r="BD165" s="721">
        <f>G165*VLOOKUP($B165,'Emissions factors'!$B$1336:$W$1341,11,FALSE)+J165*VLOOKUP($B165,'Emissions factors'!$B$1336:$W$1341,21,FALSE)</f>
        <v>0</v>
      </c>
    </row>
    <row r="166" spans="2:56" ht="12.75" hidden="1" customHeight="1" outlineLevel="1" x14ac:dyDescent="0.2">
      <c r="B166" s="213"/>
      <c r="C166" s="214"/>
      <c r="D166" s="275"/>
      <c r="E166" s="268"/>
      <c r="F166" s="214"/>
      <c r="G166" s="201"/>
      <c r="H166" s="201"/>
      <c r="I166" s="201"/>
      <c r="J166" s="473"/>
      <c r="K166" s="473"/>
      <c r="L166" s="473"/>
      <c r="M166" s="474"/>
      <c r="N166" s="227"/>
      <c r="O166" s="466"/>
      <c r="X166" s="213"/>
      <c r="Y166" s="214"/>
      <c r="Z166" s="214"/>
      <c r="AA166" s="214"/>
      <c r="AB166" s="269"/>
      <c r="AC166" s="466"/>
      <c r="AF166" s="213"/>
      <c r="AG166" s="413"/>
      <c r="AH166" s="413"/>
      <c r="AI166" s="210"/>
      <c r="AJ166" s="413"/>
      <c r="AK166" s="214"/>
      <c r="AL166" s="214"/>
      <c r="AM166" s="214"/>
      <c r="AN166" s="210"/>
      <c r="AO166" s="466"/>
      <c r="AS166" s="717"/>
      <c r="AT166" s="718"/>
      <c r="AU166" s="718"/>
      <c r="AV166" s="718"/>
      <c r="AW166" s="718"/>
      <c r="AX166" s="718"/>
      <c r="AY166" s="718"/>
      <c r="AZ166" s="718"/>
      <c r="BA166" s="719"/>
      <c r="BB166" s="720"/>
      <c r="BC166" s="722"/>
      <c r="BD166" s="723"/>
    </row>
    <row r="167" spans="2:56" ht="12.75" hidden="1" customHeight="1" outlineLevel="1" x14ac:dyDescent="0.2">
      <c r="B167" s="253" t="s">
        <v>44</v>
      </c>
      <c r="C167" s="254"/>
      <c r="D167" s="264">
        <f>SUM(D163:D166)</f>
        <v>0</v>
      </c>
      <c r="E167" s="267">
        <f>SUM(E163:E166)</f>
        <v>0</v>
      </c>
      <c r="F167" s="254"/>
      <c r="G167" s="254"/>
      <c r="H167" s="254"/>
      <c r="I167" s="254"/>
      <c r="J167" s="254"/>
      <c r="K167" s="487"/>
      <c r="L167" s="487"/>
      <c r="M167" s="488">
        <f>SUM(M163:M166)</f>
        <v>0</v>
      </c>
      <c r="N167" s="259">
        <f>SUM(N163:N166)</f>
        <v>0</v>
      </c>
      <c r="O167" s="428">
        <f>SUM(O163:O166)</f>
        <v>0</v>
      </c>
      <c r="X167" s="258"/>
      <c r="Y167" s="256"/>
      <c r="Z167" s="260">
        <f>SQRT(SUMSQ(Z163:Z166))</f>
        <v>0</v>
      </c>
      <c r="AA167" s="260">
        <f>SQRT(SUMSQ(AA163:AA166))</f>
        <v>0</v>
      </c>
      <c r="AB167" s="259">
        <f>SQRT(SUMSQ(AB163:AB166))</f>
        <v>0</v>
      </c>
      <c r="AC167" s="428">
        <f>SQRT(SUMSQ(AC163:AC166))</f>
        <v>0</v>
      </c>
      <c r="AF167" s="258"/>
      <c r="AG167" s="260">
        <f>SUM(AG163:AG166)</f>
        <v>0</v>
      </c>
      <c r="AH167" s="260">
        <f>SUM(AH163:AH166)</f>
        <v>0</v>
      </c>
      <c r="AI167" s="259">
        <f>SUM(AI163:AI166)</f>
        <v>0</v>
      </c>
      <c r="AJ167" s="260">
        <f>SUM(AJ163:AJ166)</f>
        <v>0</v>
      </c>
      <c r="AK167" s="256"/>
      <c r="AL167" s="260">
        <f>SUM(AL163:AL166)</f>
        <v>0</v>
      </c>
      <c r="AM167" s="260">
        <f>SUM(AM163:AM166)</f>
        <v>0</v>
      </c>
      <c r="AN167" s="259">
        <f>SUM(AN163:AN166)</f>
        <v>0</v>
      </c>
      <c r="AO167" s="428">
        <f>SUM(AO163:AO166)</f>
        <v>0</v>
      </c>
      <c r="AS167" s="724">
        <f t="shared" ref="AS167:BD167" si="88">SUM(AS163:AS166)</f>
        <v>0</v>
      </c>
      <c r="AT167" s="725">
        <f t="shared" si="88"/>
        <v>0</v>
      </c>
      <c r="AU167" s="725">
        <f t="shared" si="88"/>
        <v>0</v>
      </c>
      <c r="AV167" s="725">
        <f t="shared" si="88"/>
        <v>0</v>
      </c>
      <c r="AW167" s="725">
        <f t="shared" si="88"/>
        <v>0</v>
      </c>
      <c r="AX167" s="725">
        <f t="shared" si="88"/>
        <v>0</v>
      </c>
      <c r="AY167" s="725">
        <f t="shared" si="88"/>
        <v>0</v>
      </c>
      <c r="AZ167" s="725">
        <f t="shared" si="88"/>
        <v>0</v>
      </c>
      <c r="BA167" s="726">
        <f t="shared" si="88"/>
        <v>0</v>
      </c>
      <c r="BB167" s="727">
        <f t="shared" si="88"/>
        <v>0</v>
      </c>
      <c r="BC167" s="724">
        <f t="shared" si="88"/>
        <v>0</v>
      </c>
      <c r="BD167" s="728">
        <f t="shared" si="88"/>
        <v>0</v>
      </c>
    </row>
    <row r="168" spans="2:56" ht="12.75" hidden="1" customHeight="1" outlineLevel="1" x14ac:dyDescent="0.2">
      <c r="AR168" s="32"/>
      <c r="AS168" s="743"/>
      <c r="AT168" s="743"/>
      <c r="AU168" s="743"/>
      <c r="AV168" s="743"/>
      <c r="AW168" s="743"/>
      <c r="AX168" s="743"/>
      <c r="AY168" s="743"/>
      <c r="BC168" s="743"/>
      <c r="BD168" s="743"/>
    </row>
    <row r="169" spans="2:56" ht="12.75" hidden="1" customHeight="1" outlineLevel="1" x14ac:dyDescent="0.2">
      <c r="B169" s="195" t="s">
        <v>2871</v>
      </c>
      <c r="C169" s="196"/>
      <c r="D169" s="196"/>
      <c r="E169" s="196"/>
      <c r="F169" s="198"/>
      <c r="G169" s="198"/>
      <c r="H169" s="198"/>
      <c r="I169" s="198"/>
      <c r="J169" s="198"/>
      <c r="K169" s="198"/>
      <c r="L169" s="198"/>
      <c r="M169" s="217"/>
      <c r="N169" s="217"/>
      <c r="O169" s="218"/>
      <c r="X169" s="1746" t="s">
        <v>723</v>
      </c>
      <c r="Y169" s="1747"/>
      <c r="Z169" s="1747"/>
      <c r="AA169" s="1747"/>
      <c r="AB169" s="1747"/>
      <c r="AC169" s="1748"/>
      <c r="AF169" s="1746" t="s">
        <v>2066</v>
      </c>
      <c r="AG169" s="1747"/>
      <c r="AH169" s="1747"/>
      <c r="AI169" s="1747"/>
      <c r="AJ169" s="1747"/>
      <c r="AK169" s="1747"/>
      <c r="AL169" s="1747"/>
      <c r="AM169" s="1747"/>
      <c r="AN169" s="1747"/>
      <c r="AO169" s="1748"/>
      <c r="AS169" s="1755" t="s">
        <v>2073</v>
      </c>
      <c r="AT169" s="1756"/>
      <c r="AU169" s="1756"/>
      <c r="AV169" s="1756"/>
      <c r="AW169" s="1756"/>
      <c r="AX169" s="1756"/>
      <c r="AY169" s="1756"/>
      <c r="AZ169" s="1756"/>
      <c r="BA169" s="1756"/>
      <c r="BB169" s="1756"/>
      <c r="BC169" s="1756"/>
      <c r="BD169" s="1757"/>
    </row>
    <row r="170" spans="2:56" ht="12.75" hidden="1" customHeight="1" outlineLevel="1" x14ac:dyDescent="0.2">
      <c r="B170" s="417"/>
      <c r="C170" s="225"/>
      <c r="D170" s="361"/>
      <c r="E170" s="361"/>
      <c r="F170" s="201"/>
      <c r="G170" s="201"/>
      <c r="H170" s="201"/>
      <c r="I170" s="201"/>
      <c r="J170" s="214"/>
      <c r="K170" s="201"/>
      <c r="L170" s="201"/>
      <c r="M170" s="1745" t="s">
        <v>2646</v>
      </c>
      <c r="N170" s="1745"/>
      <c r="O170" s="427" t="s">
        <v>2639</v>
      </c>
      <c r="X170" s="216"/>
      <c r="Y170" s="217"/>
      <c r="Z170" s="361"/>
      <c r="AA170" s="361"/>
      <c r="AB170" s="361"/>
      <c r="AC170" s="427" t="s">
        <v>2639</v>
      </c>
      <c r="AF170" s="216"/>
      <c r="AG170" s="361"/>
      <c r="AH170" s="361"/>
      <c r="AI170" s="361"/>
      <c r="AJ170" s="362" t="s">
        <v>2639</v>
      </c>
      <c r="AK170" s="217"/>
      <c r="AL170" s="361"/>
      <c r="AM170" s="361"/>
      <c r="AN170" s="361"/>
      <c r="AO170" s="427" t="s">
        <v>2639</v>
      </c>
      <c r="AS170" s="1758" t="s">
        <v>61</v>
      </c>
      <c r="AT170" s="1759"/>
      <c r="AU170" s="1759"/>
      <c r="AV170" s="1759"/>
      <c r="AW170" s="1759"/>
      <c r="AX170" s="1759"/>
      <c r="AY170" s="1759"/>
      <c r="AZ170" s="1759"/>
      <c r="BA170" s="1759" t="s">
        <v>61</v>
      </c>
      <c r="BB170" s="1760"/>
      <c r="BC170" s="730"/>
      <c r="BD170" s="731"/>
    </row>
    <row r="171" spans="2:56" ht="12.75" hidden="1" customHeight="1" outlineLevel="1" x14ac:dyDescent="0.2">
      <c r="B171" s="1629" t="s">
        <v>2872</v>
      </c>
      <c r="C171" s="362"/>
      <c r="D171" s="362" t="s">
        <v>56</v>
      </c>
      <c r="E171" s="362" t="s">
        <v>56</v>
      </c>
      <c r="F171" s="205" t="s">
        <v>2634</v>
      </c>
      <c r="G171" s="205"/>
      <c r="H171" s="1744" t="s">
        <v>1308</v>
      </c>
      <c r="I171" s="1745"/>
      <c r="J171" s="205"/>
      <c r="K171" s="1744" t="s">
        <v>1281</v>
      </c>
      <c r="L171" s="1745"/>
      <c r="M171" s="361" t="s">
        <v>61</v>
      </c>
      <c r="N171" s="361" t="s">
        <v>61</v>
      </c>
      <c r="O171" s="427" t="s">
        <v>30</v>
      </c>
      <c r="X171" s="1629" t="s">
        <v>2605</v>
      </c>
      <c r="Y171" s="362" t="s">
        <v>2110</v>
      </c>
      <c r="Z171" s="362" t="s">
        <v>61</v>
      </c>
      <c r="AA171" s="362" t="s">
        <v>61</v>
      </c>
      <c r="AB171" s="361" t="s">
        <v>61</v>
      </c>
      <c r="AC171" s="427" t="s">
        <v>30</v>
      </c>
      <c r="AF171" s="204" t="s">
        <v>2065</v>
      </c>
      <c r="AG171" s="362" t="s">
        <v>61</v>
      </c>
      <c r="AH171" s="362" t="s">
        <v>61</v>
      </c>
      <c r="AI171" s="361" t="s">
        <v>61</v>
      </c>
      <c r="AJ171" s="362" t="s">
        <v>30</v>
      </c>
      <c r="AK171" s="362" t="s">
        <v>2558</v>
      </c>
      <c r="AL171" s="362" t="s">
        <v>61</v>
      </c>
      <c r="AM171" s="362" t="s">
        <v>61</v>
      </c>
      <c r="AN171" s="361" t="s">
        <v>61</v>
      </c>
      <c r="AO171" s="427" t="s">
        <v>30</v>
      </c>
      <c r="AS171" s="1764" t="s">
        <v>14</v>
      </c>
      <c r="AT171" s="1761"/>
      <c r="AU171" s="1761" t="s">
        <v>60</v>
      </c>
      <c r="AV171" s="1761"/>
      <c r="AW171" s="1761" t="s">
        <v>27</v>
      </c>
      <c r="AX171" s="1761"/>
      <c r="AY171" s="1761" t="s">
        <v>2074</v>
      </c>
      <c r="AZ171" s="1761"/>
      <c r="BA171" s="1762" t="s">
        <v>41</v>
      </c>
      <c r="BB171" s="1763"/>
      <c r="BC171" s="1764" t="s">
        <v>85</v>
      </c>
      <c r="BD171" s="1765"/>
    </row>
    <row r="172" spans="2:56" ht="12.75" hidden="1" customHeight="1" outlineLevel="1" x14ac:dyDescent="0.2">
      <c r="B172" s="204"/>
      <c r="C172" s="362"/>
      <c r="D172" s="362" t="s">
        <v>61</v>
      </c>
      <c r="E172" s="362" t="s">
        <v>63</v>
      </c>
      <c r="F172" s="208" t="s">
        <v>2054</v>
      </c>
      <c r="G172" s="208" t="s">
        <v>57</v>
      </c>
      <c r="H172" s="690" t="s">
        <v>768</v>
      </c>
      <c r="I172" s="690" t="s">
        <v>24</v>
      </c>
      <c r="J172" s="208" t="s">
        <v>2635</v>
      </c>
      <c r="K172" s="690" t="s">
        <v>768</v>
      </c>
      <c r="L172" s="690" t="s">
        <v>24</v>
      </c>
      <c r="M172" s="363" t="s">
        <v>768</v>
      </c>
      <c r="N172" s="363" t="s">
        <v>24</v>
      </c>
      <c r="O172" s="427" t="s">
        <v>61</v>
      </c>
      <c r="X172" s="1629" t="s">
        <v>2109</v>
      </c>
      <c r="Y172" s="362"/>
      <c r="Z172" s="270" t="s">
        <v>768</v>
      </c>
      <c r="AA172" s="270" t="s">
        <v>24</v>
      </c>
      <c r="AB172" s="223" t="s">
        <v>41</v>
      </c>
      <c r="AC172" s="427" t="s">
        <v>61</v>
      </c>
      <c r="AF172" s="204"/>
      <c r="AG172" s="270" t="s">
        <v>768</v>
      </c>
      <c r="AH172" s="270" t="s">
        <v>24</v>
      </c>
      <c r="AI172" s="223" t="s">
        <v>41</v>
      </c>
      <c r="AJ172" s="362" t="s">
        <v>61</v>
      </c>
      <c r="AK172" s="362"/>
      <c r="AL172" s="270" t="s">
        <v>768</v>
      </c>
      <c r="AM172" s="270" t="s">
        <v>24</v>
      </c>
      <c r="AN172" s="223" t="s">
        <v>41</v>
      </c>
      <c r="AO172" s="427" t="s">
        <v>61</v>
      </c>
      <c r="AS172" s="732" t="s">
        <v>768</v>
      </c>
      <c r="AT172" s="733" t="s">
        <v>24</v>
      </c>
      <c r="AU172" s="733" t="s">
        <v>768</v>
      </c>
      <c r="AV172" s="733" t="s">
        <v>24</v>
      </c>
      <c r="AW172" s="733" t="s">
        <v>768</v>
      </c>
      <c r="AX172" s="733" t="s">
        <v>24</v>
      </c>
      <c r="AY172" s="733" t="s">
        <v>768</v>
      </c>
      <c r="AZ172" s="733" t="s">
        <v>24</v>
      </c>
      <c r="BA172" s="734" t="s">
        <v>768</v>
      </c>
      <c r="BB172" s="735" t="s">
        <v>24</v>
      </c>
      <c r="BC172" s="732" t="s">
        <v>768</v>
      </c>
      <c r="BD172" s="736" t="s">
        <v>24</v>
      </c>
    </row>
    <row r="173" spans="2:56" ht="12.75" hidden="1" customHeight="1" outlineLevel="1" x14ac:dyDescent="0.2">
      <c r="B173" s="236" t="s">
        <v>1388</v>
      </c>
      <c r="C173" s="237"/>
      <c r="D173" s="262">
        <f>M173+N173</f>
        <v>0</v>
      </c>
      <c r="E173" s="265">
        <f>D173*12/44</f>
        <v>0</v>
      </c>
      <c r="F173" s="559"/>
      <c r="G173" s="182"/>
      <c r="H173" s="492">
        <f>VLOOKUP($B173,'Emissions factors'!$B$1366:$W$1371,2,FALSE)</f>
        <v>2.9617020568900001E-2</v>
      </c>
      <c r="I173" s="492">
        <f>VLOOKUP($B173,'Emissions factors'!$B$1366:$W$1371,3,FALSE)</f>
        <v>0.180940559369</v>
      </c>
      <c r="J173" s="182"/>
      <c r="K173" s="789">
        <f>VLOOKUP($B173,'Emissions factors'!$B$1366:$W$1371,12,FALSE)</f>
        <v>69.496338765100006</v>
      </c>
      <c r="L173" s="789">
        <f>VLOOKUP($B173,'Emissions factors'!$B$1366:$W$1371,13,FALSE)</f>
        <v>424.57702255800001</v>
      </c>
      <c r="M173" s="465">
        <f>G173*H173+J173*K173</f>
        <v>0</v>
      </c>
      <c r="N173" s="210">
        <f>G173*I173+J173*L173</f>
        <v>0</v>
      </c>
      <c r="O173" s="222">
        <f>IF(OR(F173='Info utili'!$G$532,F173='Info utili'!$G$537),N173,0)</f>
        <v>0</v>
      </c>
      <c r="X173" s="282">
        <f>VLOOKUP($B173,'Emissions factors'!$B$1366:$W$1371,22,FALSE)</f>
        <v>0.6</v>
      </c>
      <c r="Y173" s="184"/>
      <c r="Z173" s="221">
        <f>M173*SQRT(X173^2+Y173^2)</f>
        <v>0</v>
      </c>
      <c r="AA173" s="221">
        <f>N173*SQRT(X173^2+Y173^2)</f>
        <v>0</v>
      </c>
      <c r="AB173" s="210">
        <f>SQRT(Z173^2+AA173^2)</f>
        <v>0</v>
      </c>
      <c r="AC173" s="222">
        <f>O173*SQRT(X173^2+Y173^2)</f>
        <v>0</v>
      </c>
      <c r="AF173" s="183"/>
      <c r="AG173" s="221">
        <f>AF173*M173</f>
        <v>0</v>
      </c>
      <c r="AH173" s="221">
        <f>AF173*N173</f>
        <v>0</v>
      </c>
      <c r="AI173" s="210">
        <f>AG173+AH173</f>
        <v>0</v>
      </c>
      <c r="AJ173" s="221">
        <f>AF173*O173</f>
        <v>0</v>
      </c>
      <c r="AK173" s="183"/>
      <c r="AL173" s="221">
        <f t="shared" ref="AL173:AM175" si="89">$AK173*M173</f>
        <v>0</v>
      </c>
      <c r="AM173" s="221">
        <f t="shared" si="89"/>
        <v>0</v>
      </c>
      <c r="AN173" s="210">
        <f>AL173+AM173</f>
        <v>0</v>
      </c>
      <c r="AO173" s="222">
        <f>AK173*O173</f>
        <v>0</v>
      </c>
      <c r="AS173" s="717">
        <f>G173*VLOOKUP($B173,'Emissions factors'!$B$1366:$W$1371,4,FALSE)+J173*VLOOKUP($B173,'Emissions factors'!$B$1366:$W$1371,14,FALSE)</f>
        <v>0</v>
      </c>
      <c r="AT173" s="718">
        <f>G173*VLOOKUP($B173,'Emissions factors'!$B$1366:$W$1371,5,FALSE)+J173*VLOOKUP($B173,'Emissions factors'!$B$1366:$W$1371,15,FALSE)</f>
        <v>0</v>
      </c>
      <c r="AU173" s="718">
        <f>G173*VLOOKUP($B173,'Emissions factors'!$B$1366:$W$1371,6,FALSE)+J173*VLOOKUP($B173,'Emissions factors'!$B$1366:$W$1371,16,FALSE)</f>
        <v>0</v>
      </c>
      <c r="AV173" s="718">
        <f>G173*VLOOKUP($B173,'Emissions factors'!$B$1366:$W$1371,7,FALSE)+J173*VLOOKUP($B173,'Emissions factors'!$B$1366:$W$1371,17,FALSE)</f>
        <v>0</v>
      </c>
      <c r="AW173" s="718">
        <f>G173*VLOOKUP($B173,'Emissions factors'!$B$1366:$W$1371,8,FALSE)+J173*VLOOKUP($B173,'Emissions factors'!$B$1366:$W$1371,18,FALSE)</f>
        <v>0</v>
      </c>
      <c r="AX173" s="718">
        <f>G173*VLOOKUP($B173,'Emissions factors'!$B$1366:$W$1371,9,FALSE)+J173*VLOOKUP($B173,'Emissions factors'!$B$1366:$W$1371,19,FALSE)</f>
        <v>0</v>
      </c>
      <c r="AY173" s="718">
        <v>0</v>
      </c>
      <c r="AZ173" s="718">
        <v>0</v>
      </c>
      <c r="BA173" s="719">
        <f t="shared" ref="BA173:BB175" si="90">M173</f>
        <v>0</v>
      </c>
      <c r="BB173" s="720">
        <f t="shared" si="90"/>
        <v>0</v>
      </c>
      <c r="BC173" s="717">
        <f>G173*VLOOKUP($B173,'Emissions factors'!$B$1366:$W$1371,10,FALSE)+J173*VLOOKUP($B173,'Emissions factors'!$B$1366:$W$1371,20,FALSE)</f>
        <v>0</v>
      </c>
      <c r="BD173" s="721">
        <f>G173*VLOOKUP($B173,'Emissions factors'!$B$1366:$W$1371,11,FALSE)+J173*VLOOKUP($B173,'Emissions factors'!$B$1366:$W$1371,21,FALSE)</f>
        <v>0</v>
      </c>
    </row>
    <row r="174" spans="2:56" ht="12.75" hidden="1" customHeight="1" outlineLevel="1" x14ac:dyDescent="0.2">
      <c r="B174" s="236" t="s">
        <v>1389</v>
      </c>
      <c r="C174" s="237"/>
      <c r="D174" s="262">
        <f>M174+N174</f>
        <v>0</v>
      </c>
      <c r="E174" s="265">
        <f>D174*12/44</f>
        <v>0</v>
      </c>
      <c r="F174" s="442"/>
      <c r="G174" s="185"/>
      <c r="H174" s="492">
        <f>VLOOKUP($B174,'Emissions factors'!$B$1366:$W$1371,2,FALSE)</f>
        <v>4.7449136941499999E-2</v>
      </c>
      <c r="I174" s="492">
        <f>VLOOKUP($B174,'Emissions factors'!$B$1366:$W$1371,3,FALSE)</f>
        <v>0.265858064452</v>
      </c>
      <c r="J174" s="185"/>
      <c r="K174" s="789">
        <f>VLOOKUP($B174,'Emissions factors'!$B$1366:$W$1371,12,FALSE)</f>
        <v>61.250098014099997</v>
      </c>
      <c r="L174" s="789">
        <f>VLOOKUP($B174,'Emissions factors'!$B$1366:$W$1371,13,FALSE)</f>
        <v>343.18500936300001</v>
      </c>
      <c r="M174" s="465">
        <f>G174*H174+J174*K174</f>
        <v>0</v>
      </c>
      <c r="N174" s="210">
        <f>G174*I174+J174*L174</f>
        <v>0</v>
      </c>
      <c r="O174" s="222">
        <f>IF(OR(F174='Info utili'!$G$532,F174='Info utili'!$G$537),N174,0)</f>
        <v>0</v>
      </c>
      <c r="X174" s="282">
        <f>VLOOKUP($B174,'Emissions factors'!$B$1366:$W$1371,22,FALSE)</f>
        <v>0.6</v>
      </c>
      <c r="Y174" s="187"/>
      <c r="Z174" s="221">
        <f>M174*SQRT(X174^2+Y174^2)</f>
        <v>0</v>
      </c>
      <c r="AA174" s="221">
        <f>N174*SQRT(X174^2+Y174^2)</f>
        <v>0</v>
      </c>
      <c r="AB174" s="210">
        <f>SQRT(Z174^2+AA174^2)</f>
        <v>0</v>
      </c>
      <c r="AC174" s="222">
        <f>O174*SQRT(X174^2+Y174^2)</f>
        <v>0</v>
      </c>
      <c r="AF174" s="186"/>
      <c r="AG174" s="221">
        <f>AF174*M174</f>
        <v>0</v>
      </c>
      <c r="AH174" s="221">
        <f>AF174*N174</f>
        <v>0</v>
      </c>
      <c r="AI174" s="210">
        <f>AG174+AH174</f>
        <v>0</v>
      </c>
      <c r="AJ174" s="221">
        <f>AF174*O174</f>
        <v>0</v>
      </c>
      <c r="AK174" s="186"/>
      <c r="AL174" s="221">
        <f t="shared" si="89"/>
        <v>0</v>
      </c>
      <c r="AM174" s="221">
        <f t="shared" si="89"/>
        <v>0</v>
      </c>
      <c r="AN174" s="210">
        <f>AL174+AM174</f>
        <v>0</v>
      </c>
      <c r="AO174" s="222">
        <f>AK174*O174</f>
        <v>0</v>
      </c>
      <c r="AS174" s="717">
        <f>G174*VLOOKUP($B174,'Emissions factors'!$B$1366:$W$1371,4,FALSE)+J174*VLOOKUP($B174,'Emissions factors'!$B$1366:$W$1371,14,FALSE)</f>
        <v>0</v>
      </c>
      <c r="AT174" s="718">
        <f>G174*VLOOKUP($B174,'Emissions factors'!$B$1366:$W$1371,5,FALSE)+J174*VLOOKUP($B174,'Emissions factors'!$B$1366:$W$1371,15,FALSE)</f>
        <v>0</v>
      </c>
      <c r="AU174" s="718">
        <f>G174*VLOOKUP($B174,'Emissions factors'!$B$1366:$W$1371,6,FALSE)+J174*VLOOKUP($B174,'Emissions factors'!$B$1366:$W$1371,16,FALSE)</f>
        <v>0</v>
      </c>
      <c r="AV174" s="718">
        <f>G174*VLOOKUP($B174,'Emissions factors'!$B$1366:$W$1371,7,FALSE)+J174*VLOOKUP($B174,'Emissions factors'!$B$1366:$W$1371,17,FALSE)</f>
        <v>0</v>
      </c>
      <c r="AW174" s="718">
        <f>G174*VLOOKUP($B174,'Emissions factors'!$B$1366:$W$1371,8,FALSE)+J174*VLOOKUP($B174,'Emissions factors'!$B$1366:$W$1371,18,FALSE)</f>
        <v>0</v>
      </c>
      <c r="AX174" s="718">
        <f>G174*VLOOKUP($B174,'Emissions factors'!$B$1366:$W$1371,9,FALSE)+J174*VLOOKUP($B174,'Emissions factors'!$B$1366:$W$1371,19,FALSE)</f>
        <v>0</v>
      </c>
      <c r="AY174" s="718">
        <v>0</v>
      </c>
      <c r="AZ174" s="718">
        <v>0</v>
      </c>
      <c r="BA174" s="719">
        <f t="shared" si="90"/>
        <v>0</v>
      </c>
      <c r="BB174" s="720">
        <f t="shared" si="90"/>
        <v>0</v>
      </c>
      <c r="BC174" s="717">
        <f>G174*VLOOKUP($B174,'Emissions factors'!$B$1366:$W$1371,10,FALSE)+J174*VLOOKUP($B174,'Emissions factors'!$B$1366:$W$1371,20,FALSE)</f>
        <v>0</v>
      </c>
      <c r="BD174" s="721">
        <f>G174*VLOOKUP($B174,'Emissions factors'!$B$1366:$W$1371,11,FALSE)+J174*VLOOKUP($B174,'Emissions factors'!$B$1366:$W$1371,21,FALSE)</f>
        <v>0</v>
      </c>
    </row>
    <row r="175" spans="2:56" ht="12.75" hidden="1" customHeight="1" outlineLevel="1" x14ac:dyDescent="0.2">
      <c r="B175" s="236" t="s">
        <v>1391</v>
      </c>
      <c r="C175" s="237"/>
      <c r="D175" s="262">
        <f>M175+N175</f>
        <v>0</v>
      </c>
      <c r="E175" s="265">
        <f>D175*12/44</f>
        <v>0</v>
      </c>
      <c r="F175" s="443"/>
      <c r="G175" s="188"/>
      <c r="H175" s="492">
        <f>VLOOKUP($B175,'Emissions factors'!$B$1366:$W$1371,2,FALSE)</f>
        <v>1.41450967902E-2</v>
      </c>
      <c r="I175" s="492">
        <f>VLOOKUP($B175,'Emissions factors'!$B$1366:$W$1371,3,FALSE)</f>
        <v>8.89559007426E-2</v>
      </c>
      <c r="J175" s="188"/>
      <c r="K175" s="789">
        <f>VLOOKUP($B175,'Emissions factors'!$B$1366:$W$1371,12,FALSE)</f>
        <v>27.823405386200001</v>
      </c>
      <c r="L175" s="789">
        <f>VLOOKUP($B175,'Emissions factors'!$B$1366:$W$1371,13,FALSE)</f>
        <v>174.97625676000001</v>
      </c>
      <c r="M175" s="465">
        <f>G175*H175+J175*K175</f>
        <v>0</v>
      </c>
      <c r="N175" s="210">
        <f>G175*I175+J175*L175</f>
        <v>0</v>
      </c>
      <c r="O175" s="222">
        <f>IF(OR(F175='Info utili'!$G$532,F175='Info utili'!$G$537),N175,0)</f>
        <v>0</v>
      </c>
      <c r="X175" s="282">
        <f>VLOOKUP($B175,'Emissions factors'!$B$1366:$W$1371,22,FALSE)</f>
        <v>0.6</v>
      </c>
      <c r="Y175" s="190"/>
      <c r="Z175" s="221">
        <f>M175*SQRT(X175^2+Y175^2)</f>
        <v>0</v>
      </c>
      <c r="AA175" s="221">
        <f>N175*SQRT(X175^2+Y175^2)</f>
        <v>0</v>
      </c>
      <c r="AB175" s="210">
        <f>SQRT(Z175^2+AA175^2)</f>
        <v>0</v>
      </c>
      <c r="AC175" s="222">
        <f>O175*SQRT(X175^2+Y175^2)</f>
        <v>0</v>
      </c>
      <c r="AF175" s="189"/>
      <c r="AG175" s="221">
        <f>AF175*M175</f>
        <v>0</v>
      </c>
      <c r="AH175" s="221">
        <f>AF175*N175</f>
        <v>0</v>
      </c>
      <c r="AI175" s="210">
        <f>AG175+AH175</f>
        <v>0</v>
      </c>
      <c r="AJ175" s="221">
        <f>AF175*O175</f>
        <v>0</v>
      </c>
      <c r="AK175" s="189"/>
      <c r="AL175" s="221">
        <f t="shared" si="89"/>
        <v>0</v>
      </c>
      <c r="AM175" s="221">
        <f t="shared" si="89"/>
        <v>0</v>
      </c>
      <c r="AN175" s="210">
        <f>AL175+AM175</f>
        <v>0</v>
      </c>
      <c r="AO175" s="222">
        <f>AK175*O175</f>
        <v>0</v>
      </c>
      <c r="AS175" s="717">
        <f>G175*VLOOKUP($B175,'Emissions factors'!$B$1366:$W$1371,4,FALSE)+J175*VLOOKUP($B175,'Emissions factors'!$B$1366:$W$1371,14,FALSE)</f>
        <v>0</v>
      </c>
      <c r="AT175" s="718">
        <f>G175*VLOOKUP($B175,'Emissions factors'!$B$1366:$W$1371,5,FALSE)+J175*VLOOKUP($B175,'Emissions factors'!$B$1366:$W$1371,15,FALSE)</f>
        <v>0</v>
      </c>
      <c r="AU175" s="718">
        <f>G175*VLOOKUP($B175,'Emissions factors'!$B$1366:$W$1371,6,FALSE)+J175*VLOOKUP($B175,'Emissions factors'!$B$1366:$W$1371,16,FALSE)</f>
        <v>0</v>
      </c>
      <c r="AV175" s="718">
        <f>G175*VLOOKUP($B175,'Emissions factors'!$B$1366:$W$1371,7,FALSE)+J175*VLOOKUP($B175,'Emissions factors'!$B$1366:$W$1371,17,FALSE)</f>
        <v>0</v>
      </c>
      <c r="AW175" s="718">
        <f>G175*VLOOKUP($B175,'Emissions factors'!$B$1366:$W$1371,8,FALSE)+J175*VLOOKUP($B175,'Emissions factors'!$B$1366:$W$1371,18,FALSE)</f>
        <v>0</v>
      </c>
      <c r="AX175" s="718">
        <f>G175*VLOOKUP($B175,'Emissions factors'!$B$1366:$W$1371,9,FALSE)+J175*VLOOKUP($B175,'Emissions factors'!$B$1366:$W$1371,19,FALSE)</f>
        <v>0</v>
      </c>
      <c r="AY175" s="718">
        <v>0</v>
      </c>
      <c r="AZ175" s="718">
        <v>0</v>
      </c>
      <c r="BA175" s="719">
        <f t="shared" si="90"/>
        <v>0</v>
      </c>
      <c r="BB175" s="720">
        <f t="shared" si="90"/>
        <v>0</v>
      </c>
      <c r="BC175" s="717">
        <f>G175*VLOOKUP($B175,'Emissions factors'!$B$1366:$W$1371,10,FALSE)+J175*VLOOKUP($B175,'Emissions factors'!$B$1366:$W$1371,20,FALSE)</f>
        <v>0</v>
      </c>
      <c r="BD175" s="721">
        <f>G175*VLOOKUP($B175,'Emissions factors'!$B$1366:$W$1371,11,FALSE)+J175*VLOOKUP($B175,'Emissions factors'!$B$1366:$W$1371,21,FALSE)</f>
        <v>0</v>
      </c>
    </row>
    <row r="176" spans="2:56" ht="12.75" hidden="1" customHeight="1" outlineLevel="1" x14ac:dyDescent="0.2">
      <c r="B176" s="200"/>
      <c r="C176" s="201"/>
      <c r="D176" s="275"/>
      <c r="E176" s="268"/>
      <c r="F176" s="201"/>
      <c r="G176" s="201"/>
      <c r="H176" s="201"/>
      <c r="I176" s="201"/>
      <c r="J176" s="473"/>
      <c r="K176" s="473"/>
      <c r="L176" s="473"/>
      <c r="M176" s="475"/>
      <c r="N176" s="475"/>
      <c r="O176" s="222"/>
      <c r="X176" s="200"/>
      <c r="Y176" s="201"/>
      <c r="Z176" s="214"/>
      <c r="AA176" s="214"/>
      <c r="AB176" s="269"/>
      <c r="AC176" s="466"/>
      <c r="AF176" s="200"/>
      <c r="AG176" s="201"/>
      <c r="AH176" s="201"/>
      <c r="AI176" s="269"/>
      <c r="AJ176" s="362"/>
      <c r="AK176" s="201"/>
      <c r="AL176" s="201"/>
      <c r="AM176" s="201"/>
      <c r="AN176" s="269"/>
      <c r="AO176" s="222"/>
      <c r="AS176" s="717"/>
      <c r="AT176" s="718"/>
      <c r="AU176" s="718"/>
      <c r="AV176" s="718"/>
      <c r="AW176" s="718"/>
      <c r="AX176" s="718"/>
      <c r="AY176" s="718"/>
      <c r="AZ176" s="718"/>
      <c r="BA176" s="719"/>
      <c r="BB176" s="720"/>
      <c r="BC176" s="722"/>
      <c r="BD176" s="723"/>
    </row>
    <row r="177" spans="2:56" ht="12.75" hidden="1" customHeight="1" outlineLevel="1" x14ac:dyDescent="0.2">
      <c r="B177" s="253" t="s">
        <v>2828</v>
      </c>
      <c r="C177" s="254"/>
      <c r="D177" s="264">
        <f>SUM(D173:D176)</f>
        <v>0</v>
      </c>
      <c r="E177" s="267">
        <f>SUM(E173:E176)</f>
        <v>0</v>
      </c>
      <c r="F177" s="254"/>
      <c r="G177" s="254"/>
      <c r="H177" s="254"/>
      <c r="I177" s="254"/>
      <c r="J177" s="254"/>
      <c r="K177" s="487"/>
      <c r="L177" s="487"/>
      <c r="M177" s="488">
        <f>SUM(M173:M176)</f>
        <v>0</v>
      </c>
      <c r="N177" s="488">
        <f>SUM(N173:N176)</f>
        <v>0</v>
      </c>
      <c r="O177" s="428">
        <f>SUM(O173:O176)</f>
        <v>0</v>
      </c>
      <c r="X177" s="258"/>
      <c r="Y177" s="256"/>
      <c r="Z177" s="260">
        <f>SQRT(SUMSQ(Z173:Z176))</f>
        <v>0</v>
      </c>
      <c r="AA177" s="260">
        <f>SQRT(SUMSQ(AA173:AA176))</f>
        <v>0</v>
      </c>
      <c r="AB177" s="259">
        <f>SQRT(SUMSQ(AB173:AB176))</f>
        <v>0</v>
      </c>
      <c r="AC177" s="428">
        <f>SQRT(SUMSQ(AC173:AC176))</f>
        <v>0</v>
      </c>
      <c r="AF177" s="258"/>
      <c r="AG177" s="260">
        <f>SUM(AG173:AG176)</f>
        <v>0</v>
      </c>
      <c r="AH177" s="260">
        <f>SUM(AH173:AH176)</f>
        <v>0</v>
      </c>
      <c r="AI177" s="259">
        <f>SUM(AI173:AI176)</f>
        <v>0</v>
      </c>
      <c r="AJ177" s="260">
        <f>SUM(AJ173:AJ176)</f>
        <v>0</v>
      </c>
      <c r="AK177" s="256"/>
      <c r="AL177" s="260">
        <f>SUM(AL173:AL176)</f>
        <v>0</v>
      </c>
      <c r="AM177" s="260">
        <f>SUM(AM173:AM176)</f>
        <v>0</v>
      </c>
      <c r="AN177" s="259">
        <f>SUM(AN173:AN176)</f>
        <v>0</v>
      </c>
      <c r="AO177" s="428">
        <f>SUM(AO173:AO176)</f>
        <v>0</v>
      </c>
      <c r="AS177" s="724">
        <f t="shared" ref="AS177:BD177" si="91">SUM(AS173:AS176)</f>
        <v>0</v>
      </c>
      <c r="AT177" s="725">
        <f t="shared" si="91"/>
        <v>0</v>
      </c>
      <c r="AU177" s="725">
        <f t="shared" si="91"/>
        <v>0</v>
      </c>
      <c r="AV177" s="725">
        <f t="shared" si="91"/>
        <v>0</v>
      </c>
      <c r="AW177" s="725">
        <f t="shared" si="91"/>
        <v>0</v>
      </c>
      <c r="AX177" s="725">
        <f t="shared" si="91"/>
        <v>0</v>
      </c>
      <c r="AY177" s="725">
        <f t="shared" si="91"/>
        <v>0</v>
      </c>
      <c r="AZ177" s="725">
        <f t="shared" si="91"/>
        <v>0</v>
      </c>
      <c r="BA177" s="726">
        <f t="shared" si="91"/>
        <v>0</v>
      </c>
      <c r="BB177" s="727">
        <f t="shared" si="91"/>
        <v>0</v>
      </c>
      <c r="BC177" s="724">
        <f t="shared" si="91"/>
        <v>0</v>
      </c>
      <c r="BD177" s="728">
        <f t="shared" si="91"/>
        <v>0</v>
      </c>
    </row>
    <row r="178" spans="2:56" ht="12.75" hidden="1" customHeight="1" outlineLevel="1" x14ac:dyDescent="0.2">
      <c r="B178" s="42"/>
      <c r="C178" s="42"/>
      <c r="D178" s="42"/>
      <c r="E178" s="42"/>
      <c r="F178" s="42"/>
      <c r="G178" s="42"/>
      <c r="H178" s="42"/>
      <c r="I178" s="42"/>
      <c r="J178" s="42"/>
      <c r="K178" s="42"/>
      <c r="L178" s="42"/>
      <c r="M178" s="42"/>
      <c r="N178" s="42"/>
      <c r="O178" s="42"/>
      <c r="P178" s="42"/>
      <c r="Q178" s="42"/>
      <c r="R178" s="42"/>
      <c r="S178" s="42"/>
      <c r="T178" s="42"/>
      <c r="U178" s="42"/>
      <c r="V178" s="42"/>
    </row>
    <row r="179" spans="2:56" ht="12.75" hidden="1" customHeight="1" outlineLevel="1" x14ac:dyDescent="0.2">
      <c r="B179" s="195" t="s">
        <v>2874</v>
      </c>
      <c r="C179" s="196"/>
      <c r="D179" s="196"/>
      <c r="E179" s="196"/>
      <c r="F179" s="198"/>
      <c r="G179" s="198"/>
      <c r="H179" s="198"/>
      <c r="I179" s="198"/>
      <c r="J179" s="198"/>
      <c r="K179" s="198"/>
      <c r="L179" s="198"/>
      <c r="M179" s="217"/>
      <c r="N179" s="217"/>
      <c r="O179" s="218"/>
      <c r="X179" s="1746" t="s">
        <v>723</v>
      </c>
      <c r="Y179" s="1747"/>
      <c r="Z179" s="1747"/>
      <c r="AA179" s="1747"/>
      <c r="AB179" s="1747"/>
      <c r="AC179" s="1748"/>
      <c r="AF179" s="1746" t="s">
        <v>2066</v>
      </c>
      <c r="AG179" s="1747"/>
      <c r="AH179" s="1747"/>
      <c r="AI179" s="1747"/>
      <c r="AJ179" s="1747"/>
      <c r="AK179" s="1747"/>
      <c r="AL179" s="1747"/>
      <c r="AM179" s="1747"/>
      <c r="AN179" s="1747"/>
      <c r="AO179" s="1748"/>
      <c r="AS179" s="1755" t="s">
        <v>2073</v>
      </c>
      <c r="AT179" s="1756"/>
      <c r="AU179" s="1756"/>
      <c r="AV179" s="1756"/>
      <c r="AW179" s="1756"/>
      <c r="AX179" s="1756"/>
      <c r="AY179" s="1756"/>
      <c r="AZ179" s="1756"/>
      <c r="BA179" s="1756"/>
      <c r="BB179" s="1756"/>
      <c r="BC179" s="1756"/>
      <c r="BD179" s="1757"/>
    </row>
    <row r="180" spans="2:56" ht="12.75" hidden="1" customHeight="1" outlineLevel="1" x14ac:dyDescent="0.2">
      <c r="B180" s="417"/>
      <c r="C180" s="225"/>
      <c r="D180" s="361"/>
      <c r="E180" s="361"/>
      <c r="F180" s="201"/>
      <c r="G180" s="201"/>
      <c r="H180" s="201"/>
      <c r="I180" s="201"/>
      <c r="J180" s="214"/>
      <c r="K180" s="201"/>
      <c r="L180" s="201"/>
      <c r="M180" s="1745" t="s">
        <v>2646</v>
      </c>
      <c r="N180" s="1745"/>
      <c r="O180" s="427" t="s">
        <v>2639</v>
      </c>
      <c r="X180" s="216"/>
      <c r="Y180" s="217"/>
      <c r="Z180" s="361"/>
      <c r="AA180" s="361"/>
      <c r="AB180" s="361"/>
      <c r="AC180" s="427" t="s">
        <v>2639</v>
      </c>
      <c r="AF180" s="216"/>
      <c r="AG180" s="361"/>
      <c r="AH180" s="361"/>
      <c r="AI180" s="361"/>
      <c r="AJ180" s="362" t="s">
        <v>2639</v>
      </c>
      <c r="AK180" s="217"/>
      <c r="AL180" s="361"/>
      <c r="AM180" s="361"/>
      <c r="AN180" s="361"/>
      <c r="AO180" s="427" t="s">
        <v>2639</v>
      </c>
      <c r="AS180" s="1758" t="s">
        <v>61</v>
      </c>
      <c r="AT180" s="1759"/>
      <c r="AU180" s="1759"/>
      <c r="AV180" s="1759"/>
      <c r="AW180" s="1759"/>
      <c r="AX180" s="1759"/>
      <c r="AY180" s="1759"/>
      <c r="AZ180" s="1759"/>
      <c r="BA180" s="1759" t="s">
        <v>61</v>
      </c>
      <c r="BB180" s="1760"/>
      <c r="BC180" s="730"/>
      <c r="BD180" s="731"/>
    </row>
    <row r="181" spans="2:56" ht="12.75" hidden="1" customHeight="1" outlineLevel="1" x14ac:dyDescent="0.2">
      <c r="B181" s="1629" t="s">
        <v>2873</v>
      </c>
      <c r="C181" s="362"/>
      <c r="D181" s="362" t="s">
        <v>56</v>
      </c>
      <c r="E181" s="362" t="s">
        <v>56</v>
      </c>
      <c r="F181" s="205" t="s">
        <v>2634</v>
      </c>
      <c r="G181" s="205"/>
      <c r="H181" s="1744" t="s">
        <v>1308</v>
      </c>
      <c r="I181" s="1745"/>
      <c r="J181" s="205"/>
      <c r="K181" s="1744" t="s">
        <v>1281</v>
      </c>
      <c r="L181" s="1745"/>
      <c r="M181" s="361" t="s">
        <v>61</v>
      </c>
      <c r="N181" s="361" t="s">
        <v>61</v>
      </c>
      <c r="O181" s="427" t="s">
        <v>30</v>
      </c>
      <c r="X181" s="1629" t="s">
        <v>2605</v>
      </c>
      <c r="Y181" s="362" t="s">
        <v>2110</v>
      </c>
      <c r="Z181" s="362" t="s">
        <v>61</v>
      </c>
      <c r="AA181" s="362" t="s">
        <v>61</v>
      </c>
      <c r="AB181" s="361" t="s">
        <v>61</v>
      </c>
      <c r="AC181" s="427" t="s">
        <v>30</v>
      </c>
      <c r="AF181" s="204" t="s">
        <v>2065</v>
      </c>
      <c r="AG181" s="362" t="s">
        <v>61</v>
      </c>
      <c r="AH181" s="362" t="s">
        <v>61</v>
      </c>
      <c r="AI181" s="361" t="s">
        <v>61</v>
      </c>
      <c r="AJ181" s="362" t="s">
        <v>30</v>
      </c>
      <c r="AK181" s="362" t="s">
        <v>2558</v>
      </c>
      <c r="AL181" s="362" t="s">
        <v>61</v>
      </c>
      <c r="AM181" s="362" t="s">
        <v>61</v>
      </c>
      <c r="AN181" s="361" t="s">
        <v>61</v>
      </c>
      <c r="AO181" s="427" t="s">
        <v>30</v>
      </c>
      <c r="AS181" s="1764" t="s">
        <v>14</v>
      </c>
      <c r="AT181" s="1761"/>
      <c r="AU181" s="1761" t="s">
        <v>60</v>
      </c>
      <c r="AV181" s="1761"/>
      <c r="AW181" s="1761" t="s">
        <v>27</v>
      </c>
      <c r="AX181" s="1761"/>
      <c r="AY181" s="1761" t="s">
        <v>2074</v>
      </c>
      <c r="AZ181" s="1761"/>
      <c r="BA181" s="1762" t="s">
        <v>41</v>
      </c>
      <c r="BB181" s="1763"/>
      <c r="BC181" s="1764" t="s">
        <v>85</v>
      </c>
      <c r="BD181" s="1765"/>
    </row>
    <row r="182" spans="2:56" ht="12.75" hidden="1" customHeight="1" outlineLevel="1" x14ac:dyDescent="0.2">
      <c r="B182" s="204"/>
      <c r="C182" s="362"/>
      <c r="D182" s="362" t="s">
        <v>61</v>
      </c>
      <c r="E182" s="362" t="s">
        <v>63</v>
      </c>
      <c r="F182" s="208" t="s">
        <v>2054</v>
      </c>
      <c r="G182" s="208" t="s">
        <v>57</v>
      </c>
      <c r="H182" s="690" t="s">
        <v>768</v>
      </c>
      <c r="I182" s="690" t="s">
        <v>24</v>
      </c>
      <c r="J182" s="208" t="s">
        <v>2635</v>
      </c>
      <c r="K182" s="690" t="s">
        <v>768</v>
      </c>
      <c r="L182" s="690" t="s">
        <v>24</v>
      </c>
      <c r="M182" s="363" t="s">
        <v>768</v>
      </c>
      <c r="N182" s="363" t="s">
        <v>24</v>
      </c>
      <c r="O182" s="427" t="s">
        <v>61</v>
      </c>
      <c r="X182" s="1629" t="s">
        <v>2109</v>
      </c>
      <c r="Y182" s="362"/>
      <c r="Z182" s="270" t="s">
        <v>768</v>
      </c>
      <c r="AA182" s="270" t="s">
        <v>24</v>
      </c>
      <c r="AB182" s="223" t="s">
        <v>41</v>
      </c>
      <c r="AC182" s="427" t="s">
        <v>61</v>
      </c>
      <c r="AF182" s="204"/>
      <c r="AG182" s="270" t="s">
        <v>768</v>
      </c>
      <c r="AH182" s="270" t="s">
        <v>24</v>
      </c>
      <c r="AI182" s="223" t="s">
        <v>41</v>
      </c>
      <c r="AJ182" s="362" t="s">
        <v>61</v>
      </c>
      <c r="AK182" s="362"/>
      <c r="AL182" s="270" t="s">
        <v>768</v>
      </c>
      <c r="AM182" s="270" t="s">
        <v>24</v>
      </c>
      <c r="AN182" s="223" t="s">
        <v>41</v>
      </c>
      <c r="AO182" s="427" t="s">
        <v>61</v>
      </c>
      <c r="AS182" s="732" t="s">
        <v>768</v>
      </c>
      <c r="AT182" s="733" t="s">
        <v>24</v>
      </c>
      <c r="AU182" s="733" t="s">
        <v>768</v>
      </c>
      <c r="AV182" s="733" t="s">
        <v>24</v>
      </c>
      <c r="AW182" s="733" t="s">
        <v>768</v>
      </c>
      <c r="AX182" s="733" t="s">
        <v>24</v>
      </c>
      <c r="AY182" s="733" t="s">
        <v>768</v>
      </c>
      <c r="AZ182" s="733" t="s">
        <v>24</v>
      </c>
      <c r="BA182" s="734" t="s">
        <v>768</v>
      </c>
      <c r="BB182" s="735" t="s">
        <v>24</v>
      </c>
      <c r="BC182" s="732" t="s">
        <v>768</v>
      </c>
      <c r="BD182" s="736" t="s">
        <v>24</v>
      </c>
    </row>
    <row r="183" spans="2:56" ht="12.75" hidden="1" customHeight="1" outlineLevel="1" x14ac:dyDescent="0.2">
      <c r="B183" s="200" t="s">
        <v>1380</v>
      </c>
      <c r="C183" s="201"/>
      <c r="D183" s="262">
        <f>M183+N183</f>
        <v>0</v>
      </c>
      <c r="E183" s="265">
        <f>D183*12/44</f>
        <v>0</v>
      </c>
      <c r="F183" s="559"/>
      <c r="G183" s="182"/>
      <c r="H183" s="492">
        <f>VLOOKUP($B183,'Emissions factors'!$B$1346:$W$1361,2,FALSE)</f>
        <v>5.0440000000000001E-4</v>
      </c>
      <c r="I183" s="492">
        <f>VLOOKUP($B183,'Emissions factors'!$B$1346:$W$1361,3,FALSE)</f>
        <v>3.1501000000000003E-3</v>
      </c>
      <c r="J183" s="182"/>
      <c r="K183" s="789">
        <f>VLOOKUP($B183,'Emissions factors'!$B$1346:$W$1361,12,FALSE)</f>
        <v>40.130000000000003</v>
      </c>
      <c r="L183" s="789">
        <f>VLOOKUP($B183,'Emissions factors'!$B$1346:$W$1361,13,FALSE)</f>
        <v>250.6</v>
      </c>
      <c r="M183" s="465">
        <f>G183*H183+J183*K183</f>
        <v>0</v>
      </c>
      <c r="N183" s="210">
        <f>G183*I183+J183*L183</f>
        <v>0</v>
      </c>
      <c r="O183" s="222">
        <f>IF(OR(F183='Info utili'!$G$532,F183='Info utili'!$G$537),N183,0)</f>
        <v>0</v>
      </c>
      <c r="X183" s="282">
        <f>VLOOKUP($B183,'Emissions factors'!$B$1346:$W$1361,22,FALSE)</f>
        <v>0.6</v>
      </c>
      <c r="Y183" s="184"/>
      <c r="Z183" s="221">
        <f>M183*SQRT(X183^2+Y183^2)</f>
        <v>0</v>
      </c>
      <c r="AA183" s="221">
        <f>N183*SQRT(X183^2+Y183^2)</f>
        <v>0</v>
      </c>
      <c r="AB183" s="210">
        <f>SQRT(Z183^2+AA183^2)</f>
        <v>0</v>
      </c>
      <c r="AC183" s="222">
        <f>O183*SQRT(X183^2+Y183^2)</f>
        <v>0</v>
      </c>
      <c r="AF183" s="183"/>
      <c r="AG183" s="221">
        <f>AF183*M183</f>
        <v>0</v>
      </c>
      <c r="AH183" s="221">
        <f>AF183*N183</f>
        <v>0</v>
      </c>
      <c r="AI183" s="210">
        <f>AG183+AH183</f>
        <v>0</v>
      </c>
      <c r="AJ183" s="221">
        <f>AF183*O183</f>
        <v>0</v>
      </c>
      <c r="AK183" s="183"/>
      <c r="AL183" s="221">
        <f>AK183*M183</f>
        <v>0</v>
      </c>
      <c r="AM183" s="221">
        <f>AK183*N183</f>
        <v>0</v>
      </c>
      <c r="AN183" s="210">
        <f>AL183+AM183</f>
        <v>0</v>
      </c>
      <c r="AO183" s="222">
        <f>AK183*O183</f>
        <v>0</v>
      </c>
      <c r="AS183" s="717">
        <f>G183*VLOOKUP($B183,'Emissions factors'!$B$1346:$W$1361,4,FALSE)+J183*VLOOKUP($B183,'Emissions factors'!$B$1346:$W$1361,14,FALSE)</f>
        <v>0</v>
      </c>
      <c r="AT183" s="718">
        <f>G183*VLOOKUP($B183,'Emissions factors'!$B$1346:$W$1361,5,FALSE)+J183*VLOOKUP($B183,'Emissions factors'!$B$1346:$W$1361,15,FALSE)</f>
        <v>0</v>
      </c>
      <c r="AU183" s="718">
        <f>G183*VLOOKUP($B183,'Emissions factors'!$B$1346:$W$1361,6,FALSE)+J183*VLOOKUP($B183,'Emissions factors'!$B$1346:$W$1361,16,FALSE)</f>
        <v>0</v>
      </c>
      <c r="AV183" s="718">
        <f>G183*VLOOKUP($B183,'Emissions factors'!$B$1346:$W$1361,7,FALSE)+J183*VLOOKUP($B183,'Emissions factors'!$B$1346:$W$1361,17,FALSE)</f>
        <v>0</v>
      </c>
      <c r="AW183" s="718">
        <f>G183*VLOOKUP($B183,'Emissions factors'!$B$1346:$W$1361,8,FALSE)+J183*VLOOKUP($B183,'Emissions factors'!$B$1346:$W$1361,18,FALSE)</f>
        <v>0</v>
      </c>
      <c r="AX183" s="718">
        <f>G183*VLOOKUP($B183,'Emissions factors'!$B$1346:$W$1361,9,FALSE)+J183*VLOOKUP($B183,'Emissions factors'!$B$1346:$W$1361,19,FALSE)</f>
        <v>0</v>
      </c>
      <c r="AY183" s="718">
        <v>0</v>
      </c>
      <c r="AZ183" s="718">
        <v>0</v>
      </c>
      <c r="BA183" s="719">
        <f t="shared" ref="BA183:BB185" si="92">M183</f>
        <v>0</v>
      </c>
      <c r="BB183" s="720">
        <f t="shared" si="92"/>
        <v>0</v>
      </c>
      <c r="BC183" s="717">
        <f>G183*VLOOKUP($B183,'Emissions factors'!$B$1346:$W$1361,10,FALSE)+J183*VLOOKUP($B183,'Emissions factors'!$B$1346:$W$1361,20,FALSE)</f>
        <v>0</v>
      </c>
      <c r="BD183" s="721">
        <f>G183*VLOOKUP($B183,'Emissions factors'!$B$1346:$W$1361,11,FALSE)+J183*VLOOKUP($B183,'Emissions factors'!$B$1346:$W$1361,21,FALSE)</f>
        <v>0</v>
      </c>
    </row>
    <row r="184" spans="2:56" ht="12.75" hidden="1" customHeight="1" outlineLevel="1" x14ac:dyDescent="0.2">
      <c r="B184" s="200" t="s">
        <v>1376</v>
      </c>
      <c r="C184" s="201"/>
      <c r="D184" s="262">
        <f>M184+N184</f>
        <v>0</v>
      </c>
      <c r="E184" s="265">
        <f>D184*12/44</f>
        <v>0</v>
      </c>
      <c r="F184" s="442"/>
      <c r="G184" s="185"/>
      <c r="H184" s="492">
        <f>VLOOKUP($B184,'Emissions factors'!$B$1346:$W$1361,2,FALSE)</f>
        <v>2.0280000000000003E-3</v>
      </c>
      <c r="I184" s="492">
        <f>VLOOKUP($B184,'Emissions factors'!$B$1346:$W$1361,3,FALSE)</f>
        <v>1.2680760000000001E-2</v>
      </c>
      <c r="J184" s="185"/>
      <c r="K184" s="789">
        <f>VLOOKUP($B184,'Emissions factors'!$B$1346:$W$1361,12,FALSE)</f>
        <v>45.17</v>
      </c>
      <c r="L184" s="789">
        <f>VLOOKUP($B184,'Emissions factors'!$B$1346:$W$1361,13,FALSE)</f>
        <v>281.80500000000001</v>
      </c>
      <c r="M184" s="465">
        <f>G184*H184+J184*K184</f>
        <v>0</v>
      </c>
      <c r="N184" s="210">
        <f>G184*I184+J184*L184</f>
        <v>0</v>
      </c>
      <c r="O184" s="222">
        <f>IF(OR(F184='Info utili'!$G$532,F184='Info utili'!$G$537),N184,0)</f>
        <v>0</v>
      </c>
      <c r="X184" s="282">
        <f>VLOOKUP($B184,'Emissions factors'!$B$1346:$W$1361,22,FALSE)</f>
        <v>0.6</v>
      </c>
      <c r="Y184" s="187"/>
      <c r="Z184" s="221">
        <f>M184*SQRT(X184^2+Y184^2)</f>
        <v>0</v>
      </c>
      <c r="AA184" s="221">
        <f>N184*SQRT(X184^2+Y184^2)</f>
        <v>0</v>
      </c>
      <c r="AB184" s="210">
        <f>SQRT(Z184^2+AA184^2)</f>
        <v>0</v>
      </c>
      <c r="AC184" s="222">
        <f>O184*SQRT(X184^2+Y184^2)</f>
        <v>0</v>
      </c>
      <c r="AF184" s="186"/>
      <c r="AG184" s="221">
        <f>AF184*M184</f>
        <v>0</v>
      </c>
      <c r="AH184" s="221">
        <f>AF184*N184</f>
        <v>0</v>
      </c>
      <c r="AI184" s="210">
        <f>AG184+AH184</f>
        <v>0</v>
      </c>
      <c r="AJ184" s="221">
        <f>AF184*O184</f>
        <v>0</v>
      </c>
      <c r="AK184" s="186"/>
      <c r="AL184" s="221">
        <f>AK184*M184</f>
        <v>0</v>
      </c>
      <c r="AM184" s="221">
        <f>AK184*N184</f>
        <v>0</v>
      </c>
      <c r="AN184" s="210">
        <f>AL184+AM184</f>
        <v>0</v>
      </c>
      <c r="AO184" s="222">
        <f>AK184*O184</f>
        <v>0</v>
      </c>
      <c r="AS184" s="717">
        <f>G184*VLOOKUP($B184,'Emissions factors'!$B$1346:$W$1361,4,FALSE)+J184*VLOOKUP($B184,'Emissions factors'!$B$1346:$W$1361,14,FALSE)</f>
        <v>0</v>
      </c>
      <c r="AT184" s="718">
        <f>G184*VLOOKUP($B184,'Emissions factors'!$B$1346:$W$1361,5,FALSE)+J184*VLOOKUP($B184,'Emissions factors'!$B$1346:$W$1361,15,FALSE)</f>
        <v>0</v>
      </c>
      <c r="AU184" s="718">
        <f>G184*VLOOKUP($B184,'Emissions factors'!$B$1346:$W$1361,6,FALSE)+J184*VLOOKUP($B184,'Emissions factors'!$B$1346:$W$1361,16,FALSE)</f>
        <v>0</v>
      </c>
      <c r="AV184" s="718">
        <f>G184*VLOOKUP($B184,'Emissions factors'!$B$1346:$W$1361,7,FALSE)+J184*VLOOKUP($B184,'Emissions factors'!$B$1346:$W$1361,17,FALSE)</f>
        <v>0</v>
      </c>
      <c r="AW184" s="718">
        <f>G184*VLOOKUP($B184,'Emissions factors'!$B$1346:$W$1361,8,FALSE)+J184*VLOOKUP($B184,'Emissions factors'!$B$1346:$W$1361,18,FALSE)</f>
        <v>0</v>
      </c>
      <c r="AX184" s="718">
        <f>G184*VLOOKUP($B184,'Emissions factors'!$B$1346:$W$1361,9,FALSE)+J184*VLOOKUP($B184,'Emissions factors'!$B$1346:$W$1361,19,FALSE)</f>
        <v>0</v>
      </c>
      <c r="AY184" s="718">
        <v>0</v>
      </c>
      <c r="AZ184" s="718">
        <v>0</v>
      </c>
      <c r="BA184" s="719">
        <f t="shared" si="92"/>
        <v>0</v>
      </c>
      <c r="BB184" s="720">
        <f t="shared" si="92"/>
        <v>0</v>
      </c>
      <c r="BC184" s="717">
        <f>G184*VLOOKUP($B184,'Emissions factors'!$B$1346:$W$1361,10,FALSE)+J184*VLOOKUP($B184,'Emissions factors'!$B$1346:$W$1361,20,FALSE)</f>
        <v>0</v>
      </c>
      <c r="BD184" s="721">
        <f>G184*VLOOKUP($B184,'Emissions factors'!$B$1346:$W$1361,11,FALSE)+J184*VLOOKUP($B184,'Emissions factors'!$B$1346:$W$1361,21,FALSE)</f>
        <v>0</v>
      </c>
    </row>
    <row r="185" spans="2:56" ht="12.75" hidden="1" customHeight="1" outlineLevel="1" x14ac:dyDescent="0.2">
      <c r="B185" s="200" t="s">
        <v>1382</v>
      </c>
      <c r="C185" s="201"/>
      <c r="D185" s="262">
        <f>M185+N185</f>
        <v>0</v>
      </c>
      <c r="E185" s="265">
        <f>D185*12/44</f>
        <v>0</v>
      </c>
      <c r="F185" s="443"/>
      <c r="G185" s="188"/>
      <c r="H185" s="492">
        <f>VLOOKUP($B185,'Emissions factors'!$B$1346:$W$1361,2,FALSE)</f>
        <v>2.6100000000000003E-3</v>
      </c>
      <c r="I185" s="492">
        <f>VLOOKUP($B185,'Emissions factors'!$B$1346:$W$1361,3,FALSE)</f>
        <v>1.610228E-2</v>
      </c>
      <c r="J185" s="188"/>
      <c r="K185" s="789">
        <f>VLOOKUP($B185,'Emissions factors'!$B$1346:$W$1361,12,FALSE)</f>
        <v>40.57</v>
      </c>
      <c r="L185" s="789">
        <f>VLOOKUP($B185,'Emissions factors'!$B$1346:$W$1361,13,FALSE)</f>
        <v>249.589</v>
      </c>
      <c r="M185" s="465">
        <f>G185*H185+J185*K185</f>
        <v>0</v>
      </c>
      <c r="N185" s="210">
        <f>G185*I185+J185*L185</f>
        <v>0</v>
      </c>
      <c r="O185" s="222">
        <f>IF(OR(F185='Info utili'!$G$532,F185='Info utili'!$G$537),N185,0)</f>
        <v>0</v>
      </c>
      <c r="X185" s="282">
        <f>VLOOKUP($B185,'Emissions factors'!$B$1346:$W$1361,22,FALSE)</f>
        <v>0.6</v>
      </c>
      <c r="Y185" s="190"/>
      <c r="Z185" s="221">
        <f>M185*SQRT(X185^2+Y185^2)</f>
        <v>0</v>
      </c>
      <c r="AA185" s="221">
        <f>N185*SQRT(X185^2+Y185^2)</f>
        <v>0</v>
      </c>
      <c r="AB185" s="210">
        <f>SQRT(Z185^2+AA185^2)</f>
        <v>0</v>
      </c>
      <c r="AC185" s="222">
        <f>O185*SQRT(X185^2+Y185^2)</f>
        <v>0</v>
      </c>
      <c r="AF185" s="189"/>
      <c r="AG185" s="221">
        <f>AF185*M185</f>
        <v>0</v>
      </c>
      <c r="AH185" s="221">
        <f>AF185*N185</f>
        <v>0</v>
      </c>
      <c r="AI185" s="210">
        <f>AG185+AH185</f>
        <v>0</v>
      </c>
      <c r="AJ185" s="221">
        <f>AF185*O185</f>
        <v>0</v>
      </c>
      <c r="AK185" s="189"/>
      <c r="AL185" s="221">
        <f>AK185*M185</f>
        <v>0</v>
      </c>
      <c r="AM185" s="221">
        <f>AK185*N185</f>
        <v>0</v>
      </c>
      <c r="AN185" s="210">
        <f>AL185+AM185</f>
        <v>0</v>
      </c>
      <c r="AO185" s="222">
        <f>AK185*O185</f>
        <v>0</v>
      </c>
      <c r="AS185" s="717">
        <f>G185*VLOOKUP($B185,'Emissions factors'!$B$1346:$W$1361,4,FALSE)+J185*VLOOKUP($B185,'Emissions factors'!$B$1346:$W$1361,14,FALSE)</f>
        <v>0</v>
      </c>
      <c r="AT185" s="718">
        <f>G185*VLOOKUP($B185,'Emissions factors'!$B$1346:$W$1361,5,FALSE)+J185*VLOOKUP($B185,'Emissions factors'!$B$1346:$W$1361,15,FALSE)</f>
        <v>0</v>
      </c>
      <c r="AU185" s="718">
        <f>G185*VLOOKUP($B185,'Emissions factors'!$B$1346:$W$1361,6,FALSE)+J185*VLOOKUP($B185,'Emissions factors'!$B$1346:$W$1361,16,FALSE)</f>
        <v>0</v>
      </c>
      <c r="AV185" s="718">
        <f>G185*VLOOKUP($B185,'Emissions factors'!$B$1346:$W$1361,7,FALSE)+J185*VLOOKUP($B185,'Emissions factors'!$B$1346:$W$1361,17,FALSE)</f>
        <v>0</v>
      </c>
      <c r="AW185" s="718">
        <f>G185*VLOOKUP($B185,'Emissions factors'!$B$1346:$W$1361,8,FALSE)+J185*VLOOKUP($B185,'Emissions factors'!$B$1346:$W$1361,18,FALSE)</f>
        <v>0</v>
      </c>
      <c r="AX185" s="718">
        <f>G185*VLOOKUP($B185,'Emissions factors'!$B$1346:$W$1361,9,FALSE)+J185*VLOOKUP($B185,'Emissions factors'!$B$1346:$W$1361,19,FALSE)</f>
        <v>0</v>
      </c>
      <c r="AY185" s="718">
        <v>0</v>
      </c>
      <c r="AZ185" s="718">
        <v>0</v>
      </c>
      <c r="BA185" s="719">
        <f t="shared" si="92"/>
        <v>0</v>
      </c>
      <c r="BB185" s="720">
        <f t="shared" si="92"/>
        <v>0</v>
      </c>
      <c r="BC185" s="717">
        <f>G185*VLOOKUP($B185,'Emissions factors'!$B$1346:$W$1361,10,FALSE)+J185*VLOOKUP($B185,'Emissions factors'!$B$1346:$W$1361,20,FALSE)</f>
        <v>0</v>
      </c>
      <c r="BD185" s="721">
        <f>G185*VLOOKUP($B185,'Emissions factors'!$B$1346:$W$1361,11,FALSE)+J185*VLOOKUP($B185,'Emissions factors'!$B$1346:$W$1361,21,FALSE)</f>
        <v>0</v>
      </c>
    </row>
    <row r="186" spans="2:56" ht="12.75" hidden="1" customHeight="1" outlineLevel="1" x14ac:dyDescent="0.2">
      <c r="B186" s="200"/>
      <c r="C186" s="201"/>
      <c r="D186" s="275"/>
      <c r="E186" s="268"/>
      <c r="F186" s="201"/>
      <c r="G186" s="201"/>
      <c r="H186" s="201"/>
      <c r="I186" s="201"/>
      <c r="J186" s="473"/>
      <c r="K186" s="473"/>
      <c r="L186" s="473"/>
      <c r="M186" s="465"/>
      <c r="N186" s="210"/>
      <c r="O186" s="222"/>
      <c r="X186" s="213"/>
      <c r="Y186" s="214"/>
      <c r="Z186" s="214"/>
      <c r="AA186" s="214"/>
      <c r="AB186" s="269"/>
      <c r="AC186" s="466"/>
      <c r="AF186" s="213"/>
      <c r="AG186" s="413"/>
      <c r="AH186" s="413"/>
      <c r="AI186" s="210"/>
      <c r="AJ186" s="413"/>
      <c r="AK186" s="214"/>
      <c r="AL186" s="214"/>
      <c r="AM186" s="214"/>
      <c r="AN186" s="210"/>
      <c r="AO186" s="466"/>
      <c r="AS186" s="717"/>
      <c r="AT186" s="718"/>
      <c r="AU186" s="718"/>
      <c r="AV186" s="718"/>
      <c r="AW186" s="718"/>
      <c r="AX186" s="718"/>
      <c r="AY186" s="718"/>
      <c r="AZ186" s="718"/>
      <c r="BA186" s="719"/>
      <c r="BB186" s="720"/>
      <c r="BC186" s="722"/>
      <c r="BD186" s="723"/>
    </row>
    <row r="187" spans="2:56" ht="12.75" hidden="1" customHeight="1" outlineLevel="1" x14ac:dyDescent="0.2">
      <c r="B187" s="253" t="s">
        <v>2828</v>
      </c>
      <c r="C187" s="254"/>
      <c r="D187" s="264">
        <f>SUM(D183:D186)</f>
        <v>0</v>
      </c>
      <c r="E187" s="267">
        <f>SUM(E183:E186)</f>
        <v>0</v>
      </c>
      <c r="F187" s="254"/>
      <c r="G187" s="254"/>
      <c r="H187" s="254"/>
      <c r="I187" s="254"/>
      <c r="J187" s="254"/>
      <c r="K187" s="487"/>
      <c r="L187" s="487"/>
      <c r="M187" s="488">
        <f>SUM(M183:M186)</f>
        <v>0</v>
      </c>
      <c r="N187" s="488">
        <f>SUM(N183:N186)</f>
        <v>0</v>
      </c>
      <c r="O187" s="428">
        <f>SUM(O183:O186)</f>
        <v>0</v>
      </c>
      <c r="X187" s="258"/>
      <c r="Y187" s="256"/>
      <c r="Z187" s="260">
        <f>SQRT(SUMSQ(Z183:Z186))</f>
        <v>0</v>
      </c>
      <c r="AA187" s="260">
        <f>SQRT(SUMSQ(AA183:AA186))</f>
        <v>0</v>
      </c>
      <c r="AB187" s="259">
        <f>SQRT(SUMSQ(AB183:AB186))</f>
        <v>0</v>
      </c>
      <c r="AC187" s="428">
        <f>SQRT(SUMSQ(AC183:AC186))</f>
        <v>0</v>
      </c>
      <c r="AF187" s="258"/>
      <c r="AG187" s="260">
        <f>SUM(AG183:AG186)</f>
        <v>0</v>
      </c>
      <c r="AH187" s="260">
        <f>SUM(AH183:AH186)</f>
        <v>0</v>
      </c>
      <c r="AI187" s="259">
        <f>SUM(AI183:AI186)</f>
        <v>0</v>
      </c>
      <c r="AJ187" s="260">
        <f>SUM(AJ183:AJ186)</f>
        <v>0</v>
      </c>
      <c r="AK187" s="256"/>
      <c r="AL187" s="260">
        <f>SUM(AL183:AL186)</f>
        <v>0</v>
      </c>
      <c r="AM187" s="260">
        <f>SUM(AM183:AM186)</f>
        <v>0</v>
      </c>
      <c r="AN187" s="259">
        <f>SUM(AN183:AN186)</f>
        <v>0</v>
      </c>
      <c r="AO187" s="428">
        <f>SUM(AO183:AO186)</f>
        <v>0</v>
      </c>
      <c r="AS187" s="724">
        <f t="shared" ref="AS187:BD187" si="93">SUM(AS183:AS186)</f>
        <v>0</v>
      </c>
      <c r="AT187" s="725">
        <f t="shared" si="93"/>
        <v>0</v>
      </c>
      <c r="AU187" s="725">
        <f t="shared" si="93"/>
        <v>0</v>
      </c>
      <c r="AV187" s="725">
        <f t="shared" si="93"/>
        <v>0</v>
      </c>
      <c r="AW187" s="725">
        <f t="shared" si="93"/>
        <v>0</v>
      </c>
      <c r="AX187" s="725">
        <f t="shared" si="93"/>
        <v>0</v>
      </c>
      <c r="AY187" s="725">
        <f t="shared" si="93"/>
        <v>0</v>
      </c>
      <c r="AZ187" s="725">
        <f t="shared" si="93"/>
        <v>0</v>
      </c>
      <c r="BA187" s="726">
        <f t="shared" si="93"/>
        <v>0</v>
      </c>
      <c r="BB187" s="727">
        <f t="shared" si="93"/>
        <v>0</v>
      </c>
      <c r="BC187" s="724">
        <f t="shared" si="93"/>
        <v>0</v>
      </c>
      <c r="BD187" s="728">
        <f t="shared" si="93"/>
        <v>0</v>
      </c>
    </row>
    <row r="188" spans="2:56" ht="12.75" hidden="1" customHeight="1" outlineLevel="1" x14ac:dyDescent="0.2">
      <c r="F188" s="328"/>
      <c r="G188" s="329"/>
      <c r="H188" s="314"/>
    </row>
    <row r="189" spans="2:56" ht="12.75" hidden="1" customHeight="1" outlineLevel="1" x14ac:dyDescent="0.2">
      <c r="B189" s="195" t="s">
        <v>2875</v>
      </c>
      <c r="C189" s="196"/>
      <c r="D189" s="196"/>
      <c r="E189" s="196"/>
      <c r="F189" s="196"/>
      <c r="G189" s="198"/>
      <c r="H189" s="198"/>
      <c r="I189" s="198"/>
      <c r="J189" s="198"/>
      <c r="K189" s="198"/>
      <c r="L189" s="198"/>
      <c r="M189" s="217"/>
      <c r="N189" s="217"/>
      <c r="O189" s="218"/>
      <c r="X189" s="1746" t="s">
        <v>723</v>
      </c>
      <c r="Y189" s="1747"/>
      <c r="Z189" s="1747"/>
      <c r="AA189" s="1747"/>
      <c r="AB189" s="1747"/>
      <c r="AC189" s="1748"/>
      <c r="AF189" s="1746" t="s">
        <v>2066</v>
      </c>
      <c r="AG189" s="1747"/>
      <c r="AH189" s="1747"/>
      <c r="AI189" s="1747"/>
      <c r="AJ189" s="1747"/>
      <c r="AK189" s="1747"/>
      <c r="AL189" s="1747"/>
      <c r="AM189" s="1747"/>
      <c r="AN189" s="1747"/>
      <c r="AO189" s="1748"/>
      <c r="AS189" s="1755" t="s">
        <v>2073</v>
      </c>
      <c r="AT189" s="1756"/>
      <c r="AU189" s="1756"/>
      <c r="AV189" s="1756"/>
      <c r="AW189" s="1756"/>
      <c r="AX189" s="1756"/>
      <c r="AY189" s="1756"/>
      <c r="AZ189" s="1756"/>
      <c r="BA189" s="1756"/>
      <c r="BB189" s="1756"/>
      <c r="BC189" s="1756"/>
      <c r="BD189" s="1757"/>
    </row>
    <row r="190" spans="2:56" ht="12.75" hidden="1" customHeight="1" outlineLevel="1" x14ac:dyDescent="0.2">
      <c r="B190" s="417"/>
      <c r="C190" s="225"/>
      <c r="D190" s="361"/>
      <c r="E190" s="361"/>
      <c r="F190" s="201"/>
      <c r="G190" s="201"/>
      <c r="H190" s="201"/>
      <c r="I190" s="201"/>
      <c r="J190" s="201"/>
      <c r="K190" s="201"/>
      <c r="L190" s="201"/>
      <c r="M190" s="1745" t="s">
        <v>2646</v>
      </c>
      <c r="N190" s="1745"/>
      <c r="O190" s="427" t="s">
        <v>2639</v>
      </c>
      <c r="X190" s="216"/>
      <c r="Y190" s="217"/>
      <c r="Z190" s="361"/>
      <c r="AA190" s="361"/>
      <c r="AB190" s="361"/>
      <c r="AC190" s="427" t="s">
        <v>2639</v>
      </c>
      <c r="AF190" s="216"/>
      <c r="AG190" s="361"/>
      <c r="AH190" s="361"/>
      <c r="AI190" s="361"/>
      <c r="AJ190" s="362" t="s">
        <v>2639</v>
      </c>
      <c r="AK190" s="217"/>
      <c r="AL190" s="361"/>
      <c r="AM190" s="361"/>
      <c r="AN190" s="361"/>
      <c r="AO190" s="427" t="s">
        <v>2639</v>
      </c>
      <c r="AS190" s="1758" t="s">
        <v>61</v>
      </c>
      <c r="AT190" s="1759"/>
      <c r="AU190" s="1759"/>
      <c r="AV190" s="1759"/>
      <c r="AW190" s="1759"/>
      <c r="AX190" s="1759"/>
      <c r="AY190" s="1759"/>
      <c r="AZ190" s="1759"/>
      <c r="BA190" s="1759" t="s">
        <v>61</v>
      </c>
      <c r="BB190" s="1760"/>
      <c r="BC190" s="730"/>
      <c r="BD190" s="731"/>
    </row>
    <row r="191" spans="2:56" ht="12.75" hidden="1" customHeight="1" outlineLevel="1" x14ac:dyDescent="0.2">
      <c r="B191" s="1653" t="s">
        <v>2873</v>
      </c>
      <c r="C191" s="362"/>
      <c r="D191" s="362" t="s">
        <v>56</v>
      </c>
      <c r="E191" s="362" t="s">
        <v>56</v>
      </c>
      <c r="F191" s="205" t="s">
        <v>2634</v>
      </c>
      <c r="G191" s="205"/>
      <c r="H191" s="1744" t="s">
        <v>1308</v>
      </c>
      <c r="I191" s="1745"/>
      <c r="J191" s="205"/>
      <c r="K191" s="1744" t="s">
        <v>1281</v>
      </c>
      <c r="L191" s="1745"/>
      <c r="M191" s="361" t="s">
        <v>61</v>
      </c>
      <c r="N191" s="361" t="s">
        <v>61</v>
      </c>
      <c r="O191" s="427" t="s">
        <v>30</v>
      </c>
      <c r="X191" s="1629" t="s">
        <v>2605</v>
      </c>
      <c r="Y191" s="362" t="s">
        <v>2110</v>
      </c>
      <c r="Z191" s="362" t="s">
        <v>61</v>
      </c>
      <c r="AA191" s="362" t="s">
        <v>61</v>
      </c>
      <c r="AB191" s="361" t="s">
        <v>61</v>
      </c>
      <c r="AC191" s="427" t="s">
        <v>30</v>
      </c>
      <c r="AF191" s="204" t="s">
        <v>2065</v>
      </c>
      <c r="AG191" s="362" t="s">
        <v>61</v>
      </c>
      <c r="AH191" s="362" t="s">
        <v>61</v>
      </c>
      <c r="AI191" s="361" t="s">
        <v>61</v>
      </c>
      <c r="AJ191" s="362" t="s">
        <v>30</v>
      </c>
      <c r="AK191" s="362" t="s">
        <v>2558</v>
      </c>
      <c r="AL191" s="362" t="s">
        <v>61</v>
      </c>
      <c r="AM191" s="362" t="s">
        <v>61</v>
      </c>
      <c r="AN191" s="361" t="s">
        <v>61</v>
      </c>
      <c r="AO191" s="427" t="s">
        <v>30</v>
      </c>
      <c r="AS191" s="1764" t="s">
        <v>14</v>
      </c>
      <c r="AT191" s="1761"/>
      <c r="AU191" s="1761" t="s">
        <v>60</v>
      </c>
      <c r="AV191" s="1761"/>
      <c r="AW191" s="1761" t="s">
        <v>27</v>
      </c>
      <c r="AX191" s="1761"/>
      <c r="AY191" s="1761" t="s">
        <v>2074</v>
      </c>
      <c r="AZ191" s="1761"/>
      <c r="BA191" s="1762" t="s">
        <v>41</v>
      </c>
      <c r="BB191" s="1763"/>
      <c r="BC191" s="1764" t="s">
        <v>85</v>
      </c>
      <c r="BD191" s="1765"/>
    </row>
    <row r="192" spans="2:56" ht="12.75" hidden="1" customHeight="1" outlineLevel="1" x14ac:dyDescent="0.2">
      <c r="B192" s="204"/>
      <c r="C192" s="362"/>
      <c r="D192" s="362" t="s">
        <v>61</v>
      </c>
      <c r="E192" s="362" t="s">
        <v>63</v>
      </c>
      <c r="F192" s="208" t="s">
        <v>2054</v>
      </c>
      <c r="G192" s="208" t="s">
        <v>57</v>
      </c>
      <c r="H192" s="270" t="s">
        <v>768</v>
      </c>
      <c r="I192" s="270" t="s">
        <v>24</v>
      </c>
      <c r="J192" s="208" t="s">
        <v>2635</v>
      </c>
      <c r="K192" s="689" t="s">
        <v>768</v>
      </c>
      <c r="L192" s="689" t="s">
        <v>24</v>
      </c>
      <c r="M192" s="363" t="s">
        <v>768</v>
      </c>
      <c r="N192" s="363" t="s">
        <v>24</v>
      </c>
      <c r="O192" s="427" t="s">
        <v>61</v>
      </c>
      <c r="X192" s="1629" t="s">
        <v>2109</v>
      </c>
      <c r="Y192" s="362"/>
      <c r="Z192" s="270" t="s">
        <v>768</v>
      </c>
      <c r="AA192" s="270" t="s">
        <v>24</v>
      </c>
      <c r="AB192" s="223" t="s">
        <v>41</v>
      </c>
      <c r="AC192" s="427" t="s">
        <v>61</v>
      </c>
      <c r="AF192" s="204"/>
      <c r="AG192" s="270" t="s">
        <v>768</v>
      </c>
      <c r="AH192" s="270" t="s">
        <v>24</v>
      </c>
      <c r="AI192" s="223" t="s">
        <v>41</v>
      </c>
      <c r="AJ192" s="362" t="s">
        <v>61</v>
      </c>
      <c r="AK192" s="362"/>
      <c r="AL192" s="270" t="s">
        <v>768</v>
      </c>
      <c r="AM192" s="270" t="s">
        <v>24</v>
      </c>
      <c r="AN192" s="223" t="s">
        <v>41</v>
      </c>
      <c r="AO192" s="427" t="s">
        <v>61</v>
      </c>
      <c r="AS192" s="732" t="s">
        <v>768</v>
      </c>
      <c r="AT192" s="733" t="s">
        <v>24</v>
      </c>
      <c r="AU192" s="733" t="s">
        <v>768</v>
      </c>
      <c r="AV192" s="733" t="s">
        <v>24</v>
      </c>
      <c r="AW192" s="733" t="s">
        <v>768</v>
      </c>
      <c r="AX192" s="733" t="s">
        <v>24</v>
      </c>
      <c r="AY192" s="733" t="s">
        <v>768</v>
      </c>
      <c r="AZ192" s="733" t="s">
        <v>24</v>
      </c>
      <c r="BA192" s="734" t="s">
        <v>768</v>
      </c>
      <c r="BB192" s="735" t="s">
        <v>24</v>
      </c>
      <c r="BC192" s="732" t="s">
        <v>768</v>
      </c>
      <c r="BD192" s="736" t="s">
        <v>24</v>
      </c>
    </row>
    <row r="193" spans="2:56" ht="12.75" hidden="1" customHeight="1" outlineLevel="1" x14ac:dyDescent="0.2">
      <c r="B193" s="200" t="s">
        <v>1396</v>
      </c>
      <c r="C193" s="201"/>
      <c r="D193" s="262">
        <f>M193+N193</f>
        <v>0</v>
      </c>
      <c r="E193" s="265">
        <f>D193*12/44</f>
        <v>0</v>
      </c>
      <c r="F193" s="559"/>
      <c r="G193" s="182"/>
      <c r="H193" s="492">
        <f>VLOOKUP($B193,'Emissions factors'!$B$1376:$W$1385,2,FALSE)</f>
        <v>1.9798999999999997E-2</v>
      </c>
      <c r="I193" s="492">
        <f>VLOOKUP($B193,'Emissions factors'!$B$1376:$W$1385,3,FALSE)</f>
        <v>7.6037899999999992E-2</v>
      </c>
      <c r="J193" s="182"/>
      <c r="K193" s="789">
        <f>VLOOKUP($B193,'Emissions factors'!$B$1376:$W$1385,12,FALSE)</f>
        <v>4.1070000000000002</v>
      </c>
      <c r="L193" s="789">
        <f>VLOOKUP($B193,'Emissions factors'!$B$1376:$W$1385,13,FALSE)</f>
        <v>15.73204</v>
      </c>
      <c r="M193" s="465">
        <f>G193*H193+J193*K193</f>
        <v>0</v>
      </c>
      <c r="N193" s="210">
        <f>G193*I193+J193*L193</f>
        <v>0</v>
      </c>
      <c r="O193" s="222">
        <f>IF(OR(F193='Info utili'!$G$532,F193='Info utili'!$G$537),N193,0)</f>
        <v>0</v>
      </c>
      <c r="X193" s="282">
        <f>VLOOKUP($B193,'Emissions factors'!$B$1376:$W$1385,22,FALSE)</f>
        <v>0.7</v>
      </c>
      <c r="Y193" s="184"/>
      <c r="Z193" s="221">
        <f>M193*SQRT(X193^2+Y193^2)</f>
        <v>0</v>
      </c>
      <c r="AA193" s="221">
        <f>N193*SQRT(X193^2+Y193^2)</f>
        <v>0</v>
      </c>
      <c r="AB193" s="210">
        <f>SQRT(Z193^2+AA193^2)</f>
        <v>0</v>
      </c>
      <c r="AC193" s="222">
        <f>O193*SQRT(X193^2+Y193^2)</f>
        <v>0</v>
      </c>
      <c r="AF193" s="183"/>
      <c r="AG193" s="221">
        <f>AF193*M193</f>
        <v>0</v>
      </c>
      <c r="AH193" s="221">
        <f>AF193*N193</f>
        <v>0</v>
      </c>
      <c r="AI193" s="210">
        <f>AG193+AH193</f>
        <v>0</v>
      </c>
      <c r="AJ193" s="221">
        <f>AF193*O193</f>
        <v>0</v>
      </c>
      <c r="AK193" s="183"/>
      <c r="AL193" s="221">
        <f>AK193*M193</f>
        <v>0</v>
      </c>
      <c r="AM193" s="221">
        <f>AK193*N193</f>
        <v>0</v>
      </c>
      <c r="AN193" s="210">
        <f>AL193+AM193</f>
        <v>0</v>
      </c>
      <c r="AO193" s="222">
        <f>AK193*O193</f>
        <v>0</v>
      </c>
      <c r="AS193" s="717">
        <f>G193*VLOOKUP($B193,'Emissions factors'!$B$1376:$W$1385,4,FALSE)+J193*VLOOKUP($B193,'Emissions factors'!$B$1376:$W$1385,14,FALSE)</f>
        <v>0</v>
      </c>
      <c r="AT193" s="718">
        <f>G193*VLOOKUP($B193,'Emissions factors'!$B$1376:$W$1385,5,FALSE)+J193*VLOOKUP($B193,'Emissions factors'!$B$1376:$W$1385,15,FALSE)</f>
        <v>0</v>
      </c>
      <c r="AU193" s="718">
        <f>G193*VLOOKUP($B193,'Emissions factors'!$B$1376:$W$1385,6,FALSE)+J193*VLOOKUP($B193,'Emissions factors'!$B$1376:$W$1385,16,FALSE)</f>
        <v>0</v>
      </c>
      <c r="AV193" s="718">
        <f>G193*VLOOKUP($B193,'Emissions factors'!$B$1376:$W$1385,7,FALSE)+J193*VLOOKUP($B193,'Emissions factors'!$B$1376:$W$1385,17,FALSE)</f>
        <v>0</v>
      </c>
      <c r="AW193" s="718">
        <f>G193*VLOOKUP($B193,'Emissions factors'!$B$1376:$W$1385,8,FALSE)+J193*VLOOKUP($B193,'Emissions factors'!$B$1376:$W$1385,18,FALSE)</f>
        <v>0</v>
      </c>
      <c r="AX193" s="718">
        <f>G193*VLOOKUP($B193,'Emissions factors'!$B$1376:$W$1385,9,FALSE)+J193*VLOOKUP($B193,'Emissions factors'!$B$1376:$W$1385,19,FALSE)</f>
        <v>0</v>
      </c>
      <c r="AY193" s="718">
        <v>0</v>
      </c>
      <c r="AZ193" s="718">
        <v>0</v>
      </c>
      <c r="BA193" s="719">
        <f t="shared" ref="BA193:BB195" si="94">M193</f>
        <v>0</v>
      </c>
      <c r="BB193" s="720">
        <f t="shared" si="94"/>
        <v>0</v>
      </c>
      <c r="BC193" s="717">
        <f>G193*VLOOKUP($B193,'Emissions factors'!$B$1376:$W$1385,10,FALSE)+J193*VLOOKUP($B193,'Emissions factors'!$B$1376:$W$1385,20,FALSE)</f>
        <v>0</v>
      </c>
      <c r="BD193" s="721">
        <f>G193*VLOOKUP($B193,'Emissions factors'!$B$1376:$W$1385,11,FALSE)+J193*VLOOKUP($B193,'Emissions factors'!$B$1376:$W$1385,21,FALSE)</f>
        <v>0</v>
      </c>
    </row>
    <row r="194" spans="2:56" ht="12.75" hidden="1" customHeight="1" outlineLevel="1" x14ac:dyDescent="0.2">
      <c r="B194" s="200" t="s">
        <v>1393</v>
      </c>
      <c r="C194" s="201"/>
      <c r="D194" s="262">
        <f>M194+N194</f>
        <v>0</v>
      </c>
      <c r="E194" s="265">
        <f>D194*12/44</f>
        <v>0</v>
      </c>
      <c r="F194" s="442"/>
      <c r="G194" s="185"/>
      <c r="H194" s="492">
        <f>VLOOKUP($B194,'Emissions factors'!$B$1376:$W$1385,2,FALSE)</f>
        <v>1.1024000000000001E-2</v>
      </c>
      <c r="I194" s="492">
        <f>VLOOKUP($B194,'Emissions factors'!$B$1376:$W$1385,3,FALSE)</f>
        <v>4.2255899999999999E-2</v>
      </c>
      <c r="J194" s="185"/>
      <c r="K194" s="789">
        <f>VLOOKUP($B194,'Emissions factors'!$B$1376:$W$1385,12,FALSE)</f>
        <v>5.4729999999999999</v>
      </c>
      <c r="L194" s="789">
        <f>VLOOKUP($B194,'Emissions factors'!$B$1376:$W$1385,13,FALSE)</f>
        <v>20.976400000000002</v>
      </c>
      <c r="M194" s="465">
        <f>G194*H194+J194*K194</f>
        <v>0</v>
      </c>
      <c r="N194" s="210">
        <f>G194*I194+J194*L194</f>
        <v>0</v>
      </c>
      <c r="O194" s="222">
        <f>IF(OR(F194='Info utili'!$G$532,F194='Info utili'!$G$537),N194,0)</f>
        <v>0</v>
      </c>
      <c r="X194" s="282">
        <f>VLOOKUP($B194,'Emissions factors'!$B$1376:$W$1385,22,FALSE)</f>
        <v>0.7</v>
      </c>
      <c r="Y194" s="187"/>
      <c r="Z194" s="221">
        <f>M194*SQRT(X194^2+Y194^2)</f>
        <v>0</v>
      </c>
      <c r="AA194" s="221">
        <f>N194*SQRT(X194^2+Y194^2)</f>
        <v>0</v>
      </c>
      <c r="AB194" s="210">
        <f>SQRT(Z194^2+AA194^2)</f>
        <v>0</v>
      </c>
      <c r="AC194" s="222">
        <f>O194*SQRT(X194^2+Y194^2)</f>
        <v>0</v>
      </c>
      <c r="AF194" s="186"/>
      <c r="AG194" s="221">
        <f>AF194*M194</f>
        <v>0</v>
      </c>
      <c r="AH194" s="221">
        <f>AF194*N194</f>
        <v>0</v>
      </c>
      <c r="AI194" s="210">
        <f>AG194+AH194</f>
        <v>0</v>
      </c>
      <c r="AJ194" s="221">
        <f>AF194*O194</f>
        <v>0</v>
      </c>
      <c r="AK194" s="186"/>
      <c r="AL194" s="221">
        <f>AK194*M194</f>
        <v>0</v>
      </c>
      <c r="AM194" s="221">
        <f>AK194*N194</f>
        <v>0</v>
      </c>
      <c r="AN194" s="210">
        <f>AL194+AM194</f>
        <v>0</v>
      </c>
      <c r="AO194" s="222">
        <f>AK194*O194</f>
        <v>0</v>
      </c>
      <c r="AS194" s="717">
        <f>G194*VLOOKUP($B194,'Emissions factors'!$B$1376:$W$1385,4,FALSE)+J194*VLOOKUP($B194,'Emissions factors'!$B$1376:$W$1385,14,FALSE)</f>
        <v>0</v>
      </c>
      <c r="AT194" s="718">
        <f>G194*VLOOKUP($B194,'Emissions factors'!$B$1376:$W$1385,5,FALSE)+J194*VLOOKUP($B194,'Emissions factors'!$B$1376:$W$1385,15,FALSE)</f>
        <v>0</v>
      </c>
      <c r="AU194" s="718">
        <f>G194*VLOOKUP($B194,'Emissions factors'!$B$1376:$W$1385,6,FALSE)+J194*VLOOKUP($B194,'Emissions factors'!$B$1376:$W$1385,16,FALSE)</f>
        <v>0</v>
      </c>
      <c r="AV194" s="718">
        <f>G194*VLOOKUP($B194,'Emissions factors'!$B$1376:$W$1385,7,FALSE)+J194*VLOOKUP($B194,'Emissions factors'!$B$1376:$W$1385,17,FALSE)</f>
        <v>0</v>
      </c>
      <c r="AW194" s="718">
        <f>G194*VLOOKUP($B194,'Emissions factors'!$B$1376:$W$1385,8,FALSE)+J194*VLOOKUP($B194,'Emissions factors'!$B$1376:$W$1385,18,FALSE)</f>
        <v>0</v>
      </c>
      <c r="AX194" s="718">
        <f>G194*VLOOKUP($B194,'Emissions factors'!$B$1376:$W$1385,9,FALSE)+J194*VLOOKUP($B194,'Emissions factors'!$B$1376:$W$1385,19,FALSE)</f>
        <v>0</v>
      </c>
      <c r="AY194" s="718">
        <v>0</v>
      </c>
      <c r="AZ194" s="718">
        <v>0</v>
      </c>
      <c r="BA194" s="719">
        <f t="shared" si="94"/>
        <v>0</v>
      </c>
      <c r="BB194" s="720">
        <f t="shared" si="94"/>
        <v>0</v>
      </c>
      <c r="BC194" s="717">
        <f>G194*VLOOKUP($B194,'Emissions factors'!$B$1376:$W$1385,10,FALSE)+J194*VLOOKUP($B194,'Emissions factors'!$B$1376:$W$1385,20,FALSE)</f>
        <v>0</v>
      </c>
      <c r="BD194" s="721">
        <f>G194*VLOOKUP($B194,'Emissions factors'!$B$1376:$W$1385,11,FALSE)+J194*VLOOKUP($B194,'Emissions factors'!$B$1376:$W$1385,21,FALSE)</f>
        <v>0</v>
      </c>
    </row>
    <row r="195" spans="2:56" ht="12.75" hidden="1" customHeight="1" outlineLevel="1" x14ac:dyDescent="0.2">
      <c r="B195" s="200" t="s">
        <v>1399</v>
      </c>
      <c r="C195" s="201"/>
      <c r="D195" s="262">
        <f>M195+N195</f>
        <v>0</v>
      </c>
      <c r="E195" s="265">
        <f>D195*12/44</f>
        <v>0</v>
      </c>
      <c r="F195" s="443"/>
      <c r="G195" s="188"/>
      <c r="H195" s="492">
        <f>VLOOKUP($B195,'Emissions factors'!$B$1376:$W$1385,2,FALSE)</f>
        <v>1.5580999999999999E-2</v>
      </c>
      <c r="I195" s="492">
        <f>VLOOKUP($B195,'Emissions factors'!$B$1376:$W$1385,3,FALSE)</f>
        <v>5.96007E-2</v>
      </c>
      <c r="J195" s="188"/>
      <c r="K195" s="789">
        <f>VLOOKUP($B195,'Emissions factors'!$B$1376:$W$1385,12,FALSE)</f>
        <v>18.657</v>
      </c>
      <c r="L195" s="789">
        <f>VLOOKUP($B195,'Emissions factors'!$B$1376:$W$1385,13,FALSE)</f>
        <v>71.501999999999995</v>
      </c>
      <c r="M195" s="465">
        <f>G195*H195+J195*K195</f>
        <v>0</v>
      </c>
      <c r="N195" s="210">
        <f>G195*I195+J195*L195</f>
        <v>0</v>
      </c>
      <c r="O195" s="222">
        <f>IF(OR(F195='Info utili'!$G$532,F195='Info utili'!$G$537),N195,0)</f>
        <v>0</v>
      </c>
      <c r="X195" s="282">
        <f>VLOOKUP($B195,'Emissions factors'!$B$1376:$W$1385,22,FALSE)</f>
        <v>0.7</v>
      </c>
      <c r="Y195" s="190"/>
      <c r="Z195" s="221">
        <f>M195*SQRT(X195^2+Y195^2)</f>
        <v>0</v>
      </c>
      <c r="AA195" s="221">
        <f>N195*SQRT(X195^2+Y195^2)</f>
        <v>0</v>
      </c>
      <c r="AB195" s="210">
        <f>SQRT(Z195^2+AA195^2)</f>
        <v>0</v>
      </c>
      <c r="AC195" s="222">
        <f>O195*SQRT(X195^2+Y195^2)</f>
        <v>0</v>
      </c>
      <c r="AF195" s="189"/>
      <c r="AG195" s="221">
        <f>AF195*M195</f>
        <v>0</v>
      </c>
      <c r="AH195" s="221">
        <f>AF195*N195</f>
        <v>0</v>
      </c>
      <c r="AI195" s="210">
        <f>AG195+AH195</f>
        <v>0</v>
      </c>
      <c r="AJ195" s="221">
        <f>AF195*O195</f>
        <v>0</v>
      </c>
      <c r="AK195" s="189"/>
      <c r="AL195" s="221">
        <f>AK195*M195</f>
        <v>0</v>
      </c>
      <c r="AM195" s="221">
        <f>AK195*N195</f>
        <v>0</v>
      </c>
      <c r="AN195" s="210">
        <f>AL195+AM195</f>
        <v>0</v>
      </c>
      <c r="AO195" s="222">
        <f>AK195*O195</f>
        <v>0</v>
      </c>
      <c r="AS195" s="717">
        <f>G195*VLOOKUP($B195,'Emissions factors'!$B$1376:$W$1385,4,FALSE)+J195*VLOOKUP($B195,'Emissions factors'!$B$1376:$W$1385,14,FALSE)</f>
        <v>0</v>
      </c>
      <c r="AT195" s="718">
        <f>G195*VLOOKUP($B195,'Emissions factors'!$B$1376:$W$1385,5,FALSE)+J195*VLOOKUP($B195,'Emissions factors'!$B$1376:$W$1385,15,FALSE)</f>
        <v>0</v>
      </c>
      <c r="AU195" s="718">
        <f>G195*VLOOKUP($B195,'Emissions factors'!$B$1376:$W$1385,6,FALSE)+J195*VLOOKUP($B195,'Emissions factors'!$B$1376:$W$1385,16,FALSE)</f>
        <v>0</v>
      </c>
      <c r="AV195" s="718">
        <f>G195*VLOOKUP($B195,'Emissions factors'!$B$1376:$W$1385,7,FALSE)+J195*VLOOKUP($B195,'Emissions factors'!$B$1376:$W$1385,17,FALSE)</f>
        <v>0</v>
      </c>
      <c r="AW195" s="718">
        <f>G195*VLOOKUP($B195,'Emissions factors'!$B$1376:$W$1385,8,FALSE)+J195*VLOOKUP($B195,'Emissions factors'!$B$1376:$W$1385,18,FALSE)</f>
        <v>0</v>
      </c>
      <c r="AX195" s="718">
        <f>G195*VLOOKUP($B195,'Emissions factors'!$B$1376:$W$1385,9,FALSE)+J195*VLOOKUP($B195,'Emissions factors'!$B$1376:$W$1385,19,FALSE)</f>
        <v>0</v>
      </c>
      <c r="AY195" s="718">
        <v>0</v>
      </c>
      <c r="AZ195" s="718">
        <v>0</v>
      </c>
      <c r="BA195" s="719">
        <f t="shared" si="94"/>
        <v>0</v>
      </c>
      <c r="BB195" s="720">
        <f t="shared" si="94"/>
        <v>0</v>
      </c>
      <c r="BC195" s="717">
        <f>G195*VLOOKUP($B195,'Emissions factors'!$B$1376:$W$1385,10,FALSE)+J195*VLOOKUP($B195,'Emissions factors'!$B$1376:$W$1385,20,FALSE)</f>
        <v>0</v>
      </c>
      <c r="BD195" s="721">
        <f>G195*VLOOKUP($B195,'Emissions factors'!$B$1376:$W$1385,11,FALSE)+J195*VLOOKUP($B195,'Emissions factors'!$B$1376:$W$1385,21,FALSE)</f>
        <v>0</v>
      </c>
    </row>
    <row r="196" spans="2:56" ht="12.75" hidden="1" customHeight="1" outlineLevel="1" x14ac:dyDescent="0.2">
      <c r="B196" s="200"/>
      <c r="C196" s="201"/>
      <c r="D196" s="275"/>
      <c r="E196" s="268"/>
      <c r="F196" s="201"/>
      <c r="G196" s="473"/>
      <c r="H196" s="473"/>
      <c r="I196" s="473"/>
      <c r="J196" s="473"/>
      <c r="K196" s="473"/>
      <c r="L196" s="473"/>
      <c r="M196" s="475"/>
      <c r="N196" s="475"/>
      <c r="O196" s="222"/>
      <c r="X196" s="200"/>
      <c r="Y196" s="201"/>
      <c r="Z196" s="214"/>
      <c r="AA196" s="214"/>
      <c r="AB196" s="269"/>
      <c r="AC196" s="466"/>
      <c r="AF196" s="200"/>
      <c r="AG196" s="201"/>
      <c r="AH196" s="201"/>
      <c r="AI196" s="210"/>
      <c r="AJ196" s="362"/>
      <c r="AK196" s="201"/>
      <c r="AL196" s="201"/>
      <c r="AM196" s="201"/>
      <c r="AN196" s="210"/>
      <c r="AO196" s="222"/>
      <c r="AS196" s="717"/>
      <c r="AT196" s="718"/>
      <c r="AU196" s="718"/>
      <c r="AV196" s="718"/>
      <c r="AW196" s="718"/>
      <c r="AX196" s="718"/>
      <c r="AY196" s="718"/>
      <c r="AZ196" s="718"/>
      <c r="BA196" s="719"/>
      <c r="BB196" s="720"/>
      <c r="BC196" s="722"/>
      <c r="BD196" s="723"/>
    </row>
    <row r="197" spans="2:56" ht="12.75" hidden="1" customHeight="1" outlineLevel="1" x14ac:dyDescent="0.2">
      <c r="B197" s="253" t="s">
        <v>2828</v>
      </c>
      <c r="C197" s="254"/>
      <c r="D197" s="264">
        <f>SUM(D193:D196)</f>
        <v>0</v>
      </c>
      <c r="E197" s="267">
        <f>SUM(E193:E196)</f>
        <v>0</v>
      </c>
      <c r="F197" s="254"/>
      <c r="G197" s="254"/>
      <c r="H197" s="487"/>
      <c r="I197" s="487"/>
      <c r="J197" s="254"/>
      <c r="K197" s="487"/>
      <c r="L197" s="487"/>
      <c r="M197" s="488">
        <f>SUM(M193:M196)</f>
        <v>0</v>
      </c>
      <c r="N197" s="488">
        <f>SUM(N193:N196)</f>
        <v>0</v>
      </c>
      <c r="O197" s="428">
        <f>SUM(O193:O196)</f>
        <v>0</v>
      </c>
      <c r="X197" s="258"/>
      <c r="Y197" s="256"/>
      <c r="Z197" s="260">
        <f>SQRT(SUMSQ(Z193:Z196))</f>
        <v>0</v>
      </c>
      <c r="AA197" s="260">
        <f>SQRT(SUMSQ(AA193:AA196))</f>
        <v>0</v>
      </c>
      <c r="AB197" s="259">
        <f>SQRT(SUMSQ(AB193:AB196))</f>
        <v>0</v>
      </c>
      <c r="AC197" s="428">
        <f>SQRT(SUMSQ(AC193:AC196))</f>
        <v>0</v>
      </c>
      <c r="AF197" s="258"/>
      <c r="AG197" s="260">
        <f>SUM(AG193:AG196)</f>
        <v>0</v>
      </c>
      <c r="AH197" s="260">
        <f>SUM(AH193:AH196)</f>
        <v>0</v>
      </c>
      <c r="AI197" s="259">
        <f>SUM(AI193:AI196)</f>
        <v>0</v>
      </c>
      <c r="AJ197" s="260">
        <f>SUM(AJ193:AJ196)</f>
        <v>0</v>
      </c>
      <c r="AK197" s="256"/>
      <c r="AL197" s="260">
        <f>SUM(AL193:AL196)</f>
        <v>0</v>
      </c>
      <c r="AM197" s="260">
        <f>SUM(AM193:AM196)</f>
        <v>0</v>
      </c>
      <c r="AN197" s="259">
        <f>SUM(AN193:AN196)</f>
        <v>0</v>
      </c>
      <c r="AO197" s="428">
        <f>SUM(AO193:AO196)</f>
        <v>0</v>
      </c>
      <c r="AS197" s="724">
        <f t="shared" ref="AS197:BD197" si="95">SUM(AS193:AS196)</f>
        <v>0</v>
      </c>
      <c r="AT197" s="725">
        <f t="shared" si="95"/>
        <v>0</v>
      </c>
      <c r="AU197" s="725">
        <f t="shared" si="95"/>
        <v>0</v>
      </c>
      <c r="AV197" s="725">
        <f t="shared" si="95"/>
        <v>0</v>
      </c>
      <c r="AW197" s="725">
        <f t="shared" si="95"/>
        <v>0</v>
      </c>
      <c r="AX197" s="725">
        <f t="shared" si="95"/>
        <v>0</v>
      </c>
      <c r="AY197" s="725">
        <f t="shared" si="95"/>
        <v>0</v>
      </c>
      <c r="AZ197" s="725">
        <f t="shared" si="95"/>
        <v>0</v>
      </c>
      <c r="BA197" s="726">
        <f t="shared" si="95"/>
        <v>0</v>
      </c>
      <c r="BB197" s="727">
        <f t="shared" si="95"/>
        <v>0</v>
      </c>
      <c r="BC197" s="724">
        <f t="shared" si="95"/>
        <v>0</v>
      </c>
      <c r="BD197" s="728">
        <f t="shared" si="95"/>
        <v>0</v>
      </c>
    </row>
    <row r="198" spans="2:56" ht="12.75" hidden="1" customHeight="1" outlineLevel="1" x14ac:dyDescent="0.2"/>
    <row r="199" spans="2:56" ht="12.75" hidden="1" customHeight="1" outlineLevel="1" x14ac:dyDescent="0.2">
      <c r="B199" s="195" t="s">
        <v>2876</v>
      </c>
      <c r="C199" s="196"/>
      <c r="D199" s="358"/>
      <c r="E199" s="358"/>
      <c r="F199" s="196"/>
      <c r="G199" s="198"/>
      <c r="H199" s="198"/>
      <c r="I199" s="198"/>
      <c r="J199" s="217"/>
      <c r="K199" s="217"/>
      <c r="L199" s="218"/>
      <c r="X199" s="1746" t="s">
        <v>723</v>
      </c>
      <c r="Y199" s="1747"/>
      <c r="Z199" s="1747"/>
      <c r="AA199" s="1747"/>
      <c r="AB199" s="1747"/>
      <c r="AC199" s="1748"/>
      <c r="AF199" s="1746" t="s">
        <v>2066</v>
      </c>
      <c r="AG199" s="1747"/>
      <c r="AH199" s="1747"/>
      <c r="AI199" s="1747"/>
      <c r="AJ199" s="1747"/>
      <c r="AK199" s="1747"/>
      <c r="AL199" s="1747"/>
      <c r="AM199" s="1747"/>
      <c r="AN199" s="1747"/>
      <c r="AO199" s="1748"/>
      <c r="AS199" s="1755" t="s">
        <v>2073</v>
      </c>
      <c r="AT199" s="1756"/>
      <c r="AU199" s="1756"/>
      <c r="AV199" s="1756"/>
      <c r="AW199" s="1756"/>
      <c r="AX199" s="1756"/>
      <c r="AY199" s="1756"/>
      <c r="AZ199" s="1756"/>
      <c r="BA199" s="1756"/>
      <c r="BB199" s="1756"/>
      <c r="BC199" s="1756"/>
      <c r="BD199" s="1757"/>
    </row>
    <row r="200" spans="2:56" ht="12.75" hidden="1" customHeight="1" outlineLevel="1" x14ac:dyDescent="0.2">
      <c r="B200" s="417"/>
      <c r="C200" s="225"/>
      <c r="D200" s="361"/>
      <c r="E200" s="361"/>
      <c r="F200" s="201"/>
      <c r="G200" s="201"/>
      <c r="H200" s="201"/>
      <c r="I200" s="201"/>
      <c r="J200" s="1745" t="s">
        <v>2646</v>
      </c>
      <c r="K200" s="1745"/>
      <c r="L200" s="427" t="s">
        <v>2639</v>
      </c>
      <c r="X200" s="216"/>
      <c r="Y200" s="217"/>
      <c r="Z200" s="361"/>
      <c r="AA200" s="361"/>
      <c r="AB200" s="361"/>
      <c r="AC200" s="427" t="s">
        <v>2639</v>
      </c>
      <c r="AF200" s="216"/>
      <c r="AG200" s="361"/>
      <c r="AH200" s="361"/>
      <c r="AI200" s="361"/>
      <c r="AJ200" s="362" t="s">
        <v>2639</v>
      </c>
      <c r="AK200" s="217"/>
      <c r="AL200" s="361"/>
      <c r="AM200" s="361"/>
      <c r="AN200" s="361"/>
      <c r="AO200" s="427" t="s">
        <v>2639</v>
      </c>
      <c r="AS200" s="1758" t="s">
        <v>61</v>
      </c>
      <c r="AT200" s="1759"/>
      <c r="AU200" s="1759"/>
      <c r="AV200" s="1759"/>
      <c r="AW200" s="1759"/>
      <c r="AX200" s="1759"/>
      <c r="AY200" s="1759"/>
      <c r="AZ200" s="1759"/>
      <c r="BA200" s="1759" t="s">
        <v>61</v>
      </c>
      <c r="BB200" s="1760"/>
      <c r="BC200" s="730"/>
      <c r="BD200" s="731"/>
    </row>
    <row r="201" spans="2:56" ht="12.75" hidden="1" customHeight="1" outlineLevel="1" x14ac:dyDescent="0.2">
      <c r="B201" s="204" t="s">
        <v>2877</v>
      </c>
      <c r="C201" s="362"/>
      <c r="D201" s="362" t="s">
        <v>56</v>
      </c>
      <c r="E201" s="362" t="s">
        <v>56</v>
      </c>
      <c r="F201" s="205" t="s">
        <v>2634</v>
      </c>
      <c r="G201" s="205"/>
      <c r="H201" s="1744" t="s">
        <v>1308</v>
      </c>
      <c r="I201" s="1745"/>
      <c r="J201" s="361" t="s">
        <v>61</v>
      </c>
      <c r="K201" s="361" t="s">
        <v>61</v>
      </c>
      <c r="L201" s="427" t="s">
        <v>30</v>
      </c>
      <c r="X201" s="1629" t="s">
        <v>2605</v>
      </c>
      <c r="Y201" s="362" t="s">
        <v>2110</v>
      </c>
      <c r="Z201" s="362" t="s">
        <v>61</v>
      </c>
      <c r="AA201" s="362" t="s">
        <v>61</v>
      </c>
      <c r="AB201" s="361" t="s">
        <v>61</v>
      </c>
      <c r="AC201" s="427" t="s">
        <v>30</v>
      </c>
      <c r="AF201" s="204" t="s">
        <v>2065</v>
      </c>
      <c r="AG201" s="362" t="s">
        <v>61</v>
      </c>
      <c r="AH201" s="362" t="s">
        <v>61</v>
      </c>
      <c r="AI201" s="361" t="s">
        <v>61</v>
      </c>
      <c r="AJ201" s="362" t="s">
        <v>30</v>
      </c>
      <c r="AK201" s="362" t="s">
        <v>2558</v>
      </c>
      <c r="AL201" s="362" t="s">
        <v>61</v>
      </c>
      <c r="AM201" s="362" t="s">
        <v>61</v>
      </c>
      <c r="AN201" s="361" t="s">
        <v>61</v>
      </c>
      <c r="AO201" s="427" t="s">
        <v>30</v>
      </c>
      <c r="AS201" s="1764" t="s">
        <v>14</v>
      </c>
      <c r="AT201" s="1761"/>
      <c r="AU201" s="1761" t="s">
        <v>60</v>
      </c>
      <c r="AV201" s="1761"/>
      <c r="AW201" s="1761" t="s">
        <v>27</v>
      </c>
      <c r="AX201" s="1761"/>
      <c r="AY201" s="1761" t="s">
        <v>2074</v>
      </c>
      <c r="AZ201" s="1761"/>
      <c r="BA201" s="1762" t="s">
        <v>41</v>
      </c>
      <c r="BB201" s="1763"/>
      <c r="BC201" s="1764" t="s">
        <v>85</v>
      </c>
      <c r="BD201" s="1765"/>
    </row>
    <row r="202" spans="2:56" ht="12.75" hidden="1" customHeight="1" outlineLevel="1" x14ac:dyDescent="0.2">
      <c r="B202" s="1636"/>
      <c r="C202" s="418"/>
      <c r="D202" s="362" t="s">
        <v>61</v>
      </c>
      <c r="E202" s="362" t="s">
        <v>63</v>
      </c>
      <c r="F202" s="208" t="s">
        <v>2054</v>
      </c>
      <c r="G202" s="208" t="s">
        <v>57</v>
      </c>
      <c r="H202" s="270" t="s">
        <v>768</v>
      </c>
      <c r="I202" s="270" t="s">
        <v>24</v>
      </c>
      <c r="J202" s="363" t="s">
        <v>768</v>
      </c>
      <c r="K202" s="363" t="s">
        <v>24</v>
      </c>
      <c r="L202" s="427" t="s">
        <v>61</v>
      </c>
      <c r="X202" s="1629" t="s">
        <v>2109</v>
      </c>
      <c r="Y202" s="362"/>
      <c r="Z202" s="270" t="s">
        <v>768</v>
      </c>
      <c r="AA202" s="270" t="s">
        <v>24</v>
      </c>
      <c r="AB202" s="223" t="s">
        <v>41</v>
      </c>
      <c r="AC202" s="427" t="s">
        <v>61</v>
      </c>
      <c r="AF202" s="204"/>
      <c r="AG202" s="270" t="s">
        <v>768</v>
      </c>
      <c r="AH202" s="270" t="s">
        <v>24</v>
      </c>
      <c r="AI202" s="223" t="s">
        <v>41</v>
      </c>
      <c r="AJ202" s="362" t="s">
        <v>61</v>
      </c>
      <c r="AK202" s="362"/>
      <c r="AL202" s="270" t="s">
        <v>768</v>
      </c>
      <c r="AM202" s="270" t="s">
        <v>24</v>
      </c>
      <c r="AN202" s="223" t="s">
        <v>41</v>
      </c>
      <c r="AO202" s="427" t="s">
        <v>61</v>
      </c>
      <c r="AS202" s="732" t="s">
        <v>768</v>
      </c>
      <c r="AT202" s="733" t="s">
        <v>24</v>
      </c>
      <c r="AU202" s="733" t="s">
        <v>768</v>
      </c>
      <c r="AV202" s="733" t="s">
        <v>24</v>
      </c>
      <c r="AW202" s="733" t="s">
        <v>768</v>
      </c>
      <c r="AX202" s="733" t="s">
        <v>24</v>
      </c>
      <c r="AY202" s="733" t="s">
        <v>768</v>
      </c>
      <c r="AZ202" s="733" t="s">
        <v>24</v>
      </c>
      <c r="BA202" s="734" t="s">
        <v>768</v>
      </c>
      <c r="BB202" s="735" t="s">
        <v>24</v>
      </c>
      <c r="BC202" s="732" t="s">
        <v>768</v>
      </c>
      <c r="BD202" s="736" t="s">
        <v>24</v>
      </c>
    </row>
    <row r="203" spans="2:56" ht="12.75" hidden="1" customHeight="1" outlineLevel="1" x14ac:dyDescent="0.2">
      <c r="B203" s="200" t="s">
        <v>154</v>
      </c>
      <c r="C203" s="201"/>
      <c r="D203" s="262">
        <f>J203+K203</f>
        <v>0</v>
      </c>
      <c r="E203" s="265">
        <f>D203*12/44</f>
        <v>0</v>
      </c>
      <c r="F203" s="559"/>
      <c r="G203" s="182"/>
      <c r="H203" s="492">
        <f>VLOOKUP($B203,'Emissions factors'!$B$1390:$E$1400,2,FALSE)</f>
        <v>3.1460024723788927E-3</v>
      </c>
      <c r="I203" s="492">
        <f>VLOOKUP($B203,'Emissions factors'!$B$1390:$E$1400,3,FALSE)</f>
        <v>2.9825581395348841E-2</v>
      </c>
      <c r="J203" s="465">
        <f>G203*H203</f>
        <v>0</v>
      </c>
      <c r="K203" s="210">
        <f>G203*I203</f>
        <v>0</v>
      </c>
      <c r="L203" s="222">
        <f>IF(OR(F203='Info utili'!$G$532,F203='Info utili'!$G$537),K203,0)</f>
        <v>0</v>
      </c>
      <c r="X203" s="282">
        <f>VLOOKUP($B203,'Emissions factors'!$B$1390:$E$1400,4,FALSE)</f>
        <v>0.1</v>
      </c>
      <c r="Y203" s="184"/>
      <c r="Z203" s="221">
        <f>J203*SQRT(X203^2+Y203^2)</f>
        <v>0</v>
      </c>
      <c r="AA203" s="221">
        <f>K203*SQRT(X203^2+Y203^2)</f>
        <v>0</v>
      </c>
      <c r="AB203" s="210">
        <f>SQRT(Z203^2+AA203^2)</f>
        <v>0</v>
      </c>
      <c r="AC203" s="222">
        <f>L203*SQRT(X203^2+Y203^2)</f>
        <v>0</v>
      </c>
      <c r="AF203" s="183"/>
      <c r="AG203" s="221">
        <f>AF203*J203</f>
        <v>0</v>
      </c>
      <c r="AH203" s="221">
        <f>AF203*K203</f>
        <v>0</v>
      </c>
      <c r="AI203" s="210">
        <f>AG203+AH203</f>
        <v>0</v>
      </c>
      <c r="AJ203" s="221">
        <f>AF203*L203</f>
        <v>0</v>
      </c>
      <c r="AK203" s="183"/>
      <c r="AL203" s="221">
        <f>AK203*J203</f>
        <v>0</v>
      </c>
      <c r="AM203" s="221">
        <f>AK203*K203</f>
        <v>0</v>
      </c>
      <c r="AN203" s="210">
        <f>AL203+AM203</f>
        <v>0</v>
      </c>
      <c r="AO203" s="222">
        <f>AK203*L203</f>
        <v>0</v>
      </c>
      <c r="AS203" s="717"/>
      <c r="AT203" s="718"/>
      <c r="AU203" s="718"/>
      <c r="AV203" s="718"/>
      <c r="AW203" s="718"/>
      <c r="AX203" s="718"/>
      <c r="AY203" s="718"/>
      <c r="AZ203" s="718"/>
      <c r="BA203" s="719">
        <f t="shared" ref="BA203:BB205" si="96">J203</f>
        <v>0</v>
      </c>
      <c r="BB203" s="720">
        <f t="shared" si="96"/>
        <v>0</v>
      </c>
      <c r="BC203" s="717"/>
      <c r="BD203" s="721"/>
    </row>
    <row r="204" spans="2:56" ht="12.75" hidden="1" customHeight="1" outlineLevel="1" x14ac:dyDescent="0.2">
      <c r="B204" s="200" t="s">
        <v>1405</v>
      </c>
      <c r="C204" s="201"/>
      <c r="D204" s="262">
        <f>J204+K204</f>
        <v>0</v>
      </c>
      <c r="E204" s="265">
        <f>D204*12/44</f>
        <v>0</v>
      </c>
      <c r="F204" s="442"/>
      <c r="G204" s="185"/>
      <c r="H204" s="492">
        <f>VLOOKUP($B204,'Emissions factors'!$B$1390:$E$1400,2,FALSE)</f>
        <v>3.5765080738623199E-3</v>
      </c>
      <c r="I204" s="492">
        <f>VLOOKUP($B204,'Emissions factors'!$B$1390:$E$1400,3,FALSE)</f>
        <v>3.3906976744186051E-2</v>
      </c>
      <c r="J204" s="465">
        <f>G204*H204</f>
        <v>0</v>
      </c>
      <c r="K204" s="210">
        <f>G204*I204</f>
        <v>0</v>
      </c>
      <c r="L204" s="222">
        <f>IF(OR(F204='Info utili'!$G$532,F204='Info utili'!$G$537),K204,0)</f>
        <v>0</v>
      </c>
      <c r="X204" s="282">
        <f>VLOOKUP($B204,'Emissions factors'!$B$1390:$E$1400,4,FALSE)</f>
        <v>0.1</v>
      </c>
      <c r="Y204" s="187"/>
      <c r="Z204" s="221">
        <f>J204*SQRT(X204^2+Y204^2)</f>
        <v>0</v>
      </c>
      <c r="AA204" s="221">
        <f>K204*SQRT(X204^2+Y204^2)</f>
        <v>0</v>
      </c>
      <c r="AB204" s="210">
        <f>SQRT(Z204^2+AA204^2)</f>
        <v>0</v>
      </c>
      <c r="AC204" s="222">
        <f>L204*SQRT(X204^2+Y204^2)</f>
        <v>0</v>
      </c>
      <c r="AF204" s="186"/>
      <c r="AG204" s="221">
        <f>AF204*J204</f>
        <v>0</v>
      </c>
      <c r="AH204" s="221">
        <f>AF204*K204</f>
        <v>0</v>
      </c>
      <c r="AI204" s="210">
        <f>AG204+AH204</f>
        <v>0</v>
      </c>
      <c r="AJ204" s="221">
        <f>AF204*L204</f>
        <v>0</v>
      </c>
      <c r="AK204" s="186"/>
      <c r="AL204" s="221">
        <f>AK204*J204</f>
        <v>0</v>
      </c>
      <c r="AM204" s="221">
        <f>AK204*K204</f>
        <v>0</v>
      </c>
      <c r="AN204" s="210">
        <f>AL204+AM204</f>
        <v>0</v>
      </c>
      <c r="AO204" s="222">
        <f>AK204*L204</f>
        <v>0</v>
      </c>
      <c r="AS204" s="717"/>
      <c r="AT204" s="718"/>
      <c r="AU204" s="718"/>
      <c r="AV204" s="718"/>
      <c r="AW204" s="718"/>
      <c r="AX204" s="718"/>
      <c r="AY204" s="718"/>
      <c r="AZ204" s="718"/>
      <c r="BA204" s="719">
        <f t="shared" si="96"/>
        <v>0</v>
      </c>
      <c r="BB204" s="720">
        <f t="shared" si="96"/>
        <v>0</v>
      </c>
      <c r="BC204" s="717"/>
      <c r="BD204" s="721"/>
    </row>
    <row r="205" spans="2:56" ht="12.75" hidden="1" customHeight="1" outlineLevel="1" x14ac:dyDescent="0.2">
      <c r="B205" s="200" t="s">
        <v>156</v>
      </c>
      <c r="C205" s="201"/>
      <c r="D205" s="262">
        <f>J205+K205</f>
        <v>0</v>
      </c>
      <c r="E205" s="265">
        <f>D205*12/44</f>
        <v>0</v>
      </c>
      <c r="F205" s="443"/>
      <c r="G205" s="188"/>
      <c r="H205" s="492">
        <f>VLOOKUP($B205,'Emissions factors'!$B$1390:$E$1400,2,FALSE)</f>
        <v>4.5037509078266246E-3</v>
      </c>
      <c r="I205" s="492">
        <f>VLOOKUP($B205,'Emissions factors'!$B$1390:$E$1400,3,FALSE)</f>
        <v>4.2697674418604649E-2</v>
      </c>
      <c r="J205" s="465">
        <f>G205*H205</f>
        <v>0</v>
      </c>
      <c r="K205" s="210">
        <f>G205*I205</f>
        <v>0</v>
      </c>
      <c r="L205" s="222">
        <f>IF(OR(F205='Info utili'!$G$532,F205='Info utili'!$G$537),K205,0)</f>
        <v>0</v>
      </c>
      <c r="X205" s="282">
        <f>VLOOKUP($B205,'Emissions factors'!$B$1390:$E$1400,4,FALSE)</f>
        <v>0.1</v>
      </c>
      <c r="Y205" s="190"/>
      <c r="Z205" s="221">
        <f>J205*SQRT(X205^2+Y205^2)</f>
        <v>0</v>
      </c>
      <c r="AA205" s="221">
        <f>K205*SQRT(X205^2+Y205^2)</f>
        <v>0</v>
      </c>
      <c r="AB205" s="210">
        <f>SQRT(Z205^2+AA205^2)</f>
        <v>0</v>
      </c>
      <c r="AC205" s="222">
        <f>L205*SQRT(X205^2+Y205^2)</f>
        <v>0</v>
      </c>
      <c r="AF205" s="189"/>
      <c r="AG205" s="221">
        <f>AF205*J205</f>
        <v>0</v>
      </c>
      <c r="AH205" s="221">
        <f>AF205*K205</f>
        <v>0</v>
      </c>
      <c r="AI205" s="210">
        <f>AG205+AH205</f>
        <v>0</v>
      </c>
      <c r="AJ205" s="221">
        <f>AF205*L205</f>
        <v>0</v>
      </c>
      <c r="AK205" s="189"/>
      <c r="AL205" s="221">
        <f>AK205*J205</f>
        <v>0</v>
      </c>
      <c r="AM205" s="221">
        <f>AK205*K205</f>
        <v>0</v>
      </c>
      <c r="AN205" s="210">
        <f>AL205+AM205</f>
        <v>0</v>
      </c>
      <c r="AO205" s="222">
        <f>AK205*L205</f>
        <v>0</v>
      </c>
      <c r="AS205" s="717"/>
      <c r="AT205" s="718"/>
      <c r="AU205" s="718"/>
      <c r="AV205" s="718"/>
      <c r="AW205" s="718"/>
      <c r="AX205" s="718"/>
      <c r="AY205" s="718"/>
      <c r="AZ205" s="718"/>
      <c r="BA205" s="719">
        <f t="shared" si="96"/>
        <v>0</v>
      </c>
      <c r="BB205" s="720">
        <f t="shared" si="96"/>
        <v>0</v>
      </c>
      <c r="BC205" s="717"/>
      <c r="BD205" s="721"/>
    </row>
    <row r="206" spans="2:56" ht="12.75" hidden="1" customHeight="1" outlineLevel="1" x14ac:dyDescent="0.2">
      <c r="B206" s="200"/>
      <c r="C206" s="201"/>
      <c r="D206" s="275"/>
      <c r="E206" s="268"/>
      <c r="F206" s="201"/>
      <c r="G206" s="473"/>
      <c r="H206" s="473"/>
      <c r="I206" s="473"/>
      <c r="J206" s="475"/>
      <c r="K206" s="475"/>
      <c r="L206" s="222"/>
      <c r="X206" s="200"/>
      <c r="Y206" s="201"/>
      <c r="Z206" s="201"/>
      <c r="AA206" s="201"/>
      <c r="AB206" s="214"/>
      <c r="AC206" s="222"/>
      <c r="AF206" s="200"/>
      <c r="AG206" s="201"/>
      <c r="AH206" s="201"/>
      <c r="AI206" s="269"/>
      <c r="AJ206" s="362"/>
      <c r="AK206" s="201"/>
      <c r="AL206" s="201"/>
      <c r="AM206" s="201"/>
      <c r="AN206" s="269"/>
      <c r="AO206" s="222"/>
      <c r="AS206" s="717"/>
      <c r="AT206" s="718"/>
      <c r="AU206" s="718"/>
      <c r="AV206" s="718"/>
      <c r="AW206" s="718"/>
      <c r="AX206" s="718"/>
      <c r="AY206" s="718"/>
      <c r="AZ206" s="718"/>
      <c r="BA206" s="719"/>
      <c r="BB206" s="720"/>
      <c r="BC206" s="722"/>
      <c r="BD206" s="723"/>
    </row>
    <row r="207" spans="2:56" ht="12.75" hidden="1" customHeight="1" outlineLevel="1" x14ac:dyDescent="0.2">
      <c r="B207" s="253" t="s">
        <v>2828</v>
      </c>
      <c r="C207" s="254"/>
      <c r="D207" s="264">
        <f>SUM(D203:D206)</f>
        <v>0</v>
      </c>
      <c r="E207" s="267">
        <f>SUM(E203:E206)</f>
        <v>0</v>
      </c>
      <c r="F207" s="254"/>
      <c r="G207" s="254"/>
      <c r="H207" s="487"/>
      <c r="I207" s="487"/>
      <c r="J207" s="488">
        <f>SUM(J203:J206)</f>
        <v>0</v>
      </c>
      <c r="K207" s="488">
        <f>SUM(K203:K206)</f>
        <v>0</v>
      </c>
      <c r="L207" s="428">
        <f>SUM(L203:L206)</f>
        <v>0</v>
      </c>
      <c r="X207" s="258"/>
      <c r="Y207" s="256"/>
      <c r="Z207" s="260">
        <f>SQRT(SUMSQ(Z203:Z206))</f>
        <v>0</v>
      </c>
      <c r="AA207" s="260">
        <f>SQRT(SUMSQ(AA203:AA206))</f>
        <v>0</v>
      </c>
      <c r="AB207" s="259">
        <f>SQRT(SUMSQ(AB203:AB206))</f>
        <v>0</v>
      </c>
      <c r="AC207" s="428">
        <f>SQRT(SUMSQ(AC203:AC206))</f>
        <v>0</v>
      </c>
      <c r="AF207" s="258"/>
      <c r="AG207" s="260">
        <f>SUM(AG203:AG206)</f>
        <v>0</v>
      </c>
      <c r="AH207" s="260">
        <f>SUM(AH203:AH206)</f>
        <v>0</v>
      </c>
      <c r="AI207" s="259">
        <f>SUM(AI203:AI206)</f>
        <v>0</v>
      </c>
      <c r="AJ207" s="260">
        <f>SUM(AJ203:AJ206)</f>
        <v>0</v>
      </c>
      <c r="AK207" s="256"/>
      <c r="AL207" s="260">
        <f>SUM(AL203:AL206)</f>
        <v>0</v>
      </c>
      <c r="AM207" s="260">
        <f>SUM(AM203:AM206)</f>
        <v>0</v>
      </c>
      <c r="AN207" s="259">
        <f>SUM(AN203:AN206)</f>
        <v>0</v>
      </c>
      <c r="AO207" s="428">
        <f>SUM(AO203:AO206)</f>
        <v>0</v>
      </c>
      <c r="AS207" s="724">
        <f t="shared" ref="AS207:BD207" si="97">SUM(AS203:AS206)</f>
        <v>0</v>
      </c>
      <c r="AT207" s="725">
        <f t="shared" si="97"/>
        <v>0</v>
      </c>
      <c r="AU207" s="725">
        <f t="shared" si="97"/>
        <v>0</v>
      </c>
      <c r="AV207" s="725">
        <f t="shared" si="97"/>
        <v>0</v>
      </c>
      <c r="AW207" s="725">
        <f t="shared" si="97"/>
        <v>0</v>
      </c>
      <c r="AX207" s="725">
        <f t="shared" si="97"/>
        <v>0</v>
      </c>
      <c r="AY207" s="725">
        <f t="shared" si="97"/>
        <v>0</v>
      </c>
      <c r="AZ207" s="725">
        <f t="shared" si="97"/>
        <v>0</v>
      </c>
      <c r="BA207" s="726">
        <f t="shared" si="97"/>
        <v>0</v>
      </c>
      <c r="BB207" s="727">
        <f t="shared" si="97"/>
        <v>0</v>
      </c>
      <c r="BC207" s="724">
        <f t="shared" si="97"/>
        <v>0</v>
      </c>
      <c r="BD207" s="728">
        <f t="shared" si="97"/>
        <v>0</v>
      </c>
    </row>
    <row r="208" spans="2:56" ht="12.75" hidden="1" customHeight="1" outlineLevel="1" x14ac:dyDescent="0.2">
      <c r="B208" s="321"/>
      <c r="C208" s="321"/>
      <c r="D208" s="321"/>
      <c r="E208" s="321"/>
      <c r="F208" s="321"/>
      <c r="G208" s="321"/>
      <c r="H208" s="321"/>
      <c r="I208" s="321"/>
      <c r="J208" s="321"/>
      <c r="K208" s="321"/>
      <c r="L208" s="321"/>
      <c r="M208" s="321"/>
      <c r="N208" s="321"/>
      <c r="O208" s="321"/>
      <c r="P208" s="321"/>
      <c r="Q208" s="321"/>
      <c r="V208" s="42"/>
    </row>
    <row r="209" spans="1:62" ht="12.75" customHeight="1" collapsed="1" x14ac:dyDescent="0.2">
      <c r="B209" s="321"/>
      <c r="C209" s="321"/>
      <c r="D209" s="321"/>
      <c r="E209" s="321"/>
      <c r="F209" s="321"/>
      <c r="G209" s="321"/>
      <c r="H209" s="321"/>
      <c r="I209" s="321"/>
      <c r="J209" s="321"/>
      <c r="K209" s="321"/>
      <c r="L209" s="321"/>
      <c r="M209" s="321"/>
      <c r="N209" s="321"/>
      <c r="O209" s="321"/>
      <c r="P209" s="321"/>
      <c r="Q209" s="321"/>
      <c r="V209" s="42"/>
    </row>
    <row r="210" spans="1:62" ht="12.75" customHeight="1" x14ac:dyDescent="0.2">
      <c r="B210" s="321"/>
      <c r="C210" s="321"/>
      <c r="D210" s="321"/>
      <c r="E210" s="321"/>
      <c r="F210" s="321"/>
      <c r="G210" s="321"/>
      <c r="H210" s="321"/>
      <c r="I210" s="321"/>
      <c r="J210" s="321"/>
      <c r="K210" s="321"/>
      <c r="L210" s="321"/>
      <c r="M210" s="321"/>
      <c r="N210" s="321"/>
      <c r="O210" s="321"/>
      <c r="P210" s="321"/>
      <c r="Q210" s="321"/>
      <c r="V210" s="42"/>
    </row>
    <row r="211" spans="1:62" ht="15.75" customHeight="1" collapsed="1" x14ac:dyDescent="0.2">
      <c r="B211" s="1795" t="s">
        <v>2884</v>
      </c>
      <c r="C211" s="1795"/>
      <c r="D211" s="1795"/>
      <c r="E211" s="1795"/>
      <c r="F211" s="1795"/>
      <c r="G211" s="1795"/>
      <c r="H211" s="1795"/>
      <c r="I211" s="1795"/>
      <c r="J211" s="1795"/>
      <c r="K211" s="1795"/>
      <c r="L211" s="1795"/>
      <c r="M211" s="1795"/>
      <c r="N211" s="1795"/>
      <c r="O211" s="1795"/>
      <c r="P211" s="32"/>
      <c r="Q211" s="191"/>
      <c r="R211" s="191"/>
      <c r="S211" s="191"/>
      <c r="T211" s="191"/>
      <c r="U211" s="191"/>
      <c r="V211" s="191"/>
      <c r="W211" s="191"/>
      <c r="X211" s="191"/>
      <c r="Y211" s="191"/>
      <c r="Z211" s="191"/>
      <c r="AA211" s="191"/>
      <c r="AB211" s="191"/>
      <c r="AC211" s="191"/>
      <c r="AD211" s="191"/>
      <c r="AE211" s="191"/>
      <c r="AF211" s="191"/>
      <c r="AG211" s="191"/>
      <c r="AH211" s="191"/>
      <c r="AI211" s="191"/>
      <c r="AJ211" s="191"/>
      <c r="AK211" s="191"/>
      <c r="AL211" s="191"/>
      <c r="AM211" s="191"/>
      <c r="AN211" s="191"/>
      <c r="AO211" s="191"/>
      <c r="AP211" s="191"/>
      <c r="AQ211" s="191"/>
      <c r="BE211" s="743"/>
      <c r="BF211" s="743"/>
      <c r="BG211" s="743"/>
      <c r="BH211" s="743"/>
      <c r="BI211" s="743"/>
      <c r="BJ211" s="743"/>
    </row>
    <row r="212" spans="1:62" ht="12.75" customHeight="1" outlineLevel="1" x14ac:dyDescent="0.2">
      <c r="D212" s="316"/>
      <c r="F212" s="316"/>
      <c r="G212" s="316"/>
      <c r="H212" s="316"/>
      <c r="I212" s="316"/>
      <c r="J212" s="316"/>
      <c r="K212" s="316"/>
      <c r="AS212" s="605"/>
      <c r="AT212" s="743"/>
      <c r="AU212" s="743"/>
      <c r="AV212" s="743"/>
      <c r="AW212" s="743"/>
      <c r="AX212" s="743"/>
      <c r="AY212" s="743"/>
      <c r="AZ212" s="743"/>
      <c r="BA212" s="743"/>
      <c r="BB212" s="743"/>
      <c r="BC212" s="743"/>
      <c r="BF212" s="743"/>
      <c r="BG212" s="743"/>
      <c r="BH212" s="743"/>
      <c r="BI212" s="743"/>
      <c r="BJ212" s="743"/>
    </row>
    <row r="213" spans="1:62" s="42" customFormat="1" ht="12.75" customHeight="1" outlineLevel="1" x14ac:dyDescent="0.2">
      <c r="A213" s="40"/>
      <c r="B213" s="195" t="s">
        <v>2878</v>
      </c>
      <c r="C213" s="196"/>
      <c r="D213" s="1364"/>
      <c r="E213" s="1364"/>
      <c r="F213" s="1364"/>
      <c r="G213" s="198"/>
      <c r="H213" s="198"/>
      <c r="I213" s="198"/>
      <c r="J213" s="198"/>
      <c r="K213" s="198"/>
      <c r="L213" s="198"/>
      <c r="M213" s="198"/>
      <c r="N213" s="198"/>
      <c r="O213" s="198"/>
      <c r="P213" s="198"/>
      <c r="Q213" s="198"/>
      <c r="R213" s="198"/>
      <c r="S213" s="198"/>
      <c r="T213" s="199"/>
      <c r="X213" s="1746" t="s">
        <v>723</v>
      </c>
      <c r="Y213" s="1747"/>
      <c r="Z213" s="1747"/>
      <c r="AA213" s="1747"/>
      <c r="AB213" s="1748"/>
      <c r="AF213" s="1746" t="s">
        <v>2066</v>
      </c>
      <c r="AG213" s="1747"/>
      <c r="AH213" s="1747"/>
      <c r="AI213" s="1747"/>
      <c r="AJ213" s="1747"/>
      <c r="AK213" s="1747"/>
      <c r="AL213" s="1747"/>
      <c r="AM213" s="1748"/>
      <c r="AR213" s="40"/>
      <c r="AS213" s="1755" t="s">
        <v>2073</v>
      </c>
      <c r="AT213" s="1756"/>
      <c r="AU213" s="1756"/>
      <c r="AV213" s="1756"/>
      <c r="AW213" s="1756"/>
      <c r="AX213" s="1756"/>
      <c r="AY213" s="1756"/>
      <c r="AZ213" s="1756"/>
      <c r="BA213" s="1756"/>
      <c r="BB213" s="1756"/>
      <c r="BC213" s="1756"/>
      <c r="BD213" s="1757"/>
      <c r="BE213" s="602"/>
      <c r="BF213" s="602"/>
      <c r="BG213" s="602"/>
      <c r="BH213" s="602"/>
      <c r="BI213" s="602"/>
      <c r="BJ213" s="602"/>
    </row>
    <row r="214" spans="1:62" ht="12.75" customHeight="1" outlineLevel="1" x14ac:dyDescent="0.2">
      <c r="B214" s="200"/>
      <c r="C214" s="201"/>
      <c r="D214" s="705"/>
      <c r="E214" s="705"/>
      <c r="F214" s="201"/>
      <c r="G214" s="201"/>
      <c r="H214" s="1370"/>
      <c r="I214" s="1370"/>
      <c r="J214" s="201"/>
      <c r="K214" s="201"/>
      <c r="L214" s="201"/>
      <c r="M214" s="201"/>
      <c r="N214" s="201"/>
      <c r="O214" s="201"/>
      <c r="P214" s="201"/>
      <c r="Q214" s="201"/>
      <c r="R214" s="201"/>
      <c r="S214" s="201"/>
      <c r="T214" s="203"/>
      <c r="U214" s="42"/>
      <c r="X214" s="216"/>
      <c r="Y214" s="217"/>
      <c r="Z214" s="217"/>
      <c r="AA214" s="217"/>
      <c r="AB214" s="218"/>
      <c r="AF214" s="216"/>
      <c r="AG214" s="217"/>
      <c r="AH214" s="217"/>
      <c r="AI214" s="217"/>
      <c r="AJ214" s="217"/>
      <c r="AK214" s="217"/>
      <c r="AL214" s="198"/>
      <c r="AM214" s="199"/>
      <c r="AR214" s="32"/>
      <c r="AS214" s="1758" t="s">
        <v>61</v>
      </c>
      <c r="AT214" s="1759"/>
      <c r="AU214" s="1759"/>
      <c r="AV214" s="1759"/>
      <c r="AW214" s="1759"/>
      <c r="AX214" s="1759"/>
      <c r="AY214" s="1759"/>
      <c r="AZ214" s="1759"/>
      <c r="BA214" s="1759" t="s">
        <v>61</v>
      </c>
      <c r="BB214" s="1760"/>
      <c r="BC214" s="730"/>
      <c r="BD214" s="731"/>
    </row>
    <row r="215" spans="1:62" s="32" customFormat="1" ht="12.75" customHeight="1" outlineLevel="1" x14ac:dyDescent="0.2">
      <c r="A215" s="40"/>
      <c r="B215" s="1369" t="s">
        <v>766</v>
      </c>
      <c r="C215" s="1370"/>
      <c r="D215" s="1370" t="s">
        <v>56</v>
      </c>
      <c r="E215" s="1370" t="s">
        <v>56</v>
      </c>
      <c r="F215" s="205" t="s">
        <v>2634</v>
      </c>
      <c r="G215" s="205" t="s">
        <v>2053</v>
      </c>
      <c r="H215" s="1745" t="s">
        <v>767</v>
      </c>
      <c r="I215" s="1745"/>
      <c r="J215" s="205" t="s">
        <v>2053</v>
      </c>
      <c r="K215" s="1745" t="s">
        <v>769</v>
      </c>
      <c r="L215" s="1745"/>
      <c r="M215" s="205" t="s">
        <v>2053</v>
      </c>
      <c r="N215" s="1745" t="s">
        <v>771</v>
      </c>
      <c r="O215" s="1745"/>
      <c r="P215" s="205" t="s">
        <v>2053</v>
      </c>
      <c r="Q215" s="1744" t="s">
        <v>770</v>
      </c>
      <c r="R215" s="1745"/>
      <c r="S215" s="705" t="s">
        <v>61</v>
      </c>
      <c r="T215" s="711" t="s">
        <v>61</v>
      </c>
      <c r="U215" s="42"/>
      <c r="X215" s="1629" t="s">
        <v>2605</v>
      </c>
      <c r="Y215" s="1370" t="s">
        <v>2110</v>
      </c>
      <c r="Z215" s="1370" t="s">
        <v>61</v>
      </c>
      <c r="AA215" s="1370" t="s">
        <v>61</v>
      </c>
      <c r="AB215" s="711" t="s">
        <v>61</v>
      </c>
      <c r="AF215" s="1369" t="s">
        <v>2065</v>
      </c>
      <c r="AG215" s="1370" t="s">
        <v>61</v>
      </c>
      <c r="AH215" s="1370" t="s">
        <v>61</v>
      </c>
      <c r="AI215" s="705" t="s">
        <v>61</v>
      </c>
      <c r="AJ215" s="1370" t="s">
        <v>2558</v>
      </c>
      <c r="AK215" s="1370" t="s">
        <v>61</v>
      </c>
      <c r="AL215" s="1370" t="s">
        <v>61</v>
      </c>
      <c r="AM215" s="711" t="s">
        <v>61</v>
      </c>
      <c r="AS215" s="1764" t="s">
        <v>14</v>
      </c>
      <c r="AT215" s="1761"/>
      <c r="AU215" s="1761" t="s">
        <v>60</v>
      </c>
      <c r="AV215" s="1761"/>
      <c r="AW215" s="1761" t="s">
        <v>27</v>
      </c>
      <c r="AX215" s="1761"/>
      <c r="AY215" s="1761" t="s">
        <v>2074</v>
      </c>
      <c r="AZ215" s="1761"/>
      <c r="BA215" s="1762" t="s">
        <v>41</v>
      </c>
      <c r="BB215" s="1763"/>
      <c r="BC215" s="1764" t="s">
        <v>85</v>
      </c>
      <c r="BD215" s="1765"/>
      <c r="BE215" s="602"/>
      <c r="BF215" s="602"/>
      <c r="BG215" s="602"/>
      <c r="BH215" s="602"/>
      <c r="BI215" s="602"/>
      <c r="BJ215" s="602"/>
    </row>
    <row r="216" spans="1:62" s="32" customFormat="1" ht="12.75" customHeight="1" outlineLevel="1" x14ac:dyDescent="0.2">
      <c r="A216" s="40"/>
      <c r="B216" s="1369"/>
      <c r="C216" s="1370"/>
      <c r="D216" s="1370" t="s">
        <v>61</v>
      </c>
      <c r="E216" s="1370" t="s">
        <v>63</v>
      </c>
      <c r="F216" s="208" t="s">
        <v>2054</v>
      </c>
      <c r="G216" s="208" t="s">
        <v>34</v>
      </c>
      <c r="H216" s="1377" t="s">
        <v>768</v>
      </c>
      <c r="I216" s="1377" t="s">
        <v>24</v>
      </c>
      <c r="J216" s="208" t="s">
        <v>2061</v>
      </c>
      <c r="K216" s="1377" t="s">
        <v>768</v>
      </c>
      <c r="L216" s="1377" t="s">
        <v>24</v>
      </c>
      <c r="M216" s="212" t="s">
        <v>2059</v>
      </c>
      <c r="N216" s="1377" t="s">
        <v>768</v>
      </c>
      <c r="O216" s="1377" t="s">
        <v>24</v>
      </c>
      <c r="P216" s="212" t="s">
        <v>15</v>
      </c>
      <c r="Q216" s="1377" t="s">
        <v>768</v>
      </c>
      <c r="R216" s="1377" t="s">
        <v>24</v>
      </c>
      <c r="S216" s="1376" t="s">
        <v>768</v>
      </c>
      <c r="T216" s="274" t="s">
        <v>24</v>
      </c>
      <c r="U216" s="42"/>
      <c r="X216" s="1629" t="s">
        <v>2109</v>
      </c>
      <c r="Y216" s="1370"/>
      <c r="Z216" s="1377" t="s">
        <v>768</v>
      </c>
      <c r="AA216" s="1377" t="s">
        <v>24</v>
      </c>
      <c r="AB216" s="219" t="s">
        <v>41</v>
      </c>
      <c r="AF216" s="1369"/>
      <c r="AG216" s="1377" t="s">
        <v>768</v>
      </c>
      <c r="AH216" s="1377" t="s">
        <v>24</v>
      </c>
      <c r="AI216" s="223" t="s">
        <v>41</v>
      </c>
      <c r="AJ216" s="1370"/>
      <c r="AK216" s="1377" t="s">
        <v>768</v>
      </c>
      <c r="AL216" s="1377" t="s">
        <v>24</v>
      </c>
      <c r="AM216" s="219" t="s">
        <v>41</v>
      </c>
      <c r="AR216" s="40"/>
      <c r="AS216" s="732" t="s">
        <v>768</v>
      </c>
      <c r="AT216" s="733" t="s">
        <v>24</v>
      </c>
      <c r="AU216" s="733" t="s">
        <v>768</v>
      </c>
      <c r="AV216" s="733" t="s">
        <v>24</v>
      </c>
      <c r="AW216" s="733" t="s">
        <v>768</v>
      </c>
      <c r="AX216" s="733" t="s">
        <v>24</v>
      </c>
      <c r="AY216" s="733" t="s">
        <v>768</v>
      </c>
      <c r="AZ216" s="733" t="s">
        <v>24</v>
      </c>
      <c r="BA216" s="734" t="s">
        <v>768</v>
      </c>
      <c r="BB216" s="735" t="s">
        <v>24</v>
      </c>
      <c r="BC216" s="732" t="s">
        <v>768</v>
      </c>
      <c r="BD216" s="736" t="s">
        <v>24</v>
      </c>
      <c r="BE216" s="602"/>
      <c r="BF216" s="602"/>
      <c r="BG216" s="602"/>
      <c r="BH216" s="602"/>
      <c r="BI216" s="602"/>
      <c r="BJ216" s="602"/>
    </row>
    <row r="217" spans="1:62" ht="12.75" customHeight="1" outlineLevel="1" x14ac:dyDescent="0.2">
      <c r="B217" s="200" t="s">
        <v>796</v>
      </c>
      <c r="C217" s="201"/>
      <c r="D217" s="262">
        <f>S217+T217</f>
        <v>0</v>
      </c>
      <c r="E217" s="265">
        <f>D217*12/44</f>
        <v>0</v>
      </c>
      <c r="F217" s="182"/>
      <c r="G217" s="182"/>
      <c r="H217" s="271">
        <f>VLOOKUP($B217,'Emissions factors'!$B$84:$K$147,2,FALSE)</f>
        <v>707.3</v>
      </c>
      <c r="I217" s="271">
        <f>VLOOKUP($B217,'Emissions factors'!$B$84:$K$147,3,FALSE)</f>
        <v>3008.5</v>
      </c>
      <c r="J217" s="182"/>
      <c r="K217" s="277">
        <f>VLOOKUP($B217,'Emissions factors'!$B$84:$K$147,4,FALSE)</f>
        <v>6.0859999999999997E-2</v>
      </c>
      <c r="L217" s="277">
        <f>VLOOKUP($B217,'Emissions factors'!$B$84:$K$147,5,FALSE)</f>
        <v>0.25307999999999997</v>
      </c>
      <c r="M217" s="182"/>
      <c r="N217" s="271">
        <f>VLOOKUP($B217,'Emissions factors'!$B$84:$K$147,6,FALSE)</f>
        <v>694.7</v>
      </c>
      <c r="O217" s="271">
        <f>VLOOKUP($B217,'Emissions factors'!$B$84:$K$147,7,FALSE)</f>
        <v>2957.6</v>
      </c>
      <c r="P217" s="182"/>
      <c r="Q217" s="277">
        <f>VLOOKUP($B217,'Emissions factors'!$B$84:$K$147,8,FALSE)</f>
        <v>0.53329999999999989</v>
      </c>
      <c r="R217" s="277">
        <f>VLOOKUP($B217,'Emissions factors'!$B$84:$K$147,9,FALSE)</f>
        <v>2.2637</v>
      </c>
      <c r="S217" s="210">
        <f>G217*H217+J217*K217+M217*N217+P217*Q217</f>
        <v>0</v>
      </c>
      <c r="T217" s="211">
        <f>G217*I217+J217*L217+M217*O217+P217*R217</f>
        <v>0</v>
      </c>
      <c r="U217" s="42"/>
      <c r="X217" s="282">
        <f>VLOOKUP($B217,'Emissions factors'!$B$84:$K$147,10,FALSE)</f>
        <v>0.05</v>
      </c>
      <c r="Y217" s="184"/>
      <c r="Z217" s="221">
        <f>S217*SQRT(X217^2+Y217^2)</f>
        <v>0</v>
      </c>
      <c r="AA217" s="221">
        <f>T217*SQRT(X217^2+Y217^2)</f>
        <v>0</v>
      </c>
      <c r="AB217" s="211">
        <f>SQRT(Z217^2+AA217^2)</f>
        <v>0</v>
      </c>
      <c r="AF217" s="184"/>
      <c r="AG217" s="221">
        <f>S217*AF217</f>
        <v>0</v>
      </c>
      <c r="AH217" s="224">
        <f>T217*AF217</f>
        <v>0</v>
      </c>
      <c r="AI217" s="210">
        <f>AG217+AH217</f>
        <v>0</v>
      </c>
      <c r="AJ217" s="184"/>
      <c r="AK217" s="221">
        <f>S217*AJ217</f>
        <v>0</v>
      </c>
      <c r="AL217" s="224">
        <f>T217*AJ217</f>
        <v>0</v>
      </c>
      <c r="AM217" s="211">
        <f>AK217+AL217</f>
        <v>0</v>
      </c>
      <c r="AS217" s="717">
        <f>G217*VLOOKUP($B217,'Emissions factors'!$B$84:$AQ$147,11,FALSE)+J217*VLOOKUP($B217,'Emissions factors'!$B$84:$AQ$147,13,FALSE)+M217*VLOOKUP($B217,'Emissions factors'!$B$84:$AQ$147,15,FALSE)+P217*VLOOKUP($B217,'Emissions factors'!$B$84:$AQ$147,17,FALSE)</f>
        <v>0</v>
      </c>
      <c r="AT217" s="718">
        <f>G217*VLOOKUP($B217,'Emissions factors'!$B$84:$AQ$147,12,FALSE)+J217*VLOOKUP($B217,'Emissions factors'!$B$84:$AQ$147,14,FALSE)+M217*VLOOKUP($B217,'Emissions factors'!$B$84:$AQ$147,16,FALSE)+P217*VLOOKUP($B217,'Emissions factors'!$B$84:$AQ$147,18,FALSE)</f>
        <v>0</v>
      </c>
      <c r="AU217" s="718">
        <f>G217*VLOOKUP($B217,'Emissions factors'!$B$84:$AQ$147,19,FALSE)+J217*VLOOKUP($B217,'Emissions factors'!$B$84:$AQ$147,21,FALSE)+M217*VLOOKUP($B217,'Emissions factors'!$B$84:$AQ$147,23,FALSE)+P217*VLOOKUP($B217,'Emissions factors'!$B$84:$AQ$147,25,FALSE)</f>
        <v>0</v>
      </c>
      <c r="AV217" s="718">
        <f>G217*VLOOKUP($B217,'Emissions factors'!$B$84:$AQ$147,20,FALSE)+J217*VLOOKUP($B217,'Emissions factors'!$B$84:$AQ$147,22,FALSE)+M217*VLOOKUP($B217,'Emissions factors'!$B$84:$AQ$147,24,FALSE)+P217*VLOOKUP($B217,'Emissions factors'!$B$84:$AQ$147,26,FALSE)</f>
        <v>0</v>
      </c>
      <c r="AW217" s="718">
        <f>G217*VLOOKUP($B217,'Emissions factors'!$B$84:$AQ$147,27,FALSE)+J217*VLOOKUP($B217,'Emissions factors'!$B$84:$AQ$147,29,FALSE)+M217*VLOOKUP($B217,'Emissions factors'!$B$84:$AQ$147,31,FALSE)+P217*VLOOKUP($B217,'Emissions factors'!$B$84:$AQ$147,33,FALSE)</f>
        <v>0</v>
      </c>
      <c r="AX217" s="718">
        <f>G217*VLOOKUP($B217,'Emissions factors'!$B$84:$AQ$147,28,FALSE)+J217*VLOOKUP($B217,'Emissions factors'!$B$84:$AQ$147,30,FALSE)+M217*VLOOKUP($B217,'Emissions factors'!$B$84:$AQ$147,32,FALSE)+P217*VLOOKUP($B217,'Emissions factors'!$B$84:$AQ$147,34,FALSE)</f>
        <v>0</v>
      </c>
      <c r="AY217" s="718">
        <v>0</v>
      </c>
      <c r="AZ217" s="718">
        <v>0</v>
      </c>
      <c r="BA217" s="719">
        <f t="shared" ref="BA217:BB219" si="98">S217</f>
        <v>0</v>
      </c>
      <c r="BB217" s="720">
        <f t="shared" si="98"/>
        <v>0</v>
      </c>
      <c r="BC217" s="718">
        <f>G217*VLOOKUP($B217,'Emissions factors'!$B$84:$AQ$147,35,FALSE)+J217*VLOOKUP($B217,'Emissions factors'!$B$84:$AQ$147,37,FALSE)+M217*VLOOKUP($B217,'Emissions factors'!$B$84:$AQ$147,39,FALSE)+P217*VLOOKUP($B217,'Emissions factors'!$B$84:$AQ$147,41,FALSE)</f>
        <v>0</v>
      </c>
      <c r="BD217" s="721">
        <f>G217*VLOOKUP($B217,'Emissions factors'!$B$84:$AQ$147,36,FALSE)+J217*VLOOKUP($B217,'Emissions factors'!$B$84:$AQ$147,38,FALSE)+M217*VLOOKUP($B217,'Emissions factors'!$B$84:$AQ$147,40,FALSE)+P217*VLOOKUP($B217,'Emissions factors'!$B$84:$AQ$147,42,FALSE)</f>
        <v>0</v>
      </c>
    </row>
    <row r="218" spans="1:62" ht="12.75" customHeight="1" outlineLevel="1" x14ac:dyDescent="0.2">
      <c r="B218" s="200" t="s">
        <v>803</v>
      </c>
      <c r="C218" s="201"/>
      <c r="D218" s="262">
        <f>S218+T218</f>
        <v>0</v>
      </c>
      <c r="E218" s="265">
        <f>D218*12/44</f>
        <v>0</v>
      </c>
      <c r="F218" s="185"/>
      <c r="G218" s="185"/>
      <c r="H218" s="271">
        <f>VLOOKUP($B218,'Emissions factors'!$B$84:$K$147,2,FALSE)</f>
        <v>1153.9000000000001</v>
      </c>
      <c r="I218" s="271">
        <f>VLOOKUP($B218,'Emissions factors'!$B$84:$K$147,3,FALSE)</f>
        <v>2228.6959999999999</v>
      </c>
      <c r="J218" s="185"/>
      <c r="K218" s="277">
        <f>VLOOKUP($B218,'Emissions factors'!$B$84:$K$147,4,FALSE)</f>
        <v>0.1023</v>
      </c>
      <c r="L218" s="277">
        <f>VLOOKUP($B218,'Emissions factors'!$B$84:$K$147,5,FALSE)</f>
        <v>0.19462700000000002</v>
      </c>
      <c r="M218" s="185"/>
      <c r="N218" s="271">
        <f>VLOOKUP($B218,'Emissions factors'!$B$84:$K$147,6,FALSE)</f>
        <v>1178.0999999999999</v>
      </c>
      <c r="O218" s="271">
        <f>VLOOKUP($B218,'Emissions factors'!$B$84:$K$147,7,FALSE)</f>
        <v>2269.11</v>
      </c>
      <c r="P218" s="185"/>
      <c r="Q218" s="277">
        <f>VLOOKUP($B218,'Emissions factors'!$B$84:$K$147,8,FALSE)</f>
        <v>0.97550000000000003</v>
      </c>
      <c r="R218" s="277">
        <f>VLOOKUP($B218,'Emissions factors'!$B$84:$K$147,9,FALSE)</f>
        <v>1.87584</v>
      </c>
      <c r="S218" s="210">
        <f>G218*H218+J218*K218+M218*N218+P218*Q218</f>
        <v>0</v>
      </c>
      <c r="T218" s="211">
        <f>G218*I218+J218*L218+M218*O218+P218*R218</f>
        <v>0</v>
      </c>
      <c r="U218" s="42"/>
      <c r="X218" s="282">
        <f>VLOOKUP($B218,'Emissions factors'!$B$84:$K$147,10,FALSE)</f>
        <v>0.05</v>
      </c>
      <c r="Y218" s="187"/>
      <c r="Z218" s="221">
        <f>S218*SQRT(X218^2+Y218^2)</f>
        <v>0</v>
      </c>
      <c r="AA218" s="221">
        <f>T218*SQRT(X218^2+Y218^2)</f>
        <v>0</v>
      </c>
      <c r="AB218" s="211">
        <f>SQRT(Z218^2+AA218^2)</f>
        <v>0</v>
      </c>
      <c r="AF218" s="187"/>
      <c r="AG218" s="221">
        <f>S218*AF218</f>
        <v>0</v>
      </c>
      <c r="AH218" s="224">
        <f>T218*AF218</f>
        <v>0</v>
      </c>
      <c r="AI218" s="210">
        <f>AG218+AH218</f>
        <v>0</v>
      </c>
      <c r="AJ218" s="187"/>
      <c r="AK218" s="221">
        <f>S218*AJ218</f>
        <v>0</v>
      </c>
      <c r="AL218" s="224">
        <f>T218*AJ218</f>
        <v>0</v>
      </c>
      <c r="AM218" s="211">
        <f>AK218+AL218</f>
        <v>0</v>
      </c>
      <c r="AS218" s="717">
        <f>G218*VLOOKUP($B218,'Emissions factors'!$B$84:$AQ$147,11,FALSE)+J218*VLOOKUP($B218,'Emissions factors'!$B$84:$AQ$147,13,FALSE)+M218*VLOOKUP($B218,'Emissions factors'!$B$84:$AQ$147,15,FALSE)+P218*VLOOKUP($B218,'Emissions factors'!$B$84:$AQ$147,17,FALSE)</f>
        <v>0</v>
      </c>
      <c r="AT218" s="718">
        <f>G218*VLOOKUP($B218,'Emissions factors'!$B$84:$AQ$147,12,FALSE)+J218*VLOOKUP($B218,'Emissions factors'!$B$84:$AQ$147,14,FALSE)+M218*VLOOKUP($B218,'Emissions factors'!$B$84:$AQ$147,16,FALSE)+P218*VLOOKUP($B218,'Emissions factors'!$B$84:$AQ$147,18,FALSE)</f>
        <v>0</v>
      </c>
      <c r="AU218" s="718">
        <f>G218*VLOOKUP($B218,'Emissions factors'!$B$84:$AQ$147,19,FALSE)+J218*VLOOKUP($B218,'Emissions factors'!$B$84:$AQ$147,21,FALSE)+M218*VLOOKUP($B218,'Emissions factors'!$B$84:$AQ$147,23,FALSE)+P218*VLOOKUP($B218,'Emissions factors'!$B$84:$AQ$147,25,FALSE)</f>
        <v>0</v>
      </c>
      <c r="AV218" s="718">
        <f>G218*VLOOKUP($B218,'Emissions factors'!$B$84:$AQ$147,20,FALSE)+J218*VLOOKUP($B218,'Emissions factors'!$B$84:$AQ$147,22,FALSE)+M218*VLOOKUP($B218,'Emissions factors'!$B$84:$AQ$147,24,FALSE)+P218*VLOOKUP($B218,'Emissions factors'!$B$84:$AQ$147,26,FALSE)</f>
        <v>0</v>
      </c>
      <c r="AW218" s="718">
        <f>G218*VLOOKUP($B218,'Emissions factors'!$B$84:$AQ$147,27,FALSE)+J218*VLOOKUP($B218,'Emissions factors'!$B$84:$AQ$147,29,FALSE)+M218*VLOOKUP($B218,'Emissions factors'!$B$84:$AQ$147,31,FALSE)+P218*VLOOKUP($B218,'Emissions factors'!$B$84:$AQ$147,33,FALSE)</f>
        <v>0</v>
      </c>
      <c r="AX218" s="718">
        <f>G218*VLOOKUP($B218,'Emissions factors'!$B$84:$AQ$147,28,FALSE)+J218*VLOOKUP($B218,'Emissions factors'!$B$84:$AQ$147,30,FALSE)+M218*VLOOKUP($B218,'Emissions factors'!$B$84:$AQ$147,32,FALSE)+P218*VLOOKUP($B218,'Emissions factors'!$B$84:$AQ$147,34,FALSE)</f>
        <v>0</v>
      </c>
      <c r="AY218" s="718">
        <v>0</v>
      </c>
      <c r="AZ218" s="718">
        <v>0</v>
      </c>
      <c r="BA218" s="719">
        <f t="shared" si="98"/>
        <v>0</v>
      </c>
      <c r="BB218" s="720">
        <f t="shared" si="98"/>
        <v>0</v>
      </c>
      <c r="BC218" s="718">
        <f>G218*VLOOKUP($B218,'Emissions factors'!$B$84:$AQ$147,35,FALSE)+J218*VLOOKUP($B218,'Emissions factors'!$B$84:$AQ$147,37,FALSE)+M218*VLOOKUP($B218,'Emissions factors'!$B$84:$AQ$147,39,FALSE)+P218*VLOOKUP($B218,'Emissions factors'!$B$84:$AQ$147,41,FALSE)</f>
        <v>0</v>
      </c>
      <c r="BD218" s="721">
        <f>G218*VLOOKUP($B218,'Emissions factors'!$B$84:$AQ$147,36,FALSE)+J218*VLOOKUP($B218,'Emissions factors'!$B$84:$AQ$147,38,FALSE)+M218*VLOOKUP($B218,'Emissions factors'!$B$84:$AQ$147,40,FALSE)+P218*VLOOKUP($B218,'Emissions factors'!$B$84:$AQ$147,42,FALSE)</f>
        <v>0</v>
      </c>
    </row>
    <row r="219" spans="1:62" ht="12.75" customHeight="1" outlineLevel="1" x14ac:dyDescent="0.2">
      <c r="B219" s="200" t="s">
        <v>805</v>
      </c>
      <c r="C219" s="201"/>
      <c r="D219" s="262">
        <f>S219+T219</f>
        <v>0</v>
      </c>
      <c r="E219" s="265">
        <f>D219*12/44</f>
        <v>0</v>
      </c>
      <c r="F219" s="188"/>
      <c r="G219" s="188"/>
      <c r="H219" s="271">
        <f>VLOOKUP($B219,'Emissions factors'!$B$84:$K$147,2,FALSE)</f>
        <v>775.9</v>
      </c>
      <c r="I219" s="271">
        <f>VLOOKUP($B219,'Emissions factors'!$B$84:$K$147,3,FALSE)</f>
        <v>2975.0299999999997</v>
      </c>
      <c r="J219" s="188"/>
      <c r="K219" s="277">
        <f>VLOOKUP($B219,'Emissions factors'!$B$84:$K$147,4,FALSE)</f>
        <v>6.7080000000000001E-2</v>
      </c>
      <c r="L219" s="277">
        <f>VLOOKUP($B219,'Emissions factors'!$B$84:$K$147,5,FALSE)</f>
        <v>0.25615399999999999</v>
      </c>
      <c r="M219" s="188"/>
      <c r="N219" s="271">
        <f>VLOOKUP($B219,'Emissions factors'!$B$84:$K$147,6,FALSE)</f>
        <v>783.2</v>
      </c>
      <c r="O219" s="271">
        <f>VLOOKUP($B219,'Emissions factors'!$B$84:$K$147,7,FALSE)</f>
        <v>2985.1400000000003</v>
      </c>
      <c r="P219" s="188"/>
      <c r="Q219" s="277">
        <f>VLOOKUP($B219,'Emissions factors'!$B$84:$K$147,8,FALSE)</f>
        <v>0.65529999999999988</v>
      </c>
      <c r="R219" s="277">
        <f>VLOOKUP($B219,'Emissions factors'!$B$84:$K$147,9,FALSE)</f>
        <v>2.5111300000000001</v>
      </c>
      <c r="S219" s="210">
        <f>G219*H219+J219*K219+M219*N219+P219*Q219</f>
        <v>0</v>
      </c>
      <c r="T219" s="211">
        <f>G219*I219+J219*L219+M219*O219+P219*R219</f>
        <v>0</v>
      </c>
      <c r="U219" s="42"/>
      <c r="X219" s="282">
        <f>VLOOKUP($B219,'Emissions factors'!$B$84:$K$147,10,FALSE)</f>
        <v>0.05</v>
      </c>
      <c r="Y219" s="190"/>
      <c r="Z219" s="221">
        <f>S219*SQRT(X219^2+Y219^2)</f>
        <v>0</v>
      </c>
      <c r="AA219" s="221">
        <f>T219*SQRT(X219^2+Y219^2)</f>
        <v>0</v>
      </c>
      <c r="AB219" s="211">
        <f>SQRT(Z219^2+AA219^2)</f>
        <v>0</v>
      </c>
      <c r="AF219" s="190"/>
      <c r="AG219" s="221">
        <f>S219*AF219</f>
        <v>0</v>
      </c>
      <c r="AH219" s="224">
        <f>T219*AF219</f>
        <v>0</v>
      </c>
      <c r="AI219" s="210">
        <f>AG219+AH219</f>
        <v>0</v>
      </c>
      <c r="AJ219" s="190"/>
      <c r="AK219" s="221">
        <f>S219*AJ219</f>
        <v>0</v>
      </c>
      <c r="AL219" s="224">
        <f>T219*AJ219</f>
        <v>0</v>
      </c>
      <c r="AM219" s="211">
        <f>AK219+AL219</f>
        <v>0</v>
      </c>
      <c r="AS219" s="717">
        <f>G219*VLOOKUP($B219,'Emissions factors'!$B$84:$AQ$147,11,FALSE)+J219*VLOOKUP($B219,'Emissions factors'!$B$84:$AQ$147,13,FALSE)+M219*VLOOKUP($B219,'Emissions factors'!$B$84:$AQ$147,15,FALSE)+P219*VLOOKUP($B219,'Emissions factors'!$B$84:$AQ$147,17,FALSE)</f>
        <v>0</v>
      </c>
      <c r="AT219" s="718">
        <f>G219*VLOOKUP($B219,'Emissions factors'!$B$84:$AQ$147,12,FALSE)+J219*VLOOKUP($B219,'Emissions factors'!$B$84:$AQ$147,14,FALSE)+M219*VLOOKUP($B219,'Emissions factors'!$B$84:$AQ$147,16,FALSE)+P219*VLOOKUP($B219,'Emissions factors'!$B$84:$AQ$147,18,FALSE)</f>
        <v>0</v>
      </c>
      <c r="AU219" s="718">
        <f>G219*VLOOKUP($B219,'Emissions factors'!$B$84:$AQ$147,19,FALSE)+J219*VLOOKUP($B219,'Emissions factors'!$B$84:$AQ$147,21,FALSE)+M219*VLOOKUP($B219,'Emissions factors'!$B$84:$AQ$147,23,FALSE)+P219*VLOOKUP($B219,'Emissions factors'!$B$84:$AQ$147,25,FALSE)</f>
        <v>0</v>
      </c>
      <c r="AV219" s="718">
        <f>G219*VLOOKUP($B219,'Emissions factors'!$B$84:$AQ$147,20,FALSE)+J219*VLOOKUP($B219,'Emissions factors'!$B$84:$AQ$147,22,FALSE)+M219*VLOOKUP($B219,'Emissions factors'!$B$84:$AQ$147,24,FALSE)+P219*VLOOKUP($B219,'Emissions factors'!$B$84:$AQ$147,26,FALSE)</f>
        <v>0</v>
      </c>
      <c r="AW219" s="718">
        <f>G219*VLOOKUP($B219,'Emissions factors'!$B$84:$AQ$147,27,FALSE)+J219*VLOOKUP($B219,'Emissions factors'!$B$84:$AQ$147,29,FALSE)+M219*VLOOKUP($B219,'Emissions factors'!$B$84:$AQ$147,31,FALSE)+P219*VLOOKUP($B219,'Emissions factors'!$B$84:$AQ$147,33,FALSE)</f>
        <v>0</v>
      </c>
      <c r="AX219" s="718">
        <f>G219*VLOOKUP($B219,'Emissions factors'!$B$84:$AQ$147,28,FALSE)+J219*VLOOKUP($B219,'Emissions factors'!$B$84:$AQ$147,30,FALSE)+M219*VLOOKUP($B219,'Emissions factors'!$B$84:$AQ$147,32,FALSE)+P219*VLOOKUP($B219,'Emissions factors'!$B$84:$AQ$147,34,FALSE)</f>
        <v>0</v>
      </c>
      <c r="AY219" s="718">
        <v>0</v>
      </c>
      <c r="AZ219" s="718">
        <v>0</v>
      </c>
      <c r="BA219" s="719">
        <f t="shared" si="98"/>
        <v>0</v>
      </c>
      <c r="BB219" s="720">
        <f t="shared" si="98"/>
        <v>0</v>
      </c>
      <c r="BC219" s="718">
        <f>G219*VLOOKUP($B219,'Emissions factors'!$B$84:$AQ$147,35,FALSE)+J219*VLOOKUP($B219,'Emissions factors'!$B$84:$AQ$147,37,FALSE)+M219*VLOOKUP($B219,'Emissions factors'!$B$84:$AQ$147,39,FALSE)+P219*VLOOKUP($B219,'Emissions factors'!$B$84:$AQ$147,41,FALSE)</f>
        <v>0</v>
      </c>
      <c r="BD219" s="721">
        <f>G219*VLOOKUP($B219,'Emissions factors'!$B$84:$AQ$147,36,FALSE)+J219*VLOOKUP($B219,'Emissions factors'!$B$84:$AQ$147,38,FALSE)+M219*VLOOKUP($B219,'Emissions factors'!$B$84:$AQ$147,40,FALSE)+P219*VLOOKUP($B219,'Emissions factors'!$B$84:$AQ$147,42,FALSE)</f>
        <v>0</v>
      </c>
    </row>
    <row r="220" spans="1:62" ht="12.75" customHeight="1" outlineLevel="1" x14ac:dyDescent="0.2">
      <c r="B220" s="200"/>
      <c r="C220" s="201"/>
      <c r="D220" s="263"/>
      <c r="E220" s="266"/>
      <c r="F220" s="410"/>
      <c r="G220" s="410"/>
      <c r="H220" s="273"/>
      <c r="I220" s="273"/>
      <c r="J220" s="410"/>
      <c r="K220" s="273"/>
      <c r="L220" s="273"/>
      <c r="M220" s="410"/>
      <c r="N220" s="273"/>
      <c r="O220" s="273"/>
      <c r="P220" s="410"/>
      <c r="Q220" s="277"/>
      <c r="R220" s="277"/>
      <c r="S220" s="210"/>
      <c r="T220" s="211"/>
      <c r="U220" s="42"/>
      <c r="X220" s="282"/>
      <c r="Y220" s="221"/>
      <c r="Z220" s="221"/>
      <c r="AA220" s="221"/>
      <c r="AB220" s="211"/>
      <c r="AF220" s="200"/>
      <c r="AG220" s="221"/>
      <c r="AH220" s="224"/>
      <c r="AI220" s="285"/>
      <c r="AJ220" s="224"/>
      <c r="AK220" s="221"/>
      <c r="AL220" s="224"/>
      <c r="AM220" s="211"/>
      <c r="AS220" s="717"/>
      <c r="AT220" s="718"/>
      <c r="AU220" s="718"/>
      <c r="AV220" s="718"/>
      <c r="AW220" s="718"/>
      <c r="AX220" s="718"/>
      <c r="AY220" s="718"/>
      <c r="AZ220" s="718"/>
      <c r="BA220" s="719"/>
      <c r="BB220" s="720"/>
      <c r="BC220" s="717"/>
      <c r="BD220" s="721"/>
    </row>
    <row r="221" spans="1:62" ht="12.75" customHeight="1" outlineLevel="1" x14ac:dyDescent="0.2">
      <c r="B221" s="200" t="s">
        <v>834</v>
      </c>
      <c r="C221" s="201"/>
      <c r="D221" s="262">
        <f>S221+T221</f>
        <v>0</v>
      </c>
      <c r="E221" s="265">
        <f>D221*12/44</f>
        <v>0</v>
      </c>
      <c r="F221" s="182"/>
      <c r="G221" s="182"/>
      <c r="H221" s="271">
        <f>VLOOKUP($B221,'Emissions factors'!$B$152:$K$165,2,FALSE)</f>
        <v>1134.9000000000001</v>
      </c>
      <c r="I221" s="271">
        <f>VLOOKUP($B221,'Emissions factors'!$B$152:$K$165,3,FALSE)</f>
        <v>0</v>
      </c>
      <c r="J221" s="182"/>
      <c r="K221" s="277">
        <f>VLOOKUP($B221,'Emissions factors'!$B$152:$K$165,4,FALSE)</f>
        <v>0.10988999999999999</v>
      </c>
      <c r="L221" s="277">
        <f>VLOOKUP($B221,'Emissions factors'!$B$152:$K$165,5,FALSE)</f>
        <v>0</v>
      </c>
      <c r="M221" s="182"/>
      <c r="N221" s="271">
        <f>VLOOKUP($B221,'Emissions factors'!$B$152:$K$165,6,FALSE)</f>
        <v>1278.0999999999999</v>
      </c>
      <c r="O221" s="271">
        <f>VLOOKUP($B221,'Emissions factors'!$B$152:$K$165,7,FALSE)</f>
        <v>0</v>
      </c>
      <c r="P221" s="182"/>
      <c r="Q221" s="277">
        <f>VLOOKUP($B221,'Emissions factors'!$B$152:$K$165,8,FALSE)</f>
        <v>1.0113000000000001</v>
      </c>
      <c r="R221" s="277">
        <f>VLOOKUP($B221,'Emissions factors'!$B$152:$K$165,9,FALSE)</f>
        <v>0</v>
      </c>
      <c r="S221" s="210">
        <f>G221*H221+J221*K221+M221*N221+P221*Q221</f>
        <v>0</v>
      </c>
      <c r="T221" s="211">
        <f>G221*I221+J221*L221+M221*O221+P221*R221</f>
        <v>0</v>
      </c>
      <c r="U221" s="42"/>
      <c r="X221" s="282">
        <f>VLOOKUP($B221,'Emissions factors'!$B$152:$K$165,10,FALSE)</f>
        <v>0.2</v>
      </c>
      <c r="Y221" s="184"/>
      <c r="Z221" s="221">
        <f>S221*SQRT(X221^2+Y221^2)</f>
        <v>0</v>
      </c>
      <c r="AA221" s="221">
        <f>T221*SQRT(X221^2+Y221^2)</f>
        <v>0</v>
      </c>
      <c r="AB221" s="211">
        <f>SQRT(Z221^2+AA221^2)</f>
        <v>0</v>
      </c>
      <c r="AF221" s="184"/>
      <c r="AG221" s="221">
        <f>S221*AF221</f>
        <v>0</v>
      </c>
      <c r="AH221" s="224">
        <f>T221*AF221</f>
        <v>0</v>
      </c>
      <c r="AI221" s="210">
        <f>AG221+AH221</f>
        <v>0</v>
      </c>
      <c r="AJ221" s="184"/>
      <c r="AK221" s="221">
        <f>S221*AJ221</f>
        <v>0</v>
      </c>
      <c r="AL221" s="224">
        <f>T221*AJ221</f>
        <v>0</v>
      </c>
      <c r="AM221" s="211">
        <f>AK221+AL221</f>
        <v>0</v>
      </c>
      <c r="AS221" s="717">
        <f>G221*VLOOKUP($B221,'Emissions factors'!$B$152:$AQ$165,11,FALSE)+J221*VLOOKUP($B221,'Emissions factors'!$B$152:$AQ$165,13,FALSE)+M221*VLOOKUP($B221,'Emissions factors'!$B$152:$AQ$165,15,FALSE)+P221*VLOOKUP($B221,'Emissions factors'!$B$152:$AQ$165,17,FALSE)</f>
        <v>0</v>
      </c>
      <c r="AT221" s="718">
        <f>G221*VLOOKUP($B221,'Emissions factors'!$B$152:$AQ$165,12,FALSE)+J221*VLOOKUP($B221,'Emissions factors'!$B$152:$AQ$165,14,FALSE)+M221*VLOOKUP($B221,'Emissions factors'!$B$152:$AQ$165,16,FALSE)+P221*VLOOKUP($B221,'Emissions factors'!$B$152:$AQ$165,18,FALSE)</f>
        <v>0</v>
      </c>
      <c r="AU221" s="718">
        <f>G221*VLOOKUP($B221,'Emissions factors'!$B$152:$AQ$165,19,FALSE)+J221*VLOOKUP($B221,'Emissions factors'!$B$152:$AQ$165,21,FALSE)+M221*VLOOKUP($B221,'Emissions factors'!$B$152:$AQ$165,23,FALSE)+P221*VLOOKUP($B221,'Emissions factors'!$B$152:$AQ$165,25,FALSE)</f>
        <v>0</v>
      </c>
      <c r="AV221" s="718">
        <f>G221*VLOOKUP($B221,'Emissions factors'!$B$152:$AQ$165,20,FALSE)+J221*VLOOKUP($B221,'Emissions factors'!$B$152:$AQ$165,22,FALSE)+M221*VLOOKUP($B221,'Emissions factors'!$B$152:$AQ$165,24,FALSE)+P221*VLOOKUP($B221,'Emissions factors'!$B$152:$AQ$165,26,FALSE)</f>
        <v>0</v>
      </c>
      <c r="AW221" s="718">
        <f>G221*VLOOKUP($B221,'Emissions factors'!$B$152:$AQ$165,27,FALSE)+J221*VLOOKUP($B221,'Emissions factors'!$B$152:$AQ$165,29,FALSE)+M221*VLOOKUP($B221,'Emissions factors'!$B$152:$AQ$165,31,FALSE)+P221*VLOOKUP($B221,'Emissions factors'!$B$152:$AQ$165,33,FALSE)</f>
        <v>0</v>
      </c>
      <c r="AX221" s="718">
        <f>G221*VLOOKUP($B221,'Emissions factors'!$B$152:$AQ$165,28,FALSE)+J221*VLOOKUP($B221,'Emissions factors'!$B$152:$AQ$165,30,FALSE)+M221*VLOOKUP($B221,'Emissions factors'!$B$152:$AQ$165,32,FALSE)+P221*VLOOKUP($B221,'Emissions factors'!$B$152:$AQ$165,34,FALSE)</f>
        <v>0</v>
      </c>
      <c r="AY221" s="718">
        <v>0</v>
      </c>
      <c r="AZ221" s="718">
        <v>0</v>
      </c>
      <c r="BA221" s="719">
        <f>S221</f>
        <v>0</v>
      </c>
      <c r="BB221" s="720">
        <f>T221</f>
        <v>0</v>
      </c>
      <c r="BC221" s="717">
        <f>G221*VLOOKUP($B221,'Emissions factors'!$B$152:$AQ$165,35,FALSE)+J221*VLOOKUP($B221,'Emissions factors'!$B$152:$AQ$165,37,FALSE)+M221*VLOOKUP($B221,'Emissions factors'!$B$152:$AQ$165,39,FALSE)+P221*VLOOKUP($B221,'Emissions factors'!$B$152:$AQ$165,41,FALSE)</f>
        <v>0</v>
      </c>
      <c r="BD221" s="721">
        <f>G221*VLOOKUP($B221,'Emissions factors'!$B$152:$AQ$165,36,FALSE)+J221*VLOOKUP($B221,'Emissions factors'!$B$152:$AQ$165,38,FALSE)+M221*VLOOKUP($B221,'Emissions factors'!$B$152:$AQ$165,40,FALSE)+P221*VLOOKUP($B221,'Emissions factors'!$B$152:$AQ$165,42,FALSE)</f>
        <v>0</v>
      </c>
    </row>
    <row r="222" spans="1:62" ht="12.75" customHeight="1" outlineLevel="1" x14ac:dyDescent="0.2">
      <c r="B222" s="200" t="s">
        <v>839</v>
      </c>
      <c r="C222" s="201"/>
      <c r="D222" s="262">
        <f>S222+T222</f>
        <v>0</v>
      </c>
      <c r="E222" s="265">
        <f>D222*12/44</f>
        <v>0</v>
      </c>
      <c r="F222" s="188"/>
      <c r="G222" s="188"/>
      <c r="H222" s="271">
        <f>VLOOKUP($B222,'Emissions factors'!$B$152:$K$165,2,FALSE)</f>
        <v>41.2</v>
      </c>
      <c r="I222" s="271">
        <f>VLOOKUP($B222,'Emissions factors'!$B$152:$K$165,3,FALSE)</f>
        <v>72.599999999999994</v>
      </c>
      <c r="J222" s="188"/>
      <c r="K222" s="277">
        <f>VLOOKUP($B222,'Emissions factors'!$B$152:$K$165,4,FALSE)</f>
        <v>1.068E-2</v>
      </c>
      <c r="L222" s="277">
        <f>VLOOKUP($B222,'Emissions factors'!$B$152:$K$165,5,FALSE)</f>
        <v>1.8800000000000001E-2</v>
      </c>
      <c r="M222" s="188"/>
      <c r="N222" s="271">
        <f>VLOOKUP($B222,'Emissions factors'!$B$152:$K$165,6,FALSE)</f>
        <v>0</v>
      </c>
      <c r="O222" s="271">
        <f>VLOOKUP($B222,'Emissions factors'!$B$152:$K$165,7,FALSE)</f>
        <v>0</v>
      </c>
      <c r="P222" s="188"/>
      <c r="Q222" s="277">
        <f>VLOOKUP($B222,'Emissions factors'!$B$152:$K$165,8,FALSE)</f>
        <v>0</v>
      </c>
      <c r="R222" s="277">
        <f>VLOOKUP($B222,'Emissions factors'!$B$152:$K$165,9,FALSE)</f>
        <v>0</v>
      </c>
      <c r="S222" s="210">
        <f>G222*H222+J222*K222+M222*N222+P222*Q222</f>
        <v>0</v>
      </c>
      <c r="T222" s="211">
        <f>G222*I222+J222*L222+M222*O222+P222*R222</f>
        <v>0</v>
      </c>
      <c r="U222" s="42"/>
      <c r="X222" s="282">
        <f>VLOOKUP($B222,'Emissions factors'!$B$152:$K$165,10,FALSE)</f>
        <v>0.5</v>
      </c>
      <c r="Y222" s="190"/>
      <c r="Z222" s="221">
        <f>S222*SQRT(X222^2+Y222^2)</f>
        <v>0</v>
      </c>
      <c r="AA222" s="221">
        <f>T222*SQRT(X222^2+Y222^2)</f>
        <v>0</v>
      </c>
      <c r="AB222" s="211">
        <f>SQRT(Z222^2+AA222^2)</f>
        <v>0</v>
      </c>
      <c r="AF222" s="190"/>
      <c r="AG222" s="221">
        <f>S222*AF222</f>
        <v>0</v>
      </c>
      <c r="AH222" s="224">
        <f>T222*AF222</f>
        <v>0</v>
      </c>
      <c r="AI222" s="210">
        <f>AG222+AH222</f>
        <v>0</v>
      </c>
      <c r="AJ222" s="190"/>
      <c r="AK222" s="221">
        <f>S222*AJ222</f>
        <v>0</v>
      </c>
      <c r="AL222" s="224">
        <f>T222*AJ222</f>
        <v>0</v>
      </c>
      <c r="AM222" s="211">
        <f>AK222+AL222</f>
        <v>0</v>
      </c>
      <c r="AS222" s="717">
        <f>G222*VLOOKUP($B222,'Emissions factors'!$B$152:$AQ$165,11,FALSE)+J222*VLOOKUP($B222,'Emissions factors'!$B$152:$AQ$165,13,FALSE)+M222*VLOOKUP($B222,'Emissions factors'!$B$152:$AQ$165,15,FALSE)+P222*VLOOKUP($B222,'Emissions factors'!$B$152:$AQ$165,17,FALSE)</f>
        <v>0</v>
      </c>
      <c r="AT222" s="718">
        <f>G222*VLOOKUP($B222,'Emissions factors'!$B$152:$AQ$165,12,FALSE)+J222*VLOOKUP($B222,'Emissions factors'!$B$152:$AQ$165,14,FALSE)+M222*VLOOKUP($B222,'Emissions factors'!$B$152:$AQ$165,16,FALSE)+P222*VLOOKUP($B222,'Emissions factors'!$B$152:$AQ$165,18,FALSE)</f>
        <v>0</v>
      </c>
      <c r="AU222" s="718">
        <f>G222*VLOOKUP($B222,'Emissions factors'!$B$152:$AQ$165,19,FALSE)+J222*VLOOKUP($B222,'Emissions factors'!$B$152:$AQ$165,21,FALSE)+M222*VLOOKUP($B222,'Emissions factors'!$B$152:$AQ$165,23,FALSE)+P222*VLOOKUP($B222,'Emissions factors'!$B$152:$AQ$165,25,FALSE)</f>
        <v>0</v>
      </c>
      <c r="AV222" s="718">
        <f>G222*VLOOKUP($B222,'Emissions factors'!$B$152:$AQ$165,20,FALSE)+J222*VLOOKUP($B222,'Emissions factors'!$B$152:$AQ$165,22,FALSE)+M222*VLOOKUP($B222,'Emissions factors'!$B$152:$AQ$165,24,FALSE)+P222*VLOOKUP($B222,'Emissions factors'!$B$152:$AQ$165,26,FALSE)</f>
        <v>0</v>
      </c>
      <c r="AW222" s="718">
        <f>G222*VLOOKUP($B222,'Emissions factors'!$B$152:$AQ$165,27,FALSE)+J222*VLOOKUP($B222,'Emissions factors'!$B$152:$AQ$165,29,FALSE)+M222*VLOOKUP($B222,'Emissions factors'!$B$152:$AQ$165,31,FALSE)+P222*VLOOKUP($B222,'Emissions factors'!$B$152:$AQ$165,33,FALSE)</f>
        <v>0</v>
      </c>
      <c r="AX222" s="718">
        <f>G222*VLOOKUP($B222,'Emissions factors'!$B$152:$AQ$165,28,FALSE)+J222*VLOOKUP($B222,'Emissions factors'!$B$152:$AQ$165,30,FALSE)+M222*VLOOKUP($B222,'Emissions factors'!$B$152:$AQ$165,32,FALSE)+P222*VLOOKUP($B222,'Emissions factors'!$B$152:$AQ$165,34,FALSE)</f>
        <v>0</v>
      </c>
      <c r="AY222" s="718">
        <v>0</v>
      </c>
      <c r="AZ222" s="718">
        <v>0</v>
      </c>
      <c r="BA222" s="719">
        <f>S222</f>
        <v>0</v>
      </c>
      <c r="BB222" s="720">
        <f>T222</f>
        <v>0</v>
      </c>
      <c r="BC222" s="717">
        <f>G222*VLOOKUP($B222,'Emissions factors'!$B$152:$AQ$165,35,FALSE)+J222*VLOOKUP($B222,'Emissions factors'!$B$152:$AQ$165,37,FALSE)+M222*VLOOKUP($B222,'Emissions factors'!$B$152:$AQ$165,39,FALSE)+P222*VLOOKUP($B222,'Emissions factors'!$B$152:$AQ$165,41,FALSE)</f>
        <v>0</v>
      </c>
      <c r="BD222" s="721">
        <f>G222*VLOOKUP($B222,'Emissions factors'!$B$152:$AQ$165,36,FALSE)+J222*VLOOKUP($B222,'Emissions factors'!$B$152:$AQ$165,38,FALSE)+M222*VLOOKUP($B222,'Emissions factors'!$B$152:$AQ$165,40,FALSE)+P222*VLOOKUP($B222,'Emissions factors'!$B$152:$AQ$165,42,FALSE)</f>
        <v>0</v>
      </c>
    </row>
    <row r="223" spans="1:62" ht="12.75" customHeight="1" outlineLevel="1" x14ac:dyDescent="0.2">
      <c r="B223" s="213"/>
      <c r="C223" s="214"/>
      <c r="D223" s="275"/>
      <c r="E223" s="268"/>
      <c r="F223" s="214"/>
      <c r="G223" s="214"/>
      <c r="H223" s="214"/>
      <c r="I223" s="214"/>
      <c r="J223" s="214"/>
      <c r="K223" s="214"/>
      <c r="L223" s="214"/>
      <c r="M223" s="214"/>
      <c r="N223" s="214"/>
      <c r="O223" s="214"/>
      <c r="P223" s="214"/>
      <c r="Q223" s="214"/>
      <c r="R223" s="214"/>
      <c r="S223" s="463"/>
      <c r="T223" s="215"/>
      <c r="U223" s="42"/>
      <c r="X223" s="213"/>
      <c r="Y223" s="214"/>
      <c r="Z223" s="214"/>
      <c r="AA223" s="214"/>
      <c r="AB223" s="433"/>
      <c r="AF223" s="213"/>
      <c r="AG223" s="214"/>
      <c r="AH223" s="214"/>
      <c r="AI223" s="269"/>
      <c r="AJ223" s="214"/>
      <c r="AK223" s="214"/>
      <c r="AL223" s="214"/>
      <c r="AM223" s="433"/>
      <c r="AS223" s="717"/>
      <c r="AT223" s="718"/>
      <c r="AU223" s="718"/>
      <c r="AV223" s="718"/>
      <c r="AW223" s="718"/>
      <c r="AX223" s="718"/>
      <c r="AY223" s="718"/>
      <c r="AZ223" s="718"/>
      <c r="BA223" s="719"/>
      <c r="BB223" s="720"/>
      <c r="BC223" s="722"/>
      <c r="BD223" s="723"/>
    </row>
    <row r="224" spans="1:62" ht="12.75" customHeight="1" outlineLevel="1" x14ac:dyDescent="0.2">
      <c r="B224" s="253" t="s">
        <v>2828</v>
      </c>
      <c r="C224" s="254"/>
      <c r="D224" s="264">
        <f>SUM(D217:D223)</f>
        <v>0</v>
      </c>
      <c r="E224" s="267">
        <f>SUM(E217:E223)</f>
        <v>0</v>
      </c>
      <c r="F224" s="255"/>
      <c r="G224" s="256"/>
      <c r="H224" s="256"/>
      <c r="I224" s="256"/>
      <c r="J224" s="256"/>
      <c r="K224" s="256"/>
      <c r="L224" s="256"/>
      <c r="M224" s="256"/>
      <c r="N224" s="256"/>
      <c r="O224" s="256"/>
      <c r="P224" s="256"/>
      <c r="Q224" s="256"/>
      <c r="R224" s="256"/>
      <c r="S224" s="259">
        <f>SUM(S217:S223)</f>
        <v>0</v>
      </c>
      <c r="T224" s="257">
        <f>SUM(T217:T223)</f>
        <v>0</v>
      </c>
      <c r="U224" s="42"/>
      <c r="X224" s="258"/>
      <c r="Y224" s="256"/>
      <c r="Z224" s="260">
        <f>SQRT(SUMSQ(Z217:Z223))</f>
        <v>0</v>
      </c>
      <c r="AA224" s="260">
        <f>SQRT(SUMSQ(AA217:AA223))</f>
        <v>0</v>
      </c>
      <c r="AB224" s="257">
        <f>SQRT(SUMSQ(AB217:AB223))</f>
        <v>0</v>
      </c>
      <c r="AF224" s="258"/>
      <c r="AG224" s="260">
        <f>SUM(AG217:AG223)</f>
        <v>0</v>
      </c>
      <c r="AH224" s="260">
        <f>SUM(AH217:AH223)</f>
        <v>0</v>
      </c>
      <c r="AI224" s="259">
        <f>SUM(AI217:AI223)</f>
        <v>0</v>
      </c>
      <c r="AJ224" s="256"/>
      <c r="AK224" s="260">
        <f>SUM(AK217:AK223)</f>
        <v>0</v>
      </c>
      <c r="AL224" s="260">
        <f>SUM(AL217:AL223)</f>
        <v>0</v>
      </c>
      <c r="AM224" s="257">
        <f>SUM(AM217:AM223)</f>
        <v>0</v>
      </c>
      <c r="AS224" s="724">
        <f t="shared" ref="AS224:BD224" si="99">SUM(AS217:AS223)</f>
        <v>0</v>
      </c>
      <c r="AT224" s="725">
        <f t="shared" si="99"/>
        <v>0</v>
      </c>
      <c r="AU224" s="725">
        <f t="shared" si="99"/>
        <v>0</v>
      </c>
      <c r="AV224" s="725">
        <f t="shared" si="99"/>
        <v>0</v>
      </c>
      <c r="AW224" s="725">
        <f t="shared" si="99"/>
        <v>0</v>
      </c>
      <c r="AX224" s="725">
        <f t="shared" si="99"/>
        <v>0</v>
      </c>
      <c r="AY224" s="725">
        <f t="shared" si="99"/>
        <v>0</v>
      </c>
      <c r="AZ224" s="725">
        <f t="shared" si="99"/>
        <v>0</v>
      </c>
      <c r="BA224" s="726">
        <f t="shared" si="99"/>
        <v>0</v>
      </c>
      <c r="BB224" s="727">
        <f t="shared" si="99"/>
        <v>0</v>
      </c>
      <c r="BC224" s="724">
        <f t="shared" si="99"/>
        <v>0</v>
      </c>
      <c r="BD224" s="728">
        <f t="shared" si="99"/>
        <v>0</v>
      </c>
    </row>
    <row r="225" spans="2:62" ht="12.75" customHeight="1" outlineLevel="1" x14ac:dyDescent="0.2">
      <c r="Q225" s="42"/>
    </row>
    <row r="226" spans="2:62" ht="12.75" customHeight="1" outlineLevel="1" x14ac:dyDescent="0.2">
      <c r="B226" s="195" t="s">
        <v>2879</v>
      </c>
      <c r="C226" s="196"/>
      <c r="D226" s="1364"/>
      <c r="E226" s="1364"/>
      <c r="F226" s="196"/>
      <c r="G226" s="196"/>
      <c r="H226" s="196"/>
      <c r="I226" s="196"/>
      <c r="J226" s="196"/>
      <c r="K226" s="196"/>
      <c r="L226" s="196"/>
      <c r="M226" s="196"/>
      <c r="N226" s="196"/>
      <c r="O226" s="198"/>
      <c r="P226" s="198"/>
      <c r="Q226" s="198"/>
      <c r="R226" s="198"/>
      <c r="S226" s="198"/>
      <c r="T226" s="198"/>
      <c r="U226" s="199"/>
      <c r="W226" s="42"/>
      <c r="X226" s="1746" t="s">
        <v>723</v>
      </c>
      <c r="Y226" s="1747"/>
      <c r="Z226" s="1747"/>
      <c r="AA226" s="1747"/>
      <c r="AB226" s="1747"/>
      <c r="AC226" s="1747"/>
      <c r="AD226" s="1748"/>
      <c r="AF226" s="1746" t="s">
        <v>2066</v>
      </c>
      <c r="AG226" s="1747"/>
      <c r="AH226" s="1747"/>
      <c r="AI226" s="1747"/>
      <c r="AJ226" s="1747"/>
      <c r="AK226" s="1747"/>
      <c r="AL226" s="1747"/>
      <c r="AM226" s="1747"/>
      <c r="AN226" s="1747"/>
      <c r="AO226" s="1747"/>
      <c r="AP226" s="1747"/>
      <c r="AQ226" s="1748"/>
      <c r="AS226" s="1755" t="s">
        <v>2073</v>
      </c>
      <c r="AT226" s="1756"/>
      <c r="AU226" s="1756"/>
      <c r="AV226" s="1756"/>
      <c r="AW226" s="1756"/>
      <c r="AX226" s="1756"/>
      <c r="AY226" s="1756"/>
      <c r="AZ226" s="1756"/>
      <c r="BA226" s="1756"/>
      <c r="BB226" s="1756"/>
      <c r="BC226" s="1756"/>
      <c r="BD226" s="1756"/>
      <c r="BE226" s="1756"/>
      <c r="BF226" s="1756"/>
      <c r="BG226" s="1756"/>
      <c r="BH226" s="1756"/>
      <c r="BI226" s="1756"/>
      <c r="BJ226" s="1757"/>
    </row>
    <row r="227" spans="2:62" ht="12.75" customHeight="1" outlineLevel="1" x14ac:dyDescent="0.2">
      <c r="B227" s="417"/>
      <c r="C227" s="225"/>
      <c r="D227" s="705"/>
      <c r="E227" s="705"/>
      <c r="F227" s="201"/>
      <c r="G227" s="1370" t="s">
        <v>61</v>
      </c>
      <c r="H227" s="1745" t="s">
        <v>1249</v>
      </c>
      <c r="I227" s="1745"/>
      <c r="J227" s="1745" t="s">
        <v>1249</v>
      </c>
      <c r="K227" s="1745"/>
      <c r="L227" s="225"/>
      <c r="M227" s="225"/>
      <c r="N227" s="225"/>
      <c r="O227" s="225"/>
      <c r="P227" s="201"/>
      <c r="Q227" s="201"/>
      <c r="R227" s="201"/>
      <c r="S227" s="1745" t="s">
        <v>2646</v>
      </c>
      <c r="T227" s="1745"/>
      <c r="U227" s="1378" t="s">
        <v>2639</v>
      </c>
      <c r="W227" s="42"/>
      <c r="X227" s="1369"/>
      <c r="Y227" s="1370"/>
      <c r="Z227" s="1370"/>
      <c r="AA227" s="1370"/>
      <c r="AB227" s="1370"/>
      <c r="AC227" s="1370"/>
      <c r="AD227" s="1378" t="s">
        <v>2639</v>
      </c>
      <c r="AE227" s="42"/>
      <c r="AF227" s="216"/>
      <c r="AG227" s="705"/>
      <c r="AH227" s="705"/>
      <c r="AI227" s="705"/>
      <c r="AJ227" s="1370"/>
      <c r="AK227" s="1370" t="s">
        <v>2639</v>
      </c>
      <c r="AL227" s="217"/>
      <c r="AM227" s="705"/>
      <c r="AN227" s="705"/>
      <c r="AO227" s="705"/>
      <c r="AP227" s="1370"/>
      <c r="AQ227" s="1378" t="s">
        <v>2639</v>
      </c>
      <c r="AS227" s="1758" t="s">
        <v>61</v>
      </c>
      <c r="AT227" s="1759"/>
      <c r="AU227" s="1759"/>
      <c r="AV227" s="1759"/>
      <c r="AW227" s="1759"/>
      <c r="AX227" s="1759"/>
      <c r="AY227" s="1759"/>
      <c r="AZ227" s="1759"/>
      <c r="BA227" s="1759"/>
      <c r="BB227" s="1759"/>
      <c r="BC227" s="1759"/>
      <c r="BD227" s="1759"/>
      <c r="BE227" s="1759" t="s">
        <v>61</v>
      </c>
      <c r="BF227" s="1759"/>
      <c r="BG227" s="1760"/>
      <c r="BH227" s="730"/>
      <c r="BI227" s="785"/>
      <c r="BJ227" s="731"/>
    </row>
    <row r="228" spans="2:62" ht="12.75" customHeight="1" outlineLevel="1" x14ac:dyDescent="0.2">
      <c r="B228" s="200"/>
      <c r="C228" s="201"/>
      <c r="D228" s="1370" t="s">
        <v>56</v>
      </c>
      <c r="E228" s="1370" t="s">
        <v>56</v>
      </c>
      <c r="F228" s="205" t="s">
        <v>2634</v>
      </c>
      <c r="G228" s="1370" t="s">
        <v>2537</v>
      </c>
      <c r="H228" s="1745" t="s">
        <v>2640</v>
      </c>
      <c r="I228" s="1745"/>
      <c r="J228" s="1745" t="s">
        <v>2641</v>
      </c>
      <c r="K228" s="1835"/>
      <c r="L228" s="205" t="s">
        <v>2642</v>
      </c>
      <c r="M228" s="205" t="s">
        <v>2643</v>
      </c>
      <c r="N228" s="1652" t="s">
        <v>2637</v>
      </c>
      <c r="O228" s="205"/>
      <c r="P228" s="1744" t="s">
        <v>1281</v>
      </c>
      <c r="Q228" s="1745"/>
      <c r="R228" s="705" t="s">
        <v>61</v>
      </c>
      <c r="S228" s="705" t="s">
        <v>61</v>
      </c>
      <c r="T228" s="705" t="s">
        <v>61</v>
      </c>
      <c r="U228" s="1378" t="s">
        <v>30</v>
      </c>
      <c r="W228" s="42"/>
      <c r="X228" s="1629" t="s">
        <v>2605</v>
      </c>
      <c r="Y228" s="1370" t="s">
        <v>2110</v>
      </c>
      <c r="Z228" s="1370" t="s">
        <v>61</v>
      </c>
      <c r="AA228" s="1370" t="s">
        <v>61</v>
      </c>
      <c r="AB228" s="1370" t="s">
        <v>61</v>
      </c>
      <c r="AC228" s="705" t="s">
        <v>61</v>
      </c>
      <c r="AD228" s="1378" t="s">
        <v>30</v>
      </c>
      <c r="AE228" s="42"/>
      <c r="AF228" s="1369" t="s">
        <v>2065</v>
      </c>
      <c r="AG228" s="1370" t="s">
        <v>61</v>
      </c>
      <c r="AH228" s="1370" t="s">
        <v>61</v>
      </c>
      <c r="AI228" s="1370" t="s">
        <v>61</v>
      </c>
      <c r="AJ228" s="705" t="s">
        <v>61</v>
      </c>
      <c r="AK228" s="1370" t="s">
        <v>30</v>
      </c>
      <c r="AL228" s="1370" t="s">
        <v>2558</v>
      </c>
      <c r="AM228" s="1370" t="s">
        <v>61</v>
      </c>
      <c r="AN228" s="1370" t="s">
        <v>61</v>
      </c>
      <c r="AO228" s="1370" t="s">
        <v>61</v>
      </c>
      <c r="AP228" s="705" t="s">
        <v>61</v>
      </c>
      <c r="AQ228" s="1378" t="s">
        <v>30</v>
      </c>
      <c r="AS228" s="1764" t="s">
        <v>14</v>
      </c>
      <c r="AT228" s="1761"/>
      <c r="AU228" s="1761"/>
      <c r="AV228" s="1761" t="s">
        <v>60</v>
      </c>
      <c r="AW228" s="1761"/>
      <c r="AX228" s="1761"/>
      <c r="AY228" s="1761" t="s">
        <v>27</v>
      </c>
      <c r="AZ228" s="1761"/>
      <c r="BA228" s="1761"/>
      <c r="BB228" s="1761" t="s">
        <v>2074</v>
      </c>
      <c r="BC228" s="1761"/>
      <c r="BD228" s="1761"/>
      <c r="BE228" s="1762" t="s">
        <v>41</v>
      </c>
      <c r="BF228" s="1762"/>
      <c r="BG228" s="1763"/>
      <c r="BH228" s="1764" t="s">
        <v>85</v>
      </c>
      <c r="BI228" s="1761"/>
      <c r="BJ228" s="1765"/>
    </row>
    <row r="229" spans="2:62" ht="12.75" customHeight="1" outlineLevel="1" x14ac:dyDescent="0.2">
      <c r="B229" s="704" t="s">
        <v>2638</v>
      </c>
      <c r="C229" s="201"/>
      <c r="D229" s="1370" t="s">
        <v>61</v>
      </c>
      <c r="E229" s="1370" t="s">
        <v>63</v>
      </c>
      <c r="F229" s="208" t="s">
        <v>2054</v>
      </c>
      <c r="G229" s="1377" t="s">
        <v>1279</v>
      </c>
      <c r="H229" s="1377" t="s">
        <v>768</v>
      </c>
      <c r="I229" s="1377" t="s">
        <v>24</v>
      </c>
      <c r="J229" s="1377" t="s">
        <v>768</v>
      </c>
      <c r="K229" s="1377" t="s">
        <v>24</v>
      </c>
      <c r="L229" s="212" t="s">
        <v>2644</v>
      </c>
      <c r="M229" s="212" t="s">
        <v>2645</v>
      </c>
      <c r="N229" s="1652" t="s">
        <v>34</v>
      </c>
      <c r="O229" s="212" t="s">
        <v>2635</v>
      </c>
      <c r="P229" s="1377" t="s">
        <v>768</v>
      </c>
      <c r="Q229" s="1377" t="s">
        <v>24</v>
      </c>
      <c r="R229" s="1376" t="s">
        <v>1279</v>
      </c>
      <c r="S229" s="1376" t="s">
        <v>768</v>
      </c>
      <c r="T229" s="1376" t="s">
        <v>24</v>
      </c>
      <c r="U229" s="1378" t="s">
        <v>61</v>
      </c>
      <c r="W229" s="42"/>
      <c r="X229" s="1629" t="s">
        <v>2109</v>
      </c>
      <c r="Y229" s="1370"/>
      <c r="Z229" s="1377" t="s">
        <v>1279</v>
      </c>
      <c r="AA229" s="1377" t="s">
        <v>768</v>
      </c>
      <c r="AB229" s="1377" t="s">
        <v>24</v>
      </c>
      <c r="AC229" s="223" t="s">
        <v>41</v>
      </c>
      <c r="AD229" s="1378" t="s">
        <v>61</v>
      </c>
      <c r="AE229" s="42"/>
      <c r="AF229" s="1369"/>
      <c r="AG229" s="1377" t="s">
        <v>1279</v>
      </c>
      <c r="AH229" s="1377" t="s">
        <v>768</v>
      </c>
      <c r="AI229" s="1377" t="s">
        <v>24</v>
      </c>
      <c r="AJ229" s="223" t="s">
        <v>41</v>
      </c>
      <c r="AK229" s="1370" t="s">
        <v>61</v>
      </c>
      <c r="AL229" s="1370"/>
      <c r="AM229" s="1377" t="s">
        <v>1279</v>
      </c>
      <c r="AN229" s="1377" t="s">
        <v>768</v>
      </c>
      <c r="AO229" s="1377" t="s">
        <v>24</v>
      </c>
      <c r="AP229" s="223" t="s">
        <v>41</v>
      </c>
      <c r="AQ229" s="1378" t="s">
        <v>61</v>
      </c>
      <c r="AS229" s="732" t="s">
        <v>1279</v>
      </c>
      <c r="AT229" s="733" t="s">
        <v>768</v>
      </c>
      <c r="AU229" s="733" t="s">
        <v>24</v>
      </c>
      <c r="AV229" s="733" t="s">
        <v>1279</v>
      </c>
      <c r="AW229" s="733" t="s">
        <v>768</v>
      </c>
      <c r="AX229" s="733" t="s">
        <v>24</v>
      </c>
      <c r="AY229" s="733" t="s">
        <v>1279</v>
      </c>
      <c r="AZ229" s="733" t="s">
        <v>768</v>
      </c>
      <c r="BA229" s="733" t="s">
        <v>24</v>
      </c>
      <c r="BB229" s="733" t="s">
        <v>1279</v>
      </c>
      <c r="BC229" s="733" t="s">
        <v>768</v>
      </c>
      <c r="BD229" s="733" t="s">
        <v>24</v>
      </c>
      <c r="BE229" s="734" t="s">
        <v>1279</v>
      </c>
      <c r="BF229" s="734" t="s">
        <v>768</v>
      </c>
      <c r="BG229" s="735" t="s">
        <v>24</v>
      </c>
      <c r="BH229" s="732" t="s">
        <v>1279</v>
      </c>
      <c r="BI229" s="733" t="s">
        <v>768</v>
      </c>
      <c r="BJ229" s="736" t="s">
        <v>24</v>
      </c>
    </row>
    <row r="230" spans="2:62" ht="12.75" customHeight="1" outlineLevel="1" x14ac:dyDescent="0.2">
      <c r="B230" s="200" t="s">
        <v>1229</v>
      </c>
      <c r="C230" s="201"/>
      <c r="D230" s="262">
        <f>SUM(R230:T230)</f>
        <v>0</v>
      </c>
      <c r="E230" s="265">
        <f>D230*12/44</f>
        <v>0</v>
      </c>
      <c r="F230" s="559"/>
      <c r="G230" s="493">
        <f>VLOOKUP($B230,'Emissions factors'!$B$1171:$K$1216,2,FALSE)</f>
        <v>3.2999999999999995E-2</v>
      </c>
      <c r="H230" s="493">
        <f>VLOOKUP($B230,'Emissions factors'!$B$1171:$K$1216,3,FALSE)</f>
        <v>3.4326837023255813E-2</v>
      </c>
      <c r="I230" s="493">
        <f>VLOOKUP($B230,'Emissions factors'!$B$1171:$K$1216,4,FALSE)</f>
        <v>0.20370504</v>
      </c>
      <c r="J230" s="493">
        <f>VLOOKUP($B230,'Emissions factors'!$B$1171:$K$1216,5,FALSE)</f>
        <v>3.4326837023255813E-2</v>
      </c>
      <c r="K230" s="493">
        <f>VLOOKUP($B230,'Emissions factors'!$B$1171:$K$1216,6,FALSE)</f>
        <v>0.20370504</v>
      </c>
      <c r="L230" s="494">
        <f>VLOOKUP($B230,'Emissions factors'!$B$1171:$K$1216,7,FALSE)</f>
        <v>0.2</v>
      </c>
      <c r="M230" s="494">
        <f>VLOOKUP($B230,'Emissions factors'!$B$1171:$K$1216,8,FALSE)</f>
        <v>0.26058444187301394</v>
      </c>
      <c r="N230" s="495">
        <f>VLOOKUP($B230,'Emissions factors'!$B$1171:$K$1216,9,FALSE)</f>
        <v>0.46050331760971941</v>
      </c>
      <c r="O230" s="182"/>
      <c r="P230" s="272">
        <f>H230+(J230-H230)*(1-L230)*M230</f>
        <v>3.4326837023255813E-2</v>
      </c>
      <c r="Q230" s="272">
        <f>I230+(K230-I230)*(1-L230)*M230</f>
        <v>0.20370504</v>
      </c>
      <c r="R230" s="465">
        <f>G230*O230</f>
        <v>0</v>
      </c>
      <c r="S230" s="465">
        <f>O230*P230</f>
        <v>0</v>
      </c>
      <c r="T230" s="210">
        <f>O230*Q230</f>
        <v>0</v>
      </c>
      <c r="U230" s="222">
        <f>IF(OR(F230='Info utili'!$G$532,F230='Info utili'!$G$537),T230,0)</f>
        <v>0</v>
      </c>
      <c r="W230" s="324"/>
      <c r="X230" s="282">
        <f>VLOOKUP($B230,'Emissions factors'!$B$1171:$K$1216,10,FALSE)</f>
        <v>9.2614913518120803E-2</v>
      </c>
      <c r="Y230" s="183"/>
      <c r="Z230" s="221">
        <f>R230*SQRT(X230^2+Y230^2)</f>
        <v>0</v>
      </c>
      <c r="AA230" s="221">
        <f>S230*SQRT(X230^2+Y230^2)</f>
        <v>0</v>
      </c>
      <c r="AB230" s="221">
        <f>T230*SQRT(X230^2+Y230^2)</f>
        <v>0</v>
      </c>
      <c r="AC230" s="210">
        <f>SQRT(SUMSQ(Z230:AB230))</f>
        <v>0</v>
      </c>
      <c r="AD230" s="222">
        <f>U230*SQRT(X230^2+Y230^2)</f>
        <v>0</v>
      </c>
      <c r="AE230" s="42"/>
      <c r="AF230" s="184"/>
      <c r="AG230" s="221">
        <f t="shared" ref="AG230:AI234" si="100">R230*$AF230</f>
        <v>0</v>
      </c>
      <c r="AH230" s="221">
        <f t="shared" si="100"/>
        <v>0</v>
      </c>
      <c r="AI230" s="221">
        <f t="shared" si="100"/>
        <v>0</v>
      </c>
      <c r="AJ230" s="210">
        <f>SUM(AG230:AI230)</f>
        <v>0</v>
      </c>
      <c r="AK230" s="221">
        <f>U230*$AF230</f>
        <v>0</v>
      </c>
      <c r="AL230" s="184"/>
      <c r="AM230" s="221">
        <f>AL230*R230</f>
        <v>0</v>
      </c>
      <c r="AN230" s="221">
        <f>AL230*S230</f>
        <v>0</v>
      </c>
      <c r="AO230" s="221">
        <f>AL230*T230</f>
        <v>0</v>
      </c>
      <c r="AP230" s="210">
        <f>SUM(AM230:AO230)</f>
        <v>0</v>
      </c>
      <c r="AQ230" s="222">
        <f>AL230*U230</f>
        <v>0</v>
      </c>
      <c r="AS230" s="717"/>
      <c r="AT230" s="718"/>
      <c r="AU230" s="718"/>
      <c r="AV230" s="718"/>
      <c r="AW230" s="718"/>
      <c r="AX230" s="718"/>
      <c r="AY230" s="718"/>
      <c r="AZ230" s="718"/>
      <c r="BA230" s="718"/>
      <c r="BB230" s="718"/>
      <c r="BC230" s="718"/>
      <c r="BD230" s="718"/>
      <c r="BE230" s="719">
        <f t="shared" ref="BE230:BG234" si="101">R230</f>
        <v>0</v>
      </c>
      <c r="BF230" s="719">
        <f t="shared" si="101"/>
        <v>0</v>
      </c>
      <c r="BG230" s="720">
        <f t="shared" si="101"/>
        <v>0</v>
      </c>
      <c r="BH230" s="717"/>
      <c r="BI230" s="718"/>
      <c r="BJ230" s="721"/>
    </row>
    <row r="231" spans="2:62" ht="12.75" customHeight="1" outlineLevel="1" x14ac:dyDescent="0.2">
      <c r="B231" s="200" t="s">
        <v>1231</v>
      </c>
      <c r="C231" s="201"/>
      <c r="D231" s="262">
        <f>SUM(R231:T231)</f>
        <v>0</v>
      </c>
      <c r="E231" s="265">
        <f>D231*12/44</f>
        <v>0</v>
      </c>
      <c r="F231" s="442"/>
      <c r="G231" s="493">
        <f>VLOOKUP($B231,'Emissions factors'!$B$1171:$K$1216,2,FALSE)</f>
        <v>4.0333333333333332E-2</v>
      </c>
      <c r="H231" s="493">
        <f>VLOOKUP($B231,'Emissions factors'!$B$1171:$K$1216,3,FALSE)</f>
        <v>3.8822018062015497E-2</v>
      </c>
      <c r="I231" s="493">
        <f>VLOOKUP($B231,'Emissions factors'!$B$1171:$K$1216,4,FALSE)</f>
        <v>0.23038069999999999</v>
      </c>
      <c r="J231" s="493">
        <f>VLOOKUP($B231,'Emissions factors'!$B$1171:$K$1216,5,FALSE)</f>
        <v>3.8822018062015497E-2</v>
      </c>
      <c r="K231" s="493">
        <f>VLOOKUP($B231,'Emissions factors'!$B$1171:$K$1216,6,FALSE)</f>
        <v>0.23038069999999999</v>
      </c>
      <c r="L231" s="496">
        <f>VLOOKUP($B231,'Emissions factors'!$B$1171:$K$1216,7,FALSE)</f>
        <v>0.2</v>
      </c>
      <c r="M231" s="496">
        <f>VLOOKUP($B231,'Emissions factors'!$B$1171:$K$1216,8,FALSE)</f>
        <v>0.30134917135427164</v>
      </c>
      <c r="N231" s="495">
        <f>VLOOKUP($B231,'Emissions factors'!$B$1171:$K$1216,9,FALSE)</f>
        <v>0.69686602772542594</v>
      </c>
      <c r="O231" s="185"/>
      <c r="P231" s="272">
        <f>H231+(J231-H231)*(1-L231)*M231</f>
        <v>3.8822018062015497E-2</v>
      </c>
      <c r="Q231" s="272">
        <f>I231+(K231-I231)*(1-L231)*M231</f>
        <v>0.23038069999999999</v>
      </c>
      <c r="R231" s="465">
        <f>G231*O231</f>
        <v>0</v>
      </c>
      <c r="S231" s="465">
        <f>O231*P231</f>
        <v>0</v>
      </c>
      <c r="T231" s="210">
        <f>O231*Q231</f>
        <v>0</v>
      </c>
      <c r="U231" s="222">
        <f>IF(OR(F231='Info utili'!$G$532,F231='Info utili'!$G$537),T231,0)</f>
        <v>0</v>
      </c>
      <c r="W231" s="324"/>
      <c r="X231" s="282">
        <f>VLOOKUP($B231,'Emissions factors'!$B$1171:$K$1216,10,FALSE)</f>
        <v>0.10863614244021699</v>
      </c>
      <c r="Y231" s="186"/>
      <c r="Z231" s="221">
        <f>R231*SQRT(X231^2+Y231^2)</f>
        <v>0</v>
      </c>
      <c r="AA231" s="221">
        <f>S231*SQRT(X231^2+Y231^2)</f>
        <v>0</v>
      </c>
      <c r="AB231" s="221">
        <f>T231*SQRT(X231^2+Y231^2)</f>
        <v>0</v>
      </c>
      <c r="AC231" s="210">
        <f>SQRT(SUMSQ(Z231:AB231))</f>
        <v>0</v>
      </c>
      <c r="AD231" s="222">
        <f>U231*SQRT(X231^2+Y231^2)</f>
        <v>0</v>
      </c>
      <c r="AE231" s="42"/>
      <c r="AF231" s="187"/>
      <c r="AG231" s="221">
        <f t="shared" si="100"/>
        <v>0</v>
      </c>
      <c r="AH231" s="221">
        <f t="shared" si="100"/>
        <v>0</v>
      </c>
      <c r="AI231" s="221">
        <f t="shared" si="100"/>
        <v>0</v>
      </c>
      <c r="AJ231" s="210">
        <f>SUM(AG231:AI231)</f>
        <v>0</v>
      </c>
      <c r="AK231" s="221">
        <f>U231*$AF231</f>
        <v>0</v>
      </c>
      <c r="AL231" s="187"/>
      <c r="AM231" s="221">
        <f>AL231*R231</f>
        <v>0</v>
      </c>
      <c r="AN231" s="221">
        <f>AL231*S231</f>
        <v>0</v>
      </c>
      <c r="AO231" s="221">
        <f>AL231*T231</f>
        <v>0</v>
      </c>
      <c r="AP231" s="210">
        <f>SUM(AM231:AO231)</f>
        <v>0</v>
      </c>
      <c r="AQ231" s="222">
        <f>AL231*U231</f>
        <v>0</v>
      </c>
      <c r="AS231" s="717"/>
      <c r="AT231" s="718"/>
      <c r="AU231" s="718"/>
      <c r="AV231" s="718"/>
      <c r="AW231" s="718"/>
      <c r="AX231" s="718"/>
      <c r="AY231" s="718"/>
      <c r="AZ231" s="718"/>
      <c r="BA231" s="718"/>
      <c r="BB231" s="718"/>
      <c r="BC231" s="718"/>
      <c r="BD231" s="718"/>
      <c r="BE231" s="719">
        <f t="shared" si="101"/>
        <v>0</v>
      </c>
      <c r="BF231" s="719">
        <f t="shared" si="101"/>
        <v>0</v>
      </c>
      <c r="BG231" s="720">
        <f t="shared" si="101"/>
        <v>0</v>
      </c>
      <c r="BH231" s="717"/>
      <c r="BI231" s="718"/>
      <c r="BJ231" s="721"/>
    </row>
    <row r="232" spans="2:62" ht="12.75" customHeight="1" outlineLevel="1" x14ac:dyDescent="0.2">
      <c r="B232" s="200" t="s">
        <v>1241</v>
      </c>
      <c r="C232" s="201"/>
      <c r="D232" s="262">
        <f>SUM(R232:T232)</f>
        <v>0</v>
      </c>
      <c r="E232" s="265">
        <f>D232*12/44</f>
        <v>0</v>
      </c>
      <c r="F232" s="442"/>
      <c r="G232" s="493">
        <f>VLOOKUP($B232,'Emissions factors'!$B$1171:$K$1216,2,FALSE)</f>
        <v>0.10999999999999999</v>
      </c>
      <c r="H232" s="493">
        <f>VLOOKUP($B232,'Emissions factors'!$B$1171:$K$1216,3,FALSE)</f>
        <v>8.6923197162574253E-2</v>
      </c>
      <c r="I232" s="493">
        <f>VLOOKUP($B232,'Emissions factors'!$B$1171:$K$1216,4,FALSE)</f>
        <v>0.82407274465869496</v>
      </c>
      <c r="J232" s="493">
        <f>VLOOKUP($B232,'Emissions factors'!$B$1171:$K$1216,5,FALSE)</f>
        <v>0.12508460079492392</v>
      </c>
      <c r="K232" s="493">
        <f>VLOOKUP($B232,'Emissions factors'!$B$1171:$K$1216,6,FALSE)</f>
        <v>1.1858607788990974</v>
      </c>
      <c r="L232" s="496">
        <f>VLOOKUP($B232,'Emissions factors'!$B$1171:$K$1216,7,FALSE)</f>
        <v>0.21091797527003817</v>
      </c>
      <c r="M232" s="496">
        <f>VLOOKUP($B232,'Emissions factors'!$B$1171:$K$1216,8,FALSE)</f>
        <v>0.57249634491029433</v>
      </c>
      <c r="N232" s="495">
        <f>VLOOKUP($B232,'Emissions factors'!$B$1171:$K$1216,9,FALSE)</f>
        <v>25</v>
      </c>
      <c r="O232" s="185"/>
      <c r="P232" s="272">
        <f>H232+(J232-H232)*(1-L232)*M232</f>
        <v>0.1041624805503876</v>
      </c>
      <c r="Q232" s="272">
        <f>I232+(K232-I232)*(1-L232)*M232</f>
        <v>0.98750925000000001</v>
      </c>
      <c r="R232" s="465">
        <f>G232*O232</f>
        <v>0</v>
      </c>
      <c r="S232" s="465">
        <f>O232*P232</f>
        <v>0</v>
      </c>
      <c r="T232" s="210">
        <f>O232*Q232</f>
        <v>0</v>
      </c>
      <c r="U232" s="222">
        <f>IF(OR(F232='Info utili'!$G$532,F232='Info utili'!$G$537),T232,0)</f>
        <v>0</v>
      </c>
      <c r="W232" s="324"/>
      <c r="X232" s="282">
        <f>VLOOKUP($B232,'Emissions factors'!$B$1171:$K$1216,10,FALSE)</f>
        <v>0.10950044274342019</v>
      </c>
      <c r="Y232" s="186"/>
      <c r="Z232" s="221">
        <f>R232*SQRT(X232^2+Y232^2)</f>
        <v>0</v>
      </c>
      <c r="AA232" s="221">
        <f>S232*SQRT(X232^2+Y232^2)</f>
        <v>0</v>
      </c>
      <c r="AB232" s="221">
        <f>T232*SQRT(X232^2+Y232^2)</f>
        <v>0</v>
      </c>
      <c r="AC232" s="210">
        <f>SQRT(SUMSQ(Z232:AB232))</f>
        <v>0</v>
      </c>
      <c r="AD232" s="222">
        <f>U232*SQRT(X232^2+Y232^2)</f>
        <v>0</v>
      </c>
      <c r="AE232" s="42"/>
      <c r="AF232" s="187"/>
      <c r="AG232" s="221">
        <f t="shared" si="100"/>
        <v>0</v>
      </c>
      <c r="AH232" s="221">
        <f t="shared" si="100"/>
        <v>0</v>
      </c>
      <c r="AI232" s="221">
        <f t="shared" si="100"/>
        <v>0</v>
      </c>
      <c r="AJ232" s="210">
        <f>SUM(AG232:AI232)</f>
        <v>0</v>
      </c>
      <c r="AK232" s="221">
        <f>U232*$AF232</f>
        <v>0</v>
      </c>
      <c r="AL232" s="187"/>
      <c r="AM232" s="221">
        <f>AL232*R232</f>
        <v>0</v>
      </c>
      <c r="AN232" s="221">
        <f>AL232*S232</f>
        <v>0</v>
      </c>
      <c r="AO232" s="221">
        <f>AL232*T232</f>
        <v>0</v>
      </c>
      <c r="AP232" s="210">
        <f>SUM(AM232:AO232)</f>
        <v>0</v>
      </c>
      <c r="AQ232" s="222">
        <f>AL232*U232</f>
        <v>0</v>
      </c>
      <c r="AS232" s="717"/>
      <c r="AT232" s="718"/>
      <c r="AU232" s="718"/>
      <c r="AV232" s="718"/>
      <c r="AW232" s="718"/>
      <c r="AX232" s="718"/>
      <c r="AY232" s="718"/>
      <c r="AZ232" s="718"/>
      <c r="BA232" s="718"/>
      <c r="BB232" s="718"/>
      <c r="BC232" s="718"/>
      <c r="BD232" s="718"/>
      <c r="BE232" s="719">
        <f t="shared" si="101"/>
        <v>0</v>
      </c>
      <c r="BF232" s="719">
        <f t="shared" si="101"/>
        <v>0</v>
      </c>
      <c r="BG232" s="720">
        <f t="shared" si="101"/>
        <v>0</v>
      </c>
      <c r="BH232" s="717"/>
      <c r="BI232" s="718"/>
      <c r="BJ232" s="721"/>
    </row>
    <row r="233" spans="2:62" ht="12.75" customHeight="1" outlineLevel="1" x14ac:dyDescent="0.2">
      <c r="B233" s="200" t="s">
        <v>1230</v>
      </c>
      <c r="C233" s="201"/>
      <c r="D233" s="262">
        <f>SUM(R233:T233)</f>
        <v>0</v>
      </c>
      <c r="E233" s="265">
        <f>D233*12/44</f>
        <v>0</v>
      </c>
      <c r="F233" s="442"/>
      <c r="G233" s="493">
        <f>VLOOKUP($B233,'Emissions factors'!$B$1171:$K$1216,2,FALSE)</f>
        <v>2.4749999999999998E-2</v>
      </c>
      <c r="H233" s="493">
        <f>VLOOKUP($B233,'Emissions factors'!$B$1171:$K$1216,3,FALSE)</f>
        <v>2.0214821023255811E-2</v>
      </c>
      <c r="I233" s="493">
        <f>VLOOKUP($B233,'Emissions factors'!$B$1171:$K$1216,4,FALSE)</f>
        <v>0.19164599999999998</v>
      </c>
      <c r="J233" s="493">
        <f>VLOOKUP($B233,'Emissions factors'!$B$1171:$K$1216,5,FALSE)</f>
        <v>2.0214821023255811E-2</v>
      </c>
      <c r="K233" s="493">
        <f>VLOOKUP($B233,'Emissions factors'!$B$1171:$K$1216,6,FALSE)</f>
        <v>0.19164599999999998</v>
      </c>
      <c r="L233" s="496">
        <f>VLOOKUP($B233,'Emissions factors'!$B$1171:$K$1216,7,FALSE)</f>
        <v>0.2</v>
      </c>
      <c r="M233" s="496">
        <f>VLOOKUP($B233,'Emissions factors'!$B$1171:$K$1216,8,FALSE)</f>
        <v>0.26058444187301394</v>
      </c>
      <c r="N233" s="495">
        <f>VLOOKUP($B233,'Emissions factors'!$B$1171:$K$1216,9,FALSE)</f>
        <v>0.46050331760971941</v>
      </c>
      <c r="O233" s="185"/>
      <c r="P233" s="272">
        <f>H233+(J233-H233)*(1-L233)*M233</f>
        <v>2.0214821023255811E-2</v>
      </c>
      <c r="Q233" s="272">
        <f>I233+(K233-I233)*(1-L233)*M233</f>
        <v>0.19164599999999998</v>
      </c>
      <c r="R233" s="465">
        <f>G233*O233</f>
        <v>0</v>
      </c>
      <c r="S233" s="465">
        <f>O233*P233</f>
        <v>0</v>
      </c>
      <c r="T233" s="210">
        <f>O233*Q233</f>
        <v>0</v>
      </c>
      <c r="U233" s="222">
        <f>IF(OR(F233='Info utili'!$G$532,F233='Info utili'!$G$537),T233,0)</f>
        <v>0</v>
      </c>
      <c r="W233" s="324"/>
      <c r="X233" s="282">
        <f>VLOOKUP($B233,'Emissions factors'!$B$1171:$K$1216,10,FALSE)</f>
        <v>8.661075162385995E-2</v>
      </c>
      <c r="Y233" s="186"/>
      <c r="Z233" s="221">
        <f>R233*SQRT(X233^2+Y233^2)</f>
        <v>0</v>
      </c>
      <c r="AA233" s="221">
        <f>S233*SQRT(X233^2+Y233^2)</f>
        <v>0</v>
      </c>
      <c r="AB233" s="221">
        <f>T233*SQRT(X233^2+Y233^2)</f>
        <v>0</v>
      </c>
      <c r="AC233" s="210">
        <f>SQRT(SUMSQ(Z233:AB233))</f>
        <v>0</v>
      </c>
      <c r="AD233" s="222">
        <f>U233*SQRT(X233^2+Y233^2)</f>
        <v>0</v>
      </c>
      <c r="AE233" s="42"/>
      <c r="AF233" s="187"/>
      <c r="AG233" s="221">
        <f t="shared" si="100"/>
        <v>0</v>
      </c>
      <c r="AH233" s="221">
        <f t="shared" si="100"/>
        <v>0</v>
      </c>
      <c r="AI233" s="221">
        <f t="shared" si="100"/>
        <v>0</v>
      </c>
      <c r="AJ233" s="210">
        <f>SUM(AG233:AI233)</f>
        <v>0</v>
      </c>
      <c r="AK233" s="221">
        <f>U233*$AF233</f>
        <v>0</v>
      </c>
      <c r="AL233" s="187"/>
      <c r="AM233" s="221">
        <f>AL233*R233</f>
        <v>0</v>
      </c>
      <c r="AN233" s="221">
        <f>AL233*S233</f>
        <v>0</v>
      </c>
      <c r="AO233" s="221">
        <f>AL233*T233</f>
        <v>0</v>
      </c>
      <c r="AP233" s="210">
        <f>SUM(AM233:AO233)</f>
        <v>0</v>
      </c>
      <c r="AQ233" s="222">
        <f>AL233*U233</f>
        <v>0</v>
      </c>
      <c r="AS233" s="717"/>
      <c r="AT233" s="718"/>
      <c r="AU233" s="718"/>
      <c r="AV233" s="718"/>
      <c r="AW233" s="718"/>
      <c r="AX233" s="718"/>
      <c r="AY233" s="718"/>
      <c r="AZ233" s="718"/>
      <c r="BA233" s="718"/>
      <c r="BB233" s="718"/>
      <c r="BC233" s="718"/>
      <c r="BD233" s="718"/>
      <c r="BE233" s="719">
        <f t="shared" si="101"/>
        <v>0</v>
      </c>
      <c r="BF233" s="719">
        <f t="shared" si="101"/>
        <v>0</v>
      </c>
      <c r="BG233" s="720">
        <f t="shared" si="101"/>
        <v>0</v>
      </c>
      <c r="BH233" s="717"/>
      <c r="BI233" s="718"/>
      <c r="BJ233" s="721"/>
    </row>
    <row r="234" spans="2:62" ht="12.75" customHeight="1" outlineLevel="1" x14ac:dyDescent="0.2">
      <c r="B234" s="200" t="s">
        <v>1232</v>
      </c>
      <c r="C234" s="201"/>
      <c r="D234" s="262">
        <f>SUM(R234:T234)</f>
        <v>0</v>
      </c>
      <c r="E234" s="265">
        <f>D234*12/44</f>
        <v>0</v>
      </c>
      <c r="F234" s="443"/>
      <c r="G234" s="493">
        <f>VLOOKUP($B234,'Emissions factors'!$B$1171:$K$1216,2,FALSE)</f>
        <v>3.0249999999999999E-2</v>
      </c>
      <c r="H234" s="493">
        <f>VLOOKUP($B234,'Emissions factors'!$B$1171:$K$1216,3,FALSE)</f>
        <v>2.3583957860465115E-2</v>
      </c>
      <c r="I234" s="493">
        <f>VLOOKUP($B234,'Emissions factors'!$B$1171:$K$1216,4,FALSE)</f>
        <v>0.22358700000000001</v>
      </c>
      <c r="J234" s="493">
        <f>VLOOKUP($B234,'Emissions factors'!$B$1171:$K$1216,5,FALSE)</f>
        <v>2.3583957860465115E-2</v>
      </c>
      <c r="K234" s="493">
        <f>VLOOKUP($B234,'Emissions factors'!$B$1171:$K$1216,6,FALSE)</f>
        <v>0.22358700000000001</v>
      </c>
      <c r="L234" s="497">
        <f>VLOOKUP($B234,'Emissions factors'!$B$1171:$K$1216,7,FALSE)</f>
        <v>0.2</v>
      </c>
      <c r="M234" s="497">
        <f>VLOOKUP($B234,'Emissions factors'!$B$1171:$K$1216,8,FALSE)</f>
        <v>0.30134917135427164</v>
      </c>
      <c r="N234" s="495">
        <f>VLOOKUP($B234,'Emissions factors'!$B$1171:$K$1216,9,FALSE)</f>
        <v>0.69686602772542594</v>
      </c>
      <c r="O234" s="188"/>
      <c r="P234" s="272">
        <f>H234+(J234-H234)*(1-L234)*M234</f>
        <v>2.3583957860465115E-2</v>
      </c>
      <c r="Q234" s="272">
        <f>I234+(K234-I234)*(1-L234)*M234</f>
        <v>0.22358700000000001</v>
      </c>
      <c r="R234" s="465">
        <f>G234*O234</f>
        <v>0</v>
      </c>
      <c r="S234" s="465">
        <f>O234*P234</f>
        <v>0</v>
      </c>
      <c r="T234" s="210">
        <f>O234*Q234</f>
        <v>0</v>
      </c>
      <c r="U234" s="222">
        <f>IF(OR(F234='Info utili'!$G$532,F234='Info utili'!$G$537),T234,0)</f>
        <v>0</v>
      </c>
      <c r="W234" s="324"/>
      <c r="X234" s="282">
        <f>VLOOKUP($B234,'Emissions factors'!$B$1171:$K$1216,10,FALSE)</f>
        <v>9.906803042200836E-2</v>
      </c>
      <c r="Y234" s="190"/>
      <c r="Z234" s="221">
        <f>R234*SQRT(X234^2+Y234^2)</f>
        <v>0</v>
      </c>
      <c r="AA234" s="221">
        <f>S234*SQRT(X234^2+Y234^2)</f>
        <v>0</v>
      </c>
      <c r="AB234" s="221">
        <f>T234*SQRT(X234^2+Y234^2)</f>
        <v>0</v>
      </c>
      <c r="AC234" s="210">
        <f>SQRT(SUMSQ(Z234:AB234))</f>
        <v>0</v>
      </c>
      <c r="AD234" s="222">
        <f>U234*SQRT(X234^2+Y234^2)</f>
        <v>0</v>
      </c>
      <c r="AE234" s="42"/>
      <c r="AF234" s="190"/>
      <c r="AG234" s="221">
        <f t="shared" si="100"/>
        <v>0</v>
      </c>
      <c r="AH234" s="221">
        <f t="shared" si="100"/>
        <v>0</v>
      </c>
      <c r="AI234" s="221">
        <f t="shared" si="100"/>
        <v>0</v>
      </c>
      <c r="AJ234" s="210">
        <f>SUM(AG234:AI234)</f>
        <v>0</v>
      </c>
      <c r="AK234" s="221">
        <f>U234*$AF234</f>
        <v>0</v>
      </c>
      <c r="AL234" s="190"/>
      <c r="AM234" s="221">
        <f>AL234*R234</f>
        <v>0</v>
      </c>
      <c r="AN234" s="221">
        <f>AL234*S234</f>
        <v>0</v>
      </c>
      <c r="AO234" s="221">
        <f>AL234*T234</f>
        <v>0</v>
      </c>
      <c r="AP234" s="210">
        <f>SUM(AM234:AO234)</f>
        <v>0</v>
      </c>
      <c r="AQ234" s="222">
        <f>AL234*U234</f>
        <v>0</v>
      </c>
      <c r="AS234" s="717"/>
      <c r="AT234" s="718"/>
      <c r="AU234" s="718"/>
      <c r="AV234" s="718"/>
      <c r="AW234" s="718"/>
      <c r="AX234" s="718"/>
      <c r="AY234" s="718"/>
      <c r="AZ234" s="718"/>
      <c r="BA234" s="718"/>
      <c r="BB234" s="718"/>
      <c r="BC234" s="718"/>
      <c r="BD234" s="718"/>
      <c r="BE234" s="719">
        <f t="shared" si="101"/>
        <v>0</v>
      </c>
      <c r="BF234" s="719">
        <f t="shared" si="101"/>
        <v>0</v>
      </c>
      <c r="BG234" s="720">
        <f t="shared" si="101"/>
        <v>0</v>
      </c>
      <c r="BH234" s="717"/>
      <c r="BI234" s="718"/>
      <c r="BJ234" s="721"/>
    </row>
    <row r="235" spans="2:62" ht="12.75" customHeight="1" outlineLevel="1" x14ac:dyDescent="0.2">
      <c r="B235" s="200"/>
      <c r="C235" s="201"/>
      <c r="D235" s="262"/>
      <c r="E235" s="265"/>
      <c r="F235" s="493"/>
      <c r="G235" s="493"/>
      <c r="H235" s="493"/>
      <c r="I235" s="493"/>
      <c r="J235" s="493"/>
      <c r="K235" s="493"/>
      <c r="L235" s="495"/>
      <c r="M235" s="221"/>
      <c r="N235" s="495"/>
      <c r="O235" s="221"/>
      <c r="P235" s="272"/>
      <c r="Q235" s="272"/>
      <c r="R235" s="465"/>
      <c r="S235" s="465"/>
      <c r="T235" s="210"/>
      <c r="U235" s="222"/>
      <c r="W235" s="324"/>
      <c r="X235" s="282"/>
      <c r="Y235" s="221"/>
      <c r="Z235" s="221"/>
      <c r="AA235" s="221"/>
      <c r="AB235" s="221"/>
      <c r="AC235" s="210"/>
      <c r="AD235" s="222"/>
      <c r="AE235" s="42"/>
      <c r="AF235" s="1203"/>
      <c r="AG235" s="221"/>
      <c r="AH235" s="221"/>
      <c r="AI235" s="221"/>
      <c r="AJ235" s="210"/>
      <c r="AK235" s="221"/>
      <c r="AL235" s="221"/>
      <c r="AM235" s="221"/>
      <c r="AN235" s="221"/>
      <c r="AO235" s="221"/>
      <c r="AP235" s="210"/>
      <c r="AQ235" s="222"/>
      <c r="AS235" s="717"/>
      <c r="AT235" s="718"/>
      <c r="AU235" s="718"/>
      <c r="AV235" s="718"/>
      <c r="AW235" s="718"/>
      <c r="AX235" s="718"/>
      <c r="AY235" s="718"/>
      <c r="AZ235" s="718"/>
      <c r="BA235" s="718"/>
      <c r="BB235" s="718"/>
      <c r="BC235" s="718"/>
      <c r="BD235" s="718"/>
      <c r="BE235" s="719"/>
      <c r="BF235" s="719"/>
      <c r="BG235" s="720"/>
      <c r="BH235" s="717"/>
      <c r="BI235" s="718"/>
      <c r="BJ235" s="721"/>
    </row>
    <row r="236" spans="2:62" ht="12.75" customHeight="1" outlineLevel="1" x14ac:dyDescent="0.2">
      <c r="B236" s="704" t="s">
        <v>2780</v>
      </c>
      <c r="C236" s="201"/>
      <c r="D236" s="262"/>
      <c r="E236" s="265"/>
      <c r="F236" s="493"/>
      <c r="G236" s="493"/>
      <c r="H236" s="493"/>
      <c r="I236" s="493"/>
      <c r="J236" s="493"/>
      <c r="K236" s="493"/>
      <c r="L236" s="495"/>
      <c r="M236" s="221"/>
      <c r="N236" s="495"/>
      <c r="O236" s="221"/>
      <c r="P236" s="272"/>
      <c r="Q236" s="272"/>
      <c r="R236" s="465"/>
      <c r="S236" s="465"/>
      <c r="T236" s="210"/>
      <c r="U236" s="222"/>
      <c r="W236" s="324"/>
      <c r="X236" s="282"/>
      <c r="Y236" s="221"/>
      <c r="Z236" s="221"/>
      <c r="AA236" s="221"/>
      <c r="AB236" s="221"/>
      <c r="AC236" s="210"/>
      <c r="AD236" s="222"/>
      <c r="AE236" s="42"/>
      <c r="AF236" s="1225"/>
      <c r="AG236" s="221"/>
      <c r="AH236" s="221"/>
      <c r="AI236" s="221"/>
      <c r="AJ236" s="210"/>
      <c r="AK236" s="221"/>
      <c r="AL236" s="221"/>
      <c r="AM236" s="221"/>
      <c r="AN236" s="221"/>
      <c r="AO236" s="221"/>
      <c r="AP236" s="210"/>
      <c r="AQ236" s="222"/>
      <c r="AS236" s="717"/>
      <c r="AT236" s="718"/>
      <c r="AU236" s="718"/>
      <c r="AV236" s="718"/>
      <c r="AW236" s="718"/>
      <c r="AX236" s="718"/>
      <c r="AY236" s="718"/>
      <c r="AZ236" s="718"/>
      <c r="BA236" s="718"/>
      <c r="BB236" s="718"/>
      <c r="BC236" s="718"/>
      <c r="BD236" s="718"/>
      <c r="BE236" s="719"/>
      <c r="BF236" s="719"/>
      <c r="BG236" s="720"/>
      <c r="BH236" s="717"/>
      <c r="BI236" s="718"/>
      <c r="BJ236" s="721"/>
    </row>
    <row r="237" spans="2:62" ht="12.75" customHeight="1" outlineLevel="1" x14ac:dyDescent="0.2">
      <c r="B237" s="200" t="s">
        <v>1284</v>
      </c>
      <c r="C237" s="201"/>
      <c r="D237" s="262">
        <f>SUM(R237:T237)</f>
        <v>0</v>
      </c>
      <c r="E237" s="265">
        <f>D237*12/44</f>
        <v>0</v>
      </c>
      <c r="F237" s="559"/>
      <c r="G237" s="493">
        <f>VLOOKUP($B237,'Emissions factors'!$B$1221:$AG$1245,17,FALSE)</f>
        <v>0.04</v>
      </c>
      <c r="H237" s="493"/>
      <c r="I237" s="493"/>
      <c r="J237" s="493"/>
      <c r="K237" s="493"/>
      <c r="L237" s="695"/>
      <c r="M237" s="695"/>
      <c r="N237" s="495"/>
      <c r="O237" s="1221"/>
      <c r="P237" s="272">
        <f>VLOOKUP($B237,'Emissions factors'!$B$1221:$AG$1245,18,FALSE)</f>
        <v>0.10489999999999999</v>
      </c>
      <c r="Q237" s="272">
        <f>VLOOKUP($B237,'Emissions factors'!$B$1221:$AG$1245,19,FALSE)</f>
        <v>0.40239000000000003</v>
      </c>
      <c r="R237" s="465">
        <f>G237*O237</f>
        <v>0</v>
      </c>
      <c r="S237" s="465">
        <f>O237*P237</f>
        <v>0</v>
      </c>
      <c r="T237" s="210">
        <f>O237*Q237</f>
        <v>0</v>
      </c>
      <c r="U237" s="222">
        <f>IF(OR(F237='Info utili'!$G$532,F237='Info utili'!$G$537),T237,0)</f>
        <v>0</v>
      </c>
      <c r="W237" s="324"/>
      <c r="X237" s="282">
        <f>VLOOKUP($B237,'Emissions factors'!$B$1221:$AG$1245,32,FALSE)</f>
        <v>0.7</v>
      </c>
      <c r="Y237" s="184"/>
      <c r="Z237" s="221">
        <f>R237*SQRT(X237^2+Y237^2)</f>
        <v>0</v>
      </c>
      <c r="AA237" s="221">
        <f>S237*SQRT(X237^2+Y237^2)</f>
        <v>0</v>
      </c>
      <c r="AB237" s="221">
        <f>T237*SQRT(X237^2+Y237^2)</f>
        <v>0</v>
      </c>
      <c r="AC237" s="210">
        <f>SQRT(SUMSQ(Z237:AB237))</f>
        <v>0</v>
      </c>
      <c r="AD237" s="222">
        <f>U237*SQRT(X237^2+Y237^2)</f>
        <v>0</v>
      </c>
      <c r="AE237" s="42"/>
      <c r="AF237" s="184"/>
      <c r="AG237" s="221">
        <f t="shared" ref="AG237:AI241" si="102">R237*$AF237</f>
        <v>0</v>
      </c>
      <c r="AH237" s="221">
        <f t="shared" si="102"/>
        <v>0</v>
      </c>
      <c r="AI237" s="221">
        <f t="shared" si="102"/>
        <v>0</v>
      </c>
      <c r="AJ237" s="210">
        <f>SUM(AG237:AI237)</f>
        <v>0</v>
      </c>
      <c r="AK237" s="221">
        <f>U237*$AF237</f>
        <v>0</v>
      </c>
      <c r="AL237" s="184"/>
      <c r="AM237" s="221">
        <f>AL237*R237</f>
        <v>0</v>
      </c>
      <c r="AN237" s="221">
        <f>AL237*S237</f>
        <v>0</v>
      </c>
      <c r="AO237" s="221">
        <f>AL237*T237</f>
        <v>0</v>
      </c>
      <c r="AP237" s="210">
        <f>SUM(AM237:AO237)</f>
        <v>0</v>
      </c>
      <c r="AQ237" s="222">
        <f>AL237*U237</f>
        <v>0</v>
      </c>
      <c r="AS237" s="717">
        <f>O237*VLOOKUP($B237,'Emissions factors'!$B$1221:$AG$1245,20,FALSE)</f>
        <v>0</v>
      </c>
      <c r="AT237" s="718">
        <f>O237*VLOOKUP($B237,'Emissions factors'!$B$1221:$AG$1245,21,FALSE)</f>
        <v>0</v>
      </c>
      <c r="AU237" s="718">
        <f>O237*VLOOKUP($B237,'Emissions factors'!$B$1221:$AG$1245,22,FALSE)</f>
        <v>0</v>
      </c>
      <c r="AV237" s="718">
        <f>O237*VLOOKUP($B237,'Emissions factors'!$B$1221:$AG$1245,23,FALSE)</f>
        <v>0</v>
      </c>
      <c r="AW237" s="718">
        <f>O237*VLOOKUP($B237,'Emissions factors'!$B$1221:$AG$1245,24,FALSE)</f>
        <v>0</v>
      </c>
      <c r="AX237" s="718">
        <f>O237*VLOOKUP($B237,'Emissions factors'!$B$1221:$AG$1245,25,FALSE)</f>
        <v>0</v>
      </c>
      <c r="AY237" s="718">
        <f>O237*VLOOKUP($B237,'Emissions factors'!$B$1221:$AG$1245,26,FALSE)</f>
        <v>0</v>
      </c>
      <c r="AZ237" s="718">
        <f>O237*VLOOKUP($B237,'Emissions factors'!$B$1221:$AG$1245,27,FALSE)</f>
        <v>0</v>
      </c>
      <c r="BA237" s="718">
        <f>O237*VLOOKUP($B237,'Emissions factors'!$B$1221:$AG$1245,28,FALSE)</f>
        <v>0</v>
      </c>
      <c r="BB237" s="718">
        <v>0</v>
      </c>
      <c r="BC237" s="718">
        <v>0</v>
      </c>
      <c r="BD237" s="718">
        <v>0</v>
      </c>
      <c r="BE237" s="719">
        <f t="shared" ref="BE237:BG241" si="103">R237</f>
        <v>0</v>
      </c>
      <c r="BF237" s="719">
        <f t="shared" si="103"/>
        <v>0</v>
      </c>
      <c r="BG237" s="720">
        <f t="shared" si="103"/>
        <v>0</v>
      </c>
      <c r="BH237" s="717">
        <f>O237*VLOOKUP($B237,'Emissions factors'!$B$1221:$AG$1245,29,FALSE)</f>
        <v>0</v>
      </c>
      <c r="BI237" s="718">
        <f>O237*VLOOKUP($B237,'Emissions factors'!$B$1221:$AG$1245,30,FALSE)</f>
        <v>0</v>
      </c>
      <c r="BJ237" s="721">
        <f>O237*VLOOKUP($B237,'Emissions factors'!$B$1221:$AG$1245,31,FALSE)</f>
        <v>0</v>
      </c>
    </row>
    <row r="238" spans="2:62" ht="12.75" customHeight="1" outlineLevel="1" x14ac:dyDescent="0.2">
      <c r="B238" s="200" t="s">
        <v>1285</v>
      </c>
      <c r="C238" s="201"/>
      <c r="D238" s="262">
        <f>SUM(R238:T238)</f>
        <v>0</v>
      </c>
      <c r="E238" s="265">
        <f>D238*12/44</f>
        <v>0</v>
      </c>
      <c r="F238" s="692"/>
      <c r="G238" s="493">
        <f>VLOOKUP($B238,'Emissions factors'!$B$1221:$AG$1245,17,FALSE)</f>
        <v>0.04</v>
      </c>
      <c r="H238" s="493"/>
      <c r="I238" s="493"/>
      <c r="J238" s="493"/>
      <c r="K238" s="493"/>
      <c r="L238" s="696"/>
      <c r="M238" s="696"/>
      <c r="N238" s="495"/>
      <c r="O238" s="1222"/>
      <c r="P238" s="272">
        <f>VLOOKUP($B238,'Emissions factors'!$B$1221:$AG$1245,18,FALSE)</f>
        <v>0.10489999999999999</v>
      </c>
      <c r="Q238" s="272">
        <f>VLOOKUP($B238,'Emissions factors'!$B$1221:$AG$1245,19,FALSE)</f>
        <v>0.40239000000000003</v>
      </c>
      <c r="R238" s="465">
        <f>G238*O238</f>
        <v>0</v>
      </c>
      <c r="S238" s="465">
        <f>O238*P238</f>
        <v>0</v>
      </c>
      <c r="T238" s="210">
        <f>O238*Q238</f>
        <v>0</v>
      </c>
      <c r="U238" s="222">
        <f>IF(OR(F238='Info utili'!$G$532,F238='Info utili'!$G$537),T238,0)</f>
        <v>0</v>
      </c>
      <c r="W238" s="324"/>
      <c r="X238" s="282">
        <f>VLOOKUP($B238,'Emissions factors'!$B$1221:$AG$1245,32,FALSE)</f>
        <v>0.7</v>
      </c>
      <c r="Y238" s="186"/>
      <c r="Z238" s="221">
        <f>R238*SQRT(X238^2+Y238^2)</f>
        <v>0</v>
      </c>
      <c r="AA238" s="221">
        <f>S238*SQRT(X238^2+Y238^2)</f>
        <v>0</v>
      </c>
      <c r="AB238" s="221">
        <f>T238*SQRT(X238^2+Y238^2)</f>
        <v>0</v>
      </c>
      <c r="AC238" s="210">
        <f>SQRT(SUMSQ(Z238:AB238))</f>
        <v>0</v>
      </c>
      <c r="AD238" s="222">
        <f>U238*SQRT(X238^2+Y238^2)</f>
        <v>0</v>
      </c>
      <c r="AE238" s="42"/>
      <c r="AF238" s="187"/>
      <c r="AG238" s="221">
        <f t="shared" si="102"/>
        <v>0</v>
      </c>
      <c r="AH238" s="221">
        <f t="shared" si="102"/>
        <v>0</v>
      </c>
      <c r="AI238" s="221">
        <f t="shared" si="102"/>
        <v>0</v>
      </c>
      <c r="AJ238" s="210">
        <f>SUM(AG238:AI238)</f>
        <v>0</v>
      </c>
      <c r="AK238" s="221">
        <f>U238*$AF238</f>
        <v>0</v>
      </c>
      <c r="AL238" s="187"/>
      <c r="AM238" s="221">
        <f>AL238*R238</f>
        <v>0</v>
      </c>
      <c r="AN238" s="221">
        <f>AL238*S238</f>
        <v>0</v>
      </c>
      <c r="AO238" s="221">
        <f>AL238*T238</f>
        <v>0</v>
      </c>
      <c r="AP238" s="210">
        <f>SUM(AM238:AO238)</f>
        <v>0</v>
      </c>
      <c r="AQ238" s="222">
        <f>AL238*U238</f>
        <v>0</v>
      </c>
      <c r="AS238" s="717">
        <f>O238*VLOOKUP($B238,'Emissions factors'!$B$1221:$AG$1245,20,FALSE)</f>
        <v>0</v>
      </c>
      <c r="AT238" s="718">
        <f>O238*VLOOKUP($B238,'Emissions factors'!$B$1221:$AG$1245,21,FALSE)</f>
        <v>0</v>
      </c>
      <c r="AU238" s="718">
        <f>O238*VLOOKUP($B238,'Emissions factors'!$B$1221:$AG$1245,22,FALSE)</f>
        <v>0</v>
      </c>
      <c r="AV238" s="718">
        <f>O238*VLOOKUP($B238,'Emissions factors'!$B$1221:$AG$1245,23,FALSE)</f>
        <v>0</v>
      </c>
      <c r="AW238" s="718">
        <f>O238*VLOOKUP($B238,'Emissions factors'!$B$1221:$AG$1245,24,FALSE)</f>
        <v>0</v>
      </c>
      <c r="AX238" s="718">
        <f>O238*VLOOKUP($B238,'Emissions factors'!$B$1221:$AG$1245,25,FALSE)</f>
        <v>0</v>
      </c>
      <c r="AY238" s="718">
        <f>O238*VLOOKUP($B238,'Emissions factors'!$B$1221:$AG$1245,26,FALSE)</f>
        <v>0</v>
      </c>
      <c r="AZ238" s="718">
        <f>O238*VLOOKUP($B238,'Emissions factors'!$B$1221:$AG$1245,27,FALSE)</f>
        <v>0</v>
      </c>
      <c r="BA238" s="718">
        <f>O238*VLOOKUP($B238,'Emissions factors'!$B$1221:$AG$1245,28,FALSE)</f>
        <v>0</v>
      </c>
      <c r="BB238" s="718">
        <v>0</v>
      </c>
      <c r="BC238" s="718">
        <v>0</v>
      </c>
      <c r="BD238" s="718">
        <v>0</v>
      </c>
      <c r="BE238" s="719">
        <f t="shared" si="103"/>
        <v>0</v>
      </c>
      <c r="BF238" s="719">
        <f t="shared" si="103"/>
        <v>0</v>
      </c>
      <c r="BG238" s="720">
        <f t="shared" si="103"/>
        <v>0</v>
      </c>
      <c r="BH238" s="717">
        <f>O238*VLOOKUP($B238,'Emissions factors'!$B$1221:$AG$1245,29,FALSE)</f>
        <v>0</v>
      </c>
      <c r="BI238" s="718">
        <f>O238*VLOOKUP($B238,'Emissions factors'!$B$1221:$AG$1245,30,FALSE)</f>
        <v>0</v>
      </c>
      <c r="BJ238" s="721">
        <f>O238*VLOOKUP($B238,'Emissions factors'!$B$1221:$AG$1245,31,FALSE)</f>
        <v>0</v>
      </c>
    </row>
    <row r="239" spans="2:62" ht="12.75" customHeight="1" outlineLevel="1" x14ac:dyDescent="0.2">
      <c r="B239" s="200" t="s">
        <v>1296</v>
      </c>
      <c r="C239" s="201"/>
      <c r="D239" s="262">
        <f>SUM(R239:T239)</f>
        <v>0</v>
      </c>
      <c r="E239" s="265">
        <f>D239*12/44</f>
        <v>0</v>
      </c>
      <c r="F239" s="692"/>
      <c r="G239" s="493">
        <f>VLOOKUP($B239,'Emissions factors'!$B$1221:$AG$1245,17,FALSE)</f>
        <v>0.11</v>
      </c>
      <c r="H239" s="493"/>
      <c r="I239" s="493"/>
      <c r="J239" s="493"/>
      <c r="K239" s="493"/>
      <c r="L239" s="696"/>
      <c r="M239" s="696"/>
      <c r="N239" s="495"/>
      <c r="O239" s="1213"/>
      <c r="P239" s="272">
        <f>VLOOKUP($B239,'Emissions factors'!$B$1221:$AG$1245,18,FALSE)</f>
        <v>0.2651</v>
      </c>
      <c r="Q239" s="272">
        <f>VLOOKUP($B239,'Emissions factors'!$B$1221:$AG$1245,19,FALSE)</f>
        <v>1.0185759999999999</v>
      </c>
      <c r="R239" s="465">
        <f>G239*O239</f>
        <v>0</v>
      </c>
      <c r="S239" s="465">
        <f>O239*P239</f>
        <v>0</v>
      </c>
      <c r="T239" s="210">
        <f>O239*Q239</f>
        <v>0</v>
      </c>
      <c r="U239" s="222">
        <f>IF(OR(F239='Info utili'!$G$532,F239='Info utili'!$G$537),T239,0)</f>
        <v>0</v>
      </c>
      <c r="W239" s="324"/>
      <c r="X239" s="282">
        <f>VLOOKUP($B239,'Emissions factors'!$B$1221:$AG$1245,32,FALSE)</f>
        <v>0.7</v>
      </c>
      <c r="Y239" s="186"/>
      <c r="Z239" s="221">
        <f>R239*SQRT(X239^2+Y239^2)</f>
        <v>0</v>
      </c>
      <c r="AA239" s="221">
        <f>S239*SQRT(X239^2+Y239^2)</f>
        <v>0</v>
      </c>
      <c r="AB239" s="221">
        <f>T239*SQRT(X239^2+Y239^2)</f>
        <v>0</v>
      </c>
      <c r="AC239" s="210">
        <f>SQRT(SUMSQ(Z239:AB239))</f>
        <v>0</v>
      </c>
      <c r="AD239" s="222">
        <f>U239*SQRT(X239^2+Y239^2)</f>
        <v>0</v>
      </c>
      <c r="AE239" s="42"/>
      <c r="AF239" s="187"/>
      <c r="AG239" s="221">
        <f t="shared" si="102"/>
        <v>0</v>
      </c>
      <c r="AH239" s="221">
        <f t="shared" si="102"/>
        <v>0</v>
      </c>
      <c r="AI239" s="221">
        <f t="shared" si="102"/>
        <v>0</v>
      </c>
      <c r="AJ239" s="210">
        <f>SUM(AG239:AI239)</f>
        <v>0</v>
      </c>
      <c r="AK239" s="221">
        <f>U239*$AF239</f>
        <v>0</v>
      </c>
      <c r="AL239" s="187"/>
      <c r="AM239" s="221">
        <f>AL239*R239</f>
        <v>0</v>
      </c>
      <c r="AN239" s="221">
        <f>AL239*S239</f>
        <v>0</v>
      </c>
      <c r="AO239" s="221">
        <f>AL239*T239</f>
        <v>0</v>
      </c>
      <c r="AP239" s="210">
        <f>SUM(AM239:AO239)</f>
        <v>0</v>
      </c>
      <c r="AQ239" s="222">
        <f>AL239*U239</f>
        <v>0</v>
      </c>
      <c r="AS239" s="717">
        <f>O239*VLOOKUP($B239,'Emissions factors'!$B$1221:$AG$1245,20,FALSE)</f>
        <v>0</v>
      </c>
      <c r="AT239" s="718">
        <f>O239*VLOOKUP($B239,'Emissions factors'!$B$1221:$AG$1245,21,FALSE)</f>
        <v>0</v>
      </c>
      <c r="AU239" s="718">
        <f>O239*VLOOKUP($B239,'Emissions factors'!$B$1221:$AG$1245,22,FALSE)</f>
        <v>0</v>
      </c>
      <c r="AV239" s="718">
        <f>O239*VLOOKUP($B239,'Emissions factors'!$B$1221:$AG$1245,23,FALSE)</f>
        <v>0</v>
      </c>
      <c r="AW239" s="718">
        <f>O239*VLOOKUP($B239,'Emissions factors'!$B$1221:$AG$1245,24,FALSE)</f>
        <v>0</v>
      </c>
      <c r="AX239" s="718">
        <f>O239*VLOOKUP($B239,'Emissions factors'!$B$1221:$AG$1245,25,FALSE)</f>
        <v>0</v>
      </c>
      <c r="AY239" s="718">
        <f>O239*VLOOKUP($B239,'Emissions factors'!$B$1221:$AG$1245,26,FALSE)</f>
        <v>0</v>
      </c>
      <c r="AZ239" s="718">
        <f>O239*VLOOKUP($B239,'Emissions factors'!$B$1221:$AG$1245,27,FALSE)</f>
        <v>0</v>
      </c>
      <c r="BA239" s="718">
        <f>O239*VLOOKUP($B239,'Emissions factors'!$B$1221:$AG$1245,28,FALSE)</f>
        <v>0</v>
      </c>
      <c r="BB239" s="718">
        <v>0</v>
      </c>
      <c r="BC239" s="718">
        <v>0</v>
      </c>
      <c r="BD239" s="718">
        <v>0</v>
      </c>
      <c r="BE239" s="719">
        <f t="shared" si="103"/>
        <v>0</v>
      </c>
      <c r="BF239" s="719">
        <f t="shared" si="103"/>
        <v>0</v>
      </c>
      <c r="BG239" s="720">
        <f t="shared" si="103"/>
        <v>0</v>
      </c>
      <c r="BH239" s="717">
        <f>O239*VLOOKUP($B239,'Emissions factors'!$B$1221:$AG$1245,29,FALSE)</f>
        <v>0</v>
      </c>
      <c r="BI239" s="718">
        <f>O239*VLOOKUP($B239,'Emissions factors'!$B$1221:$AG$1245,30,FALSE)</f>
        <v>0</v>
      </c>
      <c r="BJ239" s="721">
        <f>O239*VLOOKUP($B239,'Emissions factors'!$B$1221:$AG$1245,31,FALSE)</f>
        <v>0</v>
      </c>
    </row>
    <row r="240" spans="2:62" ht="12.75" customHeight="1" outlineLevel="1" x14ac:dyDescent="0.2">
      <c r="B240" s="200" t="s">
        <v>1295</v>
      </c>
      <c r="C240" s="201"/>
      <c r="D240" s="262">
        <f>SUM(R240:T240)</f>
        <v>0</v>
      </c>
      <c r="E240" s="265">
        <f>D240*12/44</f>
        <v>0</v>
      </c>
      <c r="F240" s="692"/>
      <c r="G240" s="493">
        <f>VLOOKUP($B240,'Emissions factors'!$B$1221:$AG$1245,17,FALSE)</f>
        <v>0.09</v>
      </c>
      <c r="H240" s="493"/>
      <c r="I240" s="493"/>
      <c r="J240" s="493"/>
      <c r="K240" s="493"/>
      <c r="L240" s="696"/>
      <c r="M240" s="696"/>
      <c r="N240" s="495"/>
      <c r="O240" s="1213"/>
      <c r="P240" s="272">
        <f>VLOOKUP($B240,'Emissions factors'!$B$1221:$AG$1245,18,FALSE)</f>
        <v>0.17745999999999998</v>
      </c>
      <c r="Q240" s="272">
        <f>VLOOKUP($B240,'Emissions factors'!$B$1221:$AG$1245,19,FALSE)</f>
        <v>0.67971400000000004</v>
      </c>
      <c r="R240" s="465">
        <f>G240*O240</f>
        <v>0</v>
      </c>
      <c r="S240" s="465">
        <f>O240*P240</f>
        <v>0</v>
      </c>
      <c r="T240" s="210">
        <f>O240*Q240</f>
        <v>0</v>
      </c>
      <c r="U240" s="222">
        <f>IF(OR(F240='Info utili'!$G$532,F240='Info utili'!$G$537),T240,0)</f>
        <v>0</v>
      </c>
      <c r="W240" s="324"/>
      <c r="X240" s="282">
        <f>VLOOKUP($B240,'Emissions factors'!$B$1221:$AG$1245,32,FALSE)</f>
        <v>0.7</v>
      </c>
      <c r="Y240" s="186"/>
      <c r="Z240" s="221">
        <f>R240*SQRT(X240^2+Y240^2)</f>
        <v>0</v>
      </c>
      <c r="AA240" s="221">
        <f>S240*SQRT(X240^2+Y240^2)</f>
        <v>0</v>
      </c>
      <c r="AB240" s="221">
        <f>T240*SQRT(X240^2+Y240^2)</f>
        <v>0</v>
      </c>
      <c r="AC240" s="210">
        <f>SQRT(SUMSQ(Z240:AB240))</f>
        <v>0</v>
      </c>
      <c r="AD240" s="222">
        <f>U240*SQRT(X240^2+Y240^2)</f>
        <v>0</v>
      </c>
      <c r="AE240" s="42"/>
      <c r="AF240" s="187"/>
      <c r="AG240" s="221">
        <f t="shared" si="102"/>
        <v>0</v>
      </c>
      <c r="AH240" s="221">
        <f t="shared" si="102"/>
        <v>0</v>
      </c>
      <c r="AI240" s="221">
        <f t="shared" si="102"/>
        <v>0</v>
      </c>
      <c r="AJ240" s="210">
        <f>SUM(AG240:AI240)</f>
        <v>0</v>
      </c>
      <c r="AK240" s="221">
        <f>U240*$AF240</f>
        <v>0</v>
      </c>
      <c r="AL240" s="187"/>
      <c r="AM240" s="221">
        <f>AL240*R240</f>
        <v>0</v>
      </c>
      <c r="AN240" s="221">
        <f>AL240*S240</f>
        <v>0</v>
      </c>
      <c r="AO240" s="221">
        <f>AL240*T240</f>
        <v>0</v>
      </c>
      <c r="AP240" s="210">
        <f>SUM(AM240:AO240)</f>
        <v>0</v>
      </c>
      <c r="AQ240" s="222">
        <f>AL240*U240</f>
        <v>0</v>
      </c>
      <c r="AS240" s="717">
        <f>O240*VLOOKUP($B240,'Emissions factors'!$B$1221:$AG$1245,20,FALSE)</f>
        <v>0</v>
      </c>
      <c r="AT240" s="718">
        <f>O240*VLOOKUP($B240,'Emissions factors'!$B$1221:$AG$1245,21,FALSE)</f>
        <v>0</v>
      </c>
      <c r="AU240" s="718">
        <f>O240*VLOOKUP($B240,'Emissions factors'!$B$1221:$AG$1245,22,FALSE)</f>
        <v>0</v>
      </c>
      <c r="AV240" s="718">
        <f>O240*VLOOKUP($B240,'Emissions factors'!$B$1221:$AG$1245,23,FALSE)</f>
        <v>0</v>
      </c>
      <c r="AW240" s="718">
        <f>O240*VLOOKUP($B240,'Emissions factors'!$B$1221:$AG$1245,24,FALSE)</f>
        <v>0</v>
      </c>
      <c r="AX240" s="718">
        <f>O240*VLOOKUP($B240,'Emissions factors'!$B$1221:$AG$1245,25,FALSE)</f>
        <v>0</v>
      </c>
      <c r="AY240" s="718">
        <f>O240*VLOOKUP($B240,'Emissions factors'!$B$1221:$AG$1245,26,FALSE)</f>
        <v>0</v>
      </c>
      <c r="AZ240" s="718">
        <f>O240*VLOOKUP($B240,'Emissions factors'!$B$1221:$AG$1245,27,FALSE)</f>
        <v>0</v>
      </c>
      <c r="BA240" s="718">
        <f>O240*VLOOKUP($B240,'Emissions factors'!$B$1221:$AG$1245,28,FALSE)</f>
        <v>0</v>
      </c>
      <c r="BB240" s="718">
        <v>0</v>
      </c>
      <c r="BC240" s="718">
        <v>0</v>
      </c>
      <c r="BD240" s="718">
        <v>0</v>
      </c>
      <c r="BE240" s="719">
        <f t="shared" si="103"/>
        <v>0</v>
      </c>
      <c r="BF240" s="719">
        <f t="shared" si="103"/>
        <v>0</v>
      </c>
      <c r="BG240" s="720">
        <f t="shared" si="103"/>
        <v>0</v>
      </c>
      <c r="BH240" s="717">
        <f>O240*VLOOKUP($B240,'Emissions factors'!$B$1221:$AG$1245,29,FALSE)</f>
        <v>0</v>
      </c>
      <c r="BI240" s="718">
        <f>O240*VLOOKUP($B240,'Emissions factors'!$B$1221:$AG$1245,30,FALSE)</f>
        <v>0</v>
      </c>
      <c r="BJ240" s="721">
        <f>O240*VLOOKUP($B240,'Emissions factors'!$B$1221:$AG$1245,31,FALSE)</f>
        <v>0</v>
      </c>
    </row>
    <row r="241" spans="2:62" ht="12.75" customHeight="1" outlineLevel="1" x14ac:dyDescent="0.2">
      <c r="B241" s="200" t="s">
        <v>1286</v>
      </c>
      <c r="C241" s="201"/>
      <c r="D241" s="262">
        <f>SUM(R241:T241)</f>
        <v>0</v>
      </c>
      <c r="E241" s="265">
        <f>D241*12/44</f>
        <v>0</v>
      </c>
      <c r="F241" s="443"/>
      <c r="G241" s="493">
        <f>VLOOKUP($B241,'Emissions factors'!$B$1221:$AG$1245,17,FALSE)</f>
        <v>0.09</v>
      </c>
      <c r="H241" s="493"/>
      <c r="I241" s="493"/>
      <c r="J241" s="493"/>
      <c r="K241" s="493"/>
      <c r="L241" s="697"/>
      <c r="M241" s="697"/>
      <c r="N241" s="495"/>
      <c r="O241" s="1223"/>
      <c r="P241" s="272">
        <f>VLOOKUP($B241,'Emissions factors'!$B$1221:$AG$1245,18,FALSE)</f>
        <v>0.17745999999999998</v>
      </c>
      <c r="Q241" s="272">
        <f>VLOOKUP($B241,'Emissions factors'!$B$1221:$AG$1245,19,FALSE)</f>
        <v>0.67971400000000004</v>
      </c>
      <c r="R241" s="465">
        <f>G241*O241</f>
        <v>0</v>
      </c>
      <c r="S241" s="465">
        <f>O241*P241</f>
        <v>0</v>
      </c>
      <c r="T241" s="210">
        <f>O241*Q241</f>
        <v>0</v>
      </c>
      <c r="U241" s="222">
        <f>IF(OR(F241='Info utili'!$G$532,F241='Info utili'!$G$537),T241,0)</f>
        <v>0</v>
      </c>
      <c r="W241" s="42"/>
      <c r="X241" s="282">
        <f>VLOOKUP($B241,'Emissions factors'!$B$1221:$AG$1245,32,FALSE)</f>
        <v>0.7</v>
      </c>
      <c r="Y241" s="189"/>
      <c r="Z241" s="221">
        <f>R241*SQRT(X241^2+Y241^2)</f>
        <v>0</v>
      </c>
      <c r="AA241" s="221">
        <f>S241*SQRT(X241^2+Y241^2)</f>
        <v>0</v>
      </c>
      <c r="AB241" s="221">
        <f>T241*SQRT(X241^2+Y241^2)</f>
        <v>0</v>
      </c>
      <c r="AC241" s="210">
        <f>SQRT(SUMSQ(Z241:AB241))</f>
        <v>0</v>
      </c>
      <c r="AD241" s="222">
        <f>U241*SQRT(X241^2+Y241^2)</f>
        <v>0</v>
      </c>
      <c r="AE241" s="42"/>
      <c r="AF241" s="190"/>
      <c r="AG241" s="221">
        <f t="shared" si="102"/>
        <v>0</v>
      </c>
      <c r="AH241" s="221">
        <f t="shared" si="102"/>
        <v>0</v>
      </c>
      <c r="AI241" s="221">
        <f t="shared" si="102"/>
        <v>0</v>
      </c>
      <c r="AJ241" s="210">
        <f>SUM(AG241:AI241)</f>
        <v>0</v>
      </c>
      <c r="AK241" s="221">
        <f>U241*$AF241</f>
        <v>0</v>
      </c>
      <c r="AL241" s="190"/>
      <c r="AM241" s="221">
        <f>AL241*R241</f>
        <v>0</v>
      </c>
      <c r="AN241" s="221">
        <f>AL241*S241</f>
        <v>0</v>
      </c>
      <c r="AO241" s="221">
        <f>AL241*T241</f>
        <v>0</v>
      </c>
      <c r="AP241" s="210">
        <f>SUM(AM241:AO241)</f>
        <v>0</v>
      </c>
      <c r="AQ241" s="222">
        <f>AL241*U241</f>
        <v>0</v>
      </c>
      <c r="AS241" s="717">
        <f>O241*VLOOKUP($B241,'Emissions factors'!$B$1221:$AG$1245,20,FALSE)</f>
        <v>0</v>
      </c>
      <c r="AT241" s="718">
        <f>O241*VLOOKUP($B241,'Emissions factors'!$B$1221:$AG$1245,21,FALSE)</f>
        <v>0</v>
      </c>
      <c r="AU241" s="718">
        <f>O241*VLOOKUP($B241,'Emissions factors'!$B$1221:$AG$1245,22,FALSE)</f>
        <v>0</v>
      </c>
      <c r="AV241" s="718">
        <f>O241*VLOOKUP($B241,'Emissions factors'!$B$1221:$AG$1245,23,FALSE)</f>
        <v>0</v>
      </c>
      <c r="AW241" s="718">
        <f>O241*VLOOKUP($B241,'Emissions factors'!$B$1221:$AG$1245,24,FALSE)</f>
        <v>0</v>
      </c>
      <c r="AX241" s="718">
        <f>O241*VLOOKUP($B241,'Emissions factors'!$B$1221:$AG$1245,25,FALSE)</f>
        <v>0</v>
      </c>
      <c r="AY241" s="718">
        <f>O241*VLOOKUP($B241,'Emissions factors'!$B$1221:$AG$1245,26,FALSE)</f>
        <v>0</v>
      </c>
      <c r="AZ241" s="718">
        <f>O241*VLOOKUP($B241,'Emissions factors'!$B$1221:$AG$1245,27,FALSE)</f>
        <v>0</v>
      </c>
      <c r="BA241" s="718">
        <f>O241*VLOOKUP($B241,'Emissions factors'!$B$1221:$AG$1245,28,FALSE)</f>
        <v>0</v>
      </c>
      <c r="BB241" s="718">
        <v>0</v>
      </c>
      <c r="BC241" s="718">
        <v>0</v>
      </c>
      <c r="BD241" s="718">
        <v>0</v>
      </c>
      <c r="BE241" s="719">
        <f t="shared" si="103"/>
        <v>0</v>
      </c>
      <c r="BF241" s="719">
        <f t="shared" si="103"/>
        <v>0</v>
      </c>
      <c r="BG241" s="720">
        <f t="shared" si="103"/>
        <v>0</v>
      </c>
      <c r="BH241" s="717">
        <f>O241*VLOOKUP($B241,'Emissions factors'!$B$1221:$AG$1245,29,FALSE)</f>
        <v>0</v>
      </c>
      <c r="BI241" s="718">
        <f>O241*VLOOKUP($B241,'Emissions factors'!$B$1221:$AG$1245,30,FALSE)</f>
        <v>0</v>
      </c>
      <c r="BJ241" s="721">
        <f>O241*VLOOKUP($B241,'Emissions factors'!$B$1221:$AG$1245,31,FALSE)</f>
        <v>0</v>
      </c>
    </row>
    <row r="242" spans="2:62" ht="12.75" customHeight="1" outlineLevel="1" x14ac:dyDescent="0.2">
      <c r="B242" s="200"/>
      <c r="C242" s="201"/>
      <c r="D242" s="263"/>
      <c r="E242" s="266"/>
      <c r="F242" s="201"/>
      <c r="G242" s="201"/>
      <c r="H242" s="201"/>
      <c r="I242" s="201"/>
      <c r="J242" s="201"/>
      <c r="K242" s="201"/>
      <c r="L242" s="201"/>
      <c r="M242" s="201"/>
      <c r="N242" s="201"/>
      <c r="O242" s="201"/>
      <c r="P242" s="201"/>
      <c r="Q242" s="201"/>
      <c r="R242" s="201"/>
      <c r="S242" s="201"/>
      <c r="T242" s="221"/>
      <c r="U242" s="203"/>
      <c r="W242" s="42"/>
      <c r="X242" s="200"/>
      <c r="Y242" s="201"/>
      <c r="Z242" s="201"/>
      <c r="AA242" s="201"/>
      <c r="AB242" s="221"/>
      <c r="AC242" s="221"/>
      <c r="AD242" s="222"/>
      <c r="AE242" s="42"/>
      <c r="AF242" s="200"/>
      <c r="AG242" s="1370"/>
      <c r="AH242" s="1370"/>
      <c r="AI242" s="1370"/>
      <c r="AJ242" s="221"/>
      <c r="AK242" s="1370"/>
      <c r="AL242" s="201"/>
      <c r="AM242" s="1370"/>
      <c r="AN242" s="1370"/>
      <c r="AO242" s="221"/>
      <c r="AP242" s="221"/>
      <c r="AQ242" s="203"/>
      <c r="AS242" s="717"/>
      <c r="AT242" s="718"/>
      <c r="AU242" s="718"/>
      <c r="AV242" s="718"/>
      <c r="AW242" s="718"/>
      <c r="AX242" s="718"/>
      <c r="AY242" s="718"/>
      <c r="AZ242" s="718"/>
      <c r="BA242" s="718"/>
      <c r="BB242" s="718"/>
      <c r="BC242" s="718"/>
      <c r="BD242" s="718"/>
      <c r="BE242" s="719"/>
      <c r="BF242" s="719"/>
      <c r="BG242" s="720"/>
      <c r="BH242" s="722"/>
      <c r="BI242" s="786"/>
      <c r="BJ242" s="723"/>
    </row>
    <row r="243" spans="2:62" ht="12.75" customHeight="1" outlineLevel="1" x14ac:dyDescent="0.2">
      <c r="B243" s="253" t="s">
        <v>2828</v>
      </c>
      <c r="C243" s="254"/>
      <c r="D243" s="264">
        <f>SUM(D230:D242)</f>
        <v>0</v>
      </c>
      <c r="E243" s="267">
        <f>SUM(E230:E242)</f>
        <v>0</v>
      </c>
      <c r="F243" s="254"/>
      <c r="G243" s="254"/>
      <c r="H243" s="254"/>
      <c r="I243" s="254"/>
      <c r="J243" s="254"/>
      <c r="K243" s="254"/>
      <c r="L243" s="254"/>
      <c r="M243" s="254"/>
      <c r="N243" s="254"/>
      <c r="O243" s="254"/>
      <c r="P243" s="254"/>
      <c r="Q243" s="254"/>
      <c r="R243" s="259">
        <f>SUM(R230:R242)</f>
        <v>0</v>
      </c>
      <c r="S243" s="259">
        <f>SUM(S230:S242)</f>
        <v>0</v>
      </c>
      <c r="T243" s="259">
        <f>SUM(T230:T242)</f>
        <v>0</v>
      </c>
      <c r="U243" s="428">
        <f>SUM(U230:U242)</f>
        <v>0</v>
      </c>
      <c r="W243" s="42"/>
      <c r="X243" s="258"/>
      <c r="Y243" s="256"/>
      <c r="Z243" s="260">
        <f>SQRT(SUMSQ(Z230:Z242))</f>
        <v>0</v>
      </c>
      <c r="AA243" s="260">
        <f>SQRT(SUMSQ(AA230:AA242))</f>
        <v>0</v>
      </c>
      <c r="AB243" s="260">
        <f>SQRT(SUMSQ(AB230:AB242))</f>
        <v>0</v>
      </c>
      <c r="AC243" s="259">
        <f>SQRT(SUMSQ(AC230:AC242))</f>
        <v>0</v>
      </c>
      <c r="AD243" s="428">
        <f>SQRT(SUMSQ(AD230:AD242))</f>
        <v>0</v>
      </c>
      <c r="AE243" s="42"/>
      <c r="AF243" s="258"/>
      <c r="AG243" s="260">
        <f>SUM(AG230:AG242)</f>
        <v>0</v>
      </c>
      <c r="AH243" s="260">
        <f>SUM(AH230:AH242)</f>
        <v>0</v>
      </c>
      <c r="AI243" s="260">
        <f>SUM(AI230:AI242)</f>
        <v>0</v>
      </c>
      <c r="AJ243" s="259">
        <f>SUM(AJ230:AJ242)</f>
        <v>0</v>
      </c>
      <c r="AK243" s="260">
        <f>SUM(AK230:AK242)</f>
        <v>0</v>
      </c>
      <c r="AL243" s="256"/>
      <c r="AM243" s="260">
        <f>SUM(AM230:AM242)</f>
        <v>0</v>
      </c>
      <c r="AN243" s="260">
        <f>SUM(AN230:AN242)</f>
        <v>0</v>
      </c>
      <c r="AO243" s="260">
        <f>SUM(AO230:AO242)</f>
        <v>0</v>
      </c>
      <c r="AP243" s="259">
        <f>SUM(AP230:AP242)</f>
        <v>0</v>
      </c>
      <c r="AQ243" s="428">
        <f>SUM(AQ230:AQ242)</f>
        <v>0</v>
      </c>
      <c r="AS243" s="724">
        <f t="shared" ref="AS243:BJ243" si="104">SUM(AS230:AS242)</f>
        <v>0</v>
      </c>
      <c r="AT243" s="725">
        <f t="shared" si="104"/>
        <v>0</v>
      </c>
      <c r="AU243" s="725">
        <f t="shared" si="104"/>
        <v>0</v>
      </c>
      <c r="AV243" s="725">
        <f t="shared" si="104"/>
        <v>0</v>
      </c>
      <c r="AW243" s="725">
        <f t="shared" si="104"/>
        <v>0</v>
      </c>
      <c r="AX243" s="725">
        <f t="shared" si="104"/>
        <v>0</v>
      </c>
      <c r="AY243" s="725">
        <f t="shared" si="104"/>
        <v>0</v>
      </c>
      <c r="AZ243" s="725">
        <f t="shared" si="104"/>
        <v>0</v>
      </c>
      <c r="BA243" s="725">
        <f t="shared" si="104"/>
        <v>0</v>
      </c>
      <c r="BB243" s="725">
        <f t="shared" si="104"/>
        <v>0</v>
      </c>
      <c r="BC243" s="725">
        <f t="shared" si="104"/>
        <v>0</v>
      </c>
      <c r="BD243" s="725">
        <f t="shared" si="104"/>
        <v>0</v>
      </c>
      <c r="BE243" s="726">
        <f t="shared" si="104"/>
        <v>0</v>
      </c>
      <c r="BF243" s="726">
        <f t="shared" si="104"/>
        <v>0</v>
      </c>
      <c r="BG243" s="727">
        <f t="shared" si="104"/>
        <v>0</v>
      </c>
      <c r="BH243" s="724">
        <f t="shared" si="104"/>
        <v>0</v>
      </c>
      <c r="BI243" s="725">
        <f t="shared" si="104"/>
        <v>0</v>
      </c>
      <c r="BJ243" s="728">
        <f t="shared" si="104"/>
        <v>0</v>
      </c>
    </row>
    <row r="244" spans="2:62" ht="12.75" customHeight="1" outlineLevel="1" x14ac:dyDescent="0.2"/>
    <row r="245" spans="2:62" ht="12.75" customHeight="1" outlineLevel="1" x14ac:dyDescent="0.2">
      <c r="B245" s="195" t="s">
        <v>2880</v>
      </c>
      <c r="C245" s="196"/>
      <c r="D245" s="1364"/>
      <c r="E245" s="1364"/>
      <c r="F245" s="196"/>
      <c r="G245" s="196"/>
      <c r="H245" s="196"/>
      <c r="I245" s="196"/>
      <c r="J245" s="196"/>
      <c r="K245" s="196"/>
      <c r="L245" s="196"/>
      <c r="M245" s="196"/>
      <c r="N245" s="196"/>
      <c r="O245" s="198"/>
      <c r="P245" s="198"/>
      <c r="Q245" s="198"/>
      <c r="R245" s="198"/>
      <c r="S245" s="198"/>
      <c r="T245" s="198"/>
      <c r="U245" s="198"/>
      <c r="V245" s="199"/>
      <c r="W245" s="316"/>
      <c r="X245" s="1746" t="s">
        <v>723</v>
      </c>
      <c r="Y245" s="1747"/>
      <c r="Z245" s="1747"/>
      <c r="AA245" s="1747"/>
      <c r="AB245" s="1747"/>
      <c r="AC245" s="1747"/>
      <c r="AD245" s="1748"/>
      <c r="AE245" s="316"/>
      <c r="AF245" s="1746" t="s">
        <v>2066</v>
      </c>
      <c r="AG245" s="1747"/>
      <c r="AH245" s="1747"/>
      <c r="AI245" s="1747"/>
      <c r="AJ245" s="1747"/>
      <c r="AK245" s="1747"/>
      <c r="AL245" s="1747"/>
      <c r="AM245" s="1747"/>
      <c r="AN245" s="1747"/>
      <c r="AO245" s="1747"/>
      <c r="AP245" s="1747"/>
      <c r="AQ245" s="1748"/>
      <c r="AS245" s="1755" t="s">
        <v>2073</v>
      </c>
      <c r="AT245" s="1756"/>
      <c r="AU245" s="1756"/>
      <c r="AV245" s="1756"/>
      <c r="AW245" s="1756"/>
      <c r="AX245" s="1756"/>
      <c r="AY245" s="1756"/>
      <c r="AZ245" s="1756"/>
      <c r="BA245" s="1756"/>
      <c r="BB245" s="1756"/>
      <c r="BC245" s="1756"/>
      <c r="BD245" s="1756"/>
      <c r="BE245" s="1756"/>
      <c r="BF245" s="1756"/>
      <c r="BG245" s="1756"/>
      <c r="BH245" s="1756"/>
      <c r="BI245" s="1756"/>
      <c r="BJ245" s="1757"/>
    </row>
    <row r="246" spans="2:62" ht="12.75" customHeight="1" outlineLevel="1" x14ac:dyDescent="0.2">
      <c r="B246" s="417"/>
      <c r="C246" s="225"/>
      <c r="D246" s="705"/>
      <c r="E246" s="705"/>
      <c r="F246" s="201"/>
      <c r="G246" s="1370" t="s">
        <v>61</v>
      </c>
      <c r="H246" s="1745" t="s">
        <v>1249</v>
      </c>
      <c r="I246" s="1745"/>
      <c r="J246" s="1745" t="s">
        <v>1249</v>
      </c>
      <c r="K246" s="1745"/>
      <c r="L246" s="225"/>
      <c r="M246" s="225"/>
      <c r="N246" s="225"/>
      <c r="O246" s="201"/>
      <c r="P246" s="201"/>
      <c r="Q246" s="201"/>
      <c r="R246" s="201"/>
      <c r="S246" s="201"/>
      <c r="T246" s="1745" t="s">
        <v>2646</v>
      </c>
      <c r="U246" s="1745"/>
      <c r="V246" s="1378" t="s">
        <v>2639</v>
      </c>
      <c r="W246" s="316"/>
      <c r="X246" s="1369"/>
      <c r="Y246" s="1370"/>
      <c r="Z246" s="1370"/>
      <c r="AA246" s="1370"/>
      <c r="AB246" s="1370"/>
      <c r="AC246" s="1370"/>
      <c r="AD246" s="1378" t="s">
        <v>2639</v>
      </c>
      <c r="AE246" s="316"/>
      <c r="AF246" s="216"/>
      <c r="AG246" s="705"/>
      <c r="AH246" s="705"/>
      <c r="AI246" s="705"/>
      <c r="AJ246" s="1370"/>
      <c r="AK246" s="1370" t="s">
        <v>2639</v>
      </c>
      <c r="AL246" s="217"/>
      <c r="AM246" s="705"/>
      <c r="AN246" s="705"/>
      <c r="AO246" s="705"/>
      <c r="AP246" s="1370"/>
      <c r="AQ246" s="1378" t="s">
        <v>2639</v>
      </c>
      <c r="AS246" s="1758" t="s">
        <v>61</v>
      </c>
      <c r="AT246" s="1759"/>
      <c r="AU246" s="1759"/>
      <c r="AV246" s="1759"/>
      <c r="AW246" s="1759"/>
      <c r="AX246" s="1759"/>
      <c r="AY246" s="1759"/>
      <c r="AZ246" s="1759"/>
      <c r="BA246" s="1759"/>
      <c r="BB246" s="1759"/>
      <c r="BC246" s="1759"/>
      <c r="BD246" s="1759"/>
      <c r="BE246" s="1759" t="s">
        <v>61</v>
      </c>
      <c r="BF246" s="1759"/>
      <c r="BG246" s="1760"/>
      <c r="BH246" s="730"/>
      <c r="BI246" s="785"/>
      <c r="BJ246" s="731"/>
    </row>
    <row r="247" spans="2:62" ht="12.75" customHeight="1" outlineLevel="1" x14ac:dyDescent="0.2">
      <c r="B247" s="1369"/>
      <c r="C247" s="705"/>
      <c r="D247" s="1370" t="s">
        <v>56</v>
      </c>
      <c r="E247" s="1370" t="s">
        <v>56</v>
      </c>
      <c r="F247" s="205" t="s">
        <v>2634</v>
      </c>
      <c r="G247" s="1370" t="s">
        <v>2537</v>
      </c>
      <c r="H247" s="1745" t="s">
        <v>2640</v>
      </c>
      <c r="I247" s="1745"/>
      <c r="J247" s="1745" t="s">
        <v>2641</v>
      </c>
      <c r="K247" s="1835"/>
      <c r="L247" s="205" t="s">
        <v>2642</v>
      </c>
      <c r="M247" s="205" t="s">
        <v>2643</v>
      </c>
      <c r="N247" s="1652" t="s">
        <v>2637</v>
      </c>
      <c r="O247" s="205"/>
      <c r="P247" s="1744" t="s">
        <v>1308</v>
      </c>
      <c r="Q247" s="1745"/>
      <c r="R247" s="1745"/>
      <c r="S247" s="705" t="s">
        <v>61</v>
      </c>
      <c r="T247" s="705" t="s">
        <v>61</v>
      </c>
      <c r="U247" s="705" t="s">
        <v>61</v>
      </c>
      <c r="V247" s="1378" t="s">
        <v>30</v>
      </c>
      <c r="W247" s="316"/>
      <c r="X247" s="1629" t="s">
        <v>2605</v>
      </c>
      <c r="Y247" s="1370" t="s">
        <v>2110</v>
      </c>
      <c r="Z247" s="1370" t="s">
        <v>61</v>
      </c>
      <c r="AA247" s="1370" t="s">
        <v>61</v>
      </c>
      <c r="AB247" s="1370" t="s">
        <v>61</v>
      </c>
      <c r="AC247" s="705" t="s">
        <v>61</v>
      </c>
      <c r="AD247" s="1378" t="s">
        <v>30</v>
      </c>
      <c r="AE247" s="316"/>
      <c r="AF247" s="1369" t="s">
        <v>2065</v>
      </c>
      <c r="AG247" s="1370" t="s">
        <v>61</v>
      </c>
      <c r="AH247" s="1370" t="s">
        <v>61</v>
      </c>
      <c r="AI247" s="1370" t="s">
        <v>61</v>
      </c>
      <c r="AJ247" s="705" t="s">
        <v>61</v>
      </c>
      <c r="AK247" s="1370" t="s">
        <v>30</v>
      </c>
      <c r="AL247" s="1370" t="s">
        <v>2558</v>
      </c>
      <c r="AM247" s="1370" t="s">
        <v>61</v>
      </c>
      <c r="AN247" s="1370" t="s">
        <v>61</v>
      </c>
      <c r="AO247" s="1370" t="s">
        <v>61</v>
      </c>
      <c r="AP247" s="705" t="s">
        <v>61</v>
      </c>
      <c r="AQ247" s="1378" t="s">
        <v>30</v>
      </c>
      <c r="AS247" s="1764" t="s">
        <v>14</v>
      </c>
      <c r="AT247" s="1761"/>
      <c r="AU247" s="1761"/>
      <c r="AV247" s="1761" t="s">
        <v>60</v>
      </c>
      <c r="AW247" s="1761"/>
      <c r="AX247" s="1761"/>
      <c r="AY247" s="1761" t="s">
        <v>27</v>
      </c>
      <c r="AZ247" s="1761"/>
      <c r="BA247" s="1761"/>
      <c r="BB247" s="1761" t="s">
        <v>2074</v>
      </c>
      <c r="BC247" s="1761"/>
      <c r="BD247" s="1761"/>
      <c r="BE247" s="1762" t="s">
        <v>41</v>
      </c>
      <c r="BF247" s="1762"/>
      <c r="BG247" s="1763"/>
      <c r="BH247" s="1764" t="s">
        <v>85</v>
      </c>
      <c r="BI247" s="1761"/>
      <c r="BJ247" s="1765"/>
    </row>
    <row r="248" spans="2:62" ht="12.75" customHeight="1" outlineLevel="1" x14ac:dyDescent="0.2">
      <c r="B248" s="704" t="s">
        <v>2638</v>
      </c>
      <c r="C248" s="201"/>
      <c r="D248" s="1370" t="s">
        <v>61</v>
      </c>
      <c r="E248" s="1370" t="s">
        <v>63</v>
      </c>
      <c r="F248" s="208" t="s">
        <v>2054</v>
      </c>
      <c r="G248" s="1377" t="s">
        <v>1279</v>
      </c>
      <c r="H248" s="1377" t="s">
        <v>768</v>
      </c>
      <c r="I248" s="1377" t="s">
        <v>24</v>
      </c>
      <c r="J248" s="1377" t="s">
        <v>768</v>
      </c>
      <c r="K248" s="1377" t="s">
        <v>24</v>
      </c>
      <c r="L248" s="212" t="s">
        <v>2644</v>
      </c>
      <c r="M248" s="212" t="s">
        <v>2645</v>
      </c>
      <c r="N248" s="1652" t="s">
        <v>34</v>
      </c>
      <c r="O248" s="208" t="s">
        <v>57</v>
      </c>
      <c r="P248" s="1377" t="s">
        <v>1279</v>
      </c>
      <c r="Q248" s="1377" t="s">
        <v>768</v>
      </c>
      <c r="R248" s="1377" t="s">
        <v>24</v>
      </c>
      <c r="S248" s="1376" t="s">
        <v>1279</v>
      </c>
      <c r="T248" s="1376" t="s">
        <v>768</v>
      </c>
      <c r="U248" s="1376" t="s">
        <v>24</v>
      </c>
      <c r="V248" s="1378" t="s">
        <v>61</v>
      </c>
      <c r="W248" s="316"/>
      <c r="X248" s="1629" t="s">
        <v>2109</v>
      </c>
      <c r="Y248" s="1370"/>
      <c r="Z248" s="1377" t="s">
        <v>1279</v>
      </c>
      <c r="AA248" s="1377" t="s">
        <v>768</v>
      </c>
      <c r="AB248" s="1377" t="s">
        <v>24</v>
      </c>
      <c r="AC248" s="223" t="s">
        <v>41</v>
      </c>
      <c r="AD248" s="1378" t="s">
        <v>61</v>
      </c>
      <c r="AE248" s="316"/>
      <c r="AF248" s="1369"/>
      <c r="AG248" s="1377" t="s">
        <v>1279</v>
      </c>
      <c r="AH248" s="1377" t="s">
        <v>768</v>
      </c>
      <c r="AI248" s="1377" t="s">
        <v>24</v>
      </c>
      <c r="AJ248" s="223" t="s">
        <v>41</v>
      </c>
      <c r="AK248" s="1370" t="s">
        <v>61</v>
      </c>
      <c r="AL248" s="1370"/>
      <c r="AM248" s="1377" t="s">
        <v>1279</v>
      </c>
      <c r="AN248" s="1377" t="s">
        <v>768</v>
      </c>
      <c r="AO248" s="1377" t="s">
        <v>24</v>
      </c>
      <c r="AP248" s="223" t="s">
        <v>41</v>
      </c>
      <c r="AQ248" s="1378" t="s">
        <v>61</v>
      </c>
      <c r="AS248" s="732" t="s">
        <v>1279</v>
      </c>
      <c r="AT248" s="733" t="s">
        <v>768</v>
      </c>
      <c r="AU248" s="733" t="s">
        <v>24</v>
      </c>
      <c r="AV248" s="733" t="s">
        <v>1279</v>
      </c>
      <c r="AW248" s="733" t="s">
        <v>768</v>
      </c>
      <c r="AX248" s="733" t="s">
        <v>24</v>
      </c>
      <c r="AY248" s="733" t="s">
        <v>1279</v>
      </c>
      <c r="AZ248" s="733" t="s">
        <v>768</v>
      </c>
      <c r="BA248" s="733" t="s">
        <v>24</v>
      </c>
      <c r="BB248" s="733" t="s">
        <v>1279</v>
      </c>
      <c r="BC248" s="733" t="s">
        <v>768</v>
      </c>
      <c r="BD248" s="733" t="s">
        <v>24</v>
      </c>
      <c r="BE248" s="734" t="s">
        <v>1279</v>
      </c>
      <c r="BF248" s="734" t="s">
        <v>768</v>
      </c>
      <c r="BG248" s="735" t="s">
        <v>24</v>
      </c>
      <c r="BH248" s="732" t="s">
        <v>1279</v>
      </c>
      <c r="BI248" s="733" t="s">
        <v>768</v>
      </c>
      <c r="BJ248" s="736" t="s">
        <v>24</v>
      </c>
    </row>
    <row r="249" spans="2:62" ht="12.75" customHeight="1" outlineLevel="1" x14ac:dyDescent="0.2">
      <c r="B249" s="200" t="str">
        <f>'Emissions factors'!$B$1171</f>
        <v>&lt; 1.5 t petrol V6.1 [1]</v>
      </c>
      <c r="C249" s="201"/>
      <c r="D249" s="262">
        <f t="shared" ref="D249:D261" si="105">SUM(S249:U249)</f>
        <v>0</v>
      </c>
      <c r="E249" s="265">
        <f t="shared" ref="E249:E262" si="106">D249*12/44</f>
        <v>0</v>
      </c>
      <c r="F249" s="559"/>
      <c r="G249" s="493">
        <f>VLOOKUP($B249,'Emissions factors'!$B$1171:$K$1216,2,FALSE)</f>
        <v>3.2999999999999995E-2</v>
      </c>
      <c r="H249" s="493">
        <f>VLOOKUP($B249,'Emissions factors'!$B$1171:$K$1216,3,FALSE)</f>
        <v>3.4326837023255813E-2</v>
      </c>
      <c r="I249" s="493">
        <f>VLOOKUP($B249,'Emissions factors'!$B$1171:$K$1216,4,FALSE)</f>
        <v>0.20370504</v>
      </c>
      <c r="J249" s="493">
        <f>VLOOKUP($B249,'Emissions factors'!$B$1171:$K$1216,5,FALSE)</f>
        <v>3.4326837023255813E-2</v>
      </c>
      <c r="K249" s="493">
        <f>VLOOKUP($B249,'Emissions factors'!$B$1171:$K$1216,6,FALSE)</f>
        <v>0.20370504</v>
      </c>
      <c r="L249" s="494">
        <f>VLOOKUP($B249,'Emissions factors'!$B$1171:$K$1216,7,FALSE)</f>
        <v>0.2</v>
      </c>
      <c r="M249" s="494">
        <f>VLOOKUP($B249,'Emissions factors'!$B$1171:$K$1216,8,FALSE)</f>
        <v>0.26058444187301394</v>
      </c>
      <c r="N249" s="495">
        <f>VLOOKUP($B249,'Emissions factors'!$B$1171:$K$1216,9,FALSE)</f>
        <v>0.46050331760971941</v>
      </c>
      <c r="O249" s="182"/>
      <c r="P249" s="272">
        <f>G249/(M249*(1-L249)*N249)</f>
        <v>0.34374999999999989</v>
      </c>
      <c r="Q249" s="272">
        <f>(H249+(J249-H249)*(1-L249)*M249)/(M249*N249*(1-L249))</f>
        <v>0.35757121899224797</v>
      </c>
      <c r="R249" s="272">
        <f>(I249+(K249-I249)*(1-L249)*M249)/(M249*N249*(1-L249))</f>
        <v>2.1219274999999995</v>
      </c>
      <c r="S249" s="465">
        <f>O249*P249</f>
        <v>0</v>
      </c>
      <c r="T249" s="465">
        <f>O249*Q249</f>
        <v>0</v>
      </c>
      <c r="U249" s="210">
        <f>O249*R249</f>
        <v>0</v>
      </c>
      <c r="V249" s="222">
        <f>IF(OR(F249='Info utili'!$G$532,F249='Info utili'!$G$537),U249,0)</f>
        <v>0</v>
      </c>
      <c r="W249" s="316"/>
      <c r="X249" s="282">
        <f>VLOOKUP($B249,'Emissions factors'!$B$1171:$K$1216,10,FALSE)</f>
        <v>9.2614913518120803E-2</v>
      </c>
      <c r="Y249" s="183"/>
      <c r="Z249" s="221">
        <f>S249*SQRT(X249^2+Y249^2)</f>
        <v>0</v>
      </c>
      <c r="AA249" s="221">
        <f>T249*SQRT(X249^2+Y249^2)</f>
        <v>0</v>
      </c>
      <c r="AB249" s="221">
        <f>U249*SQRT(X249^2+Y249^2)</f>
        <v>0</v>
      </c>
      <c r="AC249" s="210">
        <f>SQRT(SUMSQ(Z249:AB249))</f>
        <v>0</v>
      </c>
      <c r="AD249" s="222">
        <f>V249*SQRT(X249^2+Y249^2)</f>
        <v>0</v>
      </c>
      <c r="AE249" s="316"/>
      <c r="AF249" s="184"/>
      <c r="AG249" s="221">
        <f t="shared" ref="AG249:AG262" si="107">$AF249*S249</f>
        <v>0</v>
      </c>
      <c r="AH249" s="221">
        <f t="shared" ref="AH249:AH262" si="108">$AF249*T249</f>
        <v>0</v>
      </c>
      <c r="AI249" s="221">
        <f t="shared" ref="AI249:AI262" si="109">$AF249*U249</f>
        <v>0</v>
      </c>
      <c r="AJ249" s="210">
        <f>SUM(AG249:AI249)</f>
        <v>0</v>
      </c>
      <c r="AK249" s="221">
        <f t="shared" ref="AK249:AK262" si="110">$AF249*V249</f>
        <v>0</v>
      </c>
      <c r="AL249" s="184"/>
      <c r="AM249" s="221">
        <f t="shared" ref="AM249:AM262" si="111">$AL249*S249</f>
        <v>0</v>
      </c>
      <c r="AN249" s="221">
        <f t="shared" ref="AN249:AN262" si="112">$AL249*T249</f>
        <v>0</v>
      </c>
      <c r="AO249" s="221">
        <f t="shared" ref="AO249:AO262" si="113">$AL249*U249</f>
        <v>0</v>
      </c>
      <c r="AP249" s="210">
        <f t="shared" ref="AP249:AP262" si="114">SUM(AM249:AO249)</f>
        <v>0</v>
      </c>
      <c r="AQ249" s="222">
        <f t="shared" ref="AQ249:AQ262" si="115">$AL249*V249</f>
        <v>0</v>
      </c>
      <c r="AS249" s="717"/>
      <c r="AT249" s="718"/>
      <c r="AU249" s="718"/>
      <c r="AV249" s="718"/>
      <c r="AW249" s="718"/>
      <c r="AX249" s="718"/>
      <c r="AY249" s="718"/>
      <c r="AZ249" s="718"/>
      <c r="BA249" s="718"/>
      <c r="BB249" s="718"/>
      <c r="BC249" s="718"/>
      <c r="BD249" s="718"/>
      <c r="BE249" s="719">
        <f>S249</f>
        <v>0</v>
      </c>
      <c r="BF249" s="719">
        <f>T249</f>
        <v>0</v>
      </c>
      <c r="BG249" s="720">
        <f>U249</f>
        <v>0</v>
      </c>
      <c r="BH249" s="717"/>
      <c r="BI249" s="718"/>
      <c r="BJ249" s="721"/>
    </row>
    <row r="250" spans="2:62" ht="12.75" customHeight="1" outlineLevel="1" x14ac:dyDescent="0.2">
      <c r="B250" s="200" t="str">
        <f>'Emissions factors'!$B$1172</f>
        <v>&lt; 1.5 t diesel V6.1 [1]</v>
      </c>
      <c r="C250" s="201"/>
      <c r="D250" s="262">
        <f t="shared" si="105"/>
        <v>0</v>
      </c>
      <c r="E250" s="265">
        <f t="shared" si="106"/>
        <v>0</v>
      </c>
      <c r="F250" s="442"/>
      <c r="G250" s="493">
        <f>VLOOKUP($B250,'Emissions factors'!$B$1171:$K$1216,2,FALSE)</f>
        <v>2.4749999999999998E-2</v>
      </c>
      <c r="H250" s="493">
        <f>VLOOKUP($B250,'Emissions factors'!$B$1171:$K$1216,3,FALSE)</f>
        <v>2.0214821023255811E-2</v>
      </c>
      <c r="I250" s="493">
        <f>VLOOKUP($B250,'Emissions factors'!$B$1171:$K$1216,4,FALSE)</f>
        <v>0.19164599999999998</v>
      </c>
      <c r="J250" s="493">
        <f>VLOOKUP($B250,'Emissions factors'!$B$1171:$K$1216,5,FALSE)</f>
        <v>2.0214821023255811E-2</v>
      </c>
      <c r="K250" s="493">
        <f>VLOOKUP($B250,'Emissions factors'!$B$1171:$K$1216,6,FALSE)</f>
        <v>0.19164599999999998</v>
      </c>
      <c r="L250" s="496">
        <f>VLOOKUP($B250,'Emissions factors'!$B$1171:$K$1216,7,FALSE)</f>
        <v>0.2</v>
      </c>
      <c r="M250" s="496">
        <f>VLOOKUP($B250,'Emissions factors'!$B$1171:$K$1216,8,FALSE)</f>
        <v>0.26058444187301394</v>
      </c>
      <c r="N250" s="495">
        <f>VLOOKUP($B250,'Emissions factors'!$B$1171:$K$1216,9,FALSE)</f>
        <v>0.46050331760971941</v>
      </c>
      <c r="O250" s="185"/>
      <c r="P250" s="272">
        <f t="shared" ref="P250:P261" si="116">G250/(M250*(1-L250)*N250)</f>
        <v>0.25781249999999994</v>
      </c>
      <c r="Q250" s="272">
        <f t="shared" ref="Q250:Q261" si="117">(H250+(J250-H250)*(1-L250)*M250)/(M250*N250*(1-L250))</f>
        <v>0.21057105232558132</v>
      </c>
      <c r="R250" s="272">
        <f t="shared" ref="R250:R261" si="118">(I250+(K250-I250)*(1-L250)*M250)/(M250*N250*(1-L250))</f>
        <v>1.9963124999999995</v>
      </c>
      <c r="S250" s="465">
        <f t="shared" ref="S250:S262" si="119">O250*P250</f>
        <v>0</v>
      </c>
      <c r="T250" s="465">
        <f t="shared" ref="T250:T262" si="120">O250*Q250</f>
        <v>0</v>
      </c>
      <c r="U250" s="210">
        <f t="shared" ref="U250:U262" si="121">O250*R250</f>
        <v>0</v>
      </c>
      <c r="V250" s="222">
        <f>IF(OR(F250='Info utili'!$G$532,F250='Info utili'!$G$537),U250,0)</f>
        <v>0</v>
      </c>
      <c r="W250" s="316"/>
      <c r="X250" s="282">
        <f>VLOOKUP($B250,'Emissions factors'!$B$1171:$K$1216,10,FALSE)</f>
        <v>8.661075162385995E-2</v>
      </c>
      <c r="Y250" s="186"/>
      <c r="Z250" s="221">
        <f>S250*SQRT(X250^2+Y250^2)</f>
        <v>0</v>
      </c>
      <c r="AA250" s="221">
        <f t="shared" ref="AA250:AA262" si="122">T250*SQRT(X250^2+Y250^2)</f>
        <v>0</v>
      </c>
      <c r="AB250" s="221">
        <f>U250*SQRT(X250^2+Y250^2)</f>
        <v>0</v>
      </c>
      <c r="AC250" s="210">
        <f>SQRT(SUMSQ(Z250:AB250))</f>
        <v>0</v>
      </c>
      <c r="AD250" s="222">
        <f>V250*SQRT(X250^2+Y250^2)</f>
        <v>0</v>
      </c>
      <c r="AE250" s="316"/>
      <c r="AF250" s="187"/>
      <c r="AG250" s="221">
        <f t="shared" si="107"/>
        <v>0</v>
      </c>
      <c r="AH250" s="221">
        <f t="shared" si="108"/>
        <v>0</v>
      </c>
      <c r="AI250" s="221">
        <f t="shared" si="109"/>
        <v>0</v>
      </c>
      <c r="AJ250" s="210">
        <f>SUM(AG250:AI250)</f>
        <v>0</v>
      </c>
      <c r="AK250" s="221">
        <f t="shared" si="110"/>
        <v>0</v>
      </c>
      <c r="AL250" s="187"/>
      <c r="AM250" s="221">
        <f t="shared" si="111"/>
        <v>0</v>
      </c>
      <c r="AN250" s="221">
        <f t="shared" si="112"/>
        <v>0</v>
      </c>
      <c r="AO250" s="221">
        <f t="shared" si="113"/>
        <v>0</v>
      </c>
      <c r="AP250" s="210">
        <f t="shared" si="114"/>
        <v>0</v>
      </c>
      <c r="AQ250" s="222">
        <f t="shared" si="115"/>
        <v>0</v>
      </c>
      <c r="AS250" s="717"/>
      <c r="AT250" s="718"/>
      <c r="AU250" s="718"/>
      <c r="AV250" s="718"/>
      <c r="AW250" s="718"/>
      <c r="AX250" s="718"/>
      <c r="AY250" s="718"/>
      <c r="AZ250" s="718"/>
      <c r="BA250" s="718"/>
      <c r="BB250" s="718"/>
      <c r="BC250" s="718"/>
      <c r="BD250" s="718"/>
      <c r="BE250" s="719">
        <f t="shared" ref="BE250:BE262" si="123">S250</f>
        <v>0</v>
      </c>
      <c r="BF250" s="719">
        <f t="shared" ref="BF250:BF262" si="124">T250</f>
        <v>0</v>
      </c>
      <c r="BG250" s="720">
        <f t="shared" ref="BG250:BG262" si="125">U250</f>
        <v>0</v>
      </c>
      <c r="BH250" s="717"/>
      <c r="BI250" s="718"/>
      <c r="BJ250" s="721"/>
    </row>
    <row r="251" spans="2:62" ht="12.75" customHeight="1" outlineLevel="1" x14ac:dyDescent="0.2">
      <c r="B251" s="200" t="str">
        <f>'Emissions factors'!$B$1173</f>
        <v>1.5 to 2.5 tonnes petrol V6.1 [1]</v>
      </c>
      <c r="C251" s="201"/>
      <c r="D251" s="262">
        <f t="shared" si="105"/>
        <v>0</v>
      </c>
      <c r="E251" s="265">
        <f t="shared" si="106"/>
        <v>0</v>
      </c>
      <c r="F251" s="442"/>
      <c r="G251" s="493">
        <f>VLOOKUP($B251,'Emissions factors'!$B$1171:$K$1216,2,FALSE)</f>
        <v>4.0333333333333332E-2</v>
      </c>
      <c r="H251" s="493">
        <f>VLOOKUP($B251,'Emissions factors'!$B$1171:$K$1216,3,FALSE)</f>
        <v>3.8822018062015497E-2</v>
      </c>
      <c r="I251" s="493">
        <f>VLOOKUP($B251,'Emissions factors'!$B$1171:$K$1216,4,FALSE)</f>
        <v>0.23038069999999999</v>
      </c>
      <c r="J251" s="493">
        <f>VLOOKUP($B251,'Emissions factors'!$B$1171:$K$1216,5,FALSE)</f>
        <v>3.8822018062015497E-2</v>
      </c>
      <c r="K251" s="493">
        <f>VLOOKUP($B251,'Emissions factors'!$B$1171:$K$1216,6,FALSE)</f>
        <v>0.23038069999999999</v>
      </c>
      <c r="L251" s="496">
        <f>VLOOKUP($B251,'Emissions factors'!$B$1171:$K$1216,7,FALSE)</f>
        <v>0.2</v>
      </c>
      <c r="M251" s="496">
        <f>VLOOKUP($B251,'Emissions factors'!$B$1171:$K$1216,8,FALSE)</f>
        <v>0.30134917135427164</v>
      </c>
      <c r="N251" s="495">
        <f>VLOOKUP($B251,'Emissions factors'!$B$1171:$K$1216,9,FALSE)</f>
        <v>0.69686602772542594</v>
      </c>
      <c r="O251" s="185"/>
      <c r="P251" s="272">
        <f t="shared" si="116"/>
        <v>0.24007936507936506</v>
      </c>
      <c r="Q251" s="272">
        <f t="shared" si="117"/>
        <v>0.23108344084533033</v>
      </c>
      <c r="R251" s="272">
        <f t="shared" si="118"/>
        <v>1.3713136904761904</v>
      </c>
      <c r="S251" s="465">
        <f t="shared" si="119"/>
        <v>0</v>
      </c>
      <c r="T251" s="465">
        <f t="shared" si="120"/>
        <v>0</v>
      </c>
      <c r="U251" s="210">
        <f t="shared" si="121"/>
        <v>0</v>
      </c>
      <c r="V251" s="222">
        <f>IF(OR(F251='Info utili'!$G$532,F251='Info utili'!$G$537),U251,0)</f>
        <v>0</v>
      </c>
      <c r="W251" s="316"/>
      <c r="X251" s="282">
        <f>VLOOKUP($B251,'Emissions factors'!$B$1171:$K$1216,10,FALSE)</f>
        <v>0.10863614244021699</v>
      </c>
      <c r="Y251" s="186"/>
      <c r="Z251" s="221">
        <f>S251*SQRT(X251^2+Y251^2)</f>
        <v>0</v>
      </c>
      <c r="AA251" s="221">
        <f t="shared" si="122"/>
        <v>0</v>
      </c>
      <c r="AB251" s="221">
        <f>U251*SQRT(X251^2+Y251^2)</f>
        <v>0</v>
      </c>
      <c r="AC251" s="210">
        <f>SQRT(SUMSQ(Z251:AB251))</f>
        <v>0</v>
      </c>
      <c r="AD251" s="222">
        <f>V251*SQRT(X251^2+Y251^2)</f>
        <v>0</v>
      </c>
      <c r="AE251" s="316"/>
      <c r="AF251" s="187"/>
      <c r="AG251" s="221">
        <f t="shared" si="107"/>
        <v>0</v>
      </c>
      <c r="AH251" s="221">
        <f t="shared" si="108"/>
        <v>0</v>
      </c>
      <c r="AI251" s="221">
        <f t="shared" si="109"/>
        <v>0</v>
      </c>
      <c r="AJ251" s="210">
        <f>SUM(AG251:AI251)</f>
        <v>0</v>
      </c>
      <c r="AK251" s="221">
        <f t="shared" si="110"/>
        <v>0</v>
      </c>
      <c r="AL251" s="187"/>
      <c r="AM251" s="221">
        <f t="shared" si="111"/>
        <v>0</v>
      </c>
      <c r="AN251" s="221">
        <f t="shared" si="112"/>
        <v>0</v>
      </c>
      <c r="AO251" s="221">
        <f t="shared" si="113"/>
        <v>0</v>
      </c>
      <c r="AP251" s="210">
        <f t="shared" si="114"/>
        <v>0</v>
      </c>
      <c r="AQ251" s="222">
        <f t="shared" si="115"/>
        <v>0</v>
      </c>
      <c r="AS251" s="717"/>
      <c r="AT251" s="718"/>
      <c r="AU251" s="718"/>
      <c r="AV251" s="718"/>
      <c r="AW251" s="718"/>
      <c r="AX251" s="718"/>
      <c r="AY251" s="718"/>
      <c r="AZ251" s="718"/>
      <c r="BA251" s="718"/>
      <c r="BB251" s="718"/>
      <c r="BC251" s="718"/>
      <c r="BD251" s="718"/>
      <c r="BE251" s="719">
        <f t="shared" si="123"/>
        <v>0</v>
      </c>
      <c r="BF251" s="719">
        <f t="shared" si="124"/>
        <v>0</v>
      </c>
      <c r="BG251" s="720">
        <f t="shared" si="125"/>
        <v>0</v>
      </c>
      <c r="BH251" s="717"/>
      <c r="BI251" s="718"/>
      <c r="BJ251" s="721"/>
    </row>
    <row r="252" spans="2:62" ht="12.75" customHeight="1" outlineLevel="1" x14ac:dyDescent="0.2">
      <c r="B252" s="200" t="str">
        <f>'Emissions factors'!$B$1174</f>
        <v>1.5 to 2.5 tonnes diesel, V6.1 [1]</v>
      </c>
      <c r="C252" s="201"/>
      <c r="D252" s="262">
        <f t="shared" si="105"/>
        <v>0</v>
      </c>
      <c r="E252" s="265">
        <f t="shared" si="106"/>
        <v>0</v>
      </c>
      <c r="F252" s="442"/>
      <c r="G252" s="493">
        <f>VLOOKUP($B252,'Emissions factors'!$B$1171:$K$1216,2,FALSE)</f>
        <v>3.0249999999999999E-2</v>
      </c>
      <c r="H252" s="493">
        <f>VLOOKUP($B252,'Emissions factors'!$B$1171:$K$1216,3,FALSE)</f>
        <v>2.3583957860465115E-2</v>
      </c>
      <c r="I252" s="493">
        <f>VLOOKUP($B252,'Emissions factors'!$B$1171:$K$1216,4,FALSE)</f>
        <v>0.22358700000000001</v>
      </c>
      <c r="J252" s="493">
        <f>VLOOKUP($B252,'Emissions factors'!$B$1171:$K$1216,5,FALSE)</f>
        <v>2.3583957860465115E-2</v>
      </c>
      <c r="K252" s="493">
        <f>VLOOKUP($B252,'Emissions factors'!$B$1171:$K$1216,6,FALSE)</f>
        <v>0.22358700000000001</v>
      </c>
      <c r="L252" s="496">
        <f>VLOOKUP($B252,'Emissions factors'!$B$1171:$K$1216,7,FALSE)</f>
        <v>0.2</v>
      </c>
      <c r="M252" s="496">
        <f>VLOOKUP($B252,'Emissions factors'!$B$1171:$K$1216,8,FALSE)</f>
        <v>0.30134917135427164</v>
      </c>
      <c r="N252" s="495">
        <f>VLOOKUP($B252,'Emissions factors'!$B$1171:$K$1216,9,FALSE)</f>
        <v>0.69686602772542594</v>
      </c>
      <c r="O252" s="185"/>
      <c r="P252" s="272">
        <f t="shared" si="116"/>
        <v>0.18005952380952378</v>
      </c>
      <c r="Q252" s="272">
        <f t="shared" si="117"/>
        <v>0.14038070155038759</v>
      </c>
      <c r="R252" s="272">
        <f t="shared" si="118"/>
        <v>1.330875</v>
      </c>
      <c r="S252" s="465">
        <f t="shared" si="119"/>
        <v>0</v>
      </c>
      <c r="T252" s="465">
        <f t="shared" si="120"/>
        <v>0</v>
      </c>
      <c r="U252" s="210">
        <f t="shared" si="121"/>
        <v>0</v>
      </c>
      <c r="V252" s="222">
        <f>IF(OR(F252='Info utili'!$G$532,F252='Info utili'!$G$537),U252,0)</f>
        <v>0</v>
      </c>
      <c r="W252" s="316"/>
      <c r="X252" s="282">
        <f>VLOOKUP($B252,'Emissions factors'!$B$1171:$K$1216,10,FALSE)</f>
        <v>9.906803042200836E-2</v>
      </c>
      <c r="Y252" s="186"/>
      <c r="Z252" s="221">
        <f t="shared" ref="Z252:Z262" si="126">S252*SQRT(X252^2+Y252^2)</f>
        <v>0</v>
      </c>
      <c r="AA252" s="221">
        <f t="shared" si="122"/>
        <v>0</v>
      </c>
      <c r="AB252" s="221">
        <f t="shared" ref="AB252:AB262" si="127">U252*SQRT(X252^2+Y252^2)</f>
        <v>0</v>
      </c>
      <c r="AC252" s="210">
        <f t="shared" ref="AC252:AC262" si="128">SQRT(SUMSQ(Z252:AB252))</f>
        <v>0</v>
      </c>
      <c r="AD252" s="222">
        <f t="shared" ref="AD252:AD262" si="129">V252*SQRT(X252^2+Y252^2)</f>
        <v>0</v>
      </c>
      <c r="AE252" s="316"/>
      <c r="AF252" s="187"/>
      <c r="AG252" s="221">
        <f t="shared" si="107"/>
        <v>0</v>
      </c>
      <c r="AH252" s="221">
        <f t="shared" si="108"/>
        <v>0</v>
      </c>
      <c r="AI252" s="221">
        <f t="shared" si="109"/>
        <v>0</v>
      </c>
      <c r="AJ252" s="210">
        <f>SUM(AG252:AI252)</f>
        <v>0</v>
      </c>
      <c r="AK252" s="221">
        <f t="shared" si="110"/>
        <v>0</v>
      </c>
      <c r="AL252" s="187"/>
      <c r="AM252" s="221">
        <f t="shared" si="111"/>
        <v>0</v>
      </c>
      <c r="AN252" s="221">
        <f t="shared" si="112"/>
        <v>0</v>
      </c>
      <c r="AO252" s="221">
        <f t="shared" si="113"/>
        <v>0</v>
      </c>
      <c r="AP252" s="210">
        <f t="shared" si="114"/>
        <v>0</v>
      </c>
      <c r="AQ252" s="222">
        <f t="shared" si="115"/>
        <v>0</v>
      </c>
      <c r="AS252" s="717"/>
      <c r="AT252" s="718"/>
      <c r="AU252" s="718"/>
      <c r="AV252" s="718"/>
      <c r="AW252" s="718"/>
      <c r="AX252" s="718"/>
      <c r="AY252" s="718"/>
      <c r="AZ252" s="718"/>
      <c r="BA252" s="718"/>
      <c r="BB252" s="718"/>
      <c r="BC252" s="718"/>
      <c r="BD252" s="718"/>
      <c r="BE252" s="719">
        <f t="shared" si="123"/>
        <v>0</v>
      </c>
      <c r="BF252" s="719">
        <f t="shared" si="124"/>
        <v>0</v>
      </c>
      <c r="BG252" s="720">
        <f t="shared" si="125"/>
        <v>0</v>
      </c>
      <c r="BH252" s="717"/>
      <c r="BI252" s="718"/>
      <c r="BJ252" s="721"/>
    </row>
    <row r="253" spans="2:62" ht="12.75" customHeight="1" outlineLevel="1" x14ac:dyDescent="0.2">
      <c r="B253" s="200" t="str">
        <f>'Emissions factors'!$B$1175</f>
        <v>2.6 to 3.5 tonnes petrol V6.1 [1]</v>
      </c>
      <c r="C253" s="201"/>
      <c r="D253" s="262">
        <f t="shared" si="105"/>
        <v>0</v>
      </c>
      <c r="E253" s="265">
        <f t="shared" si="106"/>
        <v>0</v>
      </c>
      <c r="F253" s="442"/>
      <c r="G253" s="493">
        <f>VLOOKUP($B253,'Emissions factors'!$B$1171:$K$1216,2,FALSE)</f>
        <v>4.6749999999999993E-2</v>
      </c>
      <c r="H253" s="493">
        <f>VLOOKUP($B253,'Emissions factors'!$B$1171:$K$1216,3,FALSE)</f>
        <v>6.8245021224806177E-2</v>
      </c>
      <c r="I253" s="493">
        <f>VLOOKUP($B253,'Emissions factors'!$B$1171:$K$1216,4,FALSE)</f>
        <v>0.40498501999999997</v>
      </c>
      <c r="J253" s="493">
        <f>VLOOKUP($B253,'Emissions factors'!$B$1171:$K$1216,5,FALSE)</f>
        <v>6.8245021224806177E-2</v>
      </c>
      <c r="K253" s="493">
        <f>VLOOKUP($B253,'Emissions factors'!$B$1171:$K$1216,6,FALSE)</f>
        <v>0.40498501999999997</v>
      </c>
      <c r="L253" s="496">
        <f>VLOOKUP($B253,'Emissions factors'!$B$1171:$K$1216,7,FALSE)</f>
        <v>0.2</v>
      </c>
      <c r="M253" s="496">
        <f>VLOOKUP($B253,'Emissions factors'!$B$1171:$K$1216,8,FALSE)</f>
        <v>0.29041032669715572</v>
      </c>
      <c r="N253" s="495">
        <f>VLOOKUP($B253,'Emissions factors'!$B$1171:$K$1216,9,FALSE)</f>
        <v>1.2396253400982309</v>
      </c>
      <c r="O253" s="185"/>
      <c r="P253" s="272">
        <f t="shared" si="116"/>
        <v>0.16232638888888887</v>
      </c>
      <c r="Q253" s="272">
        <f t="shared" si="117"/>
        <v>0.23696187925279924</v>
      </c>
      <c r="R253" s="272">
        <f t="shared" si="118"/>
        <v>1.4061979861111111</v>
      </c>
      <c r="S253" s="465">
        <f t="shared" si="119"/>
        <v>0</v>
      </c>
      <c r="T253" s="465">
        <f t="shared" si="120"/>
        <v>0</v>
      </c>
      <c r="U253" s="210">
        <f t="shared" si="121"/>
        <v>0</v>
      </c>
      <c r="V253" s="222">
        <f>IF(OR(F253='Info utili'!$G$532,F253='Info utili'!$G$537),U253,0)</f>
        <v>0</v>
      </c>
      <c r="W253" s="316"/>
      <c r="X253" s="282">
        <f>VLOOKUP($B253,'Emissions factors'!$B$1171:$K$1216,10,FALSE)</f>
        <v>0.10843974304941136</v>
      </c>
      <c r="Y253" s="186"/>
      <c r="Z253" s="221">
        <f t="shared" si="126"/>
        <v>0</v>
      </c>
      <c r="AA253" s="221">
        <f t="shared" si="122"/>
        <v>0</v>
      </c>
      <c r="AB253" s="221">
        <f t="shared" si="127"/>
        <v>0</v>
      </c>
      <c r="AC253" s="210">
        <f t="shared" si="128"/>
        <v>0</v>
      </c>
      <c r="AD253" s="222">
        <f t="shared" si="129"/>
        <v>0</v>
      </c>
      <c r="AE253" s="316"/>
      <c r="AF253" s="187"/>
      <c r="AG253" s="221">
        <f t="shared" si="107"/>
        <v>0</v>
      </c>
      <c r="AH253" s="221">
        <f t="shared" si="108"/>
        <v>0</v>
      </c>
      <c r="AI253" s="221">
        <f t="shared" si="109"/>
        <v>0</v>
      </c>
      <c r="AJ253" s="210">
        <f t="shared" ref="AJ253:AJ262" si="130">SUM(AG253:AI253)</f>
        <v>0</v>
      </c>
      <c r="AK253" s="221">
        <f t="shared" si="110"/>
        <v>0</v>
      </c>
      <c r="AL253" s="187"/>
      <c r="AM253" s="221">
        <f t="shared" si="111"/>
        <v>0</v>
      </c>
      <c r="AN253" s="221">
        <f t="shared" si="112"/>
        <v>0</v>
      </c>
      <c r="AO253" s="221">
        <f t="shared" si="113"/>
        <v>0</v>
      </c>
      <c r="AP253" s="210">
        <f t="shared" si="114"/>
        <v>0</v>
      </c>
      <c r="AQ253" s="222">
        <f t="shared" si="115"/>
        <v>0</v>
      </c>
      <c r="AS253" s="717"/>
      <c r="AT253" s="718"/>
      <c r="AU253" s="718"/>
      <c r="AV253" s="718"/>
      <c r="AW253" s="718"/>
      <c r="AX253" s="718"/>
      <c r="AY253" s="718"/>
      <c r="AZ253" s="718"/>
      <c r="BA253" s="718"/>
      <c r="BB253" s="718"/>
      <c r="BC253" s="718"/>
      <c r="BD253" s="718"/>
      <c r="BE253" s="719">
        <f t="shared" si="123"/>
        <v>0</v>
      </c>
      <c r="BF253" s="719">
        <f t="shared" si="124"/>
        <v>0</v>
      </c>
      <c r="BG253" s="720">
        <f t="shared" si="125"/>
        <v>0</v>
      </c>
      <c r="BH253" s="717"/>
      <c r="BI253" s="718"/>
      <c r="BJ253" s="721"/>
    </row>
    <row r="254" spans="2:62" ht="12.75" customHeight="1" outlineLevel="1" x14ac:dyDescent="0.2">
      <c r="B254" s="200" t="str">
        <f>'Emissions factors'!$B$1176</f>
        <v>2.6 to 3.5 tonnes diesel V6.1 [1]</v>
      </c>
      <c r="C254" s="201"/>
      <c r="D254" s="262">
        <f t="shared" si="105"/>
        <v>0</v>
      </c>
      <c r="E254" s="265">
        <f t="shared" si="106"/>
        <v>0</v>
      </c>
      <c r="F254" s="442"/>
      <c r="G254" s="493">
        <f>VLOOKUP($B254,'Emissions factors'!$B$1171:$K$1216,2,FALSE)</f>
        <v>3.7400000000000003E-2</v>
      </c>
      <c r="H254" s="493">
        <f>VLOOKUP($B254,'Emissions factors'!$B$1171:$K$1216,3,FALSE)</f>
        <v>3.0322231534883722E-2</v>
      </c>
      <c r="I254" s="493">
        <f>VLOOKUP($B254,'Emissions factors'!$B$1171:$K$1216,4,FALSE)</f>
        <v>0.28746900000000003</v>
      </c>
      <c r="J254" s="493">
        <f>VLOOKUP($B254,'Emissions factors'!$B$1171:$K$1216,5,FALSE)</f>
        <v>3.0322231534883722E-2</v>
      </c>
      <c r="K254" s="493">
        <f>VLOOKUP($B254,'Emissions factors'!$B$1171:$K$1216,6,FALSE)</f>
        <v>0.28746900000000003</v>
      </c>
      <c r="L254" s="496">
        <f>VLOOKUP($B254,'Emissions factors'!$B$1171:$K$1216,7,FALSE)</f>
        <v>0.2</v>
      </c>
      <c r="M254" s="496">
        <f>VLOOKUP($B254,'Emissions factors'!$B$1171:$K$1216,8,FALSE)</f>
        <v>0.29041032669715572</v>
      </c>
      <c r="N254" s="495">
        <f>VLOOKUP($B254,'Emissions factors'!$B$1171:$K$1216,9,FALSE)</f>
        <v>1.2396253400982309</v>
      </c>
      <c r="O254" s="185"/>
      <c r="P254" s="272">
        <f t="shared" si="116"/>
        <v>0.12986111111111112</v>
      </c>
      <c r="Q254" s="272">
        <f t="shared" si="117"/>
        <v>0.10528552616279072</v>
      </c>
      <c r="R254" s="272">
        <f t="shared" si="118"/>
        <v>0.99815625000000019</v>
      </c>
      <c r="S254" s="465">
        <f t="shared" si="119"/>
        <v>0</v>
      </c>
      <c r="T254" s="465">
        <f t="shared" si="120"/>
        <v>0</v>
      </c>
      <c r="U254" s="210">
        <f t="shared" si="121"/>
        <v>0</v>
      </c>
      <c r="V254" s="222">
        <f>IF(OR(F254='Info utili'!$G$532,F254='Info utili'!$G$537),U254,0)</f>
        <v>0</v>
      </c>
      <c r="W254" s="316"/>
      <c r="X254" s="282">
        <f>VLOOKUP($B254,'Emissions factors'!$B$1171:$K$1216,10,FALSE)</f>
        <v>0.11844200487424614</v>
      </c>
      <c r="Y254" s="186"/>
      <c r="Z254" s="221">
        <f t="shared" si="126"/>
        <v>0</v>
      </c>
      <c r="AA254" s="221">
        <f t="shared" si="122"/>
        <v>0</v>
      </c>
      <c r="AB254" s="221">
        <f t="shared" si="127"/>
        <v>0</v>
      </c>
      <c r="AC254" s="210">
        <f t="shared" si="128"/>
        <v>0</v>
      </c>
      <c r="AD254" s="222">
        <f t="shared" si="129"/>
        <v>0</v>
      </c>
      <c r="AE254" s="316"/>
      <c r="AF254" s="187"/>
      <c r="AG254" s="221">
        <f t="shared" si="107"/>
        <v>0</v>
      </c>
      <c r="AH254" s="221">
        <f t="shared" si="108"/>
        <v>0</v>
      </c>
      <c r="AI254" s="221">
        <f t="shared" si="109"/>
        <v>0</v>
      </c>
      <c r="AJ254" s="210">
        <f t="shared" si="130"/>
        <v>0</v>
      </c>
      <c r="AK254" s="221">
        <f t="shared" si="110"/>
        <v>0</v>
      </c>
      <c r="AL254" s="187"/>
      <c r="AM254" s="221">
        <f t="shared" si="111"/>
        <v>0</v>
      </c>
      <c r="AN254" s="221">
        <f t="shared" si="112"/>
        <v>0</v>
      </c>
      <c r="AO254" s="221">
        <f t="shared" si="113"/>
        <v>0</v>
      </c>
      <c r="AP254" s="210">
        <f t="shared" si="114"/>
        <v>0</v>
      </c>
      <c r="AQ254" s="222">
        <f t="shared" si="115"/>
        <v>0</v>
      </c>
      <c r="AS254" s="717"/>
      <c r="AT254" s="718"/>
      <c r="AU254" s="718"/>
      <c r="AV254" s="718"/>
      <c r="AW254" s="718"/>
      <c r="AX254" s="718"/>
      <c r="AY254" s="718"/>
      <c r="AZ254" s="718"/>
      <c r="BA254" s="718"/>
      <c r="BB254" s="718"/>
      <c r="BC254" s="718"/>
      <c r="BD254" s="718"/>
      <c r="BE254" s="719">
        <f t="shared" si="123"/>
        <v>0</v>
      </c>
      <c r="BF254" s="719">
        <f t="shared" si="124"/>
        <v>0</v>
      </c>
      <c r="BG254" s="720">
        <f t="shared" si="125"/>
        <v>0</v>
      </c>
      <c r="BH254" s="717"/>
      <c r="BI254" s="718"/>
      <c r="BJ254" s="721"/>
    </row>
    <row r="255" spans="2:62" ht="12.75" customHeight="1" outlineLevel="1" x14ac:dyDescent="0.2">
      <c r="B255" s="200" t="str">
        <f>'Emissions factors'!$B$1177</f>
        <v>3.5 tonnes, V6.1 [1]</v>
      </c>
      <c r="C255" s="201"/>
      <c r="D255" s="262">
        <f t="shared" si="105"/>
        <v>0</v>
      </c>
      <c r="E255" s="265">
        <f t="shared" si="106"/>
        <v>0</v>
      </c>
      <c r="F255" s="442"/>
      <c r="G255" s="493">
        <f>VLOOKUP($B255,'Emissions factors'!$B$1171:$K$1216,2,FALSE)</f>
        <v>3.85E-2</v>
      </c>
      <c r="H255" s="493">
        <f>VLOOKUP($B255,'Emissions factors'!$B$1171:$K$1216,3,FALSE)</f>
        <v>3.4814413984496119E-2</v>
      </c>
      <c r="I255" s="493">
        <f>VLOOKUP($B255,'Emissions factors'!$B$1171:$K$1216,4,FALSE)</f>
        <v>0.33005699999999999</v>
      </c>
      <c r="J255" s="493">
        <f>VLOOKUP($B255,'Emissions factors'!$B$1171:$K$1216,5,FALSE)</f>
        <v>3.4814413984496119E-2</v>
      </c>
      <c r="K255" s="493">
        <f>VLOOKUP($B255,'Emissions factors'!$B$1171:$K$1216,6,FALSE)</f>
        <v>0.33005699999999999</v>
      </c>
      <c r="L255" s="496">
        <f>VLOOKUP($B255,'Emissions factors'!$B$1171:$K$1216,7,FALSE)</f>
        <v>0.2</v>
      </c>
      <c r="M255" s="496">
        <f>VLOOKUP($B255,'Emissions factors'!$B$1171:$K$1216,8,FALSE)</f>
        <v>0.3</v>
      </c>
      <c r="N255" s="495">
        <f>VLOOKUP($B255,'Emissions factors'!$B$1171:$K$1216,9,FALSE)</f>
        <v>1.4</v>
      </c>
      <c r="O255" s="185"/>
      <c r="P255" s="272">
        <f t="shared" si="116"/>
        <v>0.11458333333333334</v>
      </c>
      <c r="Q255" s="272">
        <f t="shared" si="117"/>
        <v>0.10361432733480987</v>
      </c>
      <c r="R255" s="272">
        <f t="shared" si="118"/>
        <v>0.98231249999999992</v>
      </c>
      <c r="S255" s="465">
        <f t="shared" si="119"/>
        <v>0</v>
      </c>
      <c r="T255" s="465">
        <f t="shared" si="120"/>
        <v>0</v>
      </c>
      <c r="U255" s="210">
        <f t="shared" si="121"/>
        <v>0</v>
      </c>
      <c r="V255" s="222">
        <f>IF(OR(F255='Info utili'!$G$532,F255='Info utili'!$G$537),U255,0)</f>
        <v>0</v>
      </c>
      <c r="W255" s="316"/>
      <c r="X255" s="282">
        <f>VLOOKUP($B255,'Emissions factors'!$B$1171:$K$1216,10,FALSE)</f>
        <v>0.1120395970869712</v>
      </c>
      <c r="Y255" s="186"/>
      <c r="Z255" s="221">
        <f t="shared" si="126"/>
        <v>0</v>
      </c>
      <c r="AA255" s="221">
        <f t="shared" si="122"/>
        <v>0</v>
      </c>
      <c r="AB255" s="221">
        <f t="shared" si="127"/>
        <v>0</v>
      </c>
      <c r="AC255" s="210">
        <f t="shared" si="128"/>
        <v>0</v>
      </c>
      <c r="AD255" s="222">
        <f t="shared" si="129"/>
        <v>0</v>
      </c>
      <c r="AE255" s="316"/>
      <c r="AF255" s="187"/>
      <c r="AG255" s="221">
        <f t="shared" si="107"/>
        <v>0</v>
      </c>
      <c r="AH255" s="221">
        <f t="shared" si="108"/>
        <v>0</v>
      </c>
      <c r="AI255" s="221">
        <f t="shared" si="109"/>
        <v>0</v>
      </c>
      <c r="AJ255" s="210">
        <f t="shared" si="130"/>
        <v>0</v>
      </c>
      <c r="AK255" s="221">
        <f t="shared" si="110"/>
        <v>0</v>
      </c>
      <c r="AL255" s="187"/>
      <c r="AM255" s="221">
        <f t="shared" si="111"/>
        <v>0</v>
      </c>
      <c r="AN255" s="221">
        <f t="shared" si="112"/>
        <v>0</v>
      </c>
      <c r="AO255" s="221">
        <f t="shared" si="113"/>
        <v>0</v>
      </c>
      <c r="AP255" s="210">
        <f t="shared" si="114"/>
        <v>0</v>
      </c>
      <c r="AQ255" s="222">
        <f t="shared" si="115"/>
        <v>0</v>
      </c>
      <c r="AS255" s="717"/>
      <c r="AT255" s="718"/>
      <c r="AU255" s="718"/>
      <c r="AV255" s="718"/>
      <c r="AW255" s="718"/>
      <c r="AX255" s="718"/>
      <c r="AY255" s="718"/>
      <c r="AZ255" s="718"/>
      <c r="BA255" s="718"/>
      <c r="BB255" s="718"/>
      <c r="BC255" s="718"/>
      <c r="BD255" s="718"/>
      <c r="BE255" s="719">
        <f t="shared" si="123"/>
        <v>0</v>
      </c>
      <c r="BF255" s="719">
        <f t="shared" si="124"/>
        <v>0</v>
      </c>
      <c r="BG255" s="720">
        <f t="shared" si="125"/>
        <v>0</v>
      </c>
      <c r="BH255" s="717"/>
      <c r="BI255" s="718"/>
      <c r="BJ255" s="721"/>
    </row>
    <row r="256" spans="2:62" ht="12.75" customHeight="1" outlineLevel="1" x14ac:dyDescent="0.2">
      <c r="B256" s="200" t="str">
        <f>'Emissions factors'!$B$1178</f>
        <v>3,6 to 5 tonnes, V6.1 [1]</v>
      </c>
      <c r="C256" s="201"/>
      <c r="D256" s="262">
        <f t="shared" si="105"/>
        <v>0</v>
      </c>
      <c r="E256" s="265">
        <f t="shared" si="106"/>
        <v>0</v>
      </c>
      <c r="F256" s="442"/>
      <c r="G256" s="493">
        <f>VLOOKUP($B256,'Emissions factors'!$B$1171:$K$1216,2,FALSE)</f>
        <v>4.3477449095827986E-2</v>
      </c>
      <c r="H256" s="493">
        <f>VLOOKUP($B256,'Emissions factors'!$B$1171:$K$1216,3,FALSE)</f>
        <v>4.6989744980568841E-2</v>
      </c>
      <c r="I256" s="493">
        <f>VLOOKUP($B256,'Emissions factors'!$B$1171:$K$1216,4,FALSE)</f>
        <v>0.44548485767872908</v>
      </c>
      <c r="J256" s="493">
        <f>VLOOKUP($B256,'Emissions factors'!$B$1171:$K$1216,5,FALSE)</f>
        <v>6.7619389118379544E-2</v>
      </c>
      <c r="K256" s="493">
        <f>VLOOKUP($B256,'Emissions factors'!$B$1171:$K$1216,6,FALSE)</f>
        <v>0.64106357568402461</v>
      </c>
      <c r="L256" s="496">
        <f>VLOOKUP($B256,'Emissions factors'!$B$1171:$K$1216,7,FALSE)</f>
        <v>0.2</v>
      </c>
      <c r="M256" s="496">
        <f>VLOOKUP($B256,'Emissions factors'!$B$1171:$K$1216,8,FALSE)</f>
        <v>0.3</v>
      </c>
      <c r="N256" s="495">
        <f>VLOOKUP($B256,'Emissions factors'!$B$1171:$K$1216,9,FALSE)</f>
        <v>2.3714972234087996</v>
      </c>
      <c r="O256" s="185"/>
      <c r="P256" s="272">
        <f t="shared" si="116"/>
        <v>7.6388888888888881E-2</v>
      </c>
      <c r="Q256" s="272">
        <f t="shared" si="117"/>
        <v>9.1258908544042436E-2</v>
      </c>
      <c r="R256" s="272">
        <f t="shared" si="118"/>
        <v>0.86517732542430892</v>
      </c>
      <c r="S256" s="465">
        <f t="shared" si="119"/>
        <v>0</v>
      </c>
      <c r="T256" s="465">
        <f t="shared" si="120"/>
        <v>0</v>
      </c>
      <c r="U256" s="210">
        <f t="shared" si="121"/>
        <v>0</v>
      </c>
      <c r="V256" s="222">
        <f>IF(OR(F256='Info utili'!$G$532,F256='Info utili'!$G$537),U256,0)</f>
        <v>0</v>
      </c>
      <c r="W256" s="316"/>
      <c r="X256" s="282">
        <f>VLOOKUP($B256,'Emissions factors'!$B$1171:$K$1216,10,FALSE)</f>
        <v>9.8074719213274708E-2</v>
      </c>
      <c r="Y256" s="186"/>
      <c r="Z256" s="221">
        <f t="shared" si="126"/>
        <v>0</v>
      </c>
      <c r="AA256" s="221">
        <f t="shared" si="122"/>
        <v>0</v>
      </c>
      <c r="AB256" s="221">
        <f t="shared" si="127"/>
        <v>0</v>
      </c>
      <c r="AC256" s="210">
        <f t="shared" si="128"/>
        <v>0</v>
      </c>
      <c r="AD256" s="222">
        <f t="shared" si="129"/>
        <v>0</v>
      </c>
      <c r="AE256" s="316"/>
      <c r="AF256" s="187"/>
      <c r="AG256" s="221">
        <f t="shared" si="107"/>
        <v>0</v>
      </c>
      <c r="AH256" s="221">
        <f t="shared" si="108"/>
        <v>0</v>
      </c>
      <c r="AI256" s="221">
        <f t="shared" si="109"/>
        <v>0</v>
      </c>
      <c r="AJ256" s="210">
        <f t="shared" si="130"/>
        <v>0</v>
      </c>
      <c r="AK256" s="221">
        <f t="shared" si="110"/>
        <v>0</v>
      </c>
      <c r="AL256" s="187"/>
      <c r="AM256" s="221">
        <f t="shared" si="111"/>
        <v>0</v>
      </c>
      <c r="AN256" s="221">
        <f t="shared" si="112"/>
        <v>0</v>
      </c>
      <c r="AO256" s="221">
        <f t="shared" si="113"/>
        <v>0</v>
      </c>
      <c r="AP256" s="210">
        <f t="shared" si="114"/>
        <v>0</v>
      </c>
      <c r="AQ256" s="222">
        <f t="shared" si="115"/>
        <v>0</v>
      </c>
      <c r="AS256" s="717"/>
      <c r="AT256" s="718"/>
      <c r="AU256" s="718"/>
      <c r="AV256" s="718"/>
      <c r="AW256" s="718"/>
      <c r="AX256" s="718"/>
      <c r="AY256" s="718"/>
      <c r="AZ256" s="718"/>
      <c r="BA256" s="718"/>
      <c r="BB256" s="718"/>
      <c r="BC256" s="718"/>
      <c r="BD256" s="718"/>
      <c r="BE256" s="719">
        <f t="shared" si="123"/>
        <v>0</v>
      </c>
      <c r="BF256" s="719">
        <f t="shared" si="124"/>
        <v>0</v>
      </c>
      <c r="BG256" s="720">
        <f t="shared" si="125"/>
        <v>0</v>
      </c>
      <c r="BH256" s="717"/>
      <c r="BI256" s="718"/>
      <c r="BJ256" s="721"/>
    </row>
    <row r="257" spans="2:62" ht="12.75" customHeight="1" outlineLevel="1" x14ac:dyDescent="0.2">
      <c r="B257" s="200" t="str">
        <f>'Emissions factors'!$B$1179</f>
        <v>5.1 to 6 tonnes, V6.1 [1]</v>
      </c>
      <c r="C257" s="201"/>
      <c r="D257" s="262">
        <f t="shared" si="105"/>
        <v>0</v>
      </c>
      <c r="E257" s="265">
        <f t="shared" si="106"/>
        <v>0</v>
      </c>
      <c r="F257" s="442"/>
      <c r="G257" s="493">
        <f>VLOOKUP($B257,'Emissions factors'!$B$1171:$K$1216,2,FALSE)</f>
        <v>5.2000138335546703E-2</v>
      </c>
      <c r="H257" s="493">
        <f>VLOOKUP($B257,'Emissions factors'!$B$1171:$K$1216,3,FALSE)</f>
        <v>3.6829800119905311E-2</v>
      </c>
      <c r="I257" s="493">
        <f>VLOOKUP($B257,'Emissions factors'!$B$1171:$K$1216,4,FALSE)</f>
        <v>0.34916380736981473</v>
      </c>
      <c r="J257" s="493">
        <f>VLOOKUP($B257,'Emissions factors'!$B$1171:$K$1216,5,FALSE)</f>
        <v>5.2998980660351531E-2</v>
      </c>
      <c r="K257" s="493">
        <f>VLOOKUP($B257,'Emissions factors'!$B$1171:$K$1216,6,FALSE)</f>
        <v>0.50245523499558697</v>
      </c>
      <c r="L257" s="496">
        <f>VLOOKUP($B257,'Emissions factors'!$B$1171:$K$1216,7,FALSE)</f>
        <v>0.2</v>
      </c>
      <c r="M257" s="496">
        <f>VLOOKUP($B257,'Emissions factors'!$B$1171:$K$1216,8,FALSE)</f>
        <v>0.3</v>
      </c>
      <c r="N257" s="495">
        <f>VLOOKUP($B257,'Emissions factors'!$B$1171:$K$1216,9,FALSE)</f>
        <v>2.8363711819389108</v>
      </c>
      <c r="O257" s="185"/>
      <c r="P257" s="272">
        <f t="shared" si="116"/>
        <v>7.6388888888888895E-2</v>
      </c>
      <c r="Q257" s="272">
        <f t="shared" si="117"/>
        <v>5.9804119474975354E-2</v>
      </c>
      <c r="R257" s="272">
        <f t="shared" si="118"/>
        <v>0.56697114793723646</v>
      </c>
      <c r="S257" s="465">
        <f t="shared" si="119"/>
        <v>0</v>
      </c>
      <c r="T257" s="465">
        <f t="shared" si="120"/>
        <v>0</v>
      </c>
      <c r="U257" s="210">
        <f t="shared" si="121"/>
        <v>0</v>
      </c>
      <c r="V257" s="222">
        <f>IF(OR(F257='Info utili'!$G$532,F257='Info utili'!$G$537),U257,0)</f>
        <v>0</v>
      </c>
      <c r="W257" s="316"/>
      <c r="X257" s="282">
        <f>VLOOKUP($B257,'Emissions factors'!$B$1171:$K$1216,10,FALSE)</f>
        <v>0.12061335156639592</v>
      </c>
      <c r="Y257" s="186"/>
      <c r="Z257" s="221">
        <f t="shared" si="126"/>
        <v>0</v>
      </c>
      <c r="AA257" s="221">
        <f t="shared" si="122"/>
        <v>0</v>
      </c>
      <c r="AB257" s="221">
        <f t="shared" si="127"/>
        <v>0</v>
      </c>
      <c r="AC257" s="210">
        <f t="shared" si="128"/>
        <v>0</v>
      </c>
      <c r="AD257" s="222">
        <f t="shared" si="129"/>
        <v>0</v>
      </c>
      <c r="AE257" s="316"/>
      <c r="AF257" s="187"/>
      <c r="AG257" s="221">
        <f t="shared" si="107"/>
        <v>0</v>
      </c>
      <c r="AH257" s="221">
        <f t="shared" si="108"/>
        <v>0</v>
      </c>
      <c r="AI257" s="221">
        <f t="shared" si="109"/>
        <v>0</v>
      </c>
      <c r="AJ257" s="210">
        <f t="shared" si="130"/>
        <v>0</v>
      </c>
      <c r="AK257" s="221">
        <f t="shared" si="110"/>
        <v>0</v>
      </c>
      <c r="AL257" s="187"/>
      <c r="AM257" s="221">
        <f t="shared" si="111"/>
        <v>0</v>
      </c>
      <c r="AN257" s="221">
        <f t="shared" si="112"/>
        <v>0</v>
      </c>
      <c r="AO257" s="221">
        <f t="shared" si="113"/>
        <v>0</v>
      </c>
      <c r="AP257" s="210">
        <f t="shared" si="114"/>
        <v>0</v>
      </c>
      <c r="AQ257" s="222">
        <f t="shared" si="115"/>
        <v>0</v>
      </c>
      <c r="AS257" s="717"/>
      <c r="AT257" s="718"/>
      <c r="AU257" s="718"/>
      <c r="AV257" s="718"/>
      <c r="AW257" s="718"/>
      <c r="AX257" s="718"/>
      <c r="AY257" s="718"/>
      <c r="AZ257" s="718"/>
      <c r="BA257" s="718"/>
      <c r="BB257" s="718"/>
      <c r="BC257" s="718"/>
      <c r="BD257" s="718"/>
      <c r="BE257" s="719">
        <f t="shared" si="123"/>
        <v>0</v>
      </c>
      <c r="BF257" s="719">
        <f t="shared" si="124"/>
        <v>0</v>
      </c>
      <c r="BG257" s="720">
        <f t="shared" si="125"/>
        <v>0</v>
      </c>
      <c r="BH257" s="717"/>
      <c r="BI257" s="718"/>
      <c r="BJ257" s="721"/>
    </row>
    <row r="258" spans="2:62" ht="12.75" customHeight="1" outlineLevel="1" x14ac:dyDescent="0.2">
      <c r="B258" s="200" t="str">
        <f>'Emissions factors'!$B$1180</f>
        <v>6.1 to 10.9 tonnes, V6.1 [1]</v>
      </c>
      <c r="C258" s="201"/>
      <c r="D258" s="262">
        <f t="shared" si="105"/>
        <v>0</v>
      </c>
      <c r="E258" s="265">
        <f t="shared" si="106"/>
        <v>0</v>
      </c>
      <c r="F258" s="442"/>
      <c r="G258" s="493">
        <f>VLOOKUP($B258,'Emissions factors'!$B$1171:$K$1216,2,FALSE)</f>
        <v>5.9457783482842363E-2</v>
      </c>
      <c r="H258" s="493">
        <f>VLOOKUP($B258,'Emissions factors'!$B$1171:$K$1216,3,FALSE)</f>
        <v>5.4640146955834516E-2</v>
      </c>
      <c r="I258" s="493">
        <f>VLOOKUP($B258,'Emissions factors'!$B$1171:$K$1216,4,FALSE)</f>
        <v>0.51801426247855564</v>
      </c>
      <c r="J258" s="493">
        <f>VLOOKUP($B258,'Emissions factors'!$B$1171:$K$1216,5,FALSE)</f>
        <v>7.8628504155956971E-2</v>
      </c>
      <c r="K258" s="493">
        <f>VLOOKUP($B258,'Emissions factors'!$B$1171:$K$1216,6,FALSE)</f>
        <v>0.74543515820084838</v>
      </c>
      <c r="L258" s="496">
        <f>VLOOKUP($B258,'Emissions factors'!$B$1171:$K$1216,7,FALSE)</f>
        <v>0.19024681226320964</v>
      </c>
      <c r="M258" s="496">
        <f>VLOOKUP($B258,'Emissions factors'!$B$1171:$K$1216,8,FALSE)</f>
        <v>0.35246971129152921</v>
      </c>
      <c r="N258" s="495">
        <f>VLOOKUP($B258,'Emissions factors'!$B$1171:$K$1216,9,FALSE)</f>
        <v>4.6948483581257348</v>
      </c>
      <c r="O258" s="185"/>
      <c r="P258" s="272">
        <f t="shared" si="116"/>
        <v>4.4372375214804111E-2</v>
      </c>
      <c r="Q258" s="272">
        <f t="shared" si="117"/>
        <v>4.5886557843045447E-2</v>
      </c>
      <c r="R258" s="272">
        <f t="shared" si="118"/>
        <v>0.43502612534988083</v>
      </c>
      <c r="S258" s="465">
        <f t="shared" si="119"/>
        <v>0</v>
      </c>
      <c r="T258" s="465">
        <f t="shared" si="120"/>
        <v>0</v>
      </c>
      <c r="U258" s="210">
        <f t="shared" si="121"/>
        <v>0</v>
      </c>
      <c r="V258" s="222">
        <f>IF(OR(F258='Info utili'!$G$532,F258='Info utili'!$G$537),U258,0)</f>
        <v>0</v>
      </c>
      <c r="W258" s="316"/>
      <c r="X258" s="282">
        <f>VLOOKUP($B258,'Emissions factors'!$B$1171:$K$1216,10,FALSE)</f>
        <v>0.10490741346622363</v>
      </c>
      <c r="Y258" s="186"/>
      <c r="Z258" s="221">
        <f t="shared" si="126"/>
        <v>0</v>
      </c>
      <c r="AA258" s="221">
        <f t="shared" si="122"/>
        <v>0</v>
      </c>
      <c r="AB258" s="221">
        <f t="shared" si="127"/>
        <v>0</v>
      </c>
      <c r="AC258" s="210">
        <f t="shared" si="128"/>
        <v>0</v>
      </c>
      <c r="AD258" s="222">
        <f t="shared" si="129"/>
        <v>0</v>
      </c>
      <c r="AE258" s="316"/>
      <c r="AF258" s="187"/>
      <c r="AG258" s="221">
        <f t="shared" si="107"/>
        <v>0</v>
      </c>
      <c r="AH258" s="221">
        <f t="shared" si="108"/>
        <v>0</v>
      </c>
      <c r="AI258" s="221">
        <f t="shared" si="109"/>
        <v>0</v>
      </c>
      <c r="AJ258" s="210">
        <f t="shared" si="130"/>
        <v>0</v>
      </c>
      <c r="AK258" s="221">
        <f t="shared" si="110"/>
        <v>0</v>
      </c>
      <c r="AL258" s="187"/>
      <c r="AM258" s="221">
        <f t="shared" si="111"/>
        <v>0</v>
      </c>
      <c r="AN258" s="221">
        <f t="shared" si="112"/>
        <v>0</v>
      </c>
      <c r="AO258" s="221">
        <f t="shared" si="113"/>
        <v>0</v>
      </c>
      <c r="AP258" s="210">
        <f t="shared" si="114"/>
        <v>0</v>
      </c>
      <c r="AQ258" s="222">
        <f t="shared" si="115"/>
        <v>0</v>
      </c>
      <c r="AS258" s="717"/>
      <c r="AT258" s="718"/>
      <c r="AU258" s="718"/>
      <c r="AV258" s="718"/>
      <c r="AW258" s="718"/>
      <c r="AX258" s="718"/>
      <c r="AY258" s="718"/>
      <c r="AZ258" s="718"/>
      <c r="BA258" s="718"/>
      <c r="BB258" s="718"/>
      <c r="BC258" s="718"/>
      <c r="BD258" s="718"/>
      <c r="BE258" s="719">
        <f t="shared" si="123"/>
        <v>0</v>
      </c>
      <c r="BF258" s="719">
        <f t="shared" si="124"/>
        <v>0</v>
      </c>
      <c r="BG258" s="720">
        <f t="shared" si="125"/>
        <v>0</v>
      </c>
      <c r="BH258" s="717"/>
      <c r="BI258" s="718"/>
      <c r="BJ258" s="721"/>
    </row>
    <row r="259" spans="2:62" ht="12.75" customHeight="1" outlineLevel="1" x14ac:dyDescent="0.2">
      <c r="B259" s="200" t="str">
        <f>'Emissions factors'!$B$1181</f>
        <v>11 to 19 tonnes, V6.1 [1]</v>
      </c>
      <c r="C259" s="201"/>
      <c r="D259" s="262">
        <f t="shared" si="105"/>
        <v>0</v>
      </c>
      <c r="E259" s="265">
        <f t="shared" si="106"/>
        <v>0</v>
      </c>
      <c r="F259" s="442"/>
      <c r="G259" s="493">
        <f>VLOOKUP($B259,'Emissions factors'!$B$1171:$K$1216,2,FALSE)</f>
        <v>7.479177736456262E-2</v>
      </c>
      <c r="H259" s="493">
        <f>VLOOKUP($B259,'Emissions factors'!$B$1171:$K$1216,3,FALSE)</f>
        <v>7.1865176377148066E-2</v>
      </c>
      <c r="I259" s="493">
        <f>VLOOKUP($B259,'Emissions factors'!$B$1171:$K$1216,4,FALSE)</f>
        <v>0.68131563352108671</v>
      </c>
      <c r="J259" s="493">
        <f>VLOOKUP($B259,'Emissions factors'!$B$1171:$K$1216,5,FALSE)</f>
        <v>0.10341574161589596</v>
      </c>
      <c r="K259" s="493">
        <f>VLOOKUP($B259,'Emissions factors'!$B$1171:$K$1216,6,FALSE)</f>
        <v>0.98042981409131968</v>
      </c>
      <c r="L259" s="496">
        <f>VLOOKUP($B259,'Emissions factors'!$B$1171:$K$1216,7,FALSE)</f>
        <v>0.17752736029736885</v>
      </c>
      <c r="M259" s="496">
        <f>VLOOKUP($B259,'Emissions factors'!$B$1171:$K$1216,8,FALSE)</f>
        <v>0.43315705673044191</v>
      </c>
      <c r="N259" s="495">
        <f>VLOOKUP($B259,'Emissions factors'!$B$1171:$K$1216,9,FALSE)</f>
        <v>9.7909235822700165</v>
      </c>
      <c r="O259" s="185"/>
      <c r="P259" s="272">
        <f t="shared" si="116"/>
        <v>2.1441903609743834E-2</v>
      </c>
      <c r="Q259" s="272">
        <f t="shared" si="117"/>
        <v>2.3825312217553882E-2</v>
      </c>
      <c r="R259" s="272">
        <f t="shared" si="118"/>
        <v>0.2258751526908114</v>
      </c>
      <c r="S259" s="465">
        <f t="shared" si="119"/>
        <v>0</v>
      </c>
      <c r="T259" s="465">
        <f t="shared" si="120"/>
        <v>0</v>
      </c>
      <c r="U259" s="210">
        <f t="shared" si="121"/>
        <v>0</v>
      </c>
      <c r="V259" s="222">
        <f>IF(OR(F259='Info utili'!$G$532,F259='Info utili'!$G$537),U259,0)</f>
        <v>0</v>
      </c>
      <c r="W259" s="316"/>
      <c r="X259" s="282">
        <f>VLOOKUP($B259,'Emissions factors'!$B$1171:$K$1216,10,FALSE)</f>
        <v>0.10140191635304184</v>
      </c>
      <c r="Y259" s="186"/>
      <c r="Z259" s="221">
        <f t="shared" si="126"/>
        <v>0</v>
      </c>
      <c r="AA259" s="221">
        <f t="shared" si="122"/>
        <v>0</v>
      </c>
      <c r="AB259" s="221">
        <f t="shared" si="127"/>
        <v>0</v>
      </c>
      <c r="AC259" s="210">
        <f t="shared" si="128"/>
        <v>0</v>
      </c>
      <c r="AD259" s="222">
        <f t="shared" si="129"/>
        <v>0</v>
      </c>
      <c r="AE259" s="316"/>
      <c r="AF259" s="187"/>
      <c r="AG259" s="221">
        <f t="shared" si="107"/>
        <v>0</v>
      </c>
      <c r="AH259" s="221">
        <f t="shared" si="108"/>
        <v>0</v>
      </c>
      <c r="AI259" s="221">
        <f t="shared" si="109"/>
        <v>0</v>
      </c>
      <c r="AJ259" s="210">
        <f t="shared" si="130"/>
        <v>0</v>
      </c>
      <c r="AK259" s="221">
        <f t="shared" si="110"/>
        <v>0</v>
      </c>
      <c r="AL259" s="187"/>
      <c r="AM259" s="221">
        <f t="shared" si="111"/>
        <v>0</v>
      </c>
      <c r="AN259" s="221">
        <f t="shared" si="112"/>
        <v>0</v>
      </c>
      <c r="AO259" s="221">
        <f t="shared" si="113"/>
        <v>0</v>
      </c>
      <c r="AP259" s="210">
        <f t="shared" si="114"/>
        <v>0</v>
      </c>
      <c r="AQ259" s="222">
        <f t="shared" si="115"/>
        <v>0</v>
      </c>
      <c r="AS259" s="717"/>
      <c r="AT259" s="718"/>
      <c r="AU259" s="718"/>
      <c r="AV259" s="718"/>
      <c r="AW259" s="718"/>
      <c r="AX259" s="718"/>
      <c r="AY259" s="718"/>
      <c r="AZ259" s="718"/>
      <c r="BA259" s="718"/>
      <c r="BB259" s="718"/>
      <c r="BC259" s="718"/>
      <c r="BD259" s="718"/>
      <c r="BE259" s="719">
        <f t="shared" si="123"/>
        <v>0</v>
      </c>
      <c r="BF259" s="719">
        <f t="shared" si="124"/>
        <v>0</v>
      </c>
      <c r="BG259" s="720">
        <f t="shared" si="125"/>
        <v>0</v>
      </c>
      <c r="BH259" s="717"/>
      <c r="BI259" s="718"/>
      <c r="BJ259" s="721"/>
    </row>
    <row r="260" spans="2:62" ht="12.75" customHeight="1" outlineLevel="1" x14ac:dyDescent="0.2">
      <c r="B260" s="200" t="str">
        <f>'Emissions factors'!$B$1182</f>
        <v>19.1 to 21 tonnes, V6.1 [1]</v>
      </c>
      <c r="C260" s="201"/>
      <c r="D260" s="262">
        <f t="shared" si="105"/>
        <v>0</v>
      </c>
      <c r="E260" s="265">
        <f t="shared" si="106"/>
        <v>0</v>
      </c>
      <c r="F260" s="442"/>
      <c r="G260" s="493">
        <f>VLOOKUP($B260,'Emissions factors'!$B$1171:$K$1216,2,FALSE)</f>
        <v>7.7475799086758002E-2</v>
      </c>
      <c r="H260" s="493">
        <f>VLOOKUP($B260,'Emissions factors'!$B$1171:$K$1216,3,FALSE)</f>
        <v>8.2893044645934402E-2</v>
      </c>
      <c r="I260" s="493">
        <f>VLOOKUP($B260,'Emissions factors'!$B$1171:$K$1216,4,FALSE)</f>
        <v>0.78586500547983185</v>
      </c>
      <c r="J260" s="493">
        <f>VLOOKUP($B260,'Emissions factors'!$B$1171:$K$1216,5,FALSE)</f>
        <v>0.11928511302707633</v>
      </c>
      <c r="K260" s="493">
        <f>VLOOKUP($B260,'Emissions factors'!$B$1171:$K$1216,6,FALSE)</f>
        <v>1.1308789103246357</v>
      </c>
      <c r="L260" s="496">
        <f>VLOOKUP($B260,'Emissions factors'!$B$1171:$K$1216,7,FALSE)</f>
        <v>0.14978943133299677</v>
      </c>
      <c r="M260" s="496">
        <f>VLOOKUP($B260,'Emissions factors'!$B$1171:$K$1216,8,FALSE)</f>
        <v>0.42427163527195022</v>
      </c>
      <c r="N260" s="495">
        <f>VLOOKUP($B260,'Emissions factors'!$B$1171:$K$1216,9,FALSE)</f>
        <v>11.621369863013697</v>
      </c>
      <c r="O260" s="185"/>
      <c r="P260" s="272">
        <f t="shared" si="116"/>
        <v>1.8481543711033513E-2</v>
      </c>
      <c r="Q260" s="272">
        <f t="shared" si="117"/>
        <v>2.2905284464183263E-2</v>
      </c>
      <c r="R260" s="272">
        <f t="shared" si="118"/>
        <v>0.2171528573699861</v>
      </c>
      <c r="S260" s="465">
        <f t="shared" si="119"/>
        <v>0</v>
      </c>
      <c r="T260" s="465">
        <f t="shared" si="120"/>
        <v>0</v>
      </c>
      <c r="U260" s="210">
        <f t="shared" si="121"/>
        <v>0</v>
      </c>
      <c r="V260" s="222">
        <f>IF(OR(F260='Info utili'!$G$532,F260='Info utili'!$G$537),U260,0)</f>
        <v>0</v>
      </c>
      <c r="W260" s="316"/>
      <c r="X260" s="282">
        <f>VLOOKUP($B260,'Emissions factors'!$B$1171:$K$1216,10,FALSE)</f>
        <v>9.646483338462726E-2</v>
      </c>
      <c r="Y260" s="186"/>
      <c r="Z260" s="221">
        <f t="shared" si="126"/>
        <v>0</v>
      </c>
      <c r="AA260" s="221">
        <f t="shared" si="122"/>
        <v>0</v>
      </c>
      <c r="AB260" s="221">
        <f t="shared" si="127"/>
        <v>0</v>
      </c>
      <c r="AC260" s="210">
        <f t="shared" si="128"/>
        <v>0</v>
      </c>
      <c r="AD260" s="222">
        <f t="shared" si="129"/>
        <v>0</v>
      </c>
      <c r="AE260" s="316"/>
      <c r="AF260" s="187"/>
      <c r="AG260" s="221">
        <f t="shared" si="107"/>
        <v>0</v>
      </c>
      <c r="AH260" s="221">
        <f t="shared" si="108"/>
        <v>0</v>
      </c>
      <c r="AI260" s="221">
        <f t="shared" si="109"/>
        <v>0</v>
      </c>
      <c r="AJ260" s="210">
        <f t="shared" si="130"/>
        <v>0</v>
      </c>
      <c r="AK260" s="221">
        <f t="shared" si="110"/>
        <v>0</v>
      </c>
      <c r="AL260" s="187"/>
      <c r="AM260" s="221">
        <f t="shared" si="111"/>
        <v>0</v>
      </c>
      <c r="AN260" s="221">
        <f t="shared" si="112"/>
        <v>0</v>
      </c>
      <c r="AO260" s="221">
        <f t="shared" si="113"/>
        <v>0</v>
      </c>
      <c r="AP260" s="210">
        <f t="shared" si="114"/>
        <v>0</v>
      </c>
      <c r="AQ260" s="222">
        <f t="shared" si="115"/>
        <v>0</v>
      </c>
      <c r="AS260" s="717"/>
      <c r="AT260" s="718"/>
      <c r="AU260" s="718"/>
      <c r="AV260" s="718"/>
      <c r="AW260" s="718"/>
      <c r="AX260" s="718"/>
      <c r="AY260" s="718"/>
      <c r="AZ260" s="718"/>
      <c r="BA260" s="718"/>
      <c r="BB260" s="718"/>
      <c r="BC260" s="718"/>
      <c r="BD260" s="718"/>
      <c r="BE260" s="719">
        <f t="shared" si="123"/>
        <v>0</v>
      </c>
      <c r="BF260" s="719">
        <f t="shared" si="124"/>
        <v>0</v>
      </c>
      <c r="BG260" s="720">
        <f t="shared" si="125"/>
        <v>0</v>
      </c>
      <c r="BH260" s="717"/>
      <c r="BI260" s="718"/>
      <c r="BJ260" s="721"/>
    </row>
    <row r="261" spans="2:62" ht="12.75" customHeight="1" outlineLevel="1" x14ac:dyDescent="0.2">
      <c r="B261" s="200" t="str">
        <f>'Emissions factors'!$B$1183</f>
        <v>&gt; 21 tonnes, V6.1 [1]</v>
      </c>
      <c r="C261" s="201"/>
      <c r="D261" s="262">
        <f t="shared" si="105"/>
        <v>0</v>
      </c>
      <c r="E261" s="265">
        <f t="shared" si="106"/>
        <v>0</v>
      </c>
      <c r="F261" s="442"/>
      <c r="G261" s="493">
        <f>VLOOKUP($B261,'Emissions factors'!$B$1171:$K$1216,2,FALSE)</f>
        <v>8.6396543947465376E-2</v>
      </c>
      <c r="H261" s="493">
        <f>VLOOKUP($B261,'Emissions factors'!$B$1171:$K$1216,3,FALSE)</f>
        <v>0.10423755116522328</v>
      </c>
      <c r="I261" s="493">
        <f>VLOOKUP($B261,'Emissions factors'!$B$1171:$K$1216,4,FALSE)</f>
        <v>0.98822095469598759</v>
      </c>
      <c r="J261" s="493">
        <f>VLOOKUP($B261,'Emissions factors'!$B$1171:$K$1216,5,FALSE)</f>
        <v>0.15000037850605299</v>
      </c>
      <c r="K261" s="493">
        <f>VLOOKUP($B261,'Emissions factors'!$B$1171:$K$1216,6,FALSE)</f>
        <v>1.4220740567576404</v>
      </c>
      <c r="L261" s="496">
        <f>VLOOKUP($B261,'Emissions factors'!$B$1171:$K$1216,7,FALSE)</f>
        <v>0.29927749338549114</v>
      </c>
      <c r="M261" s="496">
        <f>VLOOKUP($B261,'Emissions factors'!$B$1171:$K$1216,8,FALSE)</f>
        <v>0.49671961708996965</v>
      </c>
      <c r="N261" s="495">
        <f>VLOOKUP($B261,'Emissions factors'!$B$1171:$K$1216,9,FALSE)</f>
        <v>16.659237899917965</v>
      </c>
      <c r="O261" s="185"/>
      <c r="P261" s="272">
        <f t="shared" si="116"/>
        <v>1.4899917406531141E-2</v>
      </c>
      <c r="Q261" s="272">
        <f t="shared" si="117"/>
        <v>2.0723765247207895E-2</v>
      </c>
      <c r="R261" s="272">
        <f t="shared" si="118"/>
        <v>0.19647103033943808</v>
      </c>
      <c r="S261" s="465">
        <f t="shared" si="119"/>
        <v>0</v>
      </c>
      <c r="T261" s="465">
        <f t="shared" si="120"/>
        <v>0</v>
      </c>
      <c r="U261" s="210">
        <f t="shared" si="121"/>
        <v>0</v>
      </c>
      <c r="V261" s="222">
        <f>IF(OR(F261='Info utili'!$G$532,F261='Info utili'!$G$537),U261,0)</f>
        <v>0</v>
      </c>
      <c r="W261" s="316"/>
      <c r="X261" s="282">
        <f>VLOOKUP($B261,'Emissions factors'!$B$1171:$K$1216,10,FALSE)</f>
        <v>9.1728422803538628E-2</v>
      </c>
      <c r="Y261" s="186"/>
      <c r="Z261" s="221">
        <f t="shared" si="126"/>
        <v>0</v>
      </c>
      <c r="AA261" s="221">
        <f t="shared" si="122"/>
        <v>0</v>
      </c>
      <c r="AB261" s="221">
        <f t="shared" si="127"/>
        <v>0</v>
      </c>
      <c r="AC261" s="210">
        <f t="shared" si="128"/>
        <v>0</v>
      </c>
      <c r="AD261" s="222">
        <f t="shared" si="129"/>
        <v>0</v>
      </c>
      <c r="AE261" s="316"/>
      <c r="AF261" s="187"/>
      <c r="AG261" s="221">
        <f t="shared" si="107"/>
        <v>0</v>
      </c>
      <c r="AH261" s="221">
        <f t="shared" si="108"/>
        <v>0</v>
      </c>
      <c r="AI261" s="221">
        <f t="shared" si="109"/>
        <v>0</v>
      </c>
      <c r="AJ261" s="210">
        <f t="shared" si="130"/>
        <v>0</v>
      </c>
      <c r="AK261" s="221">
        <f t="shared" si="110"/>
        <v>0</v>
      </c>
      <c r="AL261" s="187"/>
      <c r="AM261" s="221">
        <f t="shared" si="111"/>
        <v>0</v>
      </c>
      <c r="AN261" s="221">
        <f t="shared" si="112"/>
        <v>0</v>
      </c>
      <c r="AO261" s="221">
        <f t="shared" si="113"/>
        <v>0</v>
      </c>
      <c r="AP261" s="210">
        <f t="shared" si="114"/>
        <v>0</v>
      </c>
      <c r="AQ261" s="222">
        <f t="shared" si="115"/>
        <v>0</v>
      </c>
      <c r="AS261" s="717"/>
      <c r="AT261" s="718"/>
      <c r="AU261" s="718"/>
      <c r="AV261" s="718"/>
      <c r="AW261" s="718"/>
      <c r="AX261" s="718"/>
      <c r="AY261" s="718"/>
      <c r="AZ261" s="718"/>
      <c r="BA261" s="718"/>
      <c r="BB261" s="718"/>
      <c r="BC261" s="718"/>
      <c r="BD261" s="718"/>
      <c r="BE261" s="719">
        <f t="shared" si="123"/>
        <v>0</v>
      </c>
      <c r="BF261" s="719">
        <f t="shared" si="124"/>
        <v>0</v>
      </c>
      <c r="BG261" s="720">
        <f t="shared" si="125"/>
        <v>0</v>
      </c>
      <c r="BH261" s="717"/>
      <c r="BI261" s="718"/>
      <c r="BJ261" s="721"/>
    </row>
    <row r="262" spans="2:62" ht="12.75" customHeight="1" outlineLevel="1" x14ac:dyDescent="0.2">
      <c r="B262" s="200" t="str">
        <f>'Emissions factors'!$B$1184</f>
        <v>Articulated (tractor-trailer), V6.1 [1]</v>
      </c>
      <c r="C262" s="201"/>
      <c r="D262" s="262">
        <f>SUM(S262:U262)</f>
        <v>0</v>
      </c>
      <c r="E262" s="265">
        <f t="shared" si="106"/>
        <v>0</v>
      </c>
      <c r="F262" s="443"/>
      <c r="G262" s="493">
        <f>VLOOKUP($B262,'Emissions factors'!$B$1171:$K$1216,2,FALSE)</f>
        <v>0.10999999999999999</v>
      </c>
      <c r="H262" s="493">
        <f>VLOOKUP($B262,'Emissions factors'!$B$1171:$K$1216,3,FALSE)</f>
        <v>8.6923197162574253E-2</v>
      </c>
      <c r="I262" s="493">
        <f>VLOOKUP($B262,'Emissions factors'!$B$1171:$K$1216,4,FALSE)</f>
        <v>0.82407274465869496</v>
      </c>
      <c r="J262" s="493">
        <f>VLOOKUP($B262,'Emissions factors'!$B$1171:$K$1216,5,FALSE)</f>
        <v>0.12508460079492392</v>
      </c>
      <c r="K262" s="493">
        <f>VLOOKUP($B262,'Emissions factors'!$B$1171:$K$1216,6,FALSE)</f>
        <v>1.1858607788990974</v>
      </c>
      <c r="L262" s="497">
        <f>VLOOKUP($B262,'Emissions factors'!$B$1171:$K$1216,7,FALSE)</f>
        <v>0.21091797527003817</v>
      </c>
      <c r="M262" s="497">
        <f>VLOOKUP($B262,'Emissions factors'!$B$1171:$K$1216,8,FALSE)</f>
        <v>0.57249634491029433</v>
      </c>
      <c r="N262" s="495">
        <f>VLOOKUP($B262,'Emissions factors'!$B$1171:$K$1216,9,FALSE)</f>
        <v>25</v>
      </c>
      <c r="O262" s="188"/>
      <c r="P262" s="272">
        <f>G262/(M262*(1-L262)*N262)</f>
        <v>9.739974232399716E-3</v>
      </c>
      <c r="Q262" s="272">
        <f>(H262+(J262-H262)*(1-L262)*M262)/(M262*N262*(1-L262))</f>
        <v>9.2230897867601087E-3</v>
      </c>
      <c r="R262" s="272">
        <f>(I262+(K262-I262)*(1-L262)*M262)/(M262*N262*(1-L262))</f>
        <v>8.7439224084148823E-2</v>
      </c>
      <c r="S262" s="465">
        <f t="shared" si="119"/>
        <v>0</v>
      </c>
      <c r="T262" s="465">
        <f t="shared" si="120"/>
        <v>0</v>
      </c>
      <c r="U262" s="210">
        <f t="shared" si="121"/>
        <v>0</v>
      </c>
      <c r="V262" s="222">
        <f>IF(OR(F262='Info utili'!$G$532,F262='Info utili'!$G$537),U262,0)</f>
        <v>0</v>
      </c>
      <c r="W262" s="316"/>
      <c r="X262" s="282">
        <f>VLOOKUP($B262,'Emissions factors'!$B$1171:$K$1216,10,FALSE)</f>
        <v>0.10950044274342019</v>
      </c>
      <c r="Y262" s="189"/>
      <c r="Z262" s="221">
        <f t="shared" si="126"/>
        <v>0</v>
      </c>
      <c r="AA262" s="221">
        <f t="shared" si="122"/>
        <v>0</v>
      </c>
      <c r="AB262" s="221">
        <f t="shared" si="127"/>
        <v>0</v>
      </c>
      <c r="AC262" s="210">
        <f t="shared" si="128"/>
        <v>0</v>
      </c>
      <c r="AD262" s="222">
        <f t="shared" si="129"/>
        <v>0</v>
      </c>
      <c r="AE262" s="316"/>
      <c r="AF262" s="190"/>
      <c r="AG262" s="221">
        <f t="shared" si="107"/>
        <v>0</v>
      </c>
      <c r="AH262" s="221">
        <f t="shared" si="108"/>
        <v>0</v>
      </c>
      <c r="AI262" s="221">
        <f t="shared" si="109"/>
        <v>0</v>
      </c>
      <c r="AJ262" s="210">
        <f t="shared" si="130"/>
        <v>0</v>
      </c>
      <c r="AK262" s="221">
        <f t="shared" si="110"/>
        <v>0</v>
      </c>
      <c r="AL262" s="190"/>
      <c r="AM262" s="221">
        <f t="shared" si="111"/>
        <v>0</v>
      </c>
      <c r="AN262" s="221">
        <f t="shared" si="112"/>
        <v>0</v>
      </c>
      <c r="AO262" s="221">
        <f t="shared" si="113"/>
        <v>0</v>
      </c>
      <c r="AP262" s="210">
        <f t="shared" si="114"/>
        <v>0</v>
      </c>
      <c r="AQ262" s="222">
        <f t="shared" si="115"/>
        <v>0</v>
      </c>
      <c r="AS262" s="717"/>
      <c r="AT262" s="718"/>
      <c r="AU262" s="718"/>
      <c r="AV262" s="718"/>
      <c r="AW262" s="718"/>
      <c r="AX262" s="718"/>
      <c r="AY262" s="718"/>
      <c r="AZ262" s="718"/>
      <c r="BA262" s="718"/>
      <c r="BB262" s="718"/>
      <c r="BC262" s="718"/>
      <c r="BD262" s="718"/>
      <c r="BE262" s="719">
        <f t="shared" si="123"/>
        <v>0</v>
      </c>
      <c r="BF262" s="719">
        <f t="shared" si="124"/>
        <v>0</v>
      </c>
      <c r="BG262" s="720">
        <f t="shared" si="125"/>
        <v>0</v>
      </c>
      <c r="BH262" s="717"/>
      <c r="BI262" s="718"/>
      <c r="BJ262" s="721"/>
    </row>
    <row r="263" spans="2:62" ht="12.75" customHeight="1" outlineLevel="1" x14ac:dyDescent="0.2">
      <c r="B263" s="200"/>
      <c r="C263" s="201"/>
      <c r="D263" s="262"/>
      <c r="E263" s="265"/>
      <c r="F263" s="493"/>
      <c r="G263" s="493"/>
      <c r="H263" s="493"/>
      <c r="I263" s="493"/>
      <c r="J263" s="493"/>
      <c r="K263" s="493"/>
      <c r="L263" s="272"/>
      <c r="M263" s="272"/>
      <c r="N263" s="495"/>
      <c r="O263" s="272"/>
      <c r="P263" s="272"/>
      <c r="Q263" s="272"/>
      <c r="R263" s="272"/>
      <c r="S263" s="465"/>
      <c r="T263" s="465"/>
      <c r="U263" s="210"/>
      <c r="V263" s="222"/>
      <c r="W263" s="316"/>
      <c r="X263" s="282"/>
      <c r="Y263" s="272"/>
      <c r="Z263" s="221"/>
      <c r="AA263" s="221"/>
      <c r="AB263" s="221"/>
      <c r="AC263" s="210"/>
      <c r="AD263" s="222"/>
      <c r="AE263" s="316"/>
      <c r="AF263" s="1203"/>
      <c r="AG263" s="221"/>
      <c r="AH263" s="221"/>
      <c r="AI263" s="221"/>
      <c r="AJ263" s="210"/>
      <c r="AK263" s="221"/>
      <c r="AL263" s="221"/>
      <c r="AM263" s="221"/>
      <c r="AN263" s="221"/>
      <c r="AO263" s="221"/>
      <c r="AP263" s="210"/>
      <c r="AQ263" s="222"/>
      <c r="AS263" s="717"/>
      <c r="AT263" s="718"/>
      <c r="AU263" s="718"/>
      <c r="AV263" s="718"/>
      <c r="AW263" s="718"/>
      <c r="AX263" s="718"/>
      <c r="AY263" s="718"/>
      <c r="AZ263" s="718"/>
      <c r="BA263" s="718"/>
      <c r="BB263" s="718"/>
      <c r="BC263" s="718"/>
      <c r="BD263" s="718"/>
      <c r="BE263" s="719"/>
      <c r="BF263" s="719"/>
      <c r="BG263" s="720"/>
      <c r="BH263" s="717"/>
      <c r="BI263" s="718"/>
      <c r="BJ263" s="721"/>
    </row>
    <row r="264" spans="2:62" ht="12.75" customHeight="1" outlineLevel="1" x14ac:dyDescent="0.2">
      <c r="B264" s="704" t="s">
        <v>2780</v>
      </c>
      <c r="C264" s="201"/>
      <c r="D264" s="262"/>
      <c r="E264" s="265"/>
      <c r="F264" s="493"/>
      <c r="G264" s="493"/>
      <c r="H264" s="493"/>
      <c r="I264" s="493"/>
      <c r="J264" s="493"/>
      <c r="K264" s="493"/>
      <c r="L264" s="272"/>
      <c r="M264" s="272"/>
      <c r="N264" s="495"/>
      <c r="O264" s="272"/>
      <c r="P264" s="272"/>
      <c r="Q264" s="272"/>
      <c r="R264" s="272"/>
      <c r="S264" s="465"/>
      <c r="T264" s="465"/>
      <c r="U264" s="210"/>
      <c r="V264" s="222"/>
      <c r="W264" s="316"/>
      <c r="X264" s="282"/>
      <c r="Y264" s="272"/>
      <c r="Z264" s="221"/>
      <c r="AA264" s="221"/>
      <c r="AB264" s="221"/>
      <c r="AC264" s="210"/>
      <c r="AD264" s="222"/>
      <c r="AE264" s="316"/>
      <c r="AF264" s="1225"/>
      <c r="AG264" s="221"/>
      <c r="AH264" s="221"/>
      <c r="AI264" s="221"/>
      <c r="AJ264" s="210"/>
      <c r="AK264" s="221"/>
      <c r="AL264" s="221"/>
      <c r="AM264" s="221"/>
      <c r="AN264" s="221"/>
      <c r="AO264" s="221"/>
      <c r="AP264" s="210"/>
      <c r="AQ264" s="222"/>
      <c r="AS264" s="717"/>
      <c r="AT264" s="718"/>
      <c r="AU264" s="718"/>
      <c r="AV264" s="718"/>
      <c r="AW264" s="718"/>
      <c r="AX264" s="718"/>
      <c r="AY264" s="718"/>
      <c r="AZ264" s="718"/>
      <c r="BA264" s="718"/>
      <c r="BB264" s="718"/>
      <c r="BC264" s="718"/>
      <c r="BD264" s="718"/>
      <c r="BE264" s="719"/>
      <c r="BF264" s="719"/>
      <c r="BG264" s="720"/>
      <c r="BH264" s="717"/>
      <c r="BI264" s="718"/>
      <c r="BJ264" s="721"/>
    </row>
    <row r="265" spans="2:62" ht="12.75" customHeight="1" outlineLevel="1" x14ac:dyDescent="0.2">
      <c r="B265" s="200" t="s">
        <v>1284</v>
      </c>
      <c r="C265" s="201"/>
      <c r="D265" s="262">
        <f>SUM(S265:U265)</f>
        <v>0</v>
      </c>
      <c r="E265" s="265">
        <f>D265*12/44</f>
        <v>0</v>
      </c>
      <c r="F265" s="559"/>
      <c r="G265" s="493"/>
      <c r="H265" s="493"/>
      <c r="I265" s="493"/>
      <c r="J265" s="493"/>
      <c r="K265" s="493"/>
      <c r="L265" s="695"/>
      <c r="M265" s="695"/>
      <c r="N265" s="703" t="str">
        <f>IF(RIGHT(B265,12)="déménagement","m3.km :","tonnes.km :")</f>
        <v>tonnes.km :</v>
      </c>
      <c r="O265" s="182"/>
      <c r="P265" s="272">
        <f>VLOOKUP($B265,'Emissions factors'!$B$1221:$AG$1245,2,FALSE)</f>
        <v>8.8599999999999998E-2</v>
      </c>
      <c r="Q265" s="272">
        <f>VLOOKUP($B265,'Emissions factors'!$B$1221:$AG$1245,3,FALSE)</f>
        <v>0.23090000000000002</v>
      </c>
      <c r="R265" s="272">
        <f>VLOOKUP($B265,'Emissions factors'!$B$1221:$AG$1245,4,FALSE)</f>
        <v>0.88444599999999995</v>
      </c>
      <c r="S265" s="465">
        <f>O265*P265</f>
        <v>0</v>
      </c>
      <c r="T265" s="465">
        <f>O265*Q265</f>
        <v>0</v>
      </c>
      <c r="U265" s="210">
        <f>O265*R265</f>
        <v>0</v>
      </c>
      <c r="V265" s="222">
        <f>IF(OR(F265='Info utili'!$G$532,F265='Info utili'!$G$537),U265,0)</f>
        <v>0</v>
      </c>
      <c r="W265" s="316"/>
      <c r="X265" s="282">
        <f>VLOOKUP($B265,'Emissions factors'!$B$1221:$AG$1245,32,FALSE)</f>
        <v>0.7</v>
      </c>
      <c r="Y265" s="183"/>
      <c r="Z265" s="221">
        <f>S265*SQRT(X265^2+Y265^2)</f>
        <v>0</v>
      </c>
      <c r="AA265" s="221">
        <f>T265*SQRT(X265^2+Y265^2)</f>
        <v>0</v>
      </c>
      <c r="AB265" s="221">
        <f>U265*SQRT(X265^2+Y265^2)</f>
        <v>0</v>
      </c>
      <c r="AC265" s="210">
        <f>SQRT(SUMSQ(Z265:AB265))</f>
        <v>0</v>
      </c>
      <c r="AD265" s="222">
        <f>V265*SQRT(X265^2+Y265^2)</f>
        <v>0</v>
      </c>
      <c r="AE265" s="316"/>
      <c r="AF265" s="184"/>
      <c r="AG265" s="221">
        <f t="shared" ref="AG265:AI269" si="131">$AF265*S265</f>
        <v>0</v>
      </c>
      <c r="AH265" s="221">
        <f t="shared" si="131"/>
        <v>0</v>
      </c>
      <c r="AI265" s="221">
        <f t="shared" si="131"/>
        <v>0</v>
      </c>
      <c r="AJ265" s="210">
        <f>SUM(AG265:AI265)</f>
        <v>0</v>
      </c>
      <c r="AK265" s="221">
        <f>$AF265*V265</f>
        <v>0</v>
      </c>
      <c r="AL265" s="184"/>
      <c r="AM265" s="221">
        <f t="shared" ref="AM265:AO269" si="132">$AL265*S265</f>
        <v>0</v>
      </c>
      <c r="AN265" s="221">
        <f t="shared" si="132"/>
        <v>0</v>
      </c>
      <c r="AO265" s="221">
        <f t="shared" si="132"/>
        <v>0</v>
      </c>
      <c r="AP265" s="210">
        <f>SUM(AM265:AO265)</f>
        <v>0</v>
      </c>
      <c r="AQ265" s="222">
        <f>$AL265*V265</f>
        <v>0</v>
      </c>
      <c r="AS265" s="717">
        <f>O265*VLOOKUP($B265,'Emissions factors'!$B$1221:$AG$1245,5,FALSE)</f>
        <v>0</v>
      </c>
      <c r="AT265" s="718">
        <f>O265*VLOOKUP($B265,'Emissions factors'!$B$1221:$AG$1245,6,FALSE)</f>
        <v>0</v>
      </c>
      <c r="AU265" s="718">
        <f>O265*VLOOKUP($B265,'Emissions factors'!$B$1221:$AG$1245,7,FALSE)</f>
        <v>0</v>
      </c>
      <c r="AV265" s="718">
        <f>O265*VLOOKUP($B265,'Emissions factors'!$B$1221:$AG$1245,8,FALSE)</f>
        <v>0</v>
      </c>
      <c r="AW265" s="718">
        <f>O265*VLOOKUP($B265,'Emissions factors'!$B$1221:$AG$1245,9,FALSE)</f>
        <v>0</v>
      </c>
      <c r="AX265" s="718">
        <f>O265*VLOOKUP($B265,'Emissions factors'!$B$1221:$AG$1245,10,FALSE)</f>
        <v>0</v>
      </c>
      <c r="AY265" s="718">
        <f>O265*VLOOKUP($B265,'Emissions factors'!$B$1221:$AG$1245,11,FALSE)</f>
        <v>0</v>
      </c>
      <c r="AZ265" s="718">
        <f>O265*VLOOKUP($B265,'Emissions factors'!$B$1221:$AG$1245,12,FALSE)</f>
        <v>0</v>
      </c>
      <c r="BA265" s="718">
        <f>O265*VLOOKUP($B265,'Emissions factors'!$B$1221:$AG$1245,13,FALSE)</f>
        <v>0</v>
      </c>
      <c r="BB265" s="718">
        <v>0</v>
      </c>
      <c r="BC265" s="718">
        <v>0</v>
      </c>
      <c r="BD265" s="718">
        <v>0</v>
      </c>
      <c r="BE265" s="719">
        <f t="shared" ref="BE265:BG269" si="133">S265</f>
        <v>0</v>
      </c>
      <c r="BF265" s="719">
        <f t="shared" si="133"/>
        <v>0</v>
      </c>
      <c r="BG265" s="720">
        <f t="shared" si="133"/>
        <v>0</v>
      </c>
      <c r="BH265" s="717">
        <f>O265*VLOOKUP($B265,'Emissions factors'!$B$1221:$AG$1245,29,FALSE)</f>
        <v>0</v>
      </c>
      <c r="BI265" s="718">
        <f>O265*VLOOKUP($B265,'Emissions factors'!$B$1221:$AG$1245,30,FALSE)</f>
        <v>0</v>
      </c>
      <c r="BJ265" s="721">
        <f>O265*VLOOKUP($B265,'Emissions factors'!$B$1221:$AG$1245,31,FALSE)</f>
        <v>0</v>
      </c>
    </row>
    <row r="266" spans="2:62" ht="12.75" customHeight="1" outlineLevel="1" x14ac:dyDescent="0.2">
      <c r="B266" s="200" t="s">
        <v>1296</v>
      </c>
      <c r="C266" s="201"/>
      <c r="D266" s="262">
        <f>SUM(S266:U266)</f>
        <v>0</v>
      </c>
      <c r="E266" s="265">
        <f>D266*12/44</f>
        <v>0</v>
      </c>
      <c r="F266" s="692"/>
      <c r="G266" s="493"/>
      <c r="H266" s="493"/>
      <c r="I266" s="493"/>
      <c r="J266" s="493"/>
      <c r="K266" s="493"/>
      <c r="L266" s="696"/>
      <c r="M266" s="696"/>
      <c r="N266" s="703" t="str">
        <f>IF(RIGHT(B266,12)="déménagement","m3.km :","tonnes.km :")</f>
        <v>tonnes.km :</v>
      </c>
      <c r="O266" s="535"/>
      <c r="P266" s="272">
        <f>VLOOKUP($B266,'Emissions factors'!$B$1221:$AG$1245,2,FALSE)</f>
        <v>8.8000000000000005E-3</v>
      </c>
      <c r="Q266" s="272">
        <f>VLOOKUP($B266,'Emissions factors'!$B$1221:$AG$1245,3,FALSE)</f>
        <v>2.1271000000000002E-2</v>
      </c>
      <c r="R266" s="272">
        <f>VLOOKUP($B266,'Emissions factors'!$B$1221:$AG$1245,4,FALSE)</f>
        <v>8.1485499999999988E-2</v>
      </c>
      <c r="S266" s="465">
        <f>O266*P266</f>
        <v>0</v>
      </c>
      <c r="T266" s="465">
        <f>O266*Q266</f>
        <v>0</v>
      </c>
      <c r="U266" s="210">
        <f>O266*R266</f>
        <v>0</v>
      </c>
      <c r="V266" s="222">
        <f>IF(OR(F266='Info utili'!$G$532,F266='Info utili'!$G$537),U266,0)</f>
        <v>0</v>
      </c>
      <c r="W266" s="316"/>
      <c r="X266" s="282">
        <f>VLOOKUP($B266,'Emissions factors'!$B$1221:$AG$1245,32,FALSE)</f>
        <v>0.7</v>
      </c>
      <c r="Y266" s="533"/>
      <c r="Z266" s="221">
        <f>S266*SQRT(X266^2+Y266^2)</f>
        <v>0</v>
      </c>
      <c r="AA266" s="221">
        <f>T266*SQRT(X266^2+Y266^2)</f>
        <v>0</v>
      </c>
      <c r="AB266" s="221">
        <f>U266*SQRT(X266^2+Y266^2)</f>
        <v>0</v>
      </c>
      <c r="AC266" s="210">
        <f>SQRT(SUMSQ(Z266:AB266))</f>
        <v>0</v>
      </c>
      <c r="AD266" s="222">
        <f>V266*SQRT(X266^2+Y266^2)</f>
        <v>0</v>
      </c>
      <c r="AE266" s="316"/>
      <c r="AF266" s="531"/>
      <c r="AG266" s="221">
        <f t="shared" si="131"/>
        <v>0</v>
      </c>
      <c r="AH266" s="221">
        <f t="shared" si="131"/>
        <v>0</v>
      </c>
      <c r="AI266" s="221">
        <f t="shared" si="131"/>
        <v>0</v>
      </c>
      <c r="AJ266" s="210">
        <f>SUM(AG266:AI266)</f>
        <v>0</v>
      </c>
      <c r="AK266" s="221">
        <f>$AF266*V266</f>
        <v>0</v>
      </c>
      <c r="AL266" s="187"/>
      <c r="AM266" s="221">
        <f t="shared" si="132"/>
        <v>0</v>
      </c>
      <c r="AN266" s="221">
        <f t="shared" si="132"/>
        <v>0</v>
      </c>
      <c r="AO266" s="221">
        <f t="shared" si="132"/>
        <v>0</v>
      </c>
      <c r="AP266" s="210">
        <f>SUM(AM266:AO266)</f>
        <v>0</v>
      </c>
      <c r="AQ266" s="222">
        <f>$AL266*V266</f>
        <v>0</v>
      </c>
      <c r="AS266" s="717">
        <f>O266*VLOOKUP($B266,'Emissions factors'!$B$1221:$AG$1245,5,FALSE)</f>
        <v>0</v>
      </c>
      <c r="AT266" s="718">
        <f>O266*VLOOKUP($B266,'Emissions factors'!$B$1221:$AG$1245,6,FALSE)</f>
        <v>0</v>
      </c>
      <c r="AU266" s="718">
        <f>O266*VLOOKUP($B266,'Emissions factors'!$B$1221:$AG$1245,7,FALSE)</f>
        <v>0</v>
      </c>
      <c r="AV266" s="718">
        <f>O266*VLOOKUP($B266,'Emissions factors'!$B$1221:$AG$1245,8,FALSE)</f>
        <v>0</v>
      </c>
      <c r="AW266" s="718">
        <f>O266*VLOOKUP($B266,'Emissions factors'!$B$1221:$AG$1245,9,FALSE)</f>
        <v>0</v>
      </c>
      <c r="AX266" s="718">
        <f>O266*VLOOKUP($B266,'Emissions factors'!$B$1221:$AG$1245,10,FALSE)</f>
        <v>0</v>
      </c>
      <c r="AY266" s="718">
        <f>O266*VLOOKUP($B266,'Emissions factors'!$B$1221:$AG$1245,11,FALSE)</f>
        <v>0</v>
      </c>
      <c r="AZ266" s="718">
        <f>O266*VLOOKUP($B266,'Emissions factors'!$B$1221:$AG$1245,12,FALSE)</f>
        <v>0</v>
      </c>
      <c r="BA266" s="718">
        <f>O266*VLOOKUP($B266,'Emissions factors'!$B$1221:$AG$1245,13,FALSE)</f>
        <v>0</v>
      </c>
      <c r="BB266" s="718">
        <v>0</v>
      </c>
      <c r="BC266" s="718">
        <v>0</v>
      </c>
      <c r="BD266" s="718">
        <v>0</v>
      </c>
      <c r="BE266" s="719">
        <f t="shared" si="133"/>
        <v>0</v>
      </c>
      <c r="BF266" s="719">
        <f t="shared" si="133"/>
        <v>0</v>
      </c>
      <c r="BG266" s="720">
        <f t="shared" si="133"/>
        <v>0</v>
      </c>
      <c r="BH266" s="717">
        <f>O266*VLOOKUP($B266,'Emissions factors'!$B$1221:$AG$1245,29,FALSE)</f>
        <v>0</v>
      </c>
      <c r="BI266" s="718">
        <f>O266*VLOOKUP($B266,'Emissions factors'!$B$1221:$AG$1245,30,FALSE)</f>
        <v>0</v>
      </c>
      <c r="BJ266" s="721">
        <f>O266*VLOOKUP($B266,'Emissions factors'!$B$1221:$AG$1245,31,FALSE)</f>
        <v>0</v>
      </c>
    </row>
    <row r="267" spans="2:62" ht="12.75" customHeight="1" outlineLevel="1" x14ac:dyDescent="0.2">
      <c r="B267" s="200" t="s">
        <v>1303</v>
      </c>
      <c r="C267" s="201"/>
      <c r="D267" s="262">
        <f>SUM(S267:U267)</f>
        <v>0</v>
      </c>
      <c r="E267" s="265">
        <f>D267*12/44</f>
        <v>0</v>
      </c>
      <c r="F267" s="692"/>
      <c r="G267" s="493"/>
      <c r="H267" s="493"/>
      <c r="I267" s="493"/>
      <c r="J267" s="493"/>
      <c r="K267" s="493"/>
      <c r="L267" s="696"/>
      <c r="M267" s="696"/>
      <c r="N267" s="703" t="str">
        <f>IF(RIGHT(B267,12)="déménagement","m3.km :","tonnes.km :")</f>
        <v>tonnes.km :</v>
      </c>
      <c r="O267" s="535"/>
      <c r="P267" s="272">
        <f>VLOOKUP($B267,'Emissions factors'!$B$1221:$AG$1245,2,FALSE)</f>
        <v>2.4500000000000001E-2</v>
      </c>
      <c r="Q267" s="272">
        <f>VLOOKUP($B267,'Emissions factors'!$B$1221:$AG$1245,3,FALSE)</f>
        <v>4.0389999999999995E-2</v>
      </c>
      <c r="R267" s="272">
        <f>VLOOKUP($B267,'Emissions factors'!$B$1221:$AG$1245,4,FALSE)</f>
        <v>0.15530939999999999</v>
      </c>
      <c r="S267" s="465">
        <f>O267*P267</f>
        <v>0</v>
      </c>
      <c r="T267" s="465">
        <f>O267*Q267</f>
        <v>0</v>
      </c>
      <c r="U267" s="210">
        <f>O267*R267</f>
        <v>0</v>
      </c>
      <c r="V267" s="222">
        <f>IF(OR(F267='Info utili'!$G$532,F267='Info utili'!$G$537),U267,0)</f>
        <v>0</v>
      </c>
      <c r="W267" s="316"/>
      <c r="X267" s="282">
        <f>VLOOKUP($B267,'Emissions factors'!$B$1221:$AG$1245,32,FALSE)</f>
        <v>0.7</v>
      </c>
      <c r="Y267" s="533"/>
      <c r="Z267" s="221">
        <f>S267*SQRT(X267^2+Y267^2)</f>
        <v>0</v>
      </c>
      <c r="AA267" s="221">
        <f>T267*SQRT(X267^2+Y267^2)</f>
        <v>0</v>
      </c>
      <c r="AB267" s="221">
        <f>U267*SQRT(X267^2+Y267^2)</f>
        <v>0</v>
      </c>
      <c r="AC267" s="210">
        <f>SQRT(SUMSQ(Z267:AB267))</f>
        <v>0</v>
      </c>
      <c r="AD267" s="222">
        <f>V267*SQRT(X267^2+Y267^2)</f>
        <v>0</v>
      </c>
      <c r="AE267" s="316"/>
      <c r="AF267" s="531"/>
      <c r="AG267" s="221">
        <f t="shared" si="131"/>
        <v>0</v>
      </c>
      <c r="AH267" s="221">
        <f t="shared" si="131"/>
        <v>0</v>
      </c>
      <c r="AI267" s="221">
        <f t="shared" si="131"/>
        <v>0</v>
      </c>
      <c r="AJ267" s="210">
        <f>SUM(AG267:AI267)</f>
        <v>0</v>
      </c>
      <c r="AK267" s="221">
        <f>$AF267*V267</f>
        <v>0</v>
      </c>
      <c r="AL267" s="187"/>
      <c r="AM267" s="221">
        <f t="shared" si="132"/>
        <v>0</v>
      </c>
      <c r="AN267" s="221">
        <f t="shared" si="132"/>
        <v>0</v>
      </c>
      <c r="AO267" s="221">
        <f t="shared" si="132"/>
        <v>0</v>
      </c>
      <c r="AP267" s="210">
        <f>SUM(AM267:AO267)</f>
        <v>0</v>
      </c>
      <c r="AQ267" s="222">
        <f>$AL267*V267</f>
        <v>0</v>
      </c>
      <c r="AS267" s="717">
        <f>O267*VLOOKUP($B267,'Emissions factors'!$B$1221:$AG$1245,5,FALSE)</f>
        <v>0</v>
      </c>
      <c r="AT267" s="718">
        <f>O267*VLOOKUP($B267,'Emissions factors'!$B$1221:$AG$1245,6,FALSE)</f>
        <v>0</v>
      </c>
      <c r="AU267" s="718">
        <f>O267*VLOOKUP($B267,'Emissions factors'!$B$1221:$AG$1245,7,FALSE)</f>
        <v>0</v>
      </c>
      <c r="AV267" s="718">
        <f>O267*VLOOKUP($B267,'Emissions factors'!$B$1221:$AG$1245,8,FALSE)</f>
        <v>0</v>
      </c>
      <c r="AW267" s="718">
        <f>O267*VLOOKUP($B267,'Emissions factors'!$B$1221:$AG$1245,9,FALSE)</f>
        <v>0</v>
      </c>
      <c r="AX267" s="718">
        <f>O267*VLOOKUP($B267,'Emissions factors'!$B$1221:$AG$1245,10,FALSE)</f>
        <v>0</v>
      </c>
      <c r="AY267" s="718">
        <f>O267*VLOOKUP($B267,'Emissions factors'!$B$1221:$AG$1245,11,FALSE)</f>
        <v>0</v>
      </c>
      <c r="AZ267" s="718">
        <f>O267*VLOOKUP($B267,'Emissions factors'!$B$1221:$AG$1245,12,FALSE)</f>
        <v>0</v>
      </c>
      <c r="BA267" s="718">
        <f>O267*VLOOKUP($B267,'Emissions factors'!$B$1221:$AG$1245,13,FALSE)</f>
        <v>0</v>
      </c>
      <c r="BB267" s="718">
        <v>0</v>
      </c>
      <c r="BC267" s="718">
        <v>0</v>
      </c>
      <c r="BD267" s="718">
        <v>0</v>
      </c>
      <c r="BE267" s="719">
        <f t="shared" si="133"/>
        <v>0</v>
      </c>
      <c r="BF267" s="719">
        <f t="shared" si="133"/>
        <v>0</v>
      </c>
      <c r="BG267" s="720">
        <f t="shared" si="133"/>
        <v>0</v>
      </c>
      <c r="BH267" s="717">
        <f>O267*VLOOKUP($B267,'Emissions factors'!$B$1221:$AG$1245,29,FALSE)</f>
        <v>0</v>
      </c>
      <c r="BI267" s="718">
        <f>O267*VLOOKUP($B267,'Emissions factors'!$B$1221:$AG$1245,30,FALSE)</f>
        <v>0</v>
      </c>
      <c r="BJ267" s="721">
        <f>O267*VLOOKUP($B267,'Emissions factors'!$B$1221:$AG$1245,31,FALSE)</f>
        <v>0</v>
      </c>
    </row>
    <row r="268" spans="2:62" ht="12.75" customHeight="1" outlineLevel="1" x14ac:dyDescent="0.2">
      <c r="B268" s="200" t="s">
        <v>1304</v>
      </c>
      <c r="C268" s="201"/>
      <c r="D268" s="262">
        <f>SUM(S268:U268)</f>
        <v>0</v>
      </c>
      <c r="E268" s="265">
        <f>D268*12/44</f>
        <v>0</v>
      </c>
      <c r="F268" s="692"/>
      <c r="G268" s="493"/>
      <c r="H268" s="493"/>
      <c r="I268" s="493"/>
      <c r="J268" s="493"/>
      <c r="K268" s="493"/>
      <c r="L268" s="696"/>
      <c r="M268" s="696"/>
      <c r="N268" s="703" t="str">
        <f>IF(RIGHT(B268,12)="déménagement","m3.km :","tonnes.km :")</f>
        <v>tonnes.km :</v>
      </c>
      <c r="O268" s="535"/>
      <c r="P268" s="272">
        <f>VLOOKUP($B268,'Emissions factors'!$B$1221:$AG$1245,2,FALSE)</f>
        <v>7.22E-2</v>
      </c>
      <c r="Q268" s="272">
        <f>VLOOKUP($B268,'Emissions factors'!$B$1221:$AG$1245,3,FALSE)</f>
        <v>0.16041999999999998</v>
      </c>
      <c r="R268" s="272">
        <f>VLOOKUP($B268,'Emissions factors'!$B$1221:$AG$1245,4,FALSE)</f>
        <v>0.61517500000000003</v>
      </c>
      <c r="S268" s="465">
        <f>O268*P268</f>
        <v>0</v>
      </c>
      <c r="T268" s="465">
        <f>O268*Q268</f>
        <v>0</v>
      </c>
      <c r="U268" s="210">
        <f>O268*R268</f>
        <v>0</v>
      </c>
      <c r="V268" s="222">
        <f>IF(OR(F268='Info utili'!$G$532,F268='Info utili'!$G$537),U268,0)</f>
        <v>0</v>
      </c>
      <c r="W268" s="316"/>
      <c r="X268" s="282">
        <f>VLOOKUP($B268,'Emissions factors'!$B$1221:$AG$1245,32,FALSE)</f>
        <v>0.7</v>
      </c>
      <c r="Y268" s="533"/>
      <c r="Z268" s="221">
        <f>S268*SQRT(X268^2+Y268^2)</f>
        <v>0</v>
      </c>
      <c r="AA268" s="221">
        <f>T268*SQRT(X268^2+Y268^2)</f>
        <v>0</v>
      </c>
      <c r="AB268" s="221">
        <f>U268*SQRT(X268^2+Y268^2)</f>
        <v>0</v>
      </c>
      <c r="AC268" s="210">
        <f>SQRT(SUMSQ(Z268:AB268))</f>
        <v>0</v>
      </c>
      <c r="AD268" s="222">
        <f>V268*SQRT(X268^2+Y268^2)</f>
        <v>0</v>
      </c>
      <c r="AE268" s="316"/>
      <c r="AF268" s="531"/>
      <c r="AG268" s="221">
        <f t="shared" si="131"/>
        <v>0</v>
      </c>
      <c r="AH268" s="221">
        <f t="shared" si="131"/>
        <v>0</v>
      </c>
      <c r="AI268" s="221">
        <f t="shared" si="131"/>
        <v>0</v>
      </c>
      <c r="AJ268" s="210">
        <f>SUM(AG268:AI268)</f>
        <v>0</v>
      </c>
      <c r="AK268" s="221">
        <f>$AF268*V268</f>
        <v>0</v>
      </c>
      <c r="AL268" s="187"/>
      <c r="AM268" s="221">
        <f t="shared" si="132"/>
        <v>0</v>
      </c>
      <c r="AN268" s="221">
        <f t="shared" si="132"/>
        <v>0</v>
      </c>
      <c r="AO268" s="221">
        <f t="shared" si="132"/>
        <v>0</v>
      </c>
      <c r="AP268" s="210">
        <f>SUM(AM268:AO268)</f>
        <v>0</v>
      </c>
      <c r="AQ268" s="222">
        <f>$AL268*V268</f>
        <v>0</v>
      </c>
      <c r="AS268" s="717">
        <f>O268*VLOOKUP($B268,'Emissions factors'!$B$1221:$AG$1245,5,FALSE)</f>
        <v>0</v>
      </c>
      <c r="AT268" s="718">
        <f>O268*VLOOKUP($B268,'Emissions factors'!$B$1221:$AG$1245,6,FALSE)</f>
        <v>0</v>
      </c>
      <c r="AU268" s="718">
        <f>O268*VLOOKUP($B268,'Emissions factors'!$B$1221:$AG$1245,7,FALSE)</f>
        <v>0</v>
      </c>
      <c r="AV268" s="718">
        <f>O268*VLOOKUP($B268,'Emissions factors'!$B$1221:$AG$1245,8,FALSE)</f>
        <v>0</v>
      </c>
      <c r="AW268" s="718">
        <f>O268*VLOOKUP($B268,'Emissions factors'!$B$1221:$AG$1245,9,FALSE)</f>
        <v>0</v>
      </c>
      <c r="AX268" s="718">
        <f>O268*VLOOKUP($B268,'Emissions factors'!$B$1221:$AG$1245,10,FALSE)</f>
        <v>0</v>
      </c>
      <c r="AY268" s="718">
        <f>O268*VLOOKUP($B268,'Emissions factors'!$B$1221:$AG$1245,11,FALSE)</f>
        <v>0</v>
      </c>
      <c r="AZ268" s="718">
        <f>O268*VLOOKUP($B268,'Emissions factors'!$B$1221:$AG$1245,12,FALSE)</f>
        <v>0</v>
      </c>
      <c r="BA268" s="718">
        <f>O268*VLOOKUP($B268,'Emissions factors'!$B$1221:$AG$1245,13,FALSE)</f>
        <v>0</v>
      </c>
      <c r="BB268" s="718">
        <v>0</v>
      </c>
      <c r="BC268" s="718">
        <v>0</v>
      </c>
      <c r="BD268" s="718">
        <v>0</v>
      </c>
      <c r="BE268" s="719">
        <f t="shared" si="133"/>
        <v>0</v>
      </c>
      <c r="BF268" s="719">
        <f t="shared" si="133"/>
        <v>0</v>
      </c>
      <c r="BG268" s="720">
        <f t="shared" si="133"/>
        <v>0</v>
      </c>
      <c r="BH268" s="717">
        <f>O268*VLOOKUP($B268,'Emissions factors'!$B$1221:$AG$1245,29,FALSE)</f>
        <v>0</v>
      </c>
      <c r="BI268" s="718">
        <f>O268*VLOOKUP($B268,'Emissions factors'!$B$1221:$AG$1245,30,FALSE)</f>
        <v>0</v>
      </c>
      <c r="BJ268" s="721">
        <f>O268*VLOOKUP($B268,'Emissions factors'!$B$1221:$AG$1245,31,FALSE)</f>
        <v>0</v>
      </c>
    </row>
    <row r="269" spans="2:62" ht="12.75" customHeight="1" outlineLevel="1" x14ac:dyDescent="0.2">
      <c r="B269" s="200" t="s">
        <v>1290</v>
      </c>
      <c r="C269" s="201"/>
      <c r="D269" s="262">
        <f>SUM(S269:U269)</f>
        <v>0</v>
      </c>
      <c r="E269" s="265">
        <f>D269*12/44</f>
        <v>0</v>
      </c>
      <c r="F269" s="443"/>
      <c r="G269" s="493"/>
      <c r="H269" s="493"/>
      <c r="I269" s="493"/>
      <c r="J269" s="493"/>
      <c r="K269" s="493"/>
      <c r="L269" s="697"/>
      <c r="M269" s="697"/>
      <c r="N269" s="703" t="str">
        <f>IF(RIGHT(B269,12)="déménagement","m3.km :","tonnes.km :")</f>
        <v>tonnes.km :</v>
      </c>
      <c r="O269" s="188"/>
      <c r="P269" s="272">
        <f>VLOOKUP($B269,'Emissions factors'!$B$1221:$AG$1245,2,FALSE)</f>
        <v>6.6499999999999997E-3</v>
      </c>
      <c r="Q269" s="272">
        <f>VLOOKUP($B269,'Emissions factors'!$B$1221:$AG$1245,3,FALSE)</f>
        <v>1.1205999999999999E-2</v>
      </c>
      <c r="R269" s="272">
        <f>VLOOKUP($B269,'Emissions factors'!$B$1221:$AG$1245,4,FALSE)</f>
        <v>4.2961199999999998E-2</v>
      </c>
      <c r="S269" s="465">
        <f>O269*P269</f>
        <v>0</v>
      </c>
      <c r="T269" s="465">
        <f>O269*Q269</f>
        <v>0</v>
      </c>
      <c r="U269" s="210">
        <f>O269*R269</f>
        <v>0</v>
      </c>
      <c r="V269" s="222">
        <f>IF(OR(F269='Info utili'!$G$532,F269='Info utili'!$G$537),U269,0)</f>
        <v>0</v>
      </c>
      <c r="W269" s="316"/>
      <c r="X269" s="282">
        <f>VLOOKUP($B269,'Emissions factors'!$B$1221:$AG$1245,32,FALSE)</f>
        <v>0.7</v>
      </c>
      <c r="Y269" s="189"/>
      <c r="Z269" s="221">
        <f>S269*SQRT(X269^2+Y269^2)</f>
        <v>0</v>
      </c>
      <c r="AA269" s="221">
        <f>T269*SQRT(X269^2+Y269^2)</f>
        <v>0</v>
      </c>
      <c r="AB269" s="221">
        <f>U269*SQRT(X269^2+Y269^2)</f>
        <v>0</v>
      </c>
      <c r="AC269" s="210">
        <f>SQRT(SUMSQ(Z269:AB269))</f>
        <v>0</v>
      </c>
      <c r="AD269" s="222">
        <f>V269*SQRT(X269^2+Y269^2)</f>
        <v>0</v>
      </c>
      <c r="AE269" s="316"/>
      <c r="AF269" s="190"/>
      <c r="AG269" s="221">
        <f t="shared" si="131"/>
        <v>0</v>
      </c>
      <c r="AH269" s="221">
        <f t="shared" si="131"/>
        <v>0</v>
      </c>
      <c r="AI269" s="221">
        <f t="shared" si="131"/>
        <v>0</v>
      </c>
      <c r="AJ269" s="210">
        <f>SUM(AG269:AI269)</f>
        <v>0</v>
      </c>
      <c r="AK269" s="221">
        <f>$AF269*V269</f>
        <v>0</v>
      </c>
      <c r="AL269" s="190"/>
      <c r="AM269" s="221">
        <f t="shared" si="132"/>
        <v>0</v>
      </c>
      <c r="AN269" s="221">
        <f t="shared" si="132"/>
        <v>0</v>
      </c>
      <c r="AO269" s="221">
        <f t="shared" si="132"/>
        <v>0</v>
      </c>
      <c r="AP269" s="210">
        <f>SUM(AM269:AO269)</f>
        <v>0</v>
      </c>
      <c r="AQ269" s="222">
        <f>$AL269*V269</f>
        <v>0</v>
      </c>
      <c r="AS269" s="717">
        <f>O269*VLOOKUP($B269,'Emissions factors'!$B$1221:$AG$1245,5,FALSE)</f>
        <v>0</v>
      </c>
      <c r="AT269" s="718">
        <f>O269*VLOOKUP($B269,'Emissions factors'!$B$1221:$AG$1245,6,FALSE)</f>
        <v>0</v>
      </c>
      <c r="AU269" s="718">
        <f>O269*VLOOKUP($B269,'Emissions factors'!$B$1221:$AG$1245,7,FALSE)</f>
        <v>0</v>
      </c>
      <c r="AV269" s="718">
        <f>O269*VLOOKUP($B269,'Emissions factors'!$B$1221:$AG$1245,8,FALSE)</f>
        <v>0</v>
      </c>
      <c r="AW269" s="718">
        <f>O269*VLOOKUP($B269,'Emissions factors'!$B$1221:$AG$1245,9,FALSE)</f>
        <v>0</v>
      </c>
      <c r="AX269" s="718">
        <f>O269*VLOOKUP($B269,'Emissions factors'!$B$1221:$AG$1245,10,FALSE)</f>
        <v>0</v>
      </c>
      <c r="AY269" s="718">
        <f>O269*VLOOKUP($B269,'Emissions factors'!$B$1221:$AG$1245,11,FALSE)</f>
        <v>0</v>
      </c>
      <c r="AZ269" s="718">
        <f>O269*VLOOKUP($B269,'Emissions factors'!$B$1221:$AG$1245,12,FALSE)</f>
        <v>0</v>
      </c>
      <c r="BA269" s="718">
        <f>O269*VLOOKUP($B269,'Emissions factors'!$B$1221:$AG$1245,13,FALSE)</f>
        <v>0</v>
      </c>
      <c r="BB269" s="718">
        <v>0</v>
      </c>
      <c r="BC269" s="718">
        <v>0</v>
      </c>
      <c r="BD269" s="718">
        <v>0</v>
      </c>
      <c r="BE269" s="719">
        <f t="shared" si="133"/>
        <v>0</v>
      </c>
      <c r="BF269" s="719">
        <f t="shared" si="133"/>
        <v>0</v>
      </c>
      <c r="BG269" s="720">
        <f t="shared" si="133"/>
        <v>0</v>
      </c>
      <c r="BH269" s="717">
        <f>O269*VLOOKUP($B269,'Emissions factors'!$B$1221:$AG$1245,29,FALSE)</f>
        <v>0</v>
      </c>
      <c r="BI269" s="718">
        <f>O269*VLOOKUP($B269,'Emissions factors'!$B$1221:$AG$1245,30,FALSE)</f>
        <v>0</v>
      </c>
      <c r="BJ269" s="721">
        <f>O269*VLOOKUP($B269,'Emissions factors'!$B$1221:$AG$1245,31,FALSE)</f>
        <v>0</v>
      </c>
    </row>
    <row r="270" spans="2:62" ht="12.75" customHeight="1" outlineLevel="1" x14ac:dyDescent="0.2">
      <c r="B270" s="213"/>
      <c r="C270" s="214"/>
      <c r="D270" s="275"/>
      <c r="E270" s="268"/>
      <c r="F270" s="214"/>
      <c r="G270" s="214"/>
      <c r="H270" s="214"/>
      <c r="I270" s="214"/>
      <c r="J270" s="214"/>
      <c r="K270" s="214"/>
      <c r="L270" s="214"/>
      <c r="M270" s="214"/>
      <c r="N270" s="214"/>
      <c r="O270" s="214"/>
      <c r="P270" s="214"/>
      <c r="Q270" s="214"/>
      <c r="R270" s="214"/>
      <c r="S270" s="214"/>
      <c r="T270" s="214"/>
      <c r="U270" s="227"/>
      <c r="V270" s="466"/>
      <c r="W270" s="316"/>
      <c r="X270" s="200"/>
      <c r="Y270" s="201"/>
      <c r="Z270" s="201"/>
      <c r="AA270" s="201"/>
      <c r="AB270" s="221"/>
      <c r="AC270" s="221"/>
      <c r="AD270" s="222"/>
      <c r="AE270" s="316"/>
      <c r="AF270" s="200"/>
      <c r="AG270" s="1370"/>
      <c r="AH270" s="1370"/>
      <c r="AI270" s="1370"/>
      <c r="AJ270" s="221"/>
      <c r="AK270" s="1370"/>
      <c r="AL270" s="201"/>
      <c r="AM270" s="1370"/>
      <c r="AN270" s="1370"/>
      <c r="AO270" s="221"/>
      <c r="AP270" s="221"/>
      <c r="AQ270" s="203"/>
      <c r="AS270" s="717"/>
      <c r="AT270" s="718"/>
      <c r="AU270" s="718"/>
      <c r="AV270" s="718"/>
      <c r="AW270" s="718"/>
      <c r="AX270" s="718"/>
      <c r="AY270" s="718"/>
      <c r="AZ270" s="718"/>
      <c r="BA270" s="718"/>
      <c r="BB270" s="718"/>
      <c r="BC270" s="718"/>
      <c r="BD270" s="718"/>
      <c r="BE270" s="719"/>
      <c r="BF270" s="719"/>
      <c r="BG270" s="720"/>
      <c r="BH270" s="722"/>
      <c r="BI270" s="786"/>
      <c r="BJ270" s="723"/>
    </row>
    <row r="271" spans="2:62" ht="12.75" customHeight="1" outlineLevel="1" x14ac:dyDescent="0.2">
      <c r="B271" s="253" t="s">
        <v>2828</v>
      </c>
      <c r="C271" s="254"/>
      <c r="D271" s="264">
        <f>SUM(D249:D270)</f>
        <v>0</v>
      </c>
      <c r="E271" s="267">
        <f>SUM(E249:E270)</f>
        <v>0</v>
      </c>
      <c r="F271" s="254"/>
      <c r="G271" s="254"/>
      <c r="H271" s="254"/>
      <c r="I271" s="254"/>
      <c r="J271" s="254"/>
      <c r="K271" s="254"/>
      <c r="L271" s="254"/>
      <c r="M271" s="254"/>
      <c r="N271" s="254"/>
      <c r="O271" s="254"/>
      <c r="P271" s="254"/>
      <c r="Q271" s="254"/>
      <c r="R271" s="254"/>
      <c r="S271" s="259">
        <f>SUM(S249:S270)</f>
        <v>0</v>
      </c>
      <c r="T271" s="259">
        <f>SUM(T249:T270)</f>
        <v>0</v>
      </c>
      <c r="U271" s="259">
        <f>SUM(U249:U270)</f>
        <v>0</v>
      </c>
      <c r="V271" s="428">
        <f>SUM(V249:V270)</f>
        <v>0</v>
      </c>
      <c r="W271" s="316"/>
      <c r="X271" s="258"/>
      <c r="Y271" s="256"/>
      <c r="Z271" s="260">
        <f>SQRT(SUMSQ(Z249:Z270))</f>
        <v>0</v>
      </c>
      <c r="AA271" s="260">
        <f>SQRT(SUMSQ(AA249:AA270))</f>
        <v>0</v>
      </c>
      <c r="AB271" s="260">
        <f>SQRT(SUMSQ(AB249:AB270))</f>
        <v>0</v>
      </c>
      <c r="AC271" s="259">
        <f>SQRT(SUMSQ(AC249:AC270))</f>
        <v>0</v>
      </c>
      <c r="AD271" s="428">
        <f>SQRT(SUMSQ(AD249:AD270))</f>
        <v>0</v>
      </c>
      <c r="AE271" s="316"/>
      <c r="AF271" s="258"/>
      <c r="AG271" s="260">
        <f>SUM(AG249:AG270)</f>
        <v>0</v>
      </c>
      <c r="AH271" s="260">
        <f>SUM(AH249:AH270)</f>
        <v>0</v>
      </c>
      <c r="AI271" s="260">
        <f>SUM(AI249:AI270)</f>
        <v>0</v>
      </c>
      <c r="AJ271" s="259">
        <f>SUM(AJ249:AJ270)</f>
        <v>0</v>
      </c>
      <c r="AK271" s="260">
        <f>SUM(AK249:AK270)</f>
        <v>0</v>
      </c>
      <c r="AL271" s="256"/>
      <c r="AM271" s="260">
        <f>SUM(AM249:AM270)</f>
        <v>0</v>
      </c>
      <c r="AN271" s="260">
        <f>SUM(AN249:AN270)</f>
        <v>0</v>
      </c>
      <c r="AO271" s="260">
        <f>SUM(AO249:AO270)</f>
        <v>0</v>
      </c>
      <c r="AP271" s="259">
        <f>SUM(AP249:AP270)</f>
        <v>0</v>
      </c>
      <c r="AQ271" s="428">
        <f>SUM(AQ249:AQ270)</f>
        <v>0</v>
      </c>
      <c r="AS271" s="724">
        <f t="shared" ref="AS271:BJ271" si="134">SUM(AS249:AS270)</f>
        <v>0</v>
      </c>
      <c r="AT271" s="725">
        <f t="shared" si="134"/>
        <v>0</v>
      </c>
      <c r="AU271" s="725">
        <f t="shared" si="134"/>
        <v>0</v>
      </c>
      <c r="AV271" s="725">
        <f t="shared" si="134"/>
        <v>0</v>
      </c>
      <c r="AW271" s="725">
        <f t="shared" si="134"/>
        <v>0</v>
      </c>
      <c r="AX271" s="725">
        <f t="shared" si="134"/>
        <v>0</v>
      </c>
      <c r="AY271" s="725">
        <f t="shared" si="134"/>
        <v>0</v>
      </c>
      <c r="AZ271" s="725">
        <f t="shared" si="134"/>
        <v>0</v>
      </c>
      <c r="BA271" s="725">
        <f t="shared" si="134"/>
        <v>0</v>
      </c>
      <c r="BB271" s="725">
        <f t="shared" si="134"/>
        <v>0</v>
      </c>
      <c r="BC271" s="725">
        <f t="shared" si="134"/>
        <v>0</v>
      </c>
      <c r="BD271" s="725">
        <f t="shared" si="134"/>
        <v>0</v>
      </c>
      <c r="BE271" s="726">
        <f t="shared" si="134"/>
        <v>0</v>
      </c>
      <c r="BF271" s="726">
        <f t="shared" si="134"/>
        <v>0</v>
      </c>
      <c r="BG271" s="727">
        <f t="shared" si="134"/>
        <v>0</v>
      </c>
      <c r="BH271" s="724">
        <f t="shared" si="134"/>
        <v>0</v>
      </c>
      <c r="BI271" s="725">
        <f t="shared" si="134"/>
        <v>0</v>
      </c>
      <c r="BJ271" s="728">
        <f t="shared" si="134"/>
        <v>0</v>
      </c>
    </row>
    <row r="272" spans="2:62" ht="12.75" customHeight="1" outlineLevel="1" x14ac:dyDescent="0.2">
      <c r="D272" s="316"/>
      <c r="E272" s="316"/>
      <c r="F272" s="316"/>
      <c r="G272" s="316"/>
      <c r="H272" s="316"/>
      <c r="I272" s="316"/>
      <c r="J272" s="316"/>
      <c r="K272" s="42"/>
      <c r="BE272" s="1226"/>
      <c r="BF272" s="1226"/>
      <c r="BG272" s="1226"/>
    </row>
    <row r="273" spans="1:62" ht="12.75" customHeight="1" outlineLevel="1" x14ac:dyDescent="0.2">
      <c r="B273" s="195" t="s">
        <v>2881</v>
      </c>
      <c r="C273" s="196"/>
      <c r="D273" s="196"/>
      <c r="E273" s="196"/>
      <c r="F273" s="196"/>
      <c r="G273" s="198"/>
      <c r="H273" s="196"/>
      <c r="I273" s="196"/>
      <c r="J273" s="196"/>
      <c r="K273" s="198"/>
      <c r="L273" s="196"/>
      <c r="M273" s="196"/>
      <c r="N273" s="196"/>
      <c r="O273" s="198"/>
      <c r="P273" s="198"/>
      <c r="Q273" s="198"/>
      <c r="R273" s="199"/>
      <c r="X273" s="1746" t="s">
        <v>723</v>
      </c>
      <c r="Y273" s="1747"/>
      <c r="Z273" s="1747"/>
      <c r="AA273" s="1747"/>
      <c r="AB273" s="1747"/>
      <c r="AC273" s="1747"/>
      <c r="AD273" s="1748"/>
      <c r="AF273" s="1746" t="s">
        <v>2066</v>
      </c>
      <c r="AG273" s="1747"/>
      <c r="AH273" s="1747"/>
      <c r="AI273" s="1747"/>
      <c r="AJ273" s="1747"/>
      <c r="AK273" s="1747"/>
      <c r="AL273" s="1747"/>
      <c r="AM273" s="1747"/>
      <c r="AN273" s="1747"/>
      <c r="AO273" s="1747"/>
      <c r="AP273" s="1747"/>
      <c r="AQ273" s="1748"/>
      <c r="AS273" s="1755" t="s">
        <v>2073</v>
      </c>
      <c r="AT273" s="1756"/>
      <c r="AU273" s="1756"/>
      <c r="AV273" s="1756"/>
      <c r="AW273" s="1756"/>
      <c r="AX273" s="1756"/>
      <c r="AY273" s="1756"/>
      <c r="AZ273" s="1756"/>
      <c r="BA273" s="1756"/>
      <c r="BB273" s="1756"/>
      <c r="BC273" s="1756"/>
      <c r="BD273" s="1756"/>
      <c r="BE273" s="1756"/>
      <c r="BF273" s="1756"/>
      <c r="BG273" s="1756"/>
      <c r="BH273" s="1756"/>
      <c r="BI273" s="1756"/>
      <c r="BJ273" s="1757"/>
    </row>
    <row r="274" spans="1:62" ht="12.75" customHeight="1" outlineLevel="1" x14ac:dyDescent="0.2">
      <c r="B274" s="417"/>
      <c r="C274" s="225"/>
      <c r="D274" s="705"/>
      <c r="E274" s="705"/>
      <c r="F274" s="201"/>
      <c r="G274" s="201"/>
      <c r="H274" s="225"/>
      <c r="I274" s="225"/>
      <c r="J274" s="225"/>
      <c r="K274" s="201"/>
      <c r="L274" s="225"/>
      <c r="M274" s="225"/>
      <c r="N274" s="225"/>
      <c r="O274" s="201"/>
      <c r="P274" s="1745" t="s">
        <v>2646</v>
      </c>
      <c r="Q274" s="1745"/>
      <c r="R274" s="1378" t="s">
        <v>2639</v>
      </c>
      <c r="X274" s="1369"/>
      <c r="Y274" s="1370"/>
      <c r="Z274" s="1370"/>
      <c r="AA274" s="1370"/>
      <c r="AB274" s="1370"/>
      <c r="AC274" s="1370"/>
      <c r="AD274" s="1378" t="s">
        <v>2639</v>
      </c>
      <c r="AF274" s="216"/>
      <c r="AG274" s="705"/>
      <c r="AH274" s="705"/>
      <c r="AI274" s="705"/>
      <c r="AJ274" s="1370"/>
      <c r="AK274" s="1370" t="s">
        <v>2639</v>
      </c>
      <c r="AL274" s="217"/>
      <c r="AM274" s="705"/>
      <c r="AN274" s="705"/>
      <c r="AO274" s="705"/>
      <c r="AP274" s="1370"/>
      <c r="AQ274" s="1378" t="s">
        <v>2639</v>
      </c>
      <c r="AS274" s="1758" t="s">
        <v>61</v>
      </c>
      <c r="AT274" s="1759"/>
      <c r="AU274" s="1759"/>
      <c r="AV274" s="1759"/>
      <c r="AW274" s="1759"/>
      <c r="AX274" s="1759"/>
      <c r="AY274" s="1759"/>
      <c r="AZ274" s="1759"/>
      <c r="BA274" s="1759"/>
      <c r="BB274" s="1759"/>
      <c r="BC274" s="1759"/>
      <c r="BD274" s="1759"/>
      <c r="BE274" s="1759" t="s">
        <v>61</v>
      </c>
      <c r="BF274" s="1759"/>
      <c r="BG274" s="1760"/>
      <c r="BH274" s="730"/>
      <c r="BI274" s="785"/>
      <c r="BJ274" s="731"/>
    </row>
    <row r="275" spans="1:62" ht="12.75" customHeight="1" outlineLevel="1" x14ac:dyDescent="0.2">
      <c r="B275" s="200"/>
      <c r="C275" s="201"/>
      <c r="D275" s="1370" t="s">
        <v>56</v>
      </c>
      <c r="E275" s="1370" t="s">
        <v>56</v>
      </c>
      <c r="F275" s="205" t="s">
        <v>2634</v>
      </c>
      <c r="G275" s="205"/>
      <c r="H275" s="1744" t="s">
        <v>2538</v>
      </c>
      <c r="I275" s="1745"/>
      <c r="J275" s="1835"/>
      <c r="K275" s="205"/>
      <c r="L275" s="1744" t="s">
        <v>2539</v>
      </c>
      <c r="M275" s="1745"/>
      <c r="N275" s="1745"/>
      <c r="O275" s="705" t="s">
        <v>61</v>
      </c>
      <c r="P275" s="705" t="s">
        <v>61</v>
      </c>
      <c r="Q275" s="705" t="s">
        <v>61</v>
      </c>
      <c r="R275" s="1378" t="s">
        <v>30</v>
      </c>
      <c r="X275" s="1629" t="s">
        <v>2605</v>
      </c>
      <c r="Y275" s="1370" t="s">
        <v>2110</v>
      </c>
      <c r="Z275" s="1370" t="s">
        <v>61</v>
      </c>
      <c r="AA275" s="1370" t="s">
        <v>61</v>
      </c>
      <c r="AB275" s="1370" t="s">
        <v>61</v>
      </c>
      <c r="AC275" s="705" t="s">
        <v>61</v>
      </c>
      <c r="AD275" s="1378" t="s">
        <v>30</v>
      </c>
      <c r="AF275" s="1369" t="s">
        <v>2065</v>
      </c>
      <c r="AG275" s="1370" t="s">
        <v>61</v>
      </c>
      <c r="AH275" s="1370" t="s">
        <v>61</v>
      </c>
      <c r="AI275" s="1370" t="s">
        <v>61</v>
      </c>
      <c r="AJ275" s="705" t="s">
        <v>61</v>
      </c>
      <c r="AK275" s="1370" t="s">
        <v>30</v>
      </c>
      <c r="AL275" s="1370" t="s">
        <v>2558</v>
      </c>
      <c r="AM275" s="1370" t="s">
        <v>61</v>
      </c>
      <c r="AN275" s="1370" t="s">
        <v>61</v>
      </c>
      <c r="AO275" s="1370" t="s">
        <v>61</v>
      </c>
      <c r="AP275" s="705" t="s">
        <v>61</v>
      </c>
      <c r="AQ275" s="1378" t="s">
        <v>30</v>
      </c>
      <c r="AS275" s="1764" t="s">
        <v>14</v>
      </c>
      <c r="AT275" s="1761"/>
      <c r="AU275" s="1761"/>
      <c r="AV275" s="1761" t="s">
        <v>60</v>
      </c>
      <c r="AW275" s="1761"/>
      <c r="AX275" s="1761"/>
      <c r="AY275" s="1761" t="s">
        <v>27</v>
      </c>
      <c r="AZ275" s="1761"/>
      <c r="BA275" s="1761"/>
      <c r="BB275" s="1761" t="s">
        <v>2074</v>
      </c>
      <c r="BC275" s="1761"/>
      <c r="BD275" s="1761"/>
      <c r="BE275" s="1762" t="s">
        <v>41</v>
      </c>
      <c r="BF275" s="1762"/>
      <c r="BG275" s="1763"/>
      <c r="BH275" s="1764" t="s">
        <v>85</v>
      </c>
      <c r="BI275" s="1761"/>
      <c r="BJ275" s="1765"/>
    </row>
    <row r="276" spans="1:62" ht="12.75" customHeight="1" outlineLevel="1" x14ac:dyDescent="0.2">
      <c r="B276" s="200"/>
      <c r="C276" s="201"/>
      <c r="D276" s="1370" t="s">
        <v>61</v>
      </c>
      <c r="E276" s="1370" t="s">
        <v>63</v>
      </c>
      <c r="F276" s="208" t="s">
        <v>2054</v>
      </c>
      <c r="G276" s="208" t="s">
        <v>88</v>
      </c>
      <c r="H276" s="1377" t="s">
        <v>1279</v>
      </c>
      <c r="I276" s="1377" t="s">
        <v>768</v>
      </c>
      <c r="J276" s="1377" t="s">
        <v>24</v>
      </c>
      <c r="K276" s="208" t="s">
        <v>89</v>
      </c>
      <c r="L276" s="1377" t="s">
        <v>1279</v>
      </c>
      <c r="M276" s="1377" t="s">
        <v>768</v>
      </c>
      <c r="N276" s="1377" t="s">
        <v>24</v>
      </c>
      <c r="O276" s="1376" t="s">
        <v>1279</v>
      </c>
      <c r="P276" s="1376" t="s">
        <v>768</v>
      </c>
      <c r="Q276" s="1376" t="s">
        <v>24</v>
      </c>
      <c r="R276" s="1378" t="s">
        <v>61</v>
      </c>
      <c r="X276" s="1629" t="s">
        <v>2109</v>
      </c>
      <c r="Y276" s="1370"/>
      <c r="Z276" s="1377" t="s">
        <v>1279</v>
      </c>
      <c r="AA276" s="1377" t="s">
        <v>768</v>
      </c>
      <c r="AB276" s="1377" t="s">
        <v>24</v>
      </c>
      <c r="AC276" s="223" t="s">
        <v>41</v>
      </c>
      <c r="AD276" s="1378" t="s">
        <v>61</v>
      </c>
      <c r="AF276" s="1369"/>
      <c r="AG276" s="1377" t="s">
        <v>1279</v>
      </c>
      <c r="AH276" s="1377" t="s">
        <v>768</v>
      </c>
      <c r="AI276" s="1377" t="s">
        <v>24</v>
      </c>
      <c r="AJ276" s="223" t="s">
        <v>41</v>
      </c>
      <c r="AK276" s="1370" t="s">
        <v>61</v>
      </c>
      <c r="AL276" s="1370"/>
      <c r="AM276" s="1377" t="s">
        <v>1279</v>
      </c>
      <c r="AN276" s="1377" t="s">
        <v>768</v>
      </c>
      <c r="AO276" s="1377" t="s">
        <v>24</v>
      </c>
      <c r="AP276" s="223" t="s">
        <v>41</v>
      </c>
      <c r="AQ276" s="1378" t="s">
        <v>61</v>
      </c>
      <c r="AS276" s="732" t="s">
        <v>1279</v>
      </c>
      <c r="AT276" s="733" t="s">
        <v>768</v>
      </c>
      <c r="AU276" s="733" t="s">
        <v>24</v>
      </c>
      <c r="AV276" s="733" t="s">
        <v>1279</v>
      </c>
      <c r="AW276" s="733" t="s">
        <v>768</v>
      </c>
      <c r="AX276" s="733" t="s">
        <v>24</v>
      </c>
      <c r="AY276" s="733" t="s">
        <v>1279</v>
      </c>
      <c r="AZ276" s="733" t="s">
        <v>768</v>
      </c>
      <c r="BA276" s="733" t="s">
        <v>24</v>
      </c>
      <c r="BB276" s="733" t="s">
        <v>1279</v>
      </c>
      <c r="BC276" s="733" t="s">
        <v>768</v>
      </c>
      <c r="BD276" s="733" t="s">
        <v>24</v>
      </c>
      <c r="BE276" s="734" t="s">
        <v>1279</v>
      </c>
      <c r="BF276" s="734" t="s">
        <v>768</v>
      </c>
      <c r="BG276" s="735" t="s">
        <v>24</v>
      </c>
      <c r="BH276" s="732" t="s">
        <v>1279</v>
      </c>
      <c r="BI276" s="733" t="s">
        <v>768</v>
      </c>
      <c r="BJ276" s="736" t="s">
        <v>24</v>
      </c>
    </row>
    <row r="277" spans="1:62" ht="12.75" customHeight="1" outlineLevel="1" x14ac:dyDescent="0.2">
      <c r="B277" s="467" t="s">
        <v>1463</v>
      </c>
      <c r="C277" s="468"/>
      <c r="D277" s="262">
        <f>SUM(O277:Q277)</f>
        <v>0</v>
      </c>
      <c r="E277" s="265">
        <f>D277*12/44</f>
        <v>0</v>
      </c>
      <c r="F277" s="559"/>
      <c r="G277" s="182"/>
      <c r="H277" s="493">
        <f>VLOOKUP($B277,'Emissions factors'!$B$1566:$AG$1580,2,FALSE)</f>
        <v>3.6700000000000003E-2</v>
      </c>
      <c r="I277" s="493">
        <f>VLOOKUP($B277,'Emissions factors'!$B$1566:$AG$1580,3,FALSE)</f>
        <v>3.1981000000000002E-2</v>
      </c>
      <c r="J277" s="493">
        <f>VLOOKUP($B277,'Emissions factors'!$B$1566:$AG$1580,4,FALSE)</f>
        <v>0.13542399999999999</v>
      </c>
      <c r="K277" s="182"/>
      <c r="L277" s="493">
        <f>VLOOKUP($B277,'Emissions factors'!$B$1566:$AG$1580,17,FALSE)</f>
        <v>7.3499999999999996E-2</v>
      </c>
      <c r="M277" s="493">
        <f>VLOOKUP($B277,'Emissions factors'!$B$1566:$AG$1580,18,FALSE)</f>
        <v>6.4049999999999996E-2</v>
      </c>
      <c r="N277" s="493">
        <f>VLOOKUP($B277,'Emissions factors'!$B$1566:$AG$1580,19,FALSE)</f>
        <v>0.27084799999999998</v>
      </c>
      <c r="O277" s="465">
        <f>H277*G277+K277*L277</f>
        <v>0</v>
      </c>
      <c r="P277" s="465">
        <f>I277*G277+K277*M277</f>
        <v>0</v>
      </c>
      <c r="Q277" s="210">
        <f>G277*J277+K277*N277</f>
        <v>0</v>
      </c>
      <c r="R277" s="222">
        <f>IF(OR(F277='Info utili'!$G$532,F277='Info utili'!$G$537),Q277,0)</f>
        <v>0</v>
      </c>
      <c r="X277" s="282">
        <f>VLOOKUP($B277,'Emissions factors'!$B$1566:$AG$1580,32,FALSE)</f>
        <v>0.6</v>
      </c>
      <c r="Y277" s="184"/>
      <c r="Z277" s="221">
        <f>O277*SQRT(X277^2+Y277^2)</f>
        <v>0</v>
      </c>
      <c r="AA277" s="221">
        <f>P277*SQRT(X277^2+Y277^2)</f>
        <v>0</v>
      </c>
      <c r="AB277" s="221">
        <f>Q277*SQRT(X277^2+Y277^2)</f>
        <v>0</v>
      </c>
      <c r="AC277" s="210">
        <f>SQRT(SUMSQ(Z277:AB277))</f>
        <v>0</v>
      </c>
      <c r="AD277" s="222">
        <f>R277*SQRT(X277^2+Y277^2)</f>
        <v>0</v>
      </c>
      <c r="AF277" s="184"/>
      <c r="AG277" s="221">
        <f t="shared" ref="AG277:AI279" si="135">O277*$AF277</f>
        <v>0</v>
      </c>
      <c r="AH277" s="221">
        <f t="shared" si="135"/>
        <v>0</v>
      </c>
      <c r="AI277" s="221">
        <f t="shared" si="135"/>
        <v>0</v>
      </c>
      <c r="AJ277" s="210">
        <f>SUM(AG277:AI277)</f>
        <v>0</v>
      </c>
      <c r="AK277" s="221">
        <f>R277*$AF277</f>
        <v>0</v>
      </c>
      <c r="AL277" s="184"/>
      <c r="AM277" s="221">
        <f>AL277*O277</f>
        <v>0</v>
      </c>
      <c r="AN277" s="221">
        <f>AL277*P277</f>
        <v>0</v>
      </c>
      <c r="AO277" s="221">
        <f>AL277*Q277</f>
        <v>0</v>
      </c>
      <c r="AP277" s="210">
        <f>SUM(AM277:AO277)</f>
        <v>0</v>
      </c>
      <c r="AQ277" s="222">
        <f>AL277*R277</f>
        <v>0</v>
      </c>
      <c r="AS277" s="717">
        <f>G277*VLOOKUP($B277,'Emissions factors'!$B$1566:$AG$1580,5,FALSE)+K277*VLOOKUP($B277,'Emissions factors'!$B$1566:$AG$1580,20,FALSE)</f>
        <v>0</v>
      </c>
      <c r="AT277" s="718">
        <f>G277*VLOOKUP($B277,'Emissions factors'!$B$1566:$AG$1580,6,FALSE)+K277*VLOOKUP($B277,'Emissions factors'!$B$1566:$AG$1580,21,FALSE)</f>
        <v>0</v>
      </c>
      <c r="AU277" s="718">
        <f>G277*VLOOKUP($B277,'Emissions factors'!$B$1566:$AG$1580,7,FALSE)+K277*VLOOKUP($B277,'Emissions factors'!$B$1566:$AG$1580,22,FALSE)</f>
        <v>0</v>
      </c>
      <c r="AV277" s="718">
        <f>G277*VLOOKUP($B277,'Emissions factors'!$B$1566:$AG$1580,8,FALSE)+K277*VLOOKUP($B277,'Emissions factors'!$B$1566:$AG$1580,23,FALSE)</f>
        <v>0</v>
      </c>
      <c r="AW277" s="718">
        <f>G277*VLOOKUP($B277,'Emissions factors'!$B$1566:$AG$1580,9,FALSE)+K277*VLOOKUP($B277,'Emissions factors'!$B$1566:$AG$1580,24,FALSE)</f>
        <v>0</v>
      </c>
      <c r="AX277" s="718">
        <f>G277*VLOOKUP($B277,'Emissions factors'!$B$1566:$AG$1580,10,FALSE)+K277*VLOOKUP($B277,'Emissions factors'!$B$1566:$AG$1580,25,FALSE)</f>
        <v>0</v>
      </c>
      <c r="AY277" s="718">
        <f>G277*VLOOKUP($B277,'Emissions factors'!$B$1566:$AG$1580,11,FALSE)+K277*VLOOKUP($B277,'Emissions factors'!$B$1566:$AG$1580,26,FALSE)</f>
        <v>0</v>
      </c>
      <c r="AZ277" s="718">
        <f>G277*VLOOKUP($B277,'Emissions factors'!$B$1566:$AG$1580,12,FALSE)+K277*VLOOKUP($B277,'Emissions factors'!$B$1566:$AG$1580,27,FALSE)</f>
        <v>0</v>
      </c>
      <c r="BA277" s="718">
        <f>G277*VLOOKUP($B277,'Emissions factors'!$B$1566:$AG$1580,13,FALSE)+K277*VLOOKUP($B277,'Emissions factors'!$B$1566:$AG$1580,28,FALSE)</f>
        <v>0</v>
      </c>
      <c r="BB277" s="718">
        <v>0</v>
      </c>
      <c r="BC277" s="718">
        <v>0</v>
      </c>
      <c r="BD277" s="718">
        <v>0</v>
      </c>
      <c r="BE277" s="719">
        <f t="shared" ref="BE277:BG279" si="136">O277</f>
        <v>0</v>
      </c>
      <c r="BF277" s="719">
        <f t="shared" si="136"/>
        <v>0</v>
      </c>
      <c r="BG277" s="720">
        <f t="shared" si="136"/>
        <v>0</v>
      </c>
      <c r="BH277" s="717">
        <f>G277*VLOOKUP($B277,'Emissions factors'!$B$1566:$AG$1580,14,FALSE)+K277*VLOOKUP($B277,'Emissions factors'!$B$1566:$AG$1580,29,FALSE)</f>
        <v>0</v>
      </c>
      <c r="BI277" s="718">
        <f>G277*VLOOKUP($B277,'Emissions factors'!$B$1566:$AG$1580,15,FALSE)+K277*VLOOKUP($B277,'Emissions factors'!$B$1566:$AG$1580,30,FALSE)</f>
        <v>0</v>
      </c>
      <c r="BJ277" s="721">
        <f>G277*VLOOKUP($B277,'Emissions factors'!$B$1566:$AG$1580,16,FALSE)+K277*VLOOKUP($B277,'Emissions factors'!$B$1566:$AG$1580,31,FALSE)</f>
        <v>0</v>
      </c>
    </row>
    <row r="278" spans="1:62" ht="12.75" customHeight="1" outlineLevel="1" x14ac:dyDescent="0.2">
      <c r="B278" s="467" t="s">
        <v>1464</v>
      </c>
      <c r="C278" s="468"/>
      <c r="D278" s="262">
        <f>SUM(O278:Q278)</f>
        <v>0</v>
      </c>
      <c r="E278" s="265">
        <f>D278*12/44</f>
        <v>0</v>
      </c>
      <c r="F278" s="442"/>
      <c r="G278" s="185"/>
      <c r="H278" s="493">
        <f>VLOOKUP($B278,'Emissions factors'!$B$1566:$AG$1580,2,FALSE)</f>
        <v>3.6700000000000003E-2</v>
      </c>
      <c r="I278" s="493">
        <f>VLOOKUP($B278,'Emissions factors'!$B$1566:$AG$1580,3,FALSE)</f>
        <v>3.841E-2</v>
      </c>
      <c r="J278" s="493">
        <f>VLOOKUP($B278,'Emissions factors'!$B$1566:$AG$1580,4,FALSE)</f>
        <v>0.16270899999999999</v>
      </c>
      <c r="K278" s="185"/>
      <c r="L278" s="493">
        <f>VLOOKUP($B278,'Emissions factors'!$B$1566:$AG$1580,17,FALSE)</f>
        <v>7.3499999999999996E-2</v>
      </c>
      <c r="M278" s="493">
        <f>VLOOKUP($B278,'Emissions factors'!$B$1566:$AG$1580,18,FALSE)</f>
        <v>7.6830000000000009E-2</v>
      </c>
      <c r="N278" s="493">
        <f>VLOOKUP($B278,'Emissions factors'!$B$1566:$AG$1580,19,FALSE)</f>
        <v>0.32541799999999999</v>
      </c>
      <c r="O278" s="465">
        <f>H278*G278+K278*L278</f>
        <v>0</v>
      </c>
      <c r="P278" s="465">
        <f>I278*G278+K278*M278</f>
        <v>0</v>
      </c>
      <c r="Q278" s="210">
        <f>G278*J278+K278*N278</f>
        <v>0</v>
      </c>
      <c r="R278" s="222">
        <f>IF(OR(F278='Info utili'!$G$532,F278='Info utili'!$G$537),Q278,0)</f>
        <v>0</v>
      </c>
      <c r="X278" s="282">
        <f>VLOOKUP($B278,'Emissions factors'!$B$1566:$AG$1580,32,FALSE)</f>
        <v>0.6</v>
      </c>
      <c r="Y278" s="187"/>
      <c r="Z278" s="221">
        <f>O278*SQRT(X278^2+Y278^2)</f>
        <v>0</v>
      </c>
      <c r="AA278" s="221">
        <f>P278*SQRT(X278^2+Y278^2)</f>
        <v>0</v>
      </c>
      <c r="AB278" s="221">
        <f>Q278*SQRT(X278^2+Y278^2)</f>
        <v>0</v>
      </c>
      <c r="AC278" s="210">
        <f>SQRT(SUMSQ(Z278:AB278))</f>
        <v>0</v>
      </c>
      <c r="AD278" s="222">
        <f>R278*SQRT(X278^2+Y278^2)</f>
        <v>0</v>
      </c>
      <c r="AF278" s="187"/>
      <c r="AG278" s="221">
        <f t="shared" si="135"/>
        <v>0</v>
      </c>
      <c r="AH278" s="221">
        <f t="shared" si="135"/>
        <v>0</v>
      </c>
      <c r="AI278" s="221">
        <f t="shared" si="135"/>
        <v>0</v>
      </c>
      <c r="AJ278" s="210">
        <f>SUM(AG278:AI278)</f>
        <v>0</v>
      </c>
      <c r="AK278" s="221">
        <f>R278*$AF278</f>
        <v>0</v>
      </c>
      <c r="AL278" s="187"/>
      <c r="AM278" s="221">
        <f>AL278*O278</f>
        <v>0</v>
      </c>
      <c r="AN278" s="221">
        <f>AL278*P278</f>
        <v>0</v>
      </c>
      <c r="AO278" s="221">
        <f>AL278*Q278</f>
        <v>0</v>
      </c>
      <c r="AP278" s="210">
        <f>SUM(AM278:AO278)</f>
        <v>0</v>
      </c>
      <c r="AQ278" s="222">
        <f>AL278*R278</f>
        <v>0</v>
      </c>
      <c r="AS278" s="717">
        <f>G278*VLOOKUP($B278,'Emissions factors'!$B$1566:$AG$1580,5,FALSE)+K278*VLOOKUP($B278,'Emissions factors'!$B$1566:$AG$1580,20,FALSE)</f>
        <v>0</v>
      </c>
      <c r="AT278" s="718">
        <f>G278*VLOOKUP($B278,'Emissions factors'!$B$1566:$AG$1580,6,FALSE)+K278*VLOOKUP($B278,'Emissions factors'!$B$1566:$AG$1580,21,FALSE)</f>
        <v>0</v>
      </c>
      <c r="AU278" s="718">
        <f>G278*VLOOKUP($B278,'Emissions factors'!$B$1566:$AG$1580,7,FALSE)+K278*VLOOKUP($B278,'Emissions factors'!$B$1566:$AG$1580,22,FALSE)</f>
        <v>0</v>
      </c>
      <c r="AV278" s="718">
        <f>G278*VLOOKUP($B278,'Emissions factors'!$B$1566:$AG$1580,8,FALSE)+K278*VLOOKUP($B278,'Emissions factors'!$B$1566:$AG$1580,23,FALSE)</f>
        <v>0</v>
      </c>
      <c r="AW278" s="718">
        <f>G278*VLOOKUP($B278,'Emissions factors'!$B$1566:$AG$1580,9,FALSE)+K278*VLOOKUP($B278,'Emissions factors'!$B$1566:$AG$1580,24,FALSE)</f>
        <v>0</v>
      </c>
      <c r="AX278" s="718">
        <f>G278*VLOOKUP($B278,'Emissions factors'!$B$1566:$AG$1580,10,FALSE)+K278*VLOOKUP($B278,'Emissions factors'!$B$1566:$AG$1580,25,FALSE)</f>
        <v>0</v>
      </c>
      <c r="AY278" s="718">
        <f>G278*VLOOKUP($B278,'Emissions factors'!$B$1566:$AG$1580,11,FALSE)+K278*VLOOKUP($B278,'Emissions factors'!$B$1566:$AG$1580,26,FALSE)</f>
        <v>0</v>
      </c>
      <c r="AZ278" s="718">
        <f>G278*VLOOKUP($B278,'Emissions factors'!$B$1566:$AG$1580,12,FALSE)+K278*VLOOKUP($B278,'Emissions factors'!$B$1566:$AG$1580,27,FALSE)</f>
        <v>0</v>
      </c>
      <c r="BA278" s="718">
        <f>G278*VLOOKUP($B278,'Emissions factors'!$B$1566:$AG$1580,13,FALSE)+K278*VLOOKUP($B278,'Emissions factors'!$B$1566:$AG$1580,28,FALSE)</f>
        <v>0</v>
      </c>
      <c r="BB278" s="718">
        <v>0</v>
      </c>
      <c r="BC278" s="718">
        <v>0</v>
      </c>
      <c r="BD278" s="718">
        <v>0</v>
      </c>
      <c r="BE278" s="719">
        <f t="shared" si="136"/>
        <v>0</v>
      </c>
      <c r="BF278" s="719">
        <f t="shared" si="136"/>
        <v>0</v>
      </c>
      <c r="BG278" s="720">
        <f t="shared" si="136"/>
        <v>0</v>
      </c>
      <c r="BH278" s="717">
        <f>G278*VLOOKUP($B278,'Emissions factors'!$B$1566:$AG$1580,14,FALSE)+K278*VLOOKUP($B278,'Emissions factors'!$B$1566:$AG$1580,29,FALSE)</f>
        <v>0</v>
      </c>
      <c r="BI278" s="718">
        <f>G278*VLOOKUP($B278,'Emissions factors'!$B$1566:$AG$1580,15,FALSE)+K278*VLOOKUP($B278,'Emissions factors'!$B$1566:$AG$1580,30,FALSE)</f>
        <v>0</v>
      </c>
      <c r="BJ278" s="721">
        <f>G278*VLOOKUP($B278,'Emissions factors'!$B$1566:$AG$1580,16,FALSE)+K278*VLOOKUP($B278,'Emissions factors'!$B$1566:$AG$1580,31,FALSE)</f>
        <v>0</v>
      </c>
    </row>
    <row r="279" spans="1:62" ht="12.75" customHeight="1" outlineLevel="1" x14ac:dyDescent="0.2">
      <c r="B279" s="467" t="s">
        <v>1464</v>
      </c>
      <c r="C279" s="468"/>
      <c r="D279" s="262">
        <f>SUM(O279:Q279)</f>
        <v>0</v>
      </c>
      <c r="E279" s="265">
        <f>D279*12/44</f>
        <v>0</v>
      </c>
      <c r="F279" s="443"/>
      <c r="G279" s="188"/>
      <c r="H279" s="493">
        <f>VLOOKUP($B279,'Emissions factors'!$B$1566:$AG$1580,2,FALSE)</f>
        <v>3.6700000000000003E-2</v>
      </c>
      <c r="I279" s="493">
        <f>VLOOKUP($B279,'Emissions factors'!$B$1566:$AG$1580,3,FALSE)</f>
        <v>3.841E-2</v>
      </c>
      <c r="J279" s="493">
        <f>VLOOKUP($B279,'Emissions factors'!$B$1566:$AG$1580,4,FALSE)</f>
        <v>0.16270899999999999</v>
      </c>
      <c r="K279" s="188"/>
      <c r="L279" s="493">
        <f>VLOOKUP($B279,'Emissions factors'!$B$1566:$AG$1580,17,FALSE)</f>
        <v>7.3499999999999996E-2</v>
      </c>
      <c r="M279" s="493">
        <f>VLOOKUP($B279,'Emissions factors'!$B$1566:$AG$1580,18,FALSE)</f>
        <v>7.6830000000000009E-2</v>
      </c>
      <c r="N279" s="493">
        <f>VLOOKUP($B279,'Emissions factors'!$B$1566:$AG$1580,19,FALSE)</f>
        <v>0.32541799999999999</v>
      </c>
      <c r="O279" s="465">
        <f>H279*G279+K279*L279</f>
        <v>0</v>
      </c>
      <c r="P279" s="465">
        <f>I279*G279+K279*M279</f>
        <v>0</v>
      </c>
      <c r="Q279" s="210">
        <f>G279*J279+K279*N279</f>
        <v>0</v>
      </c>
      <c r="R279" s="222">
        <f>IF(OR(F279='Info utili'!$G$532,F279='Info utili'!$G$537),Q279,0)</f>
        <v>0</v>
      </c>
      <c r="X279" s="282">
        <f>VLOOKUP($B279,'Emissions factors'!$B$1566:$AG$1580,32,FALSE)</f>
        <v>0.6</v>
      </c>
      <c r="Y279" s="190"/>
      <c r="Z279" s="221">
        <f>O279*SQRT(X279^2+Y279^2)</f>
        <v>0</v>
      </c>
      <c r="AA279" s="221">
        <f>P279*SQRT(X279^2+Y279^2)</f>
        <v>0</v>
      </c>
      <c r="AB279" s="221">
        <f>Q279*SQRT(X279^2+Y279^2)</f>
        <v>0</v>
      </c>
      <c r="AC279" s="210">
        <f>SQRT(SUMSQ(Z279:AB279))</f>
        <v>0</v>
      </c>
      <c r="AD279" s="222">
        <f>R279*SQRT(X279^2+Y279^2)</f>
        <v>0</v>
      </c>
      <c r="AF279" s="190"/>
      <c r="AG279" s="221">
        <f t="shared" si="135"/>
        <v>0</v>
      </c>
      <c r="AH279" s="221">
        <f t="shared" si="135"/>
        <v>0</v>
      </c>
      <c r="AI279" s="221">
        <f t="shared" si="135"/>
        <v>0</v>
      </c>
      <c r="AJ279" s="210">
        <f>SUM(AG279:AI279)</f>
        <v>0</v>
      </c>
      <c r="AK279" s="221">
        <f>R279*$AF279</f>
        <v>0</v>
      </c>
      <c r="AL279" s="190"/>
      <c r="AM279" s="221">
        <f>AL279*O279</f>
        <v>0</v>
      </c>
      <c r="AN279" s="221">
        <f>AL279*P279</f>
        <v>0</v>
      </c>
      <c r="AO279" s="221">
        <f>AL279*Q279</f>
        <v>0</v>
      </c>
      <c r="AP279" s="210">
        <f>SUM(AM279:AO279)</f>
        <v>0</v>
      </c>
      <c r="AQ279" s="222">
        <f>AL279*R279</f>
        <v>0</v>
      </c>
      <c r="AS279" s="717">
        <f>G279*VLOOKUP($B279,'Emissions factors'!$B$1566:$AG$1580,5,FALSE)+K279*VLOOKUP($B279,'Emissions factors'!$B$1566:$AG$1580,20,FALSE)</f>
        <v>0</v>
      </c>
      <c r="AT279" s="718">
        <f>G279*VLOOKUP($B279,'Emissions factors'!$B$1566:$AG$1580,6,FALSE)+K279*VLOOKUP($B279,'Emissions factors'!$B$1566:$AG$1580,21,FALSE)</f>
        <v>0</v>
      </c>
      <c r="AU279" s="718">
        <f>G279*VLOOKUP($B279,'Emissions factors'!$B$1566:$AG$1580,7,FALSE)+K279*VLOOKUP($B279,'Emissions factors'!$B$1566:$AG$1580,22,FALSE)</f>
        <v>0</v>
      </c>
      <c r="AV279" s="718">
        <f>G279*VLOOKUP($B279,'Emissions factors'!$B$1566:$AG$1580,8,FALSE)+K279*VLOOKUP($B279,'Emissions factors'!$B$1566:$AG$1580,23,FALSE)</f>
        <v>0</v>
      </c>
      <c r="AW279" s="718">
        <f>G279*VLOOKUP($B279,'Emissions factors'!$B$1566:$AG$1580,9,FALSE)+K279*VLOOKUP($B279,'Emissions factors'!$B$1566:$AG$1580,24,FALSE)</f>
        <v>0</v>
      </c>
      <c r="AX279" s="718">
        <f>G279*VLOOKUP($B279,'Emissions factors'!$B$1566:$AG$1580,10,FALSE)+K279*VLOOKUP($B279,'Emissions factors'!$B$1566:$AG$1580,25,FALSE)</f>
        <v>0</v>
      </c>
      <c r="AY279" s="718">
        <f>G279*VLOOKUP($B279,'Emissions factors'!$B$1566:$AG$1580,11,FALSE)+K279*VLOOKUP($B279,'Emissions factors'!$B$1566:$AG$1580,26,FALSE)</f>
        <v>0</v>
      </c>
      <c r="AZ279" s="718">
        <f>G279*VLOOKUP($B279,'Emissions factors'!$B$1566:$AG$1580,12,FALSE)+K279*VLOOKUP($B279,'Emissions factors'!$B$1566:$AG$1580,27,FALSE)</f>
        <v>0</v>
      </c>
      <c r="BA279" s="718">
        <f>G279*VLOOKUP($B279,'Emissions factors'!$B$1566:$AG$1580,13,FALSE)+K279*VLOOKUP($B279,'Emissions factors'!$B$1566:$AG$1580,28,FALSE)</f>
        <v>0</v>
      </c>
      <c r="BB279" s="718">
        <v>0</v>
      </c>
      <c r="BC279" s="718">
        <v>0</v>
      </c>
      <c r="BD279" s="718">
        <v>0</v>
      </c>
      <c r="BE279" s="719">
        <f t="shared" si="136"/>
        <v>0</v>
      </c>
      <c r="BF279" s="719">
        <f t="shared" si="136"/>
        <v>0</v>
      </c>
      <c r="BG279" s="720">
        <f t="shared" si="136"/>
        <v>0</v>
      </c>
      <c r="BH279" s="717">
        <f>G279*VLOOKUP($B279,'Emissions factors'!$B$1566:$AG$1580,14,FALSE)+K279*VLOOKUP($B279,'Emissions factors'!$B$1566:$AG$1580,29,FALSE)</f>
        <v>0</v>
      </c>
      <c r="BI279" s="718">
        <f>G279*VLOOKUP($B279,'Emissions factors'!$B$1566:$AG$1580,15,FALSE)+K279*VLOOKUP($B279,'Emissions factors'!$B$1566:$AG$1580,30,FALSE)</f>
        <v>0</v>
      </c>
      <c r="BJ279" s="721">
        <f>G279*VLOOKUP($B279,'Emissions factors'!$B$1566:$AG$1580,16,FALSE)+K279*VLOOKUP($B279,'Emissions factors'!$B$1566:$AG$1580,31,FALSE)</f>
        <v>0</v>
      </c>
    </row>
    <row r="280" spans="1:62" ht="12.75" customHeight="1" outlineLevel="1" x14ac:dyDescent="0.2">
      <c r="B280" s="200"/>
      <c r="C280" s="201"/>
      <c r="D280" s="263"/>
      <c r="E280" s="266"/>
      <c r="F280" s="201"/>
      <c r="G280" s="201"/>
      <c r="H280" s="201"/>
      <c r="I280" s="201"/>
      <c r="J280" s="201"/>
      <c r="K280" s="201"/>
      <c r="L280" s="201"/>
      <c r="M280" s="201"/>
      <c r="N280" s="201"/>
      <c r="O280" s="201"/>
      <c r="P280" s="201"/>
      <c r="Q280" s="221"/>
      <c r="R280" s="466"/>
      <c r="S280" s="191"/>
      <c r="T280" s="191"/>
      <c r="U280" s="191"/>
      <c r="V280" s="191"/>
      <c r="X280" s="200"/>
      <c r="Y280" s="221"/>
      <c r="Z280" s="221"/>
      <c r="AA280" s="221"/>
      <c r="AB280" s="221"/>
      <c r="AC280" s="214"/>
      <c r="AD280" s="222"/>
      <c r="AF280" s="480"/>
      <c r="AG280" s="221"/>
      <c r="AH280" s="221"/>
      <c r="AI280" s="221"/>
      <c r="AJ280" s="413"/>
      <c r="AK280" s="221"/>
      <c r="AL280" s="221"/>
      <c r="AM280" s="221"/>
      <c r="AN280" s="221"/>
      <c r="AO280" s="221">
        <f>AL280*Q280</f>
        <v>0</v>
      </c>
      <c r="AP280" s="413"/>
      <c r="AQ280" s="222">
        <f>AL280*R280</f>
        <v>0</v>
      </c>
      <c r="AS280" s="717"/>
      <c r="AT280" s="718"/>
      <c r="AU280" s="718"/>
      <c r="AV280" s="718"/>
      <c r="AW280" s="718"/>
      <c r="AX280" s="718"/>
      <c r="AY280" s="718"/>
      <c r="AZ280" s="718"/>
      <c r="BA280" s="718"/>
      <c r="BB280" s="718"/>
      <c r="BC280" s="718"/>
      <c r="BD280" s="718"/>
      <c r="BE280" s="719"/>
      <c r="BF280" s="719"/>
      <c r="BG280" s="720"/>
      <c r="BH280" s="722"/>
      <c r="BI280" s="786"/>
      <c r="BJ280" s="723"/>
    </row>
    <row r="281" spans="1:62" ht="12.75" customHeight="1" outlineLevel="1" x14ac:dyDescent="0.2">
      <c r="B281" s="253" t="s">
        <v>2828</v>
      </c>
      <c r="C281" s="254"/>
      <c r="D281" s="264">
        <f>SUM(D277:D280)</f>
        <v>0</v>
      </c>
      <c r="E281" s="267">
        <f>SUM(E277:E280)</f>
        <v>0</v>
      </c>
      <c r="F281" s="254"/>
      <c r="G281" s="254"/>
      <c r="H281" s="254"/>
      <c r="I281" s="254"/>
      <c r="J281" s="254"/>
      <c r="K281" s="254"/>
      <c r="L281" s="254"/>
      <c r="M281" s="254"/>
      <c r="N281" s="254"/>
      <c r="O281" s="259">
        <f>SUM(O277:O280)</f>
        <v>0</v>
      </c>
      <c r="P281" s="259">
        <f>SUM(P277:P280)</f>
        <v>0</v>
      </c>
      <c r="Q281" s="259">
        <f>SUM(Q277:Q280)</f>
        <v>0</v>
      </c>
      <c r="R281" s="428">
        <f>SUM(R277:R280)</f>
        <v>0</v>
      </c>
      <c r="X281" s="258"/>
      <c r="Y281" s="260"/>
      <c r="Z281" s="260">
        <f>SQRT(SUMSQ(Z277:Z280))</f>
        <v>0</v>
      </c>
      <c r="AA281" s="260">
        <f>SQRT(SUMSQ(AA277:AA280))</f>
        <v>0</v>
      </c>
      <c r="AB281" s="260">
        <f>SQRT(SUMSQ(AB277:AB280))</f>
        <v>0</v>
      </c>
      <c r="AC281" s="259">
        <f>SQRT(SUMSQ(AC277:AC280))</f>
        <v>0</v>
      </c>
      <c r="AD281" s="428">
        <f>SQRT(SUMSQ(AD277:AD280))</f>
        <v>0</v>
      </c>
      <c r="AF281" s="489"/>
      <c r="AG281" s="260">
        <f>SUM(AG277:AG280)</f>
        <v>0</v>
      </c>
      <c r="AH281" s="260">
        <f>SUM(AH277:AH280)</f>
        <v>0</v>
      </c>
      <c r="AI281" s="260">
        <f>SUM(AI277:AI280)</f>
        <v>0</v>
      </c>
      <c r="AJ281" s="259">
        <f>SUM(AJ277:AJ280)</f>
        <v>0</v>
      </c>
      <c r="AK281" s="260">
        <f>SUM(AK277:AK280)</f>
        <v>0</v>
      </c>
      <c r="AL281" s="259"/>
      <c r="AM281" s="260">
        <f>SUM(AM277:AM280)</f>
        <v>0</v>
      </c>
      <c r="AN281" s="260">
        <f>SUM(AN277:AN280)</f>
        <v>0</v>
      </c>
      <c r="AO281" s="260">
        <f>SUM(AO277:AO280)</f>
        <v>0</v>
      </c>
      <c r="AP281" s="259">
        <f>SUM(AP277:AP280)</f>
        <v>0</v>
      </c>
      <c r="AQ281" s="428">
        <f>SUM(AQ277:AQ280)</f>
        <v>0</v>
      </c>
      <c r="AS281" s="724">
        <f t="shared" ref="AS281:BJ281" si="137">SUM(AS277:AS280)</f>
        <v>0</v>
      </c>
      <c r="AT281" s="725">
        <f t="shared" si="137"/>
        <v>0</v>
      </c>
      <c r="AU281" s="725">
        <f t="shared" si="137"/>
        <v>0</v>
      </c>
      <c r="AV281" s="725">
        <f t="shared" si="137"/>
        <v>0</v>
      </c>
      <c r="AW281" s="725">
        <f t="shared" si="137"/>
        <v>0</v>
      </c>
      <c r="AX281" s="725">
        <f t="shared" si="137"/>
        <v>0</v>
      </c>
      <c r="AY281" s="725">
        <f t="shared" si="137"/>
        <v>0</v>
      </c>
      <c r="AZ281" s="725">
        <f t="shared" si="137"/>
        <v>0</v>
      </c>
      <c r="BA281" s="725">
        <f t="shared" si="137"/>
        <v>0</v>
      </c>
      <c r="BB281" s="725">
        <f t="shared" si="137"/>
        <v>0</v>
      </c>
      <c r="BC281" s="725">
        <f t="shared" si="137"/>
        <v>0</v>
      </c>
      <c r="BD281" s="725">
        <f t="shared" si="137"/>
        <v>0</v>
      </c>
      <c r="BE281" s="726">
        <f t="shared" si="137"/>
        <v>0</v>
      </c>
      <c r="BF281" s="726">
        <f t="shared" si="137"/>
        <v>0</v>
      </c>
      <c r="BG281" s="727">
        <f t="shared" si="137"/>
        <v>0</v>
      </c>
      <c r="BH281" s="724">
        <f t="shared" si="137"/>
        <v>0</v>
      </c>
      <c r="BI281" s="725">
        <f t="shared" si="137"/>
        <v>0</v>
      </c>
      <c r="BJ281" s="728">
        <f t="shared" si="137"/>
        <v>0</v>
      </c>
    </row>
    <row r="282" spans="1:62" ht="12.75" customHeight="1" outlineLevel="1" x14ac:dyDescent="0.2">
      <c r="B282" s="316"/>
      <c r="C282" s="316"/>
      <c r="D282" s="316"/>
      <c r="E282" s="316"/>
      <c r="F282" s="316"/>
      <c r="G282" s="316"/>
      <c r="H282" s="316"/>
      <c r="I282" s="316"/>
      <c r="J282" s="316"/>
      <c r="K282" s="316"/>
      <c r="L282" s="42"/>
      <c r="BB282" s="743"/>
      <c r="BC282" s="743"/>
      <c r="BD282" s="743"/>
      <c r="BE282" s="743"/>
      <c r="BF282" s="743"/>
      <c r="BG282" s="743"/>
    </row>
    <row r="283" spans="1:62" ht="12.75" customHeight="1" x14ac:dyDescent="0.2">
      <c r="AR283" s="191"/>
      <c r="BB283" s="743"/>
      <c r="BC283" s="743"/>
      <c r="BD283" s="743"/>
      <c r="BE283" s="743"/>
      <c r="BF283" s="743"/>
      <c r="BG283" s="743"/>
    </row>
    <row r="284" spans="1:62" s="32" customFormat="1" ht="15.75" customHeight="1" collapsed="1" x14ac:dyDescent="0.2">
      <c r="A284" s="40"/>
      <c r="B284" s="1795" t="s">
        <v>2897</v>
      </c>
      <c r="C284" s="1795"/>
      <c r="D284" s="1795"/>
      <c r="E284" s="1795"/>
      <c r="F284" s="1795"/>
      <c r="G284" s="1795"/>
      <c r="H284" s="1795"/>
      <c r="I284" s="1795"/>
      <c r="J284" s="1795"/>
      <c r="K284" s="1795"/>
      <c r="L284" s="1795"/>
      <c r="M284" s="1795"/>
      <c r="N284" s="1795"/>
      <c r="O284" s="1795"/>
      <c r="P284" s="191"/>
      <c r="Q284" s="191"/>
      <c r="R284" s="191"/>
      <c r="S284" s="191"/>
      <c r="T284" s="191"/>
      <c r="U284" s="191"/>
      <c r="V284" s="191"/>
      <c r="W284" s="191"/>
      <c r="X284" s="191"/>
      <c r="Y284" s="191"/>
      <c r="Z284" s="191"/>
      <c r="AA284" s="191"/>
      <c r="AB284" s="191"/>
      <c r="AC284" s="191"/>
      <c r="AD284" s="191"/>
      <c r="AE284" s="191"/>
      <c r="AF284" s="191"/>
      <c r="AG284" s="191"/>
      <c r="AH284" s="191"/>
      <c r="AI284" s="191"/>
      <c r="AJ284" s="191"/>
      <c r="AK284" s="191"/>
      <c r="AL284" s="191"/>
      <c r="AM284" s="191"/>
      <c r="AN284" s="191"/>
      <c r="AO284" s="191"/>
      <c r="AP284" s="191"/>
      <c r="AQ284" s="191"/>
      <c r="AR284" s="40"/>
      <c r="AS284" s="602"/>
      <c r="AT284" s="602"/>
      <c r="AU284" s="602"/>
      <c r="AV284" s="602"/>
      <c r="AW284" s="602"/>
      <c r="AX284" s="602"/>
      <c r="AY284" s="602"/>
      <c r="AZ284" s="602"/>
      <c r="BA284" s="602"/>
      <c r="BB284" s="743"/>
      <c r="BC284" s="743"/>
      <c r="BD284" s="743"/>
      <c r="BE284" s="743"/>
      <c r="BF284" s="743"/>
      <c r="BG284" s="743"/>
      <c r="BH284" s="602"/>
      <c r="BI284" s="602"/>
      <c r="BJ284" s="602"/>
    </row>
    <row r="285" spans="1:62" s="32" customFormat="1" ht="12.75" hidden="1" customHeight="1" outlineLevel="1" x14ac:dyDescent="0.2">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c r="AR285" s="40"/>
      <c r="AS285" s="602"/>
      <c r="AT285" s="602"/>
      <c r="AU285" s="602"/>
      <c r="AV285" s="602"/>
      <c r="AW285" s="602"/>
      <c r="AX285" s="602"/>
      <c r="AY285" s="602"/>
      <c r="AZ285" s="602"/>
      <c r="BA285" s="602"/>
      <c r="BB285" s="743"/>
      <c r="BC285" s="743"/>
      <c r="BD285" s="743"/>
      <c r="BE285" s="743"/>
      <c r="BF285" s="743"/>
      <c r="BG285" s="743"/>
      <c r="BH285" s="602"/>
      <c r="BI285" s="602"/>
      <c r="BJ285" s="602"/>
    </row>
    <row r="286" spans="1:62" ht="12.75" hidden="1" customHeight="1" outlineLevel="1" x14ac:dyDescent="0.2">
      <c r="B286" s="195" t="s">
        <v>2885</v>
      </c>
      <c r="C286" s="196"/>
      <c r="D286" s="1364"/>
      <c r="E286" s="1364"/>
      <c r="F286" s="1364"/>
      <c r="G286" s="198"/>
      <c r="H286" s="198"/>
      <c r="I286" s="198"/>
      <c r="J286" s="198"/>
      <c r="K286" s="198"/>
      <c r="L286" s="198"/>
      <c r="M286" s="198"/>
      <c r="N286" s="198"/>
      <c r="O286" s="198"/>
      <c r="P286" s="198"/>
      <c r="Q286" s="198"/>
      <c r="R286" s="198"/>
      <c r="S286" s="1364"/>
      <c r="T286" s="1364"/>
      <c r="U286" s="199"/>
      <c r="V286" s="42"/>
      <c r="X286" s="1746" t="s">
        <v>723</v>
      </c>
      <c r="Y286" s="1747"/>
      <c r="Z286" s="1747"/>
      <c r="AA286" s="1747"/>
      <c r="AB286" s="1747"/>
      <c r="AC286" s="1748"/>
      <c r="AF286" s="1746" t="s">
        <v>2066</v>
      </c>
      <c r="AG286" s="1747"/>
      <c r="AH286" s="1747"/>
      <c r="AI286" s="1747"/>
      <c r="AJ286" s="1747"/>
      <c r="AK286" s="1747"/>
      <c r="AL286" s="1747"/>
      <c r="AM286" s="1747"/>
      <c r="AN286" s="1747"/>
      <c r="AO286" s="1748"/>
      <c r="AS286" s="1755" t="s">
        <v>2073</v>
      </c>
      <c r="AT286" s="1756"/>
      <c r="AU286" s="1756"/>
      <c r="AV286" s="1756"/>
      <c r="AW286" s="1756"/>
      <c r="AX286" s="1756"/>
      <c r="AY286" s="1756"/>
      <c r="AZ286" s="1756"/>
      <c r="BA286" s="1756"/>
      <c r="BB286" s="1756"/>
      <c r="BC286" s="1756"/>
      <c r="BD286" s="1756"/>
      <c r="BE286" s="1756"/>
      <c r="BF286" s="1756"/>
      <c r="BG286" s="1756"/>
      <c r="BH286" s="1756"/>
      <c r="BI286" s="1756"/>
      <c r="BJ286" s="1757"/>
    </row>
    <row r="287" spans="1:62" ht="12.75" hidden="1" customHeight="1" outlineLevel="1" x14ac:dyDescent="0.2">
      <c r="B287" s="417"/>
      <c r="C287" s="225"/>
      <c r="D287" s="705"/>
      <c r="E287" s="705"/>
      <c r="F287" s="214"/>
      <c r="G287" s="201"/>
      <c r="H287" s="201"/>
      <c r="I287" s="201"/>
      <c r="J287" s="201"/>
      <c r="K287" s="201"/>
      <c r="L287" s="201"/>
      <c r="M287" s="201"/>
      <c r="N287" s="201"/>
      <c r="O287" s="201"/>
      <c r="P287" s="201"/>
      <c r="Q287" s="201"/>
      <c r="R287" s="201"/>
      <c r="S287" s="705"/>
      <c r="T287" s="705"/>
      <c r="U287" s="711"/>
      <c r="V287" s="42"/>
      <c r="X287" s="1363"/>
      <c r="Y287" s="1364"/>
      <c r="Z287" s="1364"/>
      <c r="AA287" s="1364"/>
      <c r="AB287" s="1364"/>
      <c r="AC287" s="1365"/>
      <c r="AF287" s="704"/>
      <c r="AG287" s="705"/>
      <c r="AH287" s="705"/>
      <c r="AI287" s="705"/>
      <c r="AJ287" s="1370"/>
      <c r="AK287" s="705"/>
      <c r="AL287" s="705"/>
      <c r="AM287" s="705"/>
      <c r="AN287" s="705"/>
      <c r="AO287" s="218"/>
      <c r="AR287" s="32"/>
      <c r="AS287" s="1758" t="s">
        <v>61</v>
      </c>
      <c r="AT287" s="1759"/>
      <c r="AU287" s="1759"/>
      <c r="AV287" s="1759"/>
      <c r="AW287" s="1759"/>
      <c r="AX287" s="1759"/>
      <c r="AY287" s="1759"/>
      <c r="AZ287" s="1759"/>
      <c r="BA287" s="1759"/>
      <c r="BB287" s="1759"/>
      <c r="BC287" s="1759"/>
      <c r="BD287" s="1759"/>
      <c r="BE287" s="1759" t="s">
        <v>61</v>
      </c>
      <c r="BF287" s="1759"/>
      <c r="BG287" s="1760"/>
      <c r="BH287" s="730"/>
      <c r="BI287" s="785"/>
      <c r="BJ287" s="731"/>
    </row>
    <row r="288" spans="1:62" ht="12.75" hidden="1" customHeight="1" outlineLevel="1" x14ac:dyDescent="0.2">
      <c r="B288" s="1369" t="s">
        <v>766</v>
      </c>
      <c r="C288" s="1370"/>
      <c r="D288" s="1370" t="s">
        <v>56</v>
      </c>
      <c r="E288" s="1370" t="s">
        <v>56</v>
      </c>
      <c r="F288" s="205" t="s">
        <v>2634</v>
      </c>
      <c r="G288" s="205" t="s">
        <v>2053</v>
      </c>
      <c r="H288" s="1745" t="s">
        <v>767</v>
      </c>
      <c r="I288" s="1745"/>
      <c r="J288" s="205" t="s">
        <v>2053</v>
      </c>
      <c r="K288" s="1745" t="s">
        <v>769</v>
      </c>
      <c r="L288" s="1745"/>
      <c r="M288" s="205" t="s">
        <v>2053</v>
      </c>
      <c r="N288" s="1745" t="s">
        <v>771</v>
      </c>
      <c r="O288" s="1745"/>
      <c r="P288" s="205" t="s">
        <v>2053</v>
      </c>
      <c r="Q288" s="1744" t="s">
        <v>770</v>
      </c>
      <c r="R288" s="1745"/>
      <c r="S288" s="705" t="s">
        <v>61</v>
      </c>
      <c r="T288" s="705" t="s">
        <v>61</v>
      </c>
      <c r="U288" s="711" t="s">
        <v>61</v>
      </c>
      <c r="V288" s="42"/>
      <c r="W288" s="32"/>
      <c r="X288" s="1629" t="s">
        <v>2605</v>
      </c>
      <c r="Y288" s="1370" t="s">
        <v>2110</v>
      </c>
      <c r="Z288" s="1370" t="s">
        <v>61</v>
      </c>
      <c r="AA288" s="1370" t="s">
        <v>61</v>
      </c>
      <c r="AB288" s="1370" t="s">
        <v>61</v>
      </c>
      <c r="AC288" s="711" t="s">
        <v>61</v>
      </c>
      <c r="AD288" s="32"/>
      <c r="AE288" s="32"/>
      <c r="AF288" s="1369" t="s">
        <v>2065</v>
      </c>
      <c r="AG288" s="1370" t="s">
        <v>61</v>
      </c>
      <c r="AH288" s="1370" t="s">
        <v>61</v>
      </c>
      <c r="AI288" s="1370" t="s">
        <v>61</v>
      </c>
      <c r="AJ288" s="705" t="s">
        <v>61</v>
      </c>
      <c r="AK288" s="1370" t="s">
        <v>2558</v>
      </c>
      <c r="AL288" s="1370" t="s">
        <v>61</v>
      </c>
      <c r="AM288" s="1370" t="s">
        <v>61</v>
      </c>
      <c r="AN288" s="1370" t="s">
        <v>61</v>
      </c>
      <c r="AO288" s="711" t="s">
        <v>61</v>
      </c>
      <c r="AP288" s="32"/>
      <c r="AQ288" s="32"/>
      <c r="AR288" s="32"/>
      <c r="AS288" s="1764" t="s">
        <v>14</v>
      </c>
      <c r="AT288" s="1761"/>
      <c r="AU288" s="1761"/>
      <c r="AV288" s="1761" t="s">
        <v>60</v>
      </c>
      <c r="AW288" s="1761"/>
      <c r="AX288" s="1761"/>
      <c r="AY288" s="1761" t="s">
        <v>27</v>
      </c>
      <c r="AZ288" s="1761"/>
      <c r="BA288" s="1761"/>
      <c r="BB288" s="1761" t="s">
        <v>2074</v>
      </c>
      <c r="BC288" s="1761"/>
      <c r="BD288" s="1761"/>
      <c r="BE288" s="1762" t="s">
        <v>41</v>
      </c>
      <c r="BF288" s="1762"/>
      <c r="BG288" s="1763"/>
      <c r="BH288" s="1764" t="s">
        <v>85</v>
      </c>
      <c r="BI288" s="1761"/>
      <c r="BJ288" s="1765"/>
    </row>
    <row r="289" spans="1:62" s="42" customFormat="1" ht="12.75" hidden="1" customHeight="1" outlineLevel="1" x14ac:dyDescent="0.2">
      <c r="A289" s="40"/>
      <c r="B289" s="1369"/>
      <c r="C289" s="1370"/>
      <c r="D289" s="1370" t="s">
        <v>61</v>
      </c>
      <c r="E289" s="1370" t="s">
        <v>63</v>
      </c>
      <c r="F289" s="208" t="s">
        <v>2054</v>
      </c>
      <c r="G289" s="212" t="s">
        <v>34</v>
      </c>
      <c r="H289" s="1377" t="s">
        <v>768</v>
      </c>
      <c r="I289" s="1377" t="s">
        <v>24</v>
      </c>
      <c r="J289" s="208" t="s">
        <v>2061</v>
      </c>
      <c r="K289" s="1377" t="s">
        <v>768</v>
      </c>
      <c r="L289" s="1377" t="s">
        <v>24</v>
      </c>
      <c r="M289" s="212" t="s">
        <v>2059</v>
      </c>
      <c r="N289" s="1377" t="s">
        <v>768</v>
      </c>
      <c r="O289" s="1377" t="s">
        <v>24</v>
      </c>
      <c r="P289" s="212" t="s">
        <v>15</v>
      </c>
      <c r="Q289" s="1377" t="s">
        <v>768</v>
      </c>
      <c r="R289" s="1377" t="s">
        <v>24</v>
      </c>
      <c r="S289" s="1376" t="s">
        <v>768</v>
      </c>
      <c r="T289" s="1376" t="s">
        <v>24</v>
      </c>
      <c r="U289" s="274" t="s">
        <v>59</v>
      </c>
      <c r="W289" s="32"/>
      <c r="X289" s="1629" t="s">
        <v>2109</v>
      </c>
      <c r="Y289" s="1370"/>
      <c r="Z289" s="1377" t="s">
        <v>768</v>
      </c>
      <c r="AA289" s="1377" t="s">
        <v>24</v>
      </c>
      <c r="AB289" s="1377" t="s">
        <v>59</v>
      </c>
      <c r="AC289" s="711" t="s">
        <v>41</v>
      </c>
      <c r="AD289" s="32"/>
      <c r="AE289" s="32"/>
      <c r="AF289" s="1369"/>
      <c r="AG289" s="1377" t="s">
        <v>768</v>
      </c>
      <c r="AH289" s="1377" t="s">
        <v>24</v>
      </c>
      <c r="AI289" s="1377" t="s">
        <v>59</v>
      </c>
      <c r="AJ289" s="223" t="s">
        <v>41</v>
      </c>
      <c r="AK289" s="1370"/>
      <c r="AL289" s="1377" t="s">
        <v>768</v>
      </c>
      <c r="AM289" s="1377" t="s">
        <v>24</v>
      </c>
      <c r="AN289" s="1377" t="s">
        <v>59</v>
      </c>
      <c r="AO289" s="219" t="s">
        <v>41</v>
      </c>
      <c r="AP289" s="32"/>
      <c r="AQ289" s="32"/>
      <c r="AR289" s="40"/>
      <c r="AS289" s="732" t="s">
        <v>768</v>
      </c>
      <c r="AT289" s="733" t="s">
        <v>24</v>
      </c>
      <c r="AU289" s="733" t="s">
        <v>59</v>
      </c>
      <c r="AV289" s="733" t="s">
        <v>768</v>
      </c>
      <c r="AW289" s="733" t="s">
        <v>24</v>
      </c>
      <c r="AX289" s="733" t="s">
        <v>59</v>
      </c>
      <c r="AY289" s="733" t="s">
        <v>768</v>
      </c>
      <c r="AZ289" s="733" t="s">
        <v>24</v>
      </c>
      <c r="BA289" s="733" t="s">
        <v>59</v>
      </c>
      <c r="BB289" s="733" t="s">
        <v>768</v>
      </c>
      <c r="BC289" s="733" t="s">
        <v>24</v>
      </c>
      <c r="BD289" s="733" t="s">
        <v>59</v>
      </c>
      <c r="BE289" s="734" t="s">
        <v>768</v>
      </c>
      <c r="BF289" s="734" t="s">
        <v>24</v>
      </c>
      <c r="BG289" s="735" t="s">
        <v>59</v>
      </c>
      <c r="BH289" s="732" t="s">
        <v>768</v>
      </c>
      <c r="BI289" s="733" t="s">
        <v>24</v>
      </c>
      <c r="BJ289" s="736" t="s">
        <v>59</v>
      </c>
    </row>
    <row r="290" spans="1:62" ht="12.75" hidden="1" customHeight="1" outlineLevel="1" x14ac:dyDescent="0.2">
      <c r="B290" s="200" t="s">
        <v>812</v>
      </c>
      <c r="C290" s="201"/>
      <c r="D290" s="262">
        <f>SUM(S290:U290)</f>
        <v>0</v>
      </c>
      <c r="E290" s="265">
        <f>D290*12/44</f>
        <v>0</v>
      </c>
      <c r="F290" s="182"/>
      <c r="G290" s="182"/>
      <c r="H290" s="271">
        <f>VLOOKUP($B290,'Emissions factors'!$B$84:$K$147,2,FALSE)</f>
        <v>665.2</v>
      </c>
      <c r="I290" s="271">
        <f>VLOOKUP($B290,'Emissions factors'!$B$84:$K$147,3,FALSE)</f>
        <v>3160.98</v>
      </c>
      <c r="J290" s="182"/>
      <c r="K290" s="277">
        <f>VLOOKUP($B290,'Emissions factors'!$B$84:$K$147,4,FALSE)</f>
        <v>5.5E-2</v>
      </c>
      <c r="L290" s="277">
        <f>VLOOKUP($B290,'Emissions factors'!$B$84:$K$147,5,FALSE)</f>
        <v>0.257913</v>
      </c>
      <c r="M290" s="182"/>
      <c r="N290" s="271">
        <f>VLOOKUP($B290,'Emissions factors'!$B$84:$K$147,6,FALSE)</f>
        <v>634.20000000000005</v>
      </c>
      <c r="O290" s="271">
        <f>VLOOKUP($B290,'Emissions factors'!$B$84:$K$147,7,FALSE)</f>
        <v>3010.46</v>
      </c>
      <c r="P290" s="182"/>
      <c r="Q290" s="277">
        <f>VLOOKUP($B290,'Emissions factors'!$B$84:$K$147,8,FALSE)</f>
        <v>0.5323</v>
      </c>
      <c r="R290" s="277">
        <f>VLOOKUP($B290,'Emissions factors'!$B$84:$K$147,9,FALSE)</f>
        <v>2.52</v>
      </c>
      <c r="S290" s="210">
        <f>G290*H290+J290*K290+M290*N290+P290*Q290</f>
        <v>0</v>
      </c>
      <c r="T290" s="210">
        <f>G290*I290+J290*L290+M290*O290+P290*R290</f>
        <v>0</v>
      </c>
      <c r="U290" s="211">
        <f>T290*'Emissions factors'!$C$1285</f>
        <v>0</v>
      </c>
      <c r="V290" s="42"/>
      <c r="X290" s="282">
        <f>VLOOKUP($B290,'Emissions factors'!$B$84:$K$147,10,FALSE)</f>
        <v>0.05</v>
      </c>
      <c r="Y290" s="183"/>
      <c r="Z290" s="221">
        <f>S290*SQRT(X290^2+Y290^2)</f>
        <v>0</v>
      </c>
      <c r="AA290" s="221">
        <f>T290*SQRT(X290^2+Y290^2)</f>
        <v>0</v>
      </c>
      <c r="AB290" s="221">
        <f>U290*SQRT(X290^2+Y290^2)</f>
        <v>0</v>
      </c>
      <c r="AC290" s="211">
        <f>SQRT(SUMSQ(Z290:AB290))</f>
        <v>0</v>
      </c>
      <c r="AF290" s="184"/>
      <c r="AG290" s="224">
        <f>S290*AF290</f>
        <v>0</v>
      </c>
      <c r="AH290" s="224">
        <f>T290*AF290</f>
        <v>0</v>
      </c>
      <c r="AI290" s="224">
        <f>U290*AF290</f>
        <v>0</v>
      </c>
      <c r="AJ290" s="210">
        <f>SUM(AG290:AI290)</f>
        <v>0</v>
      </c>
      <c r="AK290" s="184"/>
      <c r="AL290" s="435">
        <f>AK290*S290</f>
        <v>0</v>
      </c>
      <c r="AM290" s="435">
        <f>AK290*T290</f>
        <v>0</v>
      </c>
      <c r="AN290" s="224">
        <f>U290*AK290</f>
        <v>0</v>
      </c>
      <c r="AO290" s="211">
        <f>SUM(AL290:AN290)</f>
        <v>0</v>
      </c>
      <c r="AS290" s="717">
        <f>G290*VLOOKUP($B290,'Emissions factors'!$B$84:$AQ$147,11,FALSE)+J290*VLOOKUP($B290,'Emissions factors'!$B$84:$AQ$147,13,FALSE)+M290*VLOOKUP($B290,'Emissions factors'!$B$84:$AQ$147,15,FALSE)+P290*VLOOKUP($B290,'Emissions factors'!$B$84:$AQ$147,17,FALSE)</f>
        <v>0</v>
      </c>
      <c r="AT290" s="718">
        <f>G290*VLOOKUP($B290,'Emissions factors'!$B$84:$AQ$147,12,FALSE)+J290*VLOOKUP($B290,'Emissions factors'!$B$84:$AQ$147,14,FALSE)+M290*VLOOKUP($B290,'Emissions factors'!$B$84:$AQ$147,16,FALSE)+P290*VLOOKUP($B290,'Emissions factors'!$B$84:$AQ$147,18,FALSE)</f>
        <v>0</v>
      </c>
      <c r="AU290" s="718"/>
      <c r="AV290" s="718">
        <f>G290*VLOOKUP($B290,'Emissions factors'!$B$84:$AQ$147,19,FALSE)+J290*VLOOKUP($B290,'Emissions factors'!$B$84:$AQ$147,21,FALSE)+M290*VLOOKUP($B290,'Emissions factors'!$B$84:$AQ$147,23,FALSE)+P290*VLOOKUP($B290,'Emissions factors'!$B$84:$AQ$147,25,FALSE)</f>
        <v>0</v>
      </c>
      <c r="AW290" s="718">
        <f>G290*VLOOKUP($B290,'Emissions factors'!$B$84:$AQ$147,20,FALSE)+J290*VLOOKUP($B290,'Emissions factors'!$B$84:$AQ$147,22,FALSE)+M290*VLOOKUP($B290,'Emissions factors'!$B$84:$AQ$147,24,FALSE)+P290*VLOOKUP($B290,'Emissions factors'!$B$84:$AQ$147,26,FALSE)</f>
        <v>0</v>
      </c>
      <c r="AX290" s="718"/>
      <c r="AY290" s="718">
        <f>G290*VLOOKUP($B290,'Emissions factors'!$B$84:$AQ$147,27,FALSE)+J290*VLOOKUP($B290,'Emissions factors'!$B$84:$AQ$147,29,FALSE)+M290*VLOOKUP($B290,'Emissions factors'!$B$84:$AQ$147,31,FALSE)+P290*VLOOKUP($B290,'Emissions factors'!$B$84:$AQ$147,33,FALSE)</f>
        <v>0</v>
      </c>
      <c r="AZ290" s="718">
        <f>G290*VLOOKUP($B290,'Emissions factors'!$B$84:$AQ$147,28,FALSE)+J290*VLOOKUP($B290,'Emissions factors'!$B$84:$AQ$147,30,FALSE)+M290*VLOOKUP($B290,'Emissions factors'!$B$84:$AQ$147,32,FALSE)+P290*VLOOKUP($B290,'Emissions factors'!$B$84:$AQ$147,34,FALSE)</f>
        <v>0</v>
      </c>
      <c r="BA290" s="718"/>
      <c r="BB290" s="718"/>
      <c r="BC290" s="718"/>
      <c r="BD290" s="718">
        <f>U290</f>
        <v>0</v>
      </c>
      <c r="BE290" s="719">
        <f t="shared" ref="BE290:BG292" si="138">S290</f>
        <v>0</v>
      </c>
      <c r="BF290" s="719">
        <f t="shared" si="138"/>
        <v>0</v>
      </c>
      <c r="BG290" s="720">
        <f t="shared" si="138"/>
        <v>0</v>
      </c>
      <c r="BH290" s="717">
        <f>G290*VLOOKUP($B290,'Emissions factors'!$B$84:$AQ$147,35,FALSE)+J290*VLOOKUP($B290,'Emissions factors'!$B$84:$AQ$147,37,FALSE)+M290*VLOOKUP($B290,'Emissions factors'!$B$84:$AQ$147,39,FALSE)+P290*VLOOKUP($B290,'Emissions factors'!$B$84:$AQ$147,41,FALSE)</f>
        <v>0</v>
      </c>
      <c r="BI290" s="718">
        <f>G290*VLOOKUP($B290,'Emissions factors'!$B$84:$AQ$147,36,FALSE)+J290*VLOOKUP($B290,'Emissions factors'!$B$84:$AQ$147,38,FALSE)+M290*VLOOKUP($B290,'Emissions factors'!$B$84:$AQ$147,40,FALSE)+P290*VLOOKUP($B290,'Emissions factors'!$B$84:$AQ$147,42,FALSE)</f>
        <v>0</v>
      </c>
      <c r="BJ290" s="721"/>
    </row>
    <row r="291" spans="1:62" ht="12.75" hidden="1" customHeight="1" outlineLevel="1" x14ac:dyDescent="0.2">
      <c r="B291" s="200" t="s">
        <v>797</v>
      </c>
      <c r="C291" s="201"/>
      <c r="D291" s="262">
        <f>SUM(S291:U291)</f>
        <v>0</v>
      </c>
      <c r="E291" s="265">
        <f>D291*12/44</f>
        <v>0</v>
      </c>
      <c r="F291" s="185"/>
      <c r="G291" s="185"/>
      <c r="H291" s="271">
        <f>VLOOKUP($B291,'Emissions factors'!$B$84:$K$147,2,FALSE)</f>
        <v>668.5</v>
      </c>
      <c r="I291" s="271">
        <f>VLOOKUP($B291,'Emissions factors'!$B$84:$K$147,3,FALSE)</f>
        <v>3111.04</v>
      </c>
      <c r="J291" s="185"/>
      <c r="K291" s="277">
        <f>VLOOKUP($B291,'Emissions factors'!$B$84:$K$147,4,FALSE)</f>
        <v>5.5E-2</v>
      </c>
      <c r="L291" s="277">
        <f>VLOOKUP($B291,'Emissions factors'!$B$84:$K$147,5,FALSE)</f>
        <v>0.252913</v>
      </c>
      <c r="M291" s="185"/>
      <c r="N291" s="271">
        <f>VLOOKUP($B291,'Emissions factors'!$B$84:$K$147,6,FALSE)</f>
        <v>634.20000000000005</v>
      </c>
      <c r="O291" s="271">
        <f>VLOOKUP($B291,'Emissions factors'!$B$84:$K$147,7,FALSE)</f>
        <v>2950.46</v>
      </c>
      <c r="P291" s="185"/>
      <c r="Q291" s="277">
        <f>VLOOKUP($B291,'Emissions factors'!$B$84:$K$147,8,FALSE)</f>
        <v>0.53459999999999996</v>
      </c>
      <c r="R291" s="277">
        <f>VLOOKUP($B291,'Emissions factors'!$B$84:$K$147,9,FALSE)</f>
        <v>2.48</v>
      </c>
      <c r="S291" s="210">
        <f>G291*H291+J291*K291+M291*N291+P291*Q291</f>
        <v>0</v>
      </c>
      <c r="T291" s="210">
        <f>G291*I291+J291*L291+M291*O291+P291*R291</f>
        <v>0</v>
      </c>
      <c r="U291" s="211">
        <f>T291*'Emissions factors'!$C$1285</f>
        <v>0</v>
      </c>
      <c r="V291" s="42"/>
      <c r="X291" s="282">
        <f>VLOOKUP($B291,'Emissions factors'!$B$84:$K$147,10,FALSE)</f>
        <v>0.05</v>
      </c>
      <c r="Y291" s="186"/>
      <c r="Z291" s="221">
        <f>S291*SQRT(X291^2+Y291^2)</f>
        <v>0</v>
      </c>
      <c r="AA291" s="221">
        <f>T291*SQRT(X291^2+Y291^2)</f>
        <v>0</v>
      </c>
      <c r="AB291" s="221">
        <f>U291*SQRT(X291^2+Y291^2)</f>
        <v>0</v>
      </c>
      <c r="AC291" s="211">
        <f>SQRT(SUMSQ(Z291:AB291))</f>
        <v>0</v>
      </c>
      <c r="AF291" s="187"/>
      <c r="AG291" s="224">
        <f>S291*AF291</f>
        <v>0</v>
      </c>
      <c r="AH291" s="224">
        <f>T291*AF291</f>
        <v>0</v>
      </c>
      <c r="AI291" s="224">
        <f>U291*AF291</f>
        <v>0</v>
      </c>
      <c r="AJ291" s="210">
        <f>SUM(AG291:AI291)</f>
        <v>0</v>
      </c>
      <c r="AK291" s="187"/>
      <c r="AL291" s="435">
        <f>AK291*S291</f>
        <v>0</v>
      </c>
      <c r="AM291" s="435">
        <f>AK291*T291</f>
        <v>0</v>
      </c>
      <c r="AN291" s="224">
        <f>U291*AK291</f>
        <v>0</v>
      </c>
      <c r="AO291" s="211">
        <f>SUM(AL291:AN291)</f>
        <v>0</v>
      </c>
      <c r="AS291" s="717">
        <f>G291*VLOOKUP($B291,'Emissions factors'!$B$84:$AQ$147,11,FALSE)+J291*VLOOKUP($B291,'Emissions factors'!$B$84:$AQ$147,13,FALSE)+M291*VLOOKUP($B291,'Emissions factors'!$B$84:$AQ$147,15,FALSE)+P291*VLOOKUP($B291,'Emissions factors'!$B$84:$AQ$147,17,FALSE)</f>
        <v>0</v>
      </c>
      <c r="AT291" s="718">
        <f>G291*VLOOKUP($B291,'Emissions factors'!$B$84:$AQ$147,12,FALSE)+J291*VLOOKUP($B291,'Emissions factors'!$B$84:$AQ$147,14,FALSE)+M291*VLOOKUP($B291,'Emissions factors'!$B$84:$AQ$147,16,FALSE)+P291*VLOOKUP($B291,'Emissions factors'!$B$84:$AQ$147,18,FALSE)</f>
        <v>0</v>
      </c>
      <c r="AU291" s="718"/>
      <c r="AV291" s="718">
        <f>G291*VLOOKUP($B291,'Emissions factors'!$B$84:$AQ$147,19,FALSE)+J291*VLOOKUP($B291,'Emissions factors'!$B$84:$AQ$147,21,FALSE)+M291*VLOOKUP($B291,'Emissions factors'!$B$84:$AQ$147,23,FALSE)+P291*VLOOKUP($B291,'Emissions factors'!$B$84:$AQ$147,25,FALSE)</f>
        <v>0</v>
      </c>
      <c r="AW291" s="718">
        <f>G291*VLOOKUP($B291,'Emissions factors'!$B$84:$AQ$147,20,FALSE)+J291*VLOOKUP($B291,'Emissions factors'!$B$84:$AQ$147,22,FALSE)+M291*VLOOKUP($B291,'Emissions factors'!$B$84:$AQ$147,24,FALSE)+P291*VLOOKUP($B291,'Emissions factors'!$B$84:$AQ$147,26,FALSE)</f>
        <v>0</v>
      </c>
      <c r="AX291" s="718"/>
      <c r="AY291" s="718">
        <f>G291*VLOOKUP($B291,'Emissions factors'!$B$84:$AQ$147,27,FALSE)+J291*VLOOKUP($B291,'Emissions factors'!$B$84:$AQ$147,29,FALSE)+M291*VLOOKUP($B291,'Emissions factors'!$B$84:$AQ$147,31,FALSE)+P291*VLOOKUP($B291,'Emissions factors'!$B$84:$AQ$147,33,FALSE)</f>
        <v>0</v>
      </c>
      <c r="AZ291" s="718">
        <f>G291*VLOOKUP($B291,'Emissions factors'!$B$84:$AQ$147,28,FALSE)+J291*VLOOKUP($B291,'Emissions factors'!$B$84:$AQ$147,30,FALSE)+M291*VLOOKUP($B291,'Emissions factors'!$B$84:$AQ$147,32,FALSE)+P291*VLOOKUP($B291,'Emissions factors'!$B$84:$AQ$147,34,FALSE)</f>
        <v>0</v>
      </c>
      <c r="BA291" s="718"/>
      <c r="BB291" s="718"/>
      <c r="BC291" s="718"/>
      <c r="BD291" s="718">
        <f>U291</f>
        <v>0</v>
      </c>
      <c r="BE291" s="719">
        <f t="shared" si="138"/>
        <v>0</v>
      </c>
      <c r="BF291" s="719">
        <f t="shared" si="138"/>
        <v>0</v>
      </c>
      <c r="BG291" s="720">
        <f t="shared" si="138"/>
        <v>0</v>
      </c>
      <c r="BH291" s="717">
        <f>G291*VLOOKUP($B291,'Emissions factors'!$B$84:$AQ$147,35,FALSE)+J291*VLOOKUP($B291,'Emissions factors'!$B$84:$AQ$147,37,FALSE)+M291*VLOOKUP($B291,'Emissions factors'!$B$84:$AQ$147,39,FALSE)+P291*VLOOKUP($B291,'Emissions factors'!$B$84:$AQ$147,41,FALSE)</f>
        <v>0</v>
      </c>
      <c r="BI291" s="718">
        <f>G291*VLOOKUP($B291,'Emissions factors'!$B$84:$AQ$147,36,FALSE)+J291*VLOOKUP($B291,'Emissions factors'!$B$84:$AQ$147,38,FALSE)+M291*VLOOKUP($B291,'Emissions factors'!$B$84:$AQ$147,40,FALSE)+P291*VLOOKUP($B291,'Emissions factors'!$B$84:$AQ$147,42,FALSE)</f>
        <v>0</v>
      </c>
      <c r="BJ291" s="721"/>
    </row>
    <row r="292" spans="1:62" ht="12.75" hidden="1" customHeight="1" outlineLevel="1" x14ac:dyDescent="0.2">
      <c r="B292" s="200" t="s">
        <v>798</v>
      </c>
      <c r="C292" s="201"/>
      <c r="D292" s="262">
        <f>SUM(S292:U292)</f>
        <v>0</v>
      </c>
      <c r="E292" s="265">
        <f>D292*12/44</f>
        <v>0</v>
      </c>
      <c r="F292" s="188"/>
      <c r="G292" s="188"/>
      <c r="H292" s="271">
        <f>VLOOKUP($B292,'Emissions factors'!$B$84:$K$147,2,FALSE)</f>
        <v>634.20000000000005</v>
      </c>
      <c r="I292" s="271">
        <f>VLOOKUP($B292,'Emissions factors'!$B$84:$K$147,3,FALSE)</f>
        <v>3160.46</v>
      </c>
      <c r="J292" s="188"/>
      <c r="K292" s="277">
        <f>VLOOKUP($B292,'Emissions factors'!$B$84:$K$147,4,FALSE)</f>
        <v>5.4399999999999997E-2</v>
      </c>
      <c r="L292" s="277">
        <f>VLOOKUP($B292,'Emissions factors'!$B$84:$K$147,5,FALSE)</f>
        <v>0.258913</v>
      </c>
      <c r="M292" s="188"/>
      <c r="N292" s="271">
        <f>VLOOKUP($B292,'Emissions factors'!$B$84:$K$147,6,FALSE)</f>
        <v>634.20000000000005</v>
      </c>
      <c r="O292" s="271">
        <f>VLOOKUP($B292,'Emissions factors'!$B$84:$K$147,7,FALSE)</f>
        <v>3020.46</v>
      </c>
      <c r="P292" s="188"/>
      <c r="Q292" s="277">
        <f>VLOOKUP($B292,'Emissions factors'!$B$84:$K$147,8,FALSE)</f>
        <v>0.53129999999999999</v>
      </c>
      <c r="R292" s="277">
        <f>VLOOKUP($B292,'Emissions factors'!$B$84:$K$147,9,FALSE)</f>
        <v>2.48</v>
      </c>
      <c r="S292" s="210">
        <f>G292*H292+J292*K292+M292*N292+P292*Q292</f>
        <v>0</v>
      </c>
      <c r="T292" s="210">
        <f>G292*I292+J292*L292+M292*O292+P292*R292</f>
        <v>0</v>
      </c>
      <c r="U292" s="211">
        <f>T292*'Emissions factors'!$C$1285</f>
        <v>0</v>
      </c>
      <c r="V292" s="42"/>
      <c r="X292" s="282">
        <f>VLOOKUP($B292,'Emissions factors'!$B$84:$K$147,10,FALSE)</f>
        <v>0.05</v>
      </c>
      <c r="Y292" s="189"/>
      <c r="Z292" s="221">
        <f>S292*SQRT(X292^2+Y292^2)</f>
        <v>0</v>
      </c>
      <c r="AA292" s="221">
        <f>T292*SQRT(X292^2+Y292^2)</f>
        <v>0</v>
      </c>
      <c r="AB292" s="221">
        <f>U292*SQRT(X292^2+Y292^2)</f>
        <v>0</v>
      </c>
      <c r="AC292" s="211">
        <f>SQRT(SUMSQ(Z292:AB292))</f>
        <v>0</v>
      </c>
      <c r="AF292" s="190"/>
      <c r="AG292" s="224">
        <f>S292*AF292</f>
        <v>0</v>
      </c>
      <c r="AH292" s="224">
        <f>T292*AF292</f>
        <v>0</v>
      </c>
      <c r="AI292" s="224">
        <f>U292*AF292</f>
        <v>0</v>
      </c>
      <c r="AJ292" s="210">
        <f>SUM(AG292:AI292)</f>
        <v>0</v>
      </c>
      <c r="AK292" s="190"/>
      <c r="AL292" s="435">
        <f>AK292*S292</f>
        <v>0</v>
      </c>
      <c r="AM292" s="435">
        <f>AK292*T292</f>
        <v>0</v>
      </c>
      <c r="AN292" s="224">
        <f>U292*AK292</f>
        <v>0</v>
      </c>
      <c r="AO292" s="211">
        <f>SUM(AL292:AN292)</f>
        <v>0</v>
      </c>
      <c r="AR292" s="42"/>
      <c r="AS292" s="717">
        <f>G292*VLOOKUP($B292,'Emissions factors'!$B$84:$AQ$147,11,FALSE)+J292*VLOOKUP($B292,'Emissions factors'!$B$84:$AQ$147,13,FALSE)+M292*VLOOKUP($B292,'Emissions factors'!$B$84:$AQ$147,15,FALSE)+P292*VLOOKUP($B292,'Emissions factors'!$B$84:$AQ$147,17,FALSE)</f>
        <v>0</v>
      </c>
      <c r="AT292" s="718">
        <f>G292*VLOOKUP($B292,'Emissions factors'!$B$84:$AQ$147,12,FALSE)+J292*VLOOKUP($B292,'Emissions factors'!$B$84:$AQ$147,14,FALSE)+M292*VLOOKUP($B292,'Emissions factors'!$B$84:$AQ$147,16,FALSE)+P292*VLOOKUP($B292,'Emissions factors'!$B$84:$AQ$147,18,FALSE)</f>
        <v>0</v>
      </c>
      <c r="AU292" s="718"/>
      <c r="AV292" s="718">
        <f>G292*VLOOKUP($B292,'Emissions factors'!$B$84:$AQ$147,19,FALSE)+J292*VLOOKUP($B292,'Emissions factors'!$B$84:$AQ$147,21,FALSE)+M292*VLOOKUP($B292,'Emissions factors'!$B$84:$AQ$147,23,FALSE)+P292*VLOOKUP($B292,'Emissions factors'!$B$84:$AQ$147,25,FALSE)</f>
        <v>0</v>
      </c>
      <c r="AW292" s="718">
        <f>G292*VLOOKUP($B292,'Emissions factors'!$B$84:$AQ$147,20,FALSE)+J292*VLOOKUP($B292,'Emissions factors'!$B$84:$AQ$147,22,FALSE)+M292*VLOOKUP($B292,'Emissions factors'!$B$84:$AQ$147,24,FALSE)+P292*VLOOKUP($B292,'Emissions factors'!$B$84:$AQ$147,26,FALSE)</f>
        <v>0</v>
      </c>
      <c r="AX292" s="718"/>
      <c r="AY292" s="718">
        <f>G292*VLOOKUP($B292,'Emissions factors'!$B$84:$AQ$147,27,FALSE)+J292*VLOOKUP($B292,'Emissions factors'!$B$84:$AQ$147,29,FALSE)+M292*VLOOKUP($B292,'Emissions factors'!$B$84:$AQ$147,31,FALSE)+P292*VLOOKUP($B292,'Emissions factors'!$B$84:$AQ$147,33,FALSE)</f>
        <v>0</v>
      </c>
      <c r="AZ292" s="718">
        <f>G292*VLOOKUP($B292,'Emissions factors'!$B$84:$AQ$147,28,FALSE)+J292*VLOOKUP($B292,'Emissions factors'!$B$84:$AQ$147,30,FALSE)+M292*VLOOKUP($B292,'Emissions factors'!$B$84:$AQ$147,32,FALSE)+P292*VLOOKUP($B292,'Emissions factors'!$B$84:$AQ$147,34,FALSE)</f>
        <v>0</v>
      </c>
      <c r="BA292" s="718"/>
      <c r="BB292" s="718"/>
      <c r="BC292" s="718"/>
      <c r="BD292" s="718">
        <f>U292</f>
        <v>0</v>
      </c>
      <c r="BE292" s="719">
        <f t="shared" si="138"/>
        <v>0</v>
      </c>
      <c r="BF292" s="719">
        <f t="shared" si="138"/>
        <v>0</v>
      </c>
      <c r="BG292" s="720">
        <f t="shared" si="138"/>
        <v>0</v>
      </c>
      <c r="BH292" s="717">
        <f>G292*VLOOKUP($B292,'Emissions factors'!$B$84:$AQ$147,35,FALSE)+J292*VLOOKUP($B292,'Emissions factors'!$B$84:$AQ$147,37,FALSE)+M292*VLOOKUP($B292,'Emissions factors'!$B$84:$AQ$147,39,FALSE)+P292*VLOOKUP($B292,'Emissions factors'!$B$84:$AQ$147,41,FALSE)</f>
        <v>0</v>
      </c>
      <c r="BI292" s="718">
        <f>G292*VLOOKUP($B292,'Emissions factors'!$B$84:$AQ$147,36,FALSE)+J292*VLOOKUP($B292,'Emissions factors'!$B$84:$AQ$147,38,FALSE)+M292*VLOOKUP($B292,'Emissions factors'!$B$84:$AQ$147,40,FALSE)+P292*VLOOKUP($B292,'Emissions factors'!$B$84:$AQ$147,42,FALSE)</f>
        <v>0</v>
      </c>
      <c r="BJ292" s="721"/>
    </row>
    <row r="293" spans="1:62" ht="12.75" hidden="1" customHeight="1" outlineLevel="1" x14ac:dyDescent="0.2">
      <c r="B293" s="213"/>
      <c r="C293" s="214"/>
      <c r="D293" s="275"/>
      <c r="E293" s="268"/>
      <c r="F293" s="214"/>
      <c r="G293" s="469"/>
      <c r="H293" s="469"/>
      <c r="I293" s="469"/>
      <c r="J293" s="469"/>
      <c r="K293" s="469"/>
      <c r="L293" s="469"/>
      <c r="M293" s="469"/>
      <c r="N293" s="469"/>
      <c r="O293" s="469"/>
      <c r="P293" s="469"/>
      <c r="Q293" s="469"/>
      <c r="R293" s="470"/>
      <c r="S293" s="463"/>
      <c r="T293" s="463"/>
      <c r="U293" s="215"/>
      <c r="V293" s="42"/>
      <c r="W293" s="42"/>
      <c r="X293" s="477"/>
      <c r="Y293" s="227"/>
      <c r="Z293" s="227"/>
      <c r="AA293" s="227"/>
      <c r="AB293" s="227"/>
      <c r="AC293" s="478"/>
      <c r="AD293" s="42"/>
      <c r="AE293" s="42"/>
      <c r="AF293" s="1369"/>
      <c r="AG293" s="221"/>
      <c r="AH293" s="224"/>
      <c r="AI293" s="221"/>
      <c r="AJ293" s="201"/>
      <c r="AK293" s="221"/>
      <c r="AL293" s="435"/>
      <c r="AM293" s="435"/>
      <c r="AN293" s="224"/>
      <c r="AO293" s="203"/>
      <c r="AP293" s="42"/>
      <c r="AQ293" s="42"/>
      <c r="AS293" s="717"/>
      <c r="AT293" s="718"/>
      <c r="AU293" s="718"/>
      <c r="AV293" s="718"/>
      <c r="AW293" s="718"/>
      <c r="AX293" s="718"/>
      <c r="AY293" s="718"/>
      <c r="AZ293" s="718"/>
      <c r="BA293" s="718"/>
      <c r="BB293" s="718"/>
      <c r="BC293" s="718"/>
      <c r="BD293" s="718"/>
      <c r="BE293" s="719"/>
      <c r="BF293" s="719"/>
      <c r="BG293" s="720"/>
      <c r="BH293" s="722"/>
      <c r="BI293" s="786"/>
      <c r="BJ293" s="723"/>
    </row>
    <row r="294" spans="1:62" ht="12.75" hidden="1" customHeight="1" outlineLevel="1" x14ac:dyDescent="0.2">
      <c r="B294" s="253" t="s">
        <v>44</v>
      </c>
      <c r="C294" s="254"/>
      <c r="D294" s="264">
        <f>SUM(D290:D293)</f>
        <v>0</v>
      </c>
      <c r="E294" s="267">
        <f>SUM(E290:E293)</f>
        <v>0</v>
      </c>
      <c r="F294" s="255"/>
      <c r="G294" s="256"/>
      <c r="H294" s="256"/>
      <c r="I294" s="256"/>
      <c r="J294" s="256"/>
      <c r="K294" s="256"/>
      <c r="L294" s="256"/>
      <c r="M294" s="256"/>
      <c r="N294" s="256"/>
      <c r="O294" s="256"/>
      <c r="P294" s="256"/>
      <c r="Q294" s="256"/>
      <c r="R294" s="256"/>
      <c r="S294" s="259">
        <f>SUM(S290:S293)</f>
        <v>0</v>
      </c>
      <c r="T294" s="259">
        <f>SUM(T290:T293)</f>
        <v>0</v>
      </c>
      <c r="U294" s="257">
        <f>SUM(U290:U293)</f>
        <v>0</v>
      </c>
      <c r="V294" s="42"/>
      <c r="X294" s="458"/>
      <c r="Y294" s="459"/>
      <c r="Z294" s="260">
        <f>SQRT(SUMSQ(Z290:Z293))</f>
        <v>0</v>
      </c>
      <c r="AA294" s="260">
        <f>SQRT(SUMSQ(AA290:AA293))</f>
        <v>0</v>
      </c>
      <c r="AB294" s="260">
        <f>SQRT(SUMSQ(AB290:AB293))</f>
        <v>0</v>
      </c>
      <c r="AC294" s="257">
        <f>SQRT(SUMSQ(AC290:AC293))</f>
        <v>0</v>
      </c>
      <c r="AF294" s="258"/>
      <c r="AG294" s="490">
        <f>SUM(AG290:AG293)</f>
        <v>0</v>
      </c>
      <c r="AH294" s="490">
        <f>SUM(AH290:AH293)</f>
        <v>0</v>
      </c>
      <c r="AI294" s="260">
        <f>SUM(AI290:AI293)</f>
        <v>0</v>
      </c>
      <c r="AJ294" s="259">
        <f>SUM(AJ290:AJ293)</f>
        <v>0</v>
      </c>
      <c r="AK294" s="254"/>
      <c r="AL294" s="260">
        <f>SUM(AL290:AL293)</f>
        <v>0</v>
      </c>
      <c r="AM294" s="260">
        <f>SUM(AM290:AM293)</f>
        <v>0</v>
      </c>
      <c r="AN294" s="260">
        <f>SUM(AN290:AN293)</f>
        <v>0</v>
      </c>
      <c r="AO294" s="257">
        <f>SUM(AO290:AO293)</f>
        <v>0</v>
      </c>
      <c r="AS294" s="724">
        <f t="shared" ref="AS294:BJ294" si="139">SUM(AS290:AS293)</f>
        <v>0</v>
      </c>
      <c r="AT294" s="725">
        <f t="shared" si="139"/>
        <v>0</v>
      </c>
      <c r="AU294" s="725">
        <f t="shared" si="139"/>
        <v>0</v>
      </c>
      <c r="AV294" s="725">
        <f t="shared" si="139"/>
        <v>0</v>
      </c>
      <c r="AW294" s="725">
        <f t="shared" si="139"/>
        <v>0</v>
      </c>
      <c r="AX294" s="725">
        <f t="shared" si="139"/>
        <v>0</v>
      </c>
      <c r="AY294" s="725">
        <f t="shared" si="139"/>
        <v>0</v>
      </c>
      <c r="AZ294" s="725">
        <f t="shared" si="139"/>
        <v>0</v>
      </c>
      <c r="BA294" s="725">
        <f t="shared" si="139"/>
        <v>0</v>
      </c>
      <c r="BB294" s="725">
        <f t="shared" si="139"/>
        <v>0</v>
      </c>
      <c r="BC294" s="725">
        <f t="shared" si="139"/>
        <v>0</v>
      </c>
      <c r="BD294" s="725">
        <f t="shared" si="139"/>
        <v>0</v>
      </c>
      <c r="BE294" s="726">
        <f t="shared" si="139"/>
        <v>0</v>
      </c>
      <c r="BF294" s="726">
        <f t="shared" si="139"/>
        <v>0</v>
      </c>
      <c r="BG294" s="727">
        <f t="shared" si="139"/>
        <v>0</v>
      </c>
      <c r="BH294" s="724">
        <f t="shared" si="139"/>
        <v>0</v>
      </c>
      <c r="BI294" s="725">
        <f t="shared" si="139"/>
        <v>0</v>
      </c>
      <c r="BJ294" s="728">
        <f t="shared" si="139"/>
        <v>0</v>
      </c>
    </row>
    <row r="295" spans="1:62" ht="15" hidden="1" customHeight="1" outlineLevel="1" x14ac:dyDescent="0.2">
      <c r="BA295" s="751"/>
    </row>
    <row r="296" spans="1:62" ht="12.75" hidden="1" customHeight="1" outlineLevel="1" x14ac:dyDescent="0.2">
      <c r="B296" s="195" t="s">
        <v>2886</v>
      </c>
      <c r="C296" s="196"/>
      <c r="D296" s="1364"/>
      <c r="E296" s="1364"/>
      <c r="F296" s="198"/>
      <c r="G296" s="198"/>
      <c r="H296" s="217"/>
      <c r="I296" s="217"/>
      <c r="J296" s="217"/>
      <c r="K296" s="1364"/>
      <c r="L296" s="1364"/>
      <c r="M296" s="1364"/>
      <c r="N296" s="218"/>
      <c r="X296" s="1746" t="s">
        <v>723</v>
      </c>
      <c r="Y296" s="1747"/>
      <c r="Z296" s="1747"/>
      <c r="AA296" s="1747"/>
      <c r="AB296" s="1747"/>
      <c r="AC296" s="1747"/>
      <c r="AD296" s="1748"/>
      <c r="AF296" s="1746" t="s">
        <v>2066</v>
      </c>
      <c r="AG296" s="1747"/>
      <c r="AH296" s="1747"/>
      <c r="AI296" s="1747"/>
      <c r="AJ296" s="1747"/>
      <c r="AK296" s="1747"/>
      <c r="AL296" s="1747"/>
      <c r="AM296" s="1747"/>
      <c r="AN296" s="1747"/>
      <c r="AO296" s="1747"/>
      <c r="AP296" s="1747"/>
      <c r="AQ296" s="1748"/>
      <c r="AS296" s="1755" t="s">
        <v>2073</v>
      </c>
      <c r="AT296" s="1756"/>
      <c r="AU296" s="1756"/>
      <c r="AV296" s="1756"/>
      <c r="AW296" s="1756"/>
      <c r="AX296" s="1756"/>
      <c r="AY296" s="1756"/>
      <c r="AZ296" s="1756"/>
      <c r="BA296" s="1756"/>
      <c r="BB296" s="1756"/>
      <c r="BC296" s="1756"/>
      <c r="BD296" s="1756"/>
      <c r="BE296" s="1756"/>
      <c r="BF296" s="1756"/>
      <c r="BG296" s="1756"/>
      <c r="BH296" s="1756"/>
      <c r="BI296" s="1756"/>
      <c r="BJ296" s="1757"/>
    </row>
    <row r="297" spans="1:62" ht="12.75" hidden="1" customHeight="1" outlineLevel="1" x14ac:dyDescent="0.2">
      <c r="B297" s="417"/>
      <c r="C297" s="225"/>
      <c r="D297" s="705"/>
      <c r="E297" s="705"/>
      <c r="F297" s="214"/>
      <c r="G297" s="201"/>
      <c r="H297" s="234"/>
      <c r="I297" s="234"/>
      <c r="J297" s="234"/>
      <c r="K297" s="705"/>
      <c r="L297" s="705"/>
      <c r="M297" s="705"/>
      <c r="N297" s="1378" t="s">
        <v>2639</v>
      </c>
      <c r="X297" s="1363"/>
      <c r="Y297" s="1364"/>
      <c r="Z297" s="705"/>
      <c r="AA297" s="705"/>
      <c r="AB297" s="705"/>
      <c r="AC297" s="705"/>
      <c r="AD297" s="1378" t="s">
        <v>2639</v>
      </c>
      <c r="AF297" s="704"/>
      <c r="AG297" s="705"/>
      <c r="AH297" s="705"/>
      <c r="AI297" s="705"/>
      <c r="AJ297" s="1370"/>
      <c r="AK297" s="705" t="s">
        <v>2639</v>
      </c>
      <c r="AL297" s="705"/>
      <c r="AM297" s="705"/>
      <c r="AN297" s="705"/>
      <c r="AO297" s="705"/>
      <c r="AP297" s="1370"/>
      <c r="AQ297" s="1378" t="s">
        <v>2639</v>
      </c>
      <c r="AS297" s="1758" t="s">
        <v>61</v>
      </c>
      <c r="AT297" s="1759"/>
      <c r="AU297" s="1759"/>
      <c r="AV297" s="1759"/>
      <c r="AW297" s="1759"/>
      <c r="AX297" s="1759"/>
      <c r="AY297" s="1759"/>
      <c r="AZ297" s="1759"/>
      <c r="BA297" s="1759"/>
      <c r="BB297" s="1759"/>
      <c r="BC297" s="1759"/>
      <c r="BD297" s="1759"/>
      <c r="BE297" s="1759" t="s">
        <v>61</v>
      </c>
      <c r="BF297" s="1759"/>
      <c r="BG297" s="1760"/>
      <c r="BH297" s="730"/>
      <c r="BI297" s="785"/>
      <c r="BJ297" s="731"/>
    </row>
    <row r="298" spans="1:62" ht="12.75" hidden="1" customHeight="1" outlineLevel="1" x14ac:dyDescent="0.2">
      <c r="B298" s="200"/>
      <c r="C298" s="201"/>
      <c r="D298" s="1370" t="s">
        <v>56</v>
      </c>
      <c r="E298" s="1370" t="s">
        <v>56</v>
      </c>
      <c r="F298" s="205" t="s">
        <v>2634</v>
      </c>
      <c r="G298" s="205"/>
      <c r="H298" s="1744" t="s">
        <v>1308</v>
      </c>
      <c r="I298" s="1745"/>
      <c r="J298" s="1745"/>
      <c r="K298" s="705" t="s">
        <v>61</v>
      </c>
      <c r="L298" s="705" t="s">
        <v>61</v>
      </c>
      <c r="M298" s="705" t="s">
        <v>61</v>
      </c>
      <c r="N298" s="1378" t="s">
        <v>30</v>
      </c>
      <c r="X298" s="1629" t="s">
        <v>2605</v>
      </c>
      <c r="Y298" s="1370" t="s">
        <v>2110</v>
      </c>
      <c r="Z298" s="1370" t="s">
        <v>61</v>
      </c>
      <c r="AA298" s="1370" t="s">
        <v>61</v>
      </c>
      <c r="AB298" s="1370" t="s">
        <v>61</v>
      </c>
      <c r="AC298" s="705" t="s">
        <v>61</v>
      </c>
      <c r="AD298" s="1378" t="s">
        <v>30</v>
      </c>
      <c r="AF298" s="1369" t="s">
        <v>2065</v>
      </c>
      <c r="AG298" s="1370" t="s">
        <v>61</v>
      </c>
      <c r="AH298" s="1370" t="s">
        <v>61</v>
      </c>
      <c r="AI298" s="1370" t="s">
        <v>61</v>
      </c>
      <c r="AJ298" s="705" t="s">
        <v>61</v>
      </c>
      <c r="AK298" s="1370" t="s">
        <v>30</v>
      </c>
      <c r="AL298" s="1370" t="s">
        <v>2558</v>
      </c>
      <c r="AM298" s="1370" t="s">
        <v>61</v>
      </c>
      <c r="AN298" s="1370" t="s">
        <v>61</v>
      </c>
      <c r="AO298" s="1370" t="s">
        <v>61</v>
      </c>
      <c r="AP298" s="705" t="s">
        <v>61</v>
      </c>
      <c r="AQ298" s="1378" t="s">
        <v>30</v>
      </c>
      <c r="AS298" s="1764" t="s">
        <v>14</v>
      </c>
      <c r="AT298" s="1761"/>
      <c r="AU298" s="1761"/>
      <c r="AV298" s="1761" t="s">
        <v>60</v>
      </c>
      <c r="AW298" s="1761"/>
      <c r="AX298" s="1761"/>
      <c r="AY298" s="1761" t="s">
        <v>27</v>
      </c>
      <c r="AZ298" s="1761"/>
      <c r="BA298" s="1761"/>
      <c r="BB298" s="1761" t="s">
        <v>2074</v>
      </c>
      <c r="BC298" s="1761"/>
      <c r="BD298" s="1761"/>
      <c r="BE298" s="1762" t="s">
        <v>41</v>
      </c>
      <c r="BF298" s="1762"/>
      <c r="BG298" s="1763"/>
      <c r="BH298" s="1764" t="s">
        <v>85</v>
      </c>
      <c r="BI298" s="1761"/>
      <c r="BJ298" s="1765"/>
    </row>
    <row r="299" spans="1:62" ht="12.75" hidden="1" customHeight="1" outlineLevel="1" x14ac:dyDescent="0.2">
      <c r="B299" s="200"/>
      <c r="C299" s="201"/>
      <c r="D299" s="1370" t="s">
        <v>61</v>
      </c>
      <c r="E299" s="1370" t="s">
        <v>63</v>
      </c>
      <c r="F299" s="208" t="s">
        <v>2054</v>
      </c>
      <c r="G299" s="208" t="s">
        <v>57</v>
      </c>
      <c r="H299" s="1377" t="s">
        <v>768</v>
      </c>
      <c r="I299" s="1377" t="s">
        <v>24</v>
      </c>
      <c r="J299" s="1377" t="s">
        <v>59</v>
      </c>
      <c r="K299" s="1376" t="s">
        <v>768</v>
      </c>
      <c r="L299" s="1376" t="s">
        <v>24</v>
      </c>
      <c r="M299" s="1376" t="s">
        <v>59</v>
      </c>
      <c r="N299" s="1378" t="s">
        <v>61</v>
      </c>
      <c r="X299" s="1629" t="s">
        <v>2109</v>
      </c>
      <c r="Y299" s="1370"/>
      <c r="Z299" s="1377" t="s">
        <v>768</v>
      </c>
      <c r="AA299" s="1377" t="s">
        <v>24</v>
      </c>
      <c r="AB299" s="1377" t="s">
        <v>59</v>
      </c>
      <c r="AC299" s="705" t="s">
        <v>41</v>
      </c>
      <c r="AD299" s="1378" t="s">
        <v>61</v>
      </c>
      <c r="AF299" s="1369"/>
      <c r="AG299" s="1377" t="s">
        <v>768</v>
      </c>
      <c r="AH299" s="1377" t="s">
        <v>24</v>
      </c>
      <c r="AI299" s="1377" t="s">
        <v>59</v>
      </c>
      <c r="AJ299" s="223" t="s">
        <v>41</v>
      </c>
      <c r="AK299" s="1370" t="s">
        <v>61</v>
      </c>
      <c r="AL299" s="1370"/>
      <c r="AM299" s="1377" t="s">
        <v>768</v>
      </c>
      <c r="AN299" s="1377" t="s">
        <v>24</v>
      </c>
      <c r="AO299" s="1377" t="s">
        <v>59</v>
      </c>
      <c r="AP299" s="223" t="s">
        <v>41</v>
      </c>
      <c r="AQ299" s="1378" t="s">
        <v>61</v>
      </c>
      <c r="AS299" s="732" t="s">
        <v>768</v>
      </c>
      <c r="AT299" s="733" t="s">
        <v>24</v>
      </c>
      <c r="AU299" s="733" t="s">
        <v>59</v>
      </c>
      <c r="AV299" s="733" t="s">
        <v>768</v>
      </c>
      <c r="AW299" s="733" t="s">
        <v>24</v>
      </c>
      <c r="AX299" s="733" t="s">
        <v>59</v>
      </c>
      <c r="AY299" s="733" t="s">
        <v>768</v>
      </c>
      <c r="AZ299" s="733" t="s">
        <v>24</v>
      </c>
      <c r="BA299" s="733" t="s">
        <v>59</v>
      </c>
      <c r="BB299" s="733" t="s">
        <v>768</v>
      </c>
      <c r="BC299" s="733" t="s">
        <v>24</v>
      </c>
      <c r="BD299" s="733" t="s">
        <v>59</v>
      </c>
      <c r="BE299" s="734" t="s">
        <v>768</v>
      </c>
      <c r="BF299" s="734" t="s">
        <v>24</v>
      </c>
      <c r="BG299" s="735" t="s">
        <v>59</v>
      </c>
      <c r="BH299" s="732" t="s">
        <v>768</v>
      </c>
      <c r="BI299" s="733" t="s">
        <v>24</v>
      </c>
      <c r="BJ299" s="736" t="s">
        <v>59</v>
      </c>
    </row>
    <row r="300" spans="1:62" ht="12.75" hidden="1" customHeight="1" outlineLevel="1" x14ac:dyDescent="0.2">
      <c r="B300" s="200" t="s">
        <v>1360</v>
      </c>
      <c r="C300" s="201"/>
      <c r="D300" s="262">
        <f>SUM(K300:M300)</f>
        <v>0</v>
      </c>
      <c r="E300" s="265">
        <f>D300*12/44</f>
        <v>0</v>
      </c>
      <c r="F300" s="559"/>
      <c r="G300" s="182"/>
      <c r="H300" s="272">
        <f>VLOOKUP(B300,'Emissions factors'!$B$1290:$M$1328,2,FALSE)</f>
        <v>0.16800000000000001</v>
      </c>
      <c r="I300" s="272">
        <f>VLOOKUP(B300,'Emissions factors'!$B$1290:$M$1328,3,FALSE)</f>
        <v>1.47</v>
      </c>
      <c r="J300" s="272">
        <f>IF(LEFT(B300,8)="Régional",0,I300*'Emissions factors'!$C$1285)</f>
        <v>1.47</v>
      </c>
      <c r="K300" s="465">
        <f>G300*H300</f>
        <v>0</v>
      </c>
      <c r="L300" s="465">
        <f>G300*I300</f>
        <v>0</v>
      </c>
      <c r="M300" s="210">
        <f>G300*J300</f>
        <v>0</v>
      </c>
      <c r="N300" s="222">
        <f>IF(OR(F300='Info utili'!$G$532,F300='Info utili'!$G$537),L300,0)</f>
        <v>0</v>
      </c>
      <c r="X300" s="282">
        <f>VLOOKUP(B300,'Emissions factors'!$B$1290:$M$1328,12,FALSE)</f>
        <v>0.2</v>
      </c>
      <c r="Y300" s="183"/>
      <c r="Z300" s="432">
        <f>K300*SQRT(X300^2+Y300^2)</f>
        <v>0</v>
      </c>
      <c r="AA300" s="432">
        <f>L300*SQRT(X300^2+Y300^2)</f>
        <v>0</v>
      </c>
      <c r="AB300" s="221">
        <f>M300*SQRT(X300^2+Y300^2)</f>
        <v>0</v>
      </c>
      <c r="AC300" s="210">
        <f>SQRT(SUMSQ(Z300:AB300))</f>
        <v>0</v>
      </c>
      <c r="AD300" s="222">
        <f>N300*SQRT(X300^2+Y300^2)</f>
        <v>0</v>
      </c>
      <c r="AF300" s="183"/>
      <c r="AG300" s="221">
        <f>AF300*K300</f>
        <v>0</v>
      </c>
      <c r="AH300" s="221">
        <f>AF300*L300</f>
        <v>0</v>
      </c>
      <c r="AI300" s="221">
        <f>AF300*M300</f>
        <v>0</v>
      </c>
      <c r="AJ300" s="210">
        <f>SUM(AG300:AI300)</f>
        <v>0</v>
      </c>
      <c r="AK300" s="221">
        <f>AF300*N300</f>
        <v>0</v>
      </c>
      <c r="AL300" s="183"/>
      <c r="AM300" s="221">
        <f>AL300*K300</f>
        <v>0</v>
      </c>
      <c r="AN300" s="221">
        <f>AL300*L300</f>
        <v>0</v>
      </c>
      <c r="AO300" s="221">
        <f>AL300*M300</f>
        <v>0</v>
      </c>
      <c r="AP300" s="210">
        <f>SUM(AM300:AO300)</f>
        <v>0</v>
      </c>
      <c r="AQ300" s="222">
        <f>AL300*N300</f>
        <v>0</v>
      </c>
      <c r="AS300" s="717">
        <f>G300*VLOOKUP(B300,'Emissions factors'!$B$1290:$M$1328,4,FALSE)</f>
        <v>0</v>
      </c>
      <c r="AT300" s="718">
        <f>G300*VLOOKUP(B300,'Emissions factors'!$B$1290:$M$1328,5,FALSE)</f>
        <v>0</v>
      </c>
      <c r="AU300" s="718"/>
      <c r="AV300" s="718">
        <f>G300*VLOOKUP(B300,'Emissions factors'!$B$1290:$M$1328,6,FALSE)</f>
        <v>0</v>
      </c>
      <c r="AW300" s="718">
        <f>G300*VLOOKUP(B300,'Emissions factors'!$B$1290:$M$1328,7,FALSE)</f>
        <v>0</v>
      </c>
      <c r="AX300" s="718"/>
      <c r="AY300" s="718">
        <f>G300*VLOOKUP(B300,'Emissions factors'!$B$1290:$M$1328,8,FALSE)</f>
        <v>0</v>
      </c>
      <c r="AZ300" s="718">
        <f>G300*VLOOKUP(B300,'Emissions factors'!$B$1290:$M$1328,9,FALSE)</f>
        <v>0</v>
      </c>
      <c r="BA300" s="718"/>
      <c r="BB300" s="718"/>
      <c r="BC300" s="718"/>
      <c r="BD300" s="718">
        <f>M300</f>
        <v>0</v>
      </c>
      <c r="BE300" s="719">
        <f t="shared" ref="BE300:BG302" si="140">K300</f>
        <v>0</v>
      </c>
      <c r="BF300" s="719">
        <f t="shared" si="140"/>
        <v>0</v>
      </c>
      <c r="BG300" s="720">
        <f t="shared" si="140"/>
        <v>0</v>
      </c>
      <c r="BH300" s="717">
        <f>G300*VLOOKUP(B300,'Emissions factors'!$B$1290:$M$1328,10,FALSE)</f>
        <v>0</v>
      </c>
      <c r="BI300" s="718">
        <f>G300*VLOOKUP(B300,'Emissions factors'!$B$1290:$M$1328,11,FALSE)</f>
        <v>0</v>
      </c>
      <c r="BJ300" s="721"/>
    </row>
    <row r="301" spans="1:62" ht="12.75" hidden="1" customHeight="1" outlineLevel="1" x14ac:dyDescent="0.2">
      <c r="B301" s="200" t="s">
        <v>1328</v>
      </c>
      <c r="C301" s="201"/>
      <c r="D301" s="262">
        <f>SUM(K301:M301)</f>
        <v>0</v>
      </c>
      <c r="E301" s="265">
        <f>D301*12/44</f>
        <v>0</v>
      </c>
      <c r="F301" s="442"/>
      <c r="G301" s="185"/>
      <c r="H301" s="272">
        <f>VLOOKUP(B301,'Emissions factors'!$B$1290:$M$1328,2,FALSE)</f>
        <v>0.86330000000000007</v>
      </c>
      <c r="I301" s="272">
        <f>VLOOKUP(B301,'Emissions factors'!$B$1290:$M$1328,3,FALSE)</f>
        <v>4.0999999999999996</v>
      </c>
      <c r="J301" s="272">
        <f>IF(LEFT(B301,8)="Régional",0,I301*'Emissions factors'!$C$1285)</f>
        <v>4.0999999999999996</v>
      </c>
      <c r="K301" s="465">
        <f>G301*H301</f>
        <v>0</v>
      </c>
      <c r="L301" s="465">
        <f>G301*I301</f>
        <v>0</v>
      </c>
      <c r="M301" s="210">
        <f>G301*J301</f>
        <v>0</v>
      </c>
      <c r="N301" s="222">
        <f>IF(OR(F301='Info utili'!$G$532,F301='Info utili'!$G$537),L301,0)</f>
        <v>0</v>
      </c>
      <c r="X301" s="282">
        <f>VLOOKUP(B301,'Emissions factors'!$B$1290:$M$1328,12,FALSE)</f>
        <v>0.5</v>
      </c>
      <c r="Y301" s="186"/>
      <c r="Z301" s="432">
        <f>K301*SQRT(X301^2+Y301^2)</f>
        <v>0</v>
      </c>
      <c r="AA301" s="432">
        <f>L301*SQRT(X301^2+Y301^2)</f>
        <v>0</v>
      </c>
      <c r="AB301" s="221">
        <f>M301*SQRT(X301^2+Y301^2)</f>
        <v>0</v>
      </c>
      <c r="AC301" s="210">
        <f>SQRT(SUMSQ(Z301:AB301))</f>
        <v>0</v>
      </c>
      <c r="AD301" s="222">
        <f>N301*SQRT(X301^2+Y301^2)</f>
        <v>0</v>
      </c>
      <c r="AF301" s="186"/>
      <c r="AG301" s="221">
        <f>AF301*K301</f>
        <v>0</v>
      </c>
      <c r="AH301" s="221">
        <f>AF301*L301</f>
        <v>0</v>
      </c>
      <c r="AI301" s="221">
        <f>AF301*M301</f>
        <v>0</v>
      </c>
      <c r="AJ301" s="210">
        <f>SUM(AG301:AI301)</f>
        <v>0</v>
      </c>
      <c r="AK301" s="221">
        <f>AF301*N301</f>
        <v>0</v>
      </c>
      <c r="AL301" s="186"/>
      <c r="AM301" s="221">
        <f>AL301*K301</f>
        <v>0</v>
      </c>
      <c r="AN301" s="221">
        <f>AL301*L301</f>
        <v>0</v>
      </c>
      <c r="AO301" s="221">
        <f>AL301*M301</f>
        <v>0</v>
      </c>
      <c r="AP301" s="210">
        <f>SUM(AM301:AO301)</f>
        <v>0</v>
      </c>
      <c r="AQ301" s="222">
        <f>AL301*N301</f>
        <v>0</v>
      </c>
      <c r="AS301" s="717">
        <f>G301*VLOOKUP(B301,'Emissions factors'!$B$1290:$M$1328,4,FALSE)</f>
        <v>0</v>
      </c>
      <c r="AT301" s="718">
        <f>G301*VLOOKUP(B301,'Emissions factors'!$B$1290:$M$1328,5,FALSE)</f>
        <v>0</v>
      </c>
      <c r="AU301" s="718"/>
      <c r="AV301" s="718">
        <f>G301*VLOOKUP(B301,'Emissions factors'!$B$1290:$M$1328,6,FALSE)</f>
        <v>0</v>
      </c>
      <c r="AW301" s="718">
        <f>G301*VLOOKUP(B301,'Emissions factors'!$B$1290:$M$1328,7,FALSE)</f>
        <v>0</v>
      </c>
      <c r="AX301" s="718"/>
      <c r="AY301" s="718">
        <f>G301*VLOOKUP(B301,'Emissions factors'!$B$1290:$M$1328,8,FALSE)</f>
        <v>0</v>
      </c>
      <c r="AZ301" s="718">
        <f>G301*VLOOKUP(B301,'Emissions factors'!$B$1290:$M$1328,9,FALSE)</f>
        <v>0</v>
      </c>
      <c r="BA301" s="718"/>
      <c r="BB301" s="718"/>
      <c r="BC301" s="718"/>
      <c r="BD301" s="718">
        <f>M301</f>
        <v>0</v>
      </c>
      <c r="BE301" s="719">
        <f t="shared" si="140"/>
        <v>0</v>
      </c>
      <c r="BF301" s="719">
        <f t="shared" si="140"/>
        <v>0</v>
      </c>
      <c r="BG301" s="720">
        <f t="shared" si="140"/>
        <v>0</v>
      </c>
      <c r="BH301" s="717">
        <f>G301*VLOOKUP(B301,'Emissions factors'!$B$1290:$M$1328,10,FALSE)</f>
        <v>0</v>
      </c>
      <c r="BI301" s="718">
        <f>G301*VLOOKUP(B301,'Emissions factors'!$B$1290:$M$1328,11,FALSE)</f>
        <v>0</v>
      </c>
      <c r="BJ301" s="721"/>
    </row>
    <row r="302" spans="1:62" s="191" customFormat="1" ht="15" hidden="1" customHeight="1" outlineLevel="1" x14ac:dyDescent="0.2">
      <c r="A302" s="40"/>
      <c r="B302" s="200" t="s">
        <v>1356</v>
      </c>
      <c r="C302" s="201"/>
      <c r="D302" s="262">
        <f>SUM(K302:M302)</f>
        <v>0</v>
      </c>
      <c r="E302" s="265">
        <f>D302*12/44</f>
        <v>0</v>
      </c>
      <c r="F302" s="443"/>
      <c r="G302" s="188"/>
      <c r="H302" s="272">
        <f>VLOOKUP(B302,'Emissions factors'!$B$1290:$M$1328,2,FALSE)</f>
        <v>0.2059</v>
      </c>
      <c r="I302" s="272">
        <f>VLOOKUP(B302,'Emissions factors'!$B$1290:$M$1328,3,FALSE)</f>
        <v>0.97699999999999998</v>
      </c>
      <c r="J302" s="272">
        <f>IF(LEFT(B302,8)="Régional",0,I302*'Emissions factors'!$C$1285)</f>
        <v>0.97699999999999998</v>
      </c>
      <c r="K302" s="465">
        <f>G302*H302</f>
        <v>0</v>
      </c>
      <c r="L302" s="465">
        <f>G302*I302</f>
        <v>0</v>
      </c>
      <c r="M302" s="210">
        <f>G302*J302</f>
        <v>0</v>
      </c>
      <c r="N302" s="222">
        <f>IF(OR(F302='Info utili'!$G$532,F302='Info utili'!$G$537),L302,0)</f>
        <v>0</v>
      </c>
      <c r="O302" s="40"/>
      <c r="P302" s="40"/>
      <c r="Q302" s="40"/>
      <c r="R302" s="40"/>
      <c r="S302" s="40"/>
      <c r="T302" s="40"/>
      <c r="U302" s="40"/>
      <c r="V302" s="40"/>
      <c r="W302" s="40"/>
      <c r="X302" s="282">
        <f>VLOOKUP(B302,'Emissions factors'!$B$1290:$M$1328,12,FALSE)</f>
        <v>0.5</v>
      </c>
      <c r="Y302" s="189"/>
      <c r="Z302" s="432">
        <f>K302*SQRT(X302^2+Y302^2)</f>
        <v>0</v>
      </c>
      <c r="AA302" s="432">
        <f>L302*SQRT(X302^2+Y302^2)</f>
        <v>0</v>
      </c>
      <c r="AB302" s="221">
        <f>M302*SQRT(X302^2+Y302^2)</f>
        <v>0</v>
      </c>
      <c r="AC302" s="210">
        <f>SQRT(SUMSQ(Z302:AB302))</f>
        <v>0</v>
      </c>
      <c r="AD302" s="222">
        <f>N302*SQRT(X302^2+Y302^2)</f>
        <v>0</v>
      </c>
      <c r="AE302" s="40"/>
      <c r="AF302" s="189"/>
      <c r="AG302" s="221">
        <f>AF302*K302</f>
        <v>0</v>
      </c>
      <c r="AH302" s="221">
        <f>AF302*L302</f>
        <v>0</v>
      </c>
      <c r="AI302" s="221">
        <f>AF302*M302</f>
        <v>0</v>
      </c>
      <c r="AJ302" s="210">
        <f>SUM(AG302:AI302)</f>
        <v>0</v>
      </c>
      <c r="AK302" s="221">
        <f>AF302*N302</f>
        <v>0</v>
      </c>
      <c r="AL302" s="189"/>
      <c r="AM302" s="221">
        <f>AL302*K302</f>
        <v>0</v>
      </c>
      <c r="AN302" s="221">
        <f>AL302*L302</f>
        <v>0</v>
      </c>
      <c r="AO302" s="221">
        <f>AL302*M302</f>
        <v>0</v>
      </c>
      <c r="AP302" s="210">
        <f>SUM(AM302:AO302)</f>
        <v>0</v>
      </c>
      <c r="AQ302" s="222">
        <f>AL302*N302</f>
        <v>0</v>
      </c>
      <c r="AR302" s="40"/>
      <c r="AS302" s="717">
        <f>G302*VLOOKUP(B302,'Emissions factors'!$B$1290:$M$1328,4,FALSE)</f>
        <v>0</v>
      </c>
      <c r="AT302" s="718">
        <f>G302*VLOOKUP(B302,'Emissions factors'!$B$1290:$M$1328,5,FALSE)</f>
        <v>0</v>
      </c>
      <c r="AU302" s="718"/>
      <c r="AV302" s="718">
        <f>G302*VLOOKUP(B302,'Emissions factors'!$B$1290:$M$1328,6,FALSE)</f>
        <v>0</v>
      </c>
      <c r="AW302" s="718">
        <f>G302*VLOOKUP(B302,'Emissions factors'!$B$1290:$M$1328,7,FALSE)</f>
        <v>0</v>
      </c>
      <c r="AX302" s="718"/>
      <c r="AY302" s="718">
        <f>G302*VLOOKUP(B302,'Emissions factors'!$B$1290:$M$1328,8,FALSE)</f>
        <v>0</v>
      </c>
      <c r="AZ302" s="718">
        <f>G302*VLOOKUP(B302,'Emissions factors'!$B$1290:$M$1328,9,FALSE)</f>
        <v>0</v>
      </c>
      <c r="BA302" s="718"/>
      <c r="BB302" s="718"/>
      <c r="BC302" s="718"/>
      <c r="BD302" s="718">
        <f>M302</f>
        <v>0</v>
      </c>
      <c r="BE302" s="719">
        <f t="shared" si="140"/>
        <v>0</v>
      </c>
      <c r="BF302" s="719">
        <f t="shared" si="140"/>
        <v>0</v>
      </c>
      <c r="BG302" s="720">
        <f t="shared" si="140"/>
        <v>0</v>
      </c>
      <c r="BH302" s="717">
        <f>G302*VLOOKUP(B302,'Emissions factors'!$B$1290:$M$1328,10,FALSE)</f>
        <v>0</v>
      </c>
      <c r="BI302" s="718">
        <f>G302*VLOOKUP(B302,'Emissions factors'!$B$1290:$M$1328,11,FALSE)</f>
        <v>0</v>
      </c>
      <c r="BJ302" s="721"/>
    </row>
    <row r="303" spans="1:62" ht="12.75" hidden="1" customHeight="1" outlineLevel="1" x14ac:dyDescent="0.2">
      <c r="B303" s="213"/>
      <c r="C303" s="214"/>
      <c r="D303" s="275"/>
      <c r="E303" s="268"/>
      <c r="F303" s="214"/>
      <c r="G303" s="214"/>
      <c r="H303" s="214"/>
      <c r="I303" s="214"/>
      <c r="J303" s="214"/>
      <c r="K303" s="214"/>
      <c r="L303" s="214"/>
      <c r="M303" s="227"/>
      <c r="N303" s="466"/>
      <c r="X303" s="213"/>
      <c r="Y303" s="214"/>
      <c r="Z303" s="214"/>
      <c r="AA303" s="214"/>
      <c r="AB303" s="227"/>
      <c r="AC303" s="201"/>
      <c r="AD303" s="466"/>
      <c r="AF303" s="213"/>
      <c r="AG303" s="214"/>
      <c r="AH303" s="214"/>
      <c r="AI303" s="214"/>
      <c r="AJ303" s="201"/>
      <c r="AK303" s="413"/>
      <c r="AL303" s="214"/>
      <c r="AM303" s="214"/>
      <c r="AN303" s="214"/>
      <c r="AO303" s="214"/>
      <c r="AP303" s="201"/>
      <c r="AQ303" s="466"/>
      <c r="AS303" s="717"/>
      <c r="AT303" s="718"/>
      <c r="AU303" s="718"/>
      <c r="AV303" s="718"/>
      <c r="AW303" s="718"/>
      <c r="AX303" s="718"/>
      <c r="AY303" s="718"/>
      <c r="AZ303" s="718"/>
      <c r="BA303" s="718"/>
      <c r="BB303" s="718"/>
      <c r="BC303" s="718"/>
      <c r="BD303" s="718"/>
      <c r="BE303" s="719"/>
      <c r="BF303" s="719"/>
      <c r="BG303" s="720"/>
      <c r="BH303" s="722"/>
      <c r="BI303" s="786"/>
      <c r="BJ303" s="723"/>
    </row>
    <row r="304" spans="1:62" ht="12.75" hidden="1" customHeight="1" outlineLevel="1" x14ac:dyDescent="0.2">
      <c r="B304" s="484" t="s">
        <v>44</v>
      </c>
      <c r="C304" s="485"/>
      <c r="D304" s="264">
        <f>SUM(D300:D303)</f>
        <v>0</v>
      </c>
      <c r="E304" s="267">
        <f>SUM(E300:E303)</f>
        <v>0</v>
      </c>
      <c r="F304" s="459"/>
      <c r="G304" s="459"/>
      <c r="H304" s="459"/>
      <c r="I304" s="459"/>
      <c r="J304" s="459"/>
      <c r="K304" s="460">
        <f>SUM(K300:K303)</f>
        <v>0</v>
      </c>
      <c r="L304" s="460">
        <f>SUM(L300:L303)</f>
        <v>0</v>
      </c>
      <c r="M304" s="460">
        <f>SUM(M300:M303)</f>
        <v>0</v>
      </c>
      <c r="N304" s="486">
        <f>SUM(N300:N303)</f>
        <v>0</v>
      </c>
      <c r="X304" s="258"/>
      <c r="Y304" s="256"/>
      <c r="Z304" s="260">
        <f>SQRT(SUMSQ(Z300:Z303))</f>
        <v>0</v>
      </c>
      <c r="AA304" s="260">
        <f>SQRT(SUMSQ(AA300:AA303))</f>
        <v>0</v>
      </c>
      <c r="AB304" s="260">
        <f>SQRT(SUMSQ(AB300:AB303))</f>
        <v>0</v>
      </c>
      <c r="AC304" s="259">
        <f>SQRT(SUMSQ(AC300:AC303))</f>
        <v>0</v>
      </c>
      <c r="AD304" s="428">
        <f>SQRT(SUMSQ(AD300:AD303))</f>
        <v>0</v>
      </c>
      <c r="AF304" s="258"/>
      <c r="AG304" s="260">
        <f>SUM(AG300:AG303)</f>
        <v>0</v>
      </c>
      <c r="AH304" s="260">
        <f>SUM(AH300:AH303)</f>
        <v>0</v>
      </c>
      <c r="AI304" s="260">
        <f>SUM(AI300:AI303)</f>
        <v>0</v>
      </c>
      <c r="AJ304" s="259">
        <f>SUM(AJ300:AJ303)</f>
        <v>0</v>
      </c>
      <c r="AK304" s="260">
        <f>SUM(AK300:AK303)</f>
        <v>0</v>
      </c>
      <c r="AL304" s="256"/>
      <c r="AM304" s="260">
        <f>SUM(AM300:AM303)</f>
        <v>0</v>
      </c>
      <c r="AN304" s="260">
        <f>SUM(AN300:AN303)</f>
        <v>0</v>
      </c>
      <c r="AO304" s="260">
        <f>SUM(AO300:AO303)</f>
        <v>0</v>
      </c>
      <c r="AP304" s="259">
        <f>SUM(AP300:AP303)</f>
        <v>0</v>
      </c>
      <c r="AQ304" s="428">
        <f>SUM(AQ300:AQ303)</f>
        <v>0</v>
      </c>
      <c r="AS304" s="724">
        <f t="shared" ref="AS304:BJ304" si="141">SUM(AS300:AS303)</f>
        <v>0</v>
      </c>
      <c r="AT304" s="725">
        <f t="shared" si="141"/>
        <v>0</v>
      </c>
      <c r="AU304" s="725">
        <f t="shared" si="141"/>
        <v>0</v>
      </c>
      <c r="AV304" s="725">
        <f t="shared" si="141"/>
        <v>0</v>
      </c>
      <c r="AW304" s="725">
        <f t="shared" si="141"/>
        <v>0</v>
      </c>
      <c r="AX304" s="725">
        <f t="shared" si="141"/>
        <v>0</v>
      </c>
      <c r="AY304" s="725">
        <f t="shared" si="141"/>
        <v>0</v>
      </c>
      <c r="AZ304" s="725">
        <f t="shared" si="141"/>
        <v>0</v>
      </c>
      <c r="BA304" s="725">
        <f t="shared" si="141"/>
        <v>0</v>
      </c>
      <c r="BB304" s="725">
        <f t="shared" si="141"/>
        <v>0</v>
      </c>
      <c r="BC304" s="725">
        <f t="shared" si="141"/>
        <v>0</v>
      </c>
      <c r="BD304" s="725">
        <f t="shared" si="141"/>
        <v>0</v>
      </c>
      <c r="BE304" s="726">
        <f t="shared" si="141"/>
        <v>0</v>
      </c>
      <c r="BF304" s="726">
        <f t="shared" si="141"/>
        <v>0</v>
      </c>
      <c r="BG304" s="727">
        <f t="shared" si="141"/>
        <v>0</v>
      </c>
      <c r="BH304" s="724">
        <f t="shared" si="141"/>
        <v>0</v>
      </c>
      <c r="BI304" s="725">
        <f t="shared" si="141"/>
        <v>0</v>
      </c>
      <c r="BJ304" s="728">
        <f t="shared" si="141"/>
        <v>0</v>
      </c>
    </row>
    <row r="305" spans="1:62" ht="12.75" hidden="1" customHeight="1" outlineLevel="1" x14ac:dyDescent="0.2">
      <c r="AR305" s="191"/>
    </row>
    <row r="306" spans="1:62" ht="16" collapsed="1" x14ac:dyDescent="0.2">
      <c r="BC306" s="751"/>
    </row>
    <row r="307" spans="1:62" ht="15.75" customHeight="1" collapsed="1" x14ac:dyDescent="0.2">
      <c r="B307" s="1795" t="s">
        <v>2887</v>
      </c>
      <c r="C307" s="1795"/>
      <c r="D307" s="1795"/>
      <c r="E307" s="1795"/>
      <c r="F307" s="1795"/>
      <c r="G307" s="1795"/>
      <c r="H307" s="1795"/>
      <c r="I307" s="1795"/>
      <c r="J307" s="1795"/>
      <c r="K307" s="1795"/>
      <c r="L307" s="1795"/>
      <c r="M307" s="1795"/>
      <c r="N307" s="1795"/>
      <c r="O307" s="1795"/>
      <c r="P307" s="191"/>
      <c r="Q307" s="191"/>
      <c r="R307" s="191"/>
      <c r="S307" s="191"/>
      <c r="T307" s="191"/>
      <c r="U307" s="191"/>
      <c r="V307" s="191"/>
      <c r="W307" s="191"/>
      <c r="X307" s="191"/>
      <c r="Y307" s="191"/>
      <c r="Z307" s="191"/>
      <c r="AA307" s="191"/>
      <c r="AB307" s="191"/>
      <c r="AC307" s="191"/>
      <c r="AD307" s="191"/>
      <c r="AE307" s="191"/>
      <c r="AF307" s="191"/>
      <c r="AG307" s="191"/>
      <c r="AH307" s="191"/>
      <c r="AI307" s="191"/>
      <c r="AJ307" s="191"/>
      <c r="AK307" s="191"/>
      <c r="AL307" s="191"/>
      <c r="AM307" s="191"/>
      <c r="AN307" s="191"/>
      <c r="AO307" s="191"/>
      <c r="AP307" s="191"/>
      <c r="AQ307" s="191"/>
      <c r="BC307" s="751"/>
    </row>
    <row r="308" spans="1:62" ht="12.75" hidden="1" customHeight="1" outlineLevel="1" x14ac:dyDescent="0.2"/>
    <row r="309" spans="1:62" ht="12.75" hidden="1" customHeight="1" outlineLevel="1" x14ac:dyDescent="0.2">
      <c r="B309" s="195" t="s">
        <v>2888</v>
      </c>
      <c r="C309" s="196"/>
      <c r="D309" s="196"/>
      <c r="E309" s="196"/>
      <c r="F309" s="196"/>
      <c r="G309" s="198"/>
      <c r="H309" s="198"/>
      <c r="I309" s="199"/>
      <c r="K309" s="321"/>
      <c r="L309" s="321"/>
      <c r="M309" s="321"/>
      <c r="N309" s="321"/>
      <c r="O309" s="321"/>
      <c r="P309" s="321"/>
      <c r="Q309" s="321"/>
      <c r="R309" s="321"/>
      <c r="S309" s="321"/>
      <c r="X309" s="1746" t="s">
        <v>723</v>
      </c>
      <c r="Y309" s="1747"/>
      <c r="Z309" s="1748"/>
      <c r="AF309" s="1746" t="s">
        <v>2066</v>
      </c>
      <c r="AG309" s="1747"/>
      <c r="AH309" s="1747"/>
      <c r="AI309" s="1748"/>
      <c r="AS309" s="1755" t="s">
        <v>2073</v>
      </c>
      <c r="AT309" s="1756"/>
      <c r="AU309" s="1756"/>
      <c r="AV309" s="1756"/>
      <c r="AW309" s="1756"/>
      <c r="AX309" s="1757"/>
    </row>
    <row r="310" spans="1:62" ht="12.75" hidden="1" customHeight="1" outlineLevel="1" x14ac:dyDescent="0.2">
      <c r="B310" s="200"/>
      <c r="C310" s="201"/>
      <c r="D310" s="705"/>
      <c r="E310" s="705"/>
      <c r="F310" s="201"/>
      <c r="G310" s="201"/>
      <c r="H310" s="201"/>
      <c r="I310" s="203"/>
      <c r="K310" s="321"/>
      <c r="T310" s="321"/>
      <c r="X310" s="1369"/>
      <c r="Y310" s="1370"/>
      <c r="Z310" s="203"/>
      <c r="AA310" s="321"/>
      <c r="AF310" s="1369"/>
      <c r="AG310" s="1370"/>
      <c r="AH310" s="1370"/>
      <c r="AI310" s="203"/>
      <c r="AS310" s="1366"/>
      <c r="AT310" s="1367"/>
      <c r="AU310" s="1367"/>
      <c r="AV310" s="1367"/>
      <c r="AW310" s="1368"/>
      <c r="AX310" s="780"/>
      <c r="AY310" s="605"/>
      <c r="AZ310" s="605"/>
      <c r="BA310" s="605"/>
    </row>
    <row r="311" spans="1:62" ht="12.75" hidden="1" customHeight="1" outlineLevel="1" x14ac:dyDescent="0.2">
      <c r="B311" s="1369"/>
      <c r="C311" s="1370"/>
      <c r="D311" s="1370" t="s">
        <v>56</v>
      </c>
      <c r="E311" s="1370" t="s">
        <v>56</v>
      </c>
      <c r="F311" s="205" t="s">
        <v>2634</v>
      </c>
      <c r="G311" s="205" t="s">
        <v>2053</v>
      </c>
      <c r="H311" s="1628" t="s">
        <v>61</v>
      </c>
      <c r="I311" s="711" t="s">
        <v>61</v>
      </c>
      <c r="K311" s="321"/>
      <c r="T311" s="321"/>
      <c r="X311" s="1629" t="s">
        <v>2605</v>
      </c>
      <c r="Y311" s="1370" t="s">
        <v>2110</v>
      </c>
      <c r="Z311" s="711" t="s">
        <v>61</v>
      </c>
      <c r="AA311" s="321"/>
      <c r="AF311" s="1369" t="s">
        <v>2065</v>
      </c>
      <c r="AG311" s="705" t="s">
        <v>61</v>
      </c>
      <c r="AH311" s="1370" t="s">
        <v>2558</v>
      </c>
      <c r="AI311" s="711" t="s">
        <v>61</v>
      </c>
      <c r="AS311" s="1739" t="s">
        <v>61</v>
      </c>
      <c r="AT311" s="1740"/>
      <c r="AU311" s="1740"/>
      <c r="AV311" s="1740"/>
      <c r="AW311" s="1379" t="s">
        <v>61</v>
      </c>
      <c r="AX311" s="742"/>
      <c r="BB311" s="743"/>
    </row>
    <row r="312" spans="1:62" ht="12.75" hidden="1" customHeight="1" outlineLevel="1" x14ac:dyDescent="0.2">
      <c r="B312" s="1369"/>
      <c r="C312" s="1370"/>
      <c r="D312" s="1370" t="s">
        <v>61</v>
      </c>
      <c r="E312" s="1370" t="s">
        <v>63</v>
      </c>
      <c r="F312" s="208" t="s">
        <v>2054</v>
      </c>
      <c r="G312" s="212" t="s">
        <v>74</v>
      </c>
      <c r="H312" s="1370" t="s">
        <v>2057</v>
      </c>
      <c r="I312" s="711"/>
      <c r="K312" s="321"/>
      <c r="T312" s="321"/>
      <c r="X312" s="1629" t="s">
        <v>2109</v>
      </c>
      <c r="Y312" s="1370"/>
      <c r="Z312" s="711"/>
      <c r="AA312" s="321"/>
      <c r="AF312" s="1369"/>
      <c r="AG312" s="705"/>
      <c r="AH312" s="1370"/>
      <c r="AI312" s="711"/>
      <c r="AS312" s="1371" t="s">
        <v>14</v>
      </c>
      <c r="AT312" s="1372" t="s">
        <v>60</v>
      </c>
      <c r="AU312" s="1372" t="s">
        <v>27</v>
      </c>
      <c r="AV312" s="1372" t="s">
        <v>2074</v>
      </c>
      <c r="AW312" s="1373" t="s">
        <v>41</v>
      </c>
      <c r="AX312" s="747" t="s">
        <v>85</v>
      </c>
      <c r="BB312" s="743"/>
    </row>
    <row r="313" spans="1:62" ht="12.75" hidden="1" customHeight="1" outlineLevel="1" x14ac:dyDescent="0.2">
      <c r="B313" s="471" t="s">
        <v>2647</v>
      </c>
      <c r="C313" s="472"/>
      <c r="D313" s="262">
        <f>I313</f>
        <v>0</v>
      </c>
      <c r="E313" s="265">
        <f>D313*12/44</f>
        <v>0</v>
      </c>
      <c r="F313" s="325"/>
      <c r="G313" s="325"/>
      <c r="H313" s="272">
        <f>IF(ISNA(VLOOKUP("Transports - "&amp;Description!D242&amp;" [1]",'Emissions factors'!$B$615:$D$684,2,FALSE)),'Emissions factors'!$C$682+'Emissions factors'!$D$682,VLOOKUP("Transports - "&amp;Description!D242&amp;" [1]",'Emissions factors'!$B$615:$D$684,2,FALSE)+VLOOKUP("Transports - "&amp;Description!D242&amp;" [1]",'Emissions factors'!$B$615:$D$684,3,FALSE))</f>
        <v>0.107</v>
      </c>
      <c r="I313" s="211">
        <f>G313*H313</f>
        <v>0</v>
      </c>
      <c r="K313" s="321"/>
      <c r="T313" s="321"/>
      <c r="X313" s="282">
        <f>'Emissions factors'!$F$682</f>
        <v>0.3</v>
      </c>
      <c r="Y313" s="326"/>
      <c r="Z313" s="222">
        <f>I313*SQRT(X313^2+Y313^2)</f>
        <v>0</v>
      </c>
      <c r="AA313" s="321"/>
      <c r="AF313" s="327"/>
      <c r="AG313" s="221">
        <f>AF313*I313</f>
        <v>0</v>
      </c>
      <c r="AH313" s="327"/>
      <c r="AI313" s="222">
        <f>AH313*I313</f>
        <v>0</v>
      </c>
      <c r="AS313" s="717"/>
      <c r="AT313" s="718"/>
      <c r="AU313" s="718"/>
      <c r="AV313" s="718"/>
      <c r="AW313" s="720">
        <f>I313</f>
        <v>0</v>
      </c>
      <c r="AX313" s="748"/>
    </row>
    <row r="314" spans="1:62" ht="12.75" hidden="1" customHeight="1" outlineLevel="1" x14ac:dyDescent="0.2">
      <c r="B314" s="471"/>
      <c r="C314" s="472"/>
      <c r="D314" s="491"/>
      <c r="E314" s="498"/>
      <c r="F314" s="472"/>
      <c r="G314" s="221"/>
      <c r="H314" s="209"/>
      <c r="I314" s="211"/>
      <c r="K314" s="321"/>
      <c r="T314" s="321"/>
      <c r="X314" s="200"/>
      <c r="Y314" s="201"/>
      <c r="Z314" s="222"/>
      <c r="AA314" s="321"/>
      <c r="AF314" s="200"/>
      <c r="AG314" s="1370"/>
      <c r="AH314" s="201"/>
      <c r="AI314" s="222"/>
      <c r="AS314" s="717"/>
      <c r="AT314" s="718"/>
      <c r="AU314" s="718"/>
      <c r="AV314" s="718"/>
      <c r="AW314" s="720"/>
      <c r="AX314" s="749"/>
    </row>
    <row r="315" spans="1:62" s="32" customFormat="1" ht="12.75" hidden="1" customHeight="1" outlineLevel="1" x14ac:dyDescent="0.2">
      <c r="A315" s="40"/>
      <c r="B315" s="253" t="s">
        <v>2828</v>
      </c>
      <c r="C315" s="254"/>
      <c r="D315" s="264">
        <f>SUM(D313:D314)</f>
        <v>0</v>
      </c>
      <c r="E315" s="267">
        <f>SUM(E313:E314)</f>
        <v>0</v>
      </c>
      <c r="F315" s="255"/>
      <c r="G315" s="256"/>
      <c r="H315" s="256"/>
      <c r="I315" s="257">
        <f>SUM(I313:I314)</f>
        <v>0</v>
      </c>
      <c r="J315" s="40"/>
      <c r="K315" s="321"/>
      <c r="L315" s="40"/>
      <c r="M315" s="40"/>
      <c r="N315" s="40"/>
      <c r="O315" s="40"/>
      <c r="P315" s="40"/>
      <c r="Q315" s="40"/>
      <c r="R315" s="40"/>
      <c r="S315" s="40"/>
      <c r="T315" s="321"/>
      <c r="U315" s="40"/>
      <c r="V315" s="40"/>
      <c r="W315" s="40"/>
      <c r="X315" s="258"/>
      <c r="Y315" s="256"/>
      <c r="Z315" s="257">
        <f>SQRT(SUMSQ(Z313:Z314))</f>
        <v>0</v>
      </c>
      <c r="AA315" s="321"/>
      <c r="AB315" s="40"/>
      <c r="AC315" s="40"/>
      <c r="AD315" s="40"/>
      <c r="AE315" s="40"/>
      <c r="AF315" s="258"/>
      <c r="AG315" s="259">
        <f>SUM(AG313:AG314)</f>
        <v>0</v>
      </c>
      <c r="AH315" s="256"/>
      <c r="AI315" s="257">
        <f>SUM(AI313:AI314)</f>
        <v>0</v>
      </c>
      <c r="AJ315" s="40"/>
      <c r="AK315" s="40"/>
      <c r="AL315" s="40"/>
      <c r="AM315" s="40"/>
      <c r="AN315" s="40"/>
      <c r="AO315" s="40"/>
      <c r="AP315" s="40"/>
      <c r="AQ315" s="40"/>
      <c r="AR315" s="40"/>
      <c r="AS315" s="724">
        <f t="shared" ref="AS315:AX315" si="142">SUM(AS313:AS314)</f>
        <v>0</v>
      </c>
      <c r="AT315" s="725">
        <f t="shared" si="142"/>
        <v>0</v>
      </c>
      <c r="AU315" s="725">
        <f t="shared" si="142"/>
        <v>0</v>
      </c>
      <c r="AV315" s="725">
        <f t="shared" si="142"/>
        <v>0</v>
      </c>
      <c r="AW315" s="727">
        <f t="shared" si="142"/>
        <v>0</v>
      </c>
      <c r="AX315" s="750">
        <f t="shared" si="142"/>
        <v>0</v>
      </c>
      <c r="AY315" s="602"/>
      <c r="AZ315" s="602"/>
      <c r="BA315" s="602"/>
      <c r="BB315" s="602"/>
      <c r="BC315" s="602"/>
      <c r="BD315" s="743"/>
      <c r="BE315" s="743"/>
      <c r="BF315" s="743"/>
      <c r="BG315" s="743"/>
      <c r="BH315" s="743"/>
      <c r="BI315" s="743"/>
      <c r="BJ315" s="743"/>
    </row>
    <row r="316" spans="1:62" s="32" customFormat="1" ht="12.75" hidden="1" customHeight="1" outlineLevel="1" x14ac:dyDescent="0.2">
      <c r="A316" s="40"/>
      <c r="B316" s="42"/>
      <c r="C316" s="42"/>
      <c r="D316" s="40"/>
      <c r="E316" s="40"/>
      <c r="F316" s="42"/>
      <c r="G316" s="42"/>
      <c r="H316" s="324"/>
      <c r="I316" s="42"/>
      <c r="J316" s="42"/>
      <c r="K316" s="40"/>
      <c r="L316" s="40"/>
      <c r="M316" s="40"/>
      <c r="N316" s="40"/>
      <c r="O316" s="40"/>
      <c r="P316" s="40"/>
      <c r="Q316" s="40"/>
      <c r="R316" s="40"/>
      <c r="S316" s="40"/>
      <c r="T316" s="40"/>
      <c r="U316" s="40"/>
      <c r="V316" s="40"/>
      <c r="W316" s="40"/>
      <c r="X316" s="42"/>
      <c r="Y316" s="42"/>
      <c r="Z316" s="321"/>
      <c r="AA316" s="321"/>
      <c r="AB316" s="40"/>
      <c r="AC316" s="40"/>
      <c r="AD316" s="40"/>
      <c r="AE316" s="40"/>
      <c r="AF316" s="321"/>
      <c r="AG316" s="321"/>
      <c r="AH316" s="321"/>
      <c r="AI316" s="321"/>
      <c r="AJ316" s="40"/>
      <c r="AK316" s="40"/>
      <c r="AL316" s="40"/>
      <c r="AM316" s="40"/>
      <c r="AN316" s="40"/>
      <c r="AO316" s="40"/>
      <c r="AP316" s="40"/>
      <c r="AQ316" s="40"/>
      <c r="AR316" s="40"/>
      <c r="AS316" s="602"/>
      <c r="AT316" s="602"/>
      <c r="AU316" s="602"/>
      <c r="AV316" s="602"/>
      <c r="AW316" s="602"/>
      <c r="AX316" s="602"/>
      <c r="AY316" s="602"/>
      <c r="AZ316" s="602"/>
      <c r="BA316" s="602"/>
      <c r="BB316" s="605"/>
      <c r="BC316" s="602"/>
      <c r="BD316" s="743"/>
      <c r="BE316" s="743"/>
      <c r="BF316" s="743"/>
      <c r="BG316" s="743"/>
      <c r="BH316" s="743"/>
      <c r="BI316" s="743"/>
      <c r="BJ316" s="743"/>
    </row>
    <row r="317" spans="1:62" ht="12" hidden="1" customHeight="1" outlineLevel="1" x14ac:dyDescent="0.2">
      <c r="B317" s="195" t="s">
        <v>2889</v>
      </c>
      <c r="C317" s="196"/>
      <c r="D317" s="196"/>
      <c r="E317" s="196"/>
      <c r="F317" s="198"/>
      <c r="G317" s="198"/>
      <c r="H317" s="198"/>
      <c r="I317" s="235"/>
      <c r="X317" s="1746" t="s">
        <v>723</v>
      </c>
      <c r="Y317" s="1747"/>
      <c r="Z317" s="1748"/>
      <c r="AB317" s="42"/>
      <c r="AF317" s="1746" t="s">
        <v>2066</v>
      </c>
      <c r="AG317" s="1747"/>
      <c r="AH317" s="1747"/>
      <c r="AI317" s="1748"/>
      <c r="AS317" s="1755" t="s">
        <v>2073</v>
      </c>
      <c r="AT317" s="1756"/>
      <c r="AU317" s="1756"/>
      <c r="AV317" s="1756"/>
      <c r="AW317" s="1756"/>
      <c r="AX317" s="1757"/>
    </row>
    <row r="318" spans="1:62" ht="15" hidden="1" customHeight="1" outlineLevel="1" x14ac:dyDescent="0.2">
      <c r="B318" s="200"/>
      <c r="C318" s="201"/>
      <c r="D318" s="705"/>
      <c r="E318" s="705"/>
      <c r="F318" s="201"/>
      <c r="G318" s="201"/>
      <c r="H318" s="201"/>
      <c r="I318" s="226"/>
      <c r="X318" s="1369"/>
      <c r="Y318" s="1370"/>
      <c r="Z318" s="203"/>
      <c r="AA318" s="42"/>
      <c r="AF318" s="1369"/>
      <c r="AG318" s="1370"/>
      <c r="AH318" s="1370"/>
      <c r="AI318" s="203"/>
      <c r="AR318" s="32"/>
      <c r="AS318" s="1366"/>
      <c r="AT318" s="1367"/>
      <c r="AU318" s="1367"/>
      <c r="AV318" s="1367"/>
      <c r="AW318" s="1368"/>
      <c r="AX318" s="780"/>
      <c r="BC318" s="751"/>
    </row>
    <row r="319" spans="1:62" ht="12.75" hidden="1" customHeight="1" outlineLevel="1" x14ac:dyDescent="0.2">
      <c r="B319" s="1369"/>
      <c r="C319" s="1370"/>
      <c r="D319" s="1370" t="s">
        <v>56</v>
      </c>
      <c r="E319" s="1370" t="s">
        <v>56</v>
      </c>
      <c r="F319" s="205" t="s">
        <v>2052</v>
      </c>
      <c r="G319" s="205"/>
      <c r="H319" s="1628" t="s">
        <v>849</v>
      </c>
      <c r="I319" s="711" t="s">
        <v>61</v>
      </c>
      <c r="S319" s="32"/>
      <c r="X319" s="1629" t="s">
        <v>2605</v>
      </c>
      <c r="Y319" s="1370" t="s">
        <v>2110</v>
      </c>
      <c r="Z319" s="711" t="s">
        <v>61</v>
      </c>
      <c r="AA319" s="42"/>
      <c r="AF319" s="1369" t="s">
        <v>2065</v>
      </c>
      <c r="AG319" s="705" t="s">
        <v>61</v>
      </c>
      <c r="AH319" s="1370" t="s">
        <v>2558</v>
      </c>
      <c r="AI319" s="711" t="s">
        <v>61</v>
      </c>
      <c r="AR319" s="32"/>
      <c r="AS319" s="1739" t="s">
        <v>61</v>
      </c>
      <c r="AT319" s="1740"/>
      <c r="AU319" s="1740"/>
      <c r="AV319" s="1740"/>
      <c r="AW319" s="1379" t="s">
        <v>61</v>
      </c>
      <c r="AX319" s="742"/>
    </row>
    <row r="320" spans="1:62" s="42" customFormat="1" ht="12.75" hidden="1" customHeight="1" outlineLevel="1" x14ac:dyDescent="0.2">
      <c r="A320" s="40"/>
      <c r="B320" s="1369"/>
      <c r="C320" s="1370"/>
      <c r="D320" s="1370" t="s">
        <v>61</v>
      </c>
      <c r="E320" s="1370" t="s">
        <v>63</v>
      </c>
      <c r="F320" s="208" t="s">
        <v>37</v>
      </c>
      <c r="G320" s="208" t="s">
        <v>61</v>
      </c>
      <c r="H320" s="1628" t="s">
        <v>2488</v>
      </c>
      <c r="I320" s="711"/>
      <c r="J320" s="32"/>
      <c r="K320" s="32"/>
      <c r="L320" s="32"/>
      <c r="M320" s="32"/>
      <c r="N320" s="32"/>
      <c r="O320" s="32"/>
      <c r="P320" s="32"/>
      <c r="Q320" s="32"/>
      <c r="R320" s="32"/>
      <c r="S320" s="32"/>
      <c r="T320" s="40"/>
      <c r="U320" s="40"/>
      <c r="V320" s="40"/>
      <c r="W320" s="32"/>
      <c r="X320" s="1629" t="s">
        <v>2109</v>
      </c>
      <c r="Y320" s="1370"/>
      <c r="Z320" s="711"/>
      <c r="AA320" s="50"/>
      <c r="AB320" s="32"/>
      <c r="AC320" s="32"/>
      <c r="AD320" s="32"/>
      <c r="AE320" s="32"/>
      <c r="AF320" s="1369"/>
      <c r="AG320" s="705"/>
      <c r="AH320" s="1370"/>
      <c r="AI320" s="711"/>
      <c r="AJ320" s="32"/>
      <c r="AK320" s="32"/>
      <c r="AL320" s="32"/>
      <c r="AM320" s="32"/>
      <c r="AN320" s="32"/>
      <c r="AO320" s="32"/>
      <c r="AP320" s="32"/>
      <c r="AQ320" s="32"/>
      <c r="AR320" s="40"/>
      <c r="AS320" s="1371" t="s">
        <v>14</v>
      </c>
      <c r="AT320" s="1372" t="s">
        <v>60</v>
      </c>
      <c r="AU320" s="1372" t="s">
        <v>27</v>
      </c>
      <c r="AV320" s="1372" t="s">
        <v>2074</v>
      </c>
      <c r="AW320" s="1373" t="s">
        <v>41</v>
      </c>
      <c r="AX320" s="747" t="s">
        <v>85</v>
      </c>
      <c r="AY320" s="602"/>
      <c r="AZ320" s="602"/>
      <c r="BA320" s="602"/>
      <c r="BB320" s="602"/>
      <c r="BC320" s="602"/>
      <c r="BD320" s="605"/>
      <c r="BE320" s="605"/>
      <c r="BF320" s="605"/>
      <c r="BG320" s="605"/>
      <c r="BH320" s="605"/>
      <c r="BI320" s="605"/>
      <c r="BJ320" s="605"/>
    </row>
    <row r="321" spans="1:62" s="42" customFormat="1" ht="12.75" hidden="1" customHeight="1" outlineLevel="1" x14ac:dyDescent="0.2">
      <c r="A321" s="40"/>
      <c r="B321" s="200" t="s">
        <v>2487</v>
      </c>
      <c r="C321" s="234"/>
      <c r="D321" s="262">
        <f>I321</f>
        <v>0</v>
      </c>
      <c r="E321" s="265">
        <f>D321*12/44</f>
        <v>0</v>
      </c>
      <c r="F321" s="238">
        <f>G313</f>
        <v>0</v>
      </c>
      <c r="G321" s="238">
        <f>I315</f>
        <v>0</v>
      </c>
      <c r="H321" s="281">
        <f>'Emissions factors'!$C$994</f>
        <v>0.1</v>
      </c>
      <c r="I321" s="211">
        <f>G321*H321</f>
        <v>0</v>
      </c>
      <c r="J321" s="32"/>
      <c r="K321" s="32"/>
      <c r="L321" s="32"/>
      <c r="M321" s="32"/>
      <c r="N321" s="32"/>
      <c r="O321" s="32"/>
      <c r="P321" s="32"/>
      <c r="Q321" s="32"/>
      <c r="R321" s="32"/>
      <c r="S321" s="40"/>
      <c r="T321" s="40"/>
      <c r="U321" s="40"/>
      <c r="V321" s="40"/>
      <c r="W321" s="32"/>
      <c r="X321" s="282">
        <f>'Emissions factors'!$D$994</f>
        <v>0.3</v>
      </c>
      <c r="Y321" s="479">
        <f>IF(I315=0,0,Z315/I315)</f>
        <v>0</v>
      </c>
      <c r="Z321" s="222">
        <f>I321*SQRT(X321^2+Y321^2)</f>
        <v>0</v>
      </c>
      <c r="AA321" s="50"/>
      <c r="AB321" s="32"/>
      <c r="AC321" s="32"/>
      <c r="AD321" s="32"/>
      <c r="AE321" s="32"/>
      <c r="AF321" s="476">
        <f>AF313</f>
        <v>0</v>
      </c>
      <c r="AG321" s="221">
        <f>I321*AF321</f>
        <v>0</v>
      </c>
      <c r="AH321" s="476">
        <f>AH313</f>
        <v>0</v>
      </c>
      <c r="AI321" s="222">
        <f>I321*AH321</f>
        <v>0</v>
      </c>
      <c r="AJ321" s="32"/>
      <c r="AK321" s="32"/>
      <c r="AL321" s="32"/>
      <c r="AM321" s="32"/>
      <c r="AN321" s="32"/>
      <c r="AO321" s="32"/>
      <c r="AP321" s="32"/>
      <c r="AQ321" s="32"/>
      <c r="AR321" s="40"/>
      <c r="AS321" s="717">
        <f>AS315*H321</f>
        <v>0</v>
      </c>
      <c r="AT321" s="718">
        <f>AT315*H321</f>
        <v>0</v>
      </c>
      <c r="AU321" s="718">
        <f>AU315*H321</f>
        <v>0</v>
      </c>
      <c r="AV321" s="718">
        <f>AV315*H321</f>
        <v>0</v>
      </c>
      <c r="AW321" s="720">
        <f>I321</f>
        <v>0</v>
      </c>
      <c r="AX321" s="748">
        <f>AX315*H321</f>
        <v>0</v>
      </c>
      <c r="AY321" s="602"/>
      <c r="AZ321" s="602"/>
      <c r="BA321" s="602"/>
      <c r="BB321" s="602"/>
      <c r="BC321" s="602"/>
      <c r="BD321" s="605"/>
      <c r="BE321" s="605"/>
      <c r="BF321" s="605"/>
      <c r="BG321" s="605"/>
      <c r="BH321" s="605"/>
      <c r="BI321" s="605"/>
      <c r="BJ321" s="605"/>
    </row>
    <row r="322" spans="1:62" ht="12.75" hidden="1" customHeight="1" outlineLevel="1" x14ac:dyDescent="0.2">
      <c r="B322" s="200"/>
      <c r="C322" s="201"/>
      <c r="D322" s="491"/>
      <c r="E322" s="498"/>
      <c r="F322" s="201"/>
      <c r="G322" s="201"/>
      <c r="H322" s="201"/>
      <c r="I322" s="211"/>
      <c r="X322" s="200"/>
      <c r="Y322" s="234"/>
      <c r="Z322" s="222"/>
      <c r="AA322" s="42"/>
      <c r="AF322" s="200"/>
      <c r="AG322" s="1370"/>
      <c r="AH322" s="201"/>
      <c r="AI322" s="222"/>
      <c r="AS322" s="717"/>
      <c r="AT322" s="718"/>
      <c r="AU322" s="718"/>
      <c r="AV322" s="718"/>
      <c r="AW322" s="720"/>
      <c r="AX322" s="749"/>
    </row>
    <row r="323" spans="1:62" s="32" customFormat="1" ht="15" hidden="1" customHeight="1" outlineLevel="1" x14ac:dyDescent="0.2">
      <c r="A323" s="40"/>
      <c r="B323" s="253" t="s">
        <v>2828</v>
      </c>
      <c r="C323" s="254"/>
      <c r="D323" s="264">
        <f>SUM(D321:D322)</f>
        <v>0</v>
      </c>
      <c r="E323" s="267">
        <f>SUM(E321:E322)</f>
        <v>0</v>
      </c>
      <c r="F323" s="256"/>
      <c r="G323" s="256"/>
      <c r="H323" s="256"/>
      <c r="I323" s="257">
        <f>SUM(I321:I322)</f>
        <v>0</v>
      </c>
      <c r="J323" s="40"/>
      <c r="K323" s="40"/>
      <c r="L323" s="40"/>
      <c r="M323" s="40"/>
      <c r="N323" s="40"/>
      <c r="O323" s="40"/>
      <c r="P323" s="40"/>
      <c r="Q323" s="40"/>
      <c r="R323" s="40"/>
      <c r="S323" s="40"/>
      <c r="T323" s="40"/>
      <c r="U323" s="40"/>
      <c r="V323" s="40"/>
      <c r="W323" s="40"/>
      <c r="X323" s="258"/>
      <c r="Y323" s="256"/>
      <c r="Z323" s="257">
        <f>SQRT(SUMSQ(Z321:Z322))</f>
        <v>0</v>
      </c>
      <c r="AA323" s="42"/>
      <c r="AB323" s="40"/>
      <c r="AC323" s="40"/>
      <c r="AD323" s="40"/>
      <c r="AE323" s="40"/>
      <c r="AF323" s="258"/>
      <c r="AG323" s="259">
        <f>SUM(AG321:AG322)</f>
        <v>0</v>
      </c>
      <c r="AH323" s="256"/>
      <c r="AI323" s="257">
        <f>SUM(AI321:AI322)</f>
        <v>0</v>
      </c>
      <c r="AJ323" s="40"/>
      <c r="AK323" s="40"/>
      <c r="AL323" s="40"/>
      <c r="AM323" s="40"/>
      <c r="AN323" s="40"/>
      <c r="AO323" s="40"/>
      <c r="AP323" s="40"/>
      <c r="AQ323" s="40"/>
      <c r="AR323" s="42"/>
      <c r="AS323" s="724">
        <f t="shared" ref="AS323:AX323" si="143">SUM(AS321:AS322)</f>
        <v>0</v>
      </c>
      <c r="AT323" s="725">
        <f t="shared" si="143"/>
        <v>0</v>
      </c>
      <c r="AU323" s="725">
        <f t="shared" si="143"/>
        <v>0</v>
      </c>
      <c r="AV323" s="725">
        <f t="shared" si="143"/>
        <v>0</v>
      </c>
      <c r="AW323" s="727">
        <f t="shared" si="143"/>
        <v>0</v>
      </c>
      <c r="AX323" s="750">
        <f t="shared" si="143"/>
        <v>0</v>
      </c>
      <c r="AY323" s="751"/>
      <c r="AZ323" s="751"/>
      <c r="BA323" s="751"/>
      <c r="BB323" s="602"/>
      <c r="BC323" s="602"/>
      <c r="BD323" s="743"/>
      <c r="BE323" s="743"/>
      <c r="BF323" s="743"/>
      <c r="BG323" s="743"/>
      <c r="BH323" s="743"/>
      <c r="BI323" s="743"/>
      <c r="BJ323" s="743"/>
    </row>
    <row r="324" spans="1:62" s="32" customFormat="1" ht="12.75" hidden="1" customHeight="1" outlineLevel="1" x14ac:dyDescent="0.2">
      <c r="A324" s="40"/>
      <c r="B324" s="40"/>
      <c r="C324" s="40"/>
      <c r="D324" s="40"/>
      <c r="E324" s="40"/>
      <c r="F324" s="40"/>
      <c r="G324" s="40"/>
      <c r="H324" s="40"/>
      <c r="I324" s="40"/>
      <c r="J324" s="40"/>
      <c r="K324" s="40"/>
      <c r="L324" s="42"/>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c r="AP324" s="40"/>
      <c r="AQ324" s="40"/>
      <c r="AR324" s="40"/>
      <c r="AS324" s="605"/>
      <c r="AT324" s="602"/>
      <c r="AU324" s="602"/>
      <c r="AV324" s="602"/>
      <c r="AW324" s="602"/>
      <c r="AX324" s="602"/>
      <c r="AY324" s="602"/>
      <c r="AZ324" s="602"/>
      <c r="BA324" s="602"/>
      <c r="BB324" s="602"/>
      <c r="BC324" s="602"/>
      <c r="BD324" s="602"/>
      <c r="BE324" s="602"/>
      <c r="BF324" s="743"/>
      <c r="BG324" s="743"/>
      <c r="BH324" s="743"/>
      <c r="BI324" s="743"/>
      <c r="BJ324" s="743"/>
    </row>
    <row r="325" spans="1:62" ht="12.75" hidden="1" customHeight="1" outlineLevel="1" x14ac:dyDescent="0.2">
      <c r="B325" s="195" t="s">
        <v>2890</v>
      </c>
      <c r="C325" s="196"/>
      <c r="D325" s="196"/>
      <c r="E325" s="196"/>
      <c r="F325" s="196"/>
      <c r="G325" s="198"/>
      <c r="H325" s="198"/>
      <c r="I325" s="198"/>
      <c r="J325" s="198"/>
      <c r="K325" s="198"/>
      <c r="L325" s="198"/>
      <c r="M325" s="198"/>
      <c r="N325" s="198"/>
      <c r="O325" s="198"/>
      <c r="P325" s="198"/>
      <c r="Q325" s="198"/>
      <c r="R325" s="198"/>
      <c r="S325" s="198"/>
      <c r="T325" s="199"/>
      <c r="U325" s="42"/>
      <c r="V325" s="42"/>
      <c r="W325" s="42"/>
      <c r="X325" s="1746" t="s">
        <v>723</v>
      </c>
      <c r="Y325" s="1747"/>
      <c r="Z325" s="1747"/>
      <c r="AA325" s="1747"/>
      <c r="AB325" s="1748"/>
      <c r="AC325" s="42"/>
      <c r="AD325" s="42"/>
      <c r="AE325" s="42"/>
      <c r="AF325" s="1746" t="s">
        <v>2066</v>
      </c>
      <c r="AG325" s="1747"/>
      <c r="AH325" s="1747"/>
      <c r="AI325" s="1747"/>
      <c r="AJ325" s="1747"/>
      <c r="AK325" s="1747"/>
      <c r="AL325" s="1747"/>
      <c r="AM325" s="1748"/>
      <c r="AN325" s="42"/>
      <c r="AO325" s="42"/>
      <c r="AP325" s="42"/>
      <c r="AQ325" s="42"/>
      <c r="AS325" s="1755" t="s">
        <v>2073</v>
      </c>
      <c r="AT325" s="1756"/>
      <c r="AU325" s="1756"/>
      <c r="AV325" s="1756"/>
      <c r="AW325" s="1756"/>
      <c r="AX325" s="1756"/>
      <c r="AY325" s="1756"/>
      <c r="AZ325" s="1756"/>
      <c r="BA325" s="1756"/>
      <c r="BB325" s="1756"/>
      <c r="BC325" s="1756"/>
      <c r="BD325" s="1757"/>
    </row>
    <row r="326" spans="1:62" ht="12.75" hidden="1" customHeight="1" outlineLevel="1" x14ac:dyDescent="0.2">
      <c r="B326" s="200"/>
      <c r="C326" s="201"/>
      <c r="D326" s="705"/>
      <c r="E326" s="705"/>
      <c r="F326" s="201"/>
      <c r="G326" s="201"/>
      <c r="H326" s="1370"/>
      <c r="I326" s="1370"/>
      <c r="J326" s="201"/>
      <c r="K326" s="201"/>
      <c r="L326" s="201"/>
      <c r="M326" s="201"/>
      <c r="N326" s="201"/>
      <c r="O326" s="201"/>
      <c r="P326" s="201"/>
      <c r="Q326" s="201"/>
      <c r="R326" s="201"/>
      <c r="S326" s="201"/>
      <c r="T326" s="203"/>
      <c r="U326" s="42"/>
      <c r="X326" s="216"/>
      <c r="Y326" s="217"/>
      <c r="Z326" s="217"/>
      <c r="AA326" s="217"/>
      <c r="AB326" s="218"/>
      <c r="AF326" s="216"/>
      <c r="AG326" s="217"/>
      <c r="AH326" s="217"/>
      <c r="AI326" s="217"/>
      <c r="AJ326" s="217"/>
      <c r="AK326" s="217"/>
      <c r="AL326" s="198"/>
      <c r="AM326" s="199"/>
      <c r="AR326" s="32"/>
      <c r="AS326" s="1758" t="s">
        <v>61</v>
      </c>
      <c r="AT326" s="1759"/>
      <c r="AU326" s="1759"/>
      <c r="AV326" s="1759"/>
      <c r="AW326" s="1759"/>
      <c r="AX326" s="1759"/>
      <c r="AY326" s="1759"/>
      <c r="AZ326" s="1759"/>
      <c r="BA326" s="1740" t="s">
        <v>61</v>
      </c>
      <c r="BB326" s="1836"/>
      <c r="BC326" s="730"/>
      <c r="BD326" s="731"/>
    </row>
    <row r="327" spans="1:62" ht="12.75" hidden="1" customHeight="1" outlineLevel="1" x14ac:dyDescent="0.2">
      <c r="B327" s="1369" t="s">
        <v>766</v>
      </c>
      <c r="C327" s="1370"/>
      <c r="D327" s="1370" t="s">
        <v>56</v>
      </c>
      <c r="E327" s="1370" t="s">
        <v>56</v>
      </c>
      <c r="F327" s="205" t="s">
        <v>2634</v>
      </c>
      <c r="G327" s="205" t="s">
        <v>2053</v>
      </c>
      <c r="H327" s="1745" t="s">
        <v>767</v>
      </c>
      <c r="I327" s="1745"/>
      <c r="J327" s="205" t="s">
        <v>2053</v>
      </c>
      <c r="K327" s="1745" t="s">
        <v>769</v>
      </c>
      <c r="L327" s="1745"/>
      <c r="M327" s="205" t="s">
        <v>2053</v>
      </c>
      <c r="N327" s="1745" t="s">
        <v>771</v>
      </c>
      <c r="O327" s="1745"/>
      <c r="P327" s="205" t="s">
        <v>2053</v>
      </c>
      <c r="Q327" s="1744" t="s">
        <v>770</v>
      </c>
      <c r="R327" s="1745"/>
      <c r="S327" s="705" t="s">
        <v>61</v>
      </c>
      <c r="T327" s="711" t="s">
        <v>61</v>
      </c>
      <c r="U327" s="42"/>
      <c r="V327" s="32"/>
      <c r="W327" s="32"/>
      <c r="X327" s="1629" t="s">
        <v>2605</v>
      </c>
      <c r="Y327" s="1370" t="s">
        <v>2110</v>
      </c>
      <c r="Z327" s="1370" t="s">
        <v>61</v>
      </c>
      <c r="AA327" s="1370" t="s">
        <v>61</v>
      </c>
      <c r="AB327" s="711" t="s">
        <v>61</v>
      </c>
      <c r="AC327" s="32"/>
      <c r="AD327" s="32"/>
      <c r="AE327" s="32"/>
      <c r="AF327" s="1369" t="s">
        <v>2065</v>
      </c>
      <c r="AG327" s="1370" t="s">
        <v>61</v>
      </c>
      <c r="AH327" s="1370" t="s">
        <v>61</v>
      </c>
      <c r="AI327" s="705" t="s">
        <v>61</v>
      </c>
      <c r="AJ327" s="1370" t="s">
        <v>2558</v>
      </c>
      <c r="AK327" s="1370" t="s">
        <v>61</v>
      </c>
      <c r="AL327" s="1370" t="s">
        <v>61</v>
      </c>
      <c r="AM327" s="711" t="s">
        <v>61</v>
      </c>
      <c r="AN327" s="32"/>
      <c r="AO327" s="32"/>
      <c r="AP327" s="32"/>
      <c r="AQ327" s="32"/>
      <c r="AS327" s="1764" t="s">
        <v>14</v>
      </c>
      <c r="AT327" s="1761"/>
      <c r="AU327" s="1761" t="s">
        <v>60</v>
      </c>
      <c r="AV327" s="1761"/>
      <c r="AW327" s="1761" t="s">
        <v>27</v>
      </c>
      <c r="AX327" s="1761"/>
      <c r="AY327" s="1761" t="s">
        <v>2074</v>
      </c>
      <c r="AZ327" s="1761"/>
      <c r="BA327" s="1762" t="s">
        <v>41</v>
      </c>
      <c r="BB327" s="1763"/>
      <c r="BC327" s="1764" t="s">
        <v>85</v>
      </c>
      <c r="BD327" s="1765"/>
    </row>
    <row r="328" spans="1:62" ht="12.75" hidden="1" customHeight="1" outlineLevel="1" x14ac:dyDescent="0.2">
      <c r="B328" s="1369"/>
      <c r="C328" s="1370"/>
      <c r="D328" s="1370" t="s">
        <v>61</v>
      </c>
      <c r="E328" s="1370" t="s">
        <v>63</v>
      </c>
      <c r="F328" s="208" t="s">
        <v>2054</v>
      </c>
      <c r="G328" s="208" t="s">
        <v>34</v>
      </c>
      <c r="H328" s="1377" t="s">
        <v>768</v>
      </c>
      <c r="I328" s="1377" t="s">
        <v>24</v>
      </c>
      <c r="J328" s="208" t="s">
        <v>2061</v>
      </c>
      <c r="K328" s="1377" t="s">
        <v>768</v>
      </c>
      <c r="L328" s="1377" t="s">
        <v>24</v>
      </c>
      <c r="M328" s="212" t="s">
        <v>2059</v>
      </c>
      <c r="N328" s="1377" t="s">
        <v>768</v>
      </c>
      <c r="O328" s="1377" t="s">
        <v>24</v>
      </c>
      <c r="P328" s="212" t="s">
        <v>15</v>
      </c>
      <c r="Q328" s="1377" t="s">
        <v>768</v>
      </c>
      <c r="R328" s="1377" t="s">
        <v>24</v>
      </c>
      <c r="S328" s="1376" t="s">
        <v>768</v>
      </c>
      <c r="T328" s="274" t="s">
        <v>24</v>
      </c>
      <c r="U328" s="42"/>
      <c r="V328" s="32"/>
      <c r="W328" s="32"/>
      <c r="X328" s="1629" t="s">
        <v>2109</v>
      </c>
      <c r="Y328" s="1370"/>
      <c r="Z328" s="1377" t="s">
        <v>768</v>
      </c>
      <c r="AA328" s="1377" t="s">
        <v>24</v>
      </c>
      <c r="AB328" s="219" t="s">
        <v>41</v>
      </c>
      <c r="AC328" s="32"/>
      <c r="AD328" s="32"/>
      <c r="AE328" s="32"/>
      <c r="AF328" s="1369"/>
      <c r="AG328" s="1377" t="s">
        <v>768</v>
      </c>
      <c r="AH328" s="1377" t="s">
        <v>24</v>
      </c>
      <c r="AI328" s="223" t="s">
        <v>41</v>
      </c>
      <c r="AJ328" s="1370"/>
      <c r="AK328" s="1377" t="s">
        <v>768</v>
      </c>
      <c r="AL328" s="1377" t="s">
        <v>24</v>
      </c>
      <c r="AM328" s="219" t="s">
        <v>41</v>
      </c>
      <c r="AN328" s="32"/>
      <c r="AO328" s="32"/>
      <c r="AP328" s="32"/>
      <c r="AQ328" s="32"/>
      <c r="AS328" s="732" t="s">
        <v>768</v>
      </c>
      <c r="AT328" s="733" t="s">
        <v>24</v>
      </c>
      <c r="AU328" s="733" t="s">
        <v>768</v>
      </c>
      <c r="AV328" s="733" t="s">
        <v>24</v>
      </c>
      <c r="AW328" s="733" t="s">
        <v>768</v>
      </c>
      <c r="AX328" s="733" t="s">
        <v>24</v>
      </c>
      <c r="AY328" s="733" t="s">
        <v>768</v>
      </c>
      <c r="AZ328" s="733" t="s">
        <v>24</v>
      </c>
      <c r="BA328" s="734" t="s">
        <v>768</v>
      </c>
      <c r="BB328" s="735" t="s">
        <v>24</v>
      </c>
      <c r="BC328" s="732" t="s">
        <v>768</v>
      </c>
      <c r="BD328" s="736" t="s">
        <v>24</v>
      </c>
    </row>
    <row r="329" spans="1:62" ht="12.75" hidden="1" customHeight="1" outlineLevel="1" x14ac:dyDescent="0.2">
      <c r="B329" s="200" t="s">
        <v>802</v>
      </c>
      <c r="C329" s="201"/>
      <c r="D329" s="262">
        <f>S329+T329</f>
        <v>0</v>
      </c>
      <c r="E329" s="265">
        <f>D329*12/44</f>
        <v>0</v>
      </c>
      <c r="F329" s="182"/>
      <c r="G329" s="182"/>
      <c r="H329" s="271">
        <f>VLOOKUP($B329,'Emissions factors'!$B$84:$K$147,2,FALSE)</f>
        <v>503.1</v>
      </c>
      <c r="I329" s="271">
        <f>VLOOKUP($B329,'Emissions factors'!$B$84:$K$147,3,FALSE)</f>
        <v>3141</v>
      </c>
      <c r="J329" s="182"/>
      <c r="K329" s="277">
        <f>VLOOKUP($B329,'Emissions factors'!$B$84:$K$147,4,FALSE)</f>
        <v>4.1300000000000003E-2</v>
      </c>
      <c r="L329" s="277">
        <f>VLOOKUP($B329,'Emissions factors'!$B$84:$K$147,5,FALSE)</f>
        <v>0.28299999999999997</v>
      </c>
      <c r="M329" s="182"/>
      <c r="N329" s="271">
        <f>VLOOKUP($B329,'Emissions factors'!$B$84:$K$147,6,FALSE)</f>
        <v>528.5</v>
      </c>
      <c r="O329" s="271">
        <f>VLOOKUP($B329,'Emissions factors'!$B$84:$K$147,7,FALSE)</f>
        <v>3302.02</v>
      </c>
      <c r="P329" s="182"/>
      <c r="Q329" s="277">
        <f>VLOOKUP($B329,'Emissions factors'!$B$84:$K$147,8,FALSE)</f>
        <v>0.45289999999999997</v>
      </c>
      <c r="R329" s="277">
        <f>VLOOKUP($B329,'Emissions factors'!$B$84:$K$147,9,FALSE)</f>
        <v>2.8288600000000002</v>
      </c>
      <c r="S329" s="210">
        <f>G329*H329+J329*K329+M329*N329+P329*Q329</f>
        <v>0</v>
      </c>
      <c r="T329" s="211">
        <f>G329*I329+J329*L329+M329*O329+P329*R329</f>
        <v>0</v>
      </c>
      <c r="U329" s="42"/>
      <c r="X329" s="282">
        <f>VLOOKUP($B329,'Emissions factors'!$B$84:$K$147,10,FALSE)</f>
        <v>0.05</v>
      </c>
      <c r="Y329" s="184"/>
      <c r="Z329" s="221">
        <f>S329*SQRT(X329^2+Y329^2)</f>
        <v>0</v>
      </c>
      <c r="AA329" s="221">
        <f>T329*SQRT(X329^2+Y329^2)</f>
        <v>0</v>
      </c>
      <c r="AB329" s="211">
        <f>SQRT(Z329^2+AA329^2)</f>
        <v>0</v>
      </c>
      <c r="AF329" s="184"/>
      <c r="AG329" s="221">
        <f>S329*AF329</f>
        <v>0</v>
      </c>
      <c r="AH329" s="224">
        <f>T329*AF329</f>
        <v>0</v>
      </c>
      <c r="AI329" s="210">
        <f>AG329+AH329</f>
        <v>0</v>
      </c>
      <c r="AJ329" s="184"/>
      <c r="AK329" s="221">
        <f>S329*AJ329</f>
        <v>0</v>
      </c>
      <c r="AL329" s="224">
        <f>T329*AJ329</f>
        <v>0</v>
      </c>
      <c r="AM329" s="211">
        <f>AK329+AL329</f>
        <v>0</v>
      </c>
      <c r="AS329" s="717">
        <f>G329*VLOOKUP($B329,'Emissions factors'!$B$84:$AQ$147,11,FALSE)+J329*VLOOKUP($B329,'Emissions factors'!$B$84:$AQ$147,13,FALSE)+M329*VLOOKUP($B329,'Emissions factors'!$B$84:$AQ$147,15,FALSE)+P329*VLOOKUP($B329,'Emissions factors'!$B$84:$AQ$147,17,FALSE)</f>
        <v>0</v>
      </c>
      <c r="AT329" s="718">
        <f>G329*VLOOKUP($B329,'Emissions factors'!$B$84:$AQ$147,12,FALSE)+J329*VLOOKUP($B329,'Emissions factors'!$B$84:$AQ$147,14,FALSE)+M329*VLOOKUP($B329,'Emissions factors'!$B$84:$AQ$147,16,FALSE)+P329*VLOOKUP($B329,'Emissions factors'!$B$84:$AQ$147,18,FALSE)</f>
        <v>0</v>
      </c>
      <c r="AU329" s="718">
        <f>G329*VLOOKUP($B329,'Emissions factors'!$B$84:$AQ$147,19,FALSE)+J329*VLOOKUP($B329,'Emissions factors'!$B$84:$AQ$147,21,FALSE)+M329*VLOOKUP($B329,'Emissions factors'!$B$84:$AQ$147,23,FALSE)+P329*VLOOKUP($B329,'Emissions factors'!$B$84:$AQ$147,25,FALSE)</f>
        <v>0</v>
      </c>
      <c r="AV329" s="718">
        <f>G329*VLOOKUP($B329,'Emissions factors'!$B$84:$AQ$147,20,FALSE)+J329*VLOOKUP($B329,'Emissions factors'!$B$84:$AQ$147,22,FALSE)+M329*VLOOKUP($B329,'Emissions factors'!$B$84:$AQ$147,24,FALSE)+P329*VLOOKUP($B329,'Emissions factors'!$B$84:$AQ$147,26,FALSE)</f>
        <v>0</v>
      </c>
      <c r="AW329" s="718">
        <f>G329*VLOOKUP($B329,'Emissions factors'!$B$84:$AQ$147,27,FALSE)+J329*VLOOKUP($B329,'Emissions factors'!$B$84:$AQ$147,29,FALSE)+M329*VLOOKUP($B329,'Emissions factors'!$B$84:$AQ$147,31,FALSE)+P329*VLOOKUP($B329,'Emissions factors'!$B$84:$AQ$147,33,FALSE)</f>
        <v>0</v>
      </c>
      <c r="AX329" s="718">
        <f>G329*VLOOKUP($B329,'Emissions factors'!$B$84:$AQ$147,28,FALSE)+J329*VLOOKUP($B329,'Emissions factors'!$B$84:$AQ$147,30,FALSE)+M329*VLOOKUP($B329,'Emissions factors'!$B$84:$AQ$147,32,FALSE)+P329*VLOOKUP($B329,'Emissions factors'!$B$84:$AQ$147,34,FALSE)</f>
        <v>0</v>
      </c>
      <c r="AY329" s="718">
        <v>0</v>
      </c>
      <c r="AZ329" s="718">
        <v>0</v>
      </c>
      <c r="BA329" s="719">
        <f t="shared" ref="BA329:BB331" si="144">S329</f>
        <v>0</v>
      </c>
      <c r="BB329" s="720">
        <f t="shared" si="144"/>
        <v>0</v>
      </c>
      <c r="BC329" s="718">
        <f>G329*VLOOKUP($B329,'Emissions factors'!$B$84:$AQ$147,35,FALSE)+J329*VLOOKUP($B329,'Emissions factors'!$B$84:$AQ$147,37,FALSE)+M329*VLOOKUP($B329,'Emissions factors'!$B$84:$AQ$147,39,FALSE)+P329*VLOOKUP($B329,'Emissions factors'!$B$84:$AQ$147,41,FALSE)</f>
        <v>0</v>
      </c>
      <c r="BD329" s="721">
        <f>G329*VLOOKUP($B329,'Emissions factors'!$B$84:$AQ$147,36,FALSE)+J329*VLOOKUP($B329,'Emissions factors'!$B$84:$AQ$147,38,FALSE)+M329*VLOOKUP($B329,'Emissions factors'!$B$84:$AQ$147,40,FALSE)+P329*VLOOKUP($B329,'Emissions factors'!$B$84:$AQ$147,42,FALSE)</f>
        <v>0</v>
      </c>
    </row>
    <row r="330" spans="1:62" ht="12.75" hidden="1" customHeight="1" outlineLevel="1" x14ac:dyDescent="0.2">
      <c r="B330" s="200" t="s">
        <v>818</v>
      </c>
      <c r="C330" s="201"/>
      <c r="D330" s="262">
        <f>S330+T330</f>
        <v>0</v>
      </c>
      <c r="E330" s="265">
        <f>D330*12/44</f>
        <v>0</v>
      </c>
      <c r="F330" s="185"/>
      <c r="G330" s="185"/>
      <c r="H330" s="271">
        <f>VLOOKUP($B330,'Emissions factors'!$B$84:$K$147,2,FALSE)</f>
        <v>269.5</v>
      </c>
      <c r="I330" s="271">
        <f>VLOOKUP($B330,'Emissions factors'!$B$84:$K$147,3,FALSE)</f>
        <v>3070</v>
      </c>
      <c r="J330" s="185"/>
      <c r="K330" s="277">
        <f>VLOOKUP($B330,'Emissions factors'!$B$84:$K$147,4,FALSE)</f>
        <v>0</v>
      </c>
      <c r="L330" s="277">
        <f>VLOOKUP($B330,'Emissions factors'!$B$84:$K$147,5,FALSE)</f>
        <v>0</v>
      </c>
      <c r="M330" s="185"/>
      <c r="N330" s="271">
        <f>VLOOKUP($B330,'Emissions factors'!$B$84:$K$147,6,FALSE)</f>
        <v>0</v>
      </c>
      <c r="O330" s="271">
        <f>VLOOKUP($B330,'Emissions factors'!$B$84:$K$147,7,FALSE)</f>
        <v>0</v>
      </c>
      <c r="P330" s="185"/>
      <c r="Q330" s="277">
        <f>VLOOKUP($B330,'Emissions factors'!$B$84:$K$147,8,FALSE)</f>
        <v>0</v>
      </c>
      <c r="R330" s="277">
        <f>VLOOKUP($B330,'Emissions factors'!$B$84:$K$147,9,FALSE)</f>
        <v>0</v>
      </c>
      <c r="S330" s="210">
        <f>G330*H330+J330*K330+M330*N330+P330*Q330</f>
        <v>0</v>
      </c>
      <c r="T330" s="211">
        <f>G330*I330+J330*L330+M330*O330+P330*R330</f>
        <v>0</v>
      </c>
      <c r="U330" s="42"/>
      <c r="X330" s="282">
        <f>VLOOKUP($B330,'Emissions factors'!$B$84:$K$147,10,FALSE)</f>
        <v>0.05</v>
      </c>
      <c r="Y330" s="187"/>
      <c r="Z330" s="221">
        <f>S330*SQRT(X330^2+Y330^2)</f>
        <v>0</v>
      </c>
      <c r="AA330" s="221">
        <f>T330*SQRT(X330^2+Y330^2)</f>
        <v>0</v>
      </c>
      <c r="AB330" s="211">
        <f>SQRT(Z330^2+AA330^2)</f>
        <v>0</v>
      </c>
      <c r="AF330" s="187"/>
      <c r="AG330" s="221">
        <f>S330*AF330</f>
        <v>0</v>
      </c>
      <c r="AH330" s="224">
        <f>T330*AF330</f>
        <v>0</v>
      </c>
      <c r="AI330" s="210">
        <f>AG330+AH330</f>
        <v>0</v>
      </c>
      <c r="AJ330" s="187"/>
      <c r="AK330" s="221">
        <f>S330*AJ330</f>
        <v>0</v>
      </c>
      <c r="AL330" s="224">
        <f>T330*AJ330</f>
        <v>0</v>
      </c>
      <c r="AM330" s="211">
        <f>AK330+AL330</f>
        <v>0</v>
      </c>
      <c r="AS330" s="717">
        <f>G330*VLOOKUP($B330,'Emissions factors'!$B$84:$AQ$147,11,FALSE)+J330*VLOOKUP($B330,'Emissions factors'!$B$84:$AQ$147,13,FALSE)+M330*VLOOKUP($B330,'Emissions factors'!$B$84:$AQ$147,15,FALSE)+P330*VLOOKUP($B330,'Emissions factors'!$B$84:$AQ$147,17,FALSE)</f>
        <v>0</v>
      </c>
      <c r="AT330" s="718">
        <f>G330*VLOOKUP($B330,'Emissions factors'!$B$84:$AQ$147,12,FALSE)+J330*VLOOKUP($B330,'Emissions factors'!$B$84:$AQ$147,14,FALSE)+M330*VLOOKUP($B330,'Emissions factors'!$B$84:$AQ$147,16,FALSE)+P330*VLOOKUP($B330,'Emissions factors'!$B$84:$AQ$147,18,FALSE)</f>
        <v>0</v>
      </c>
      <c r="AU330" s="718">
        <f>G330*VLOOKUP($B330,'Emissions factors'!$B$84:$AQ$147,19,FALSE)+J330*VLOOKUP($B330,'Emissions factors'!$B$84:$AQ$147,21,FALSE)+M330*VLOOKUP($B330,'Emissions factors'!$B$84:$AQ$147,23,FALSE)+P330*VLOOKUP($B330,'Emissions factors'!$B$84:$AQ$147,25,FALSE)</f>
        <v>0</v>
      </c>
      <c r="AV330" s="718">
        <f>G330*VLOOKUP($B330,'Emissions factors'!$B$84:$AQ$147,20,FALSE)+J330*VLOOKUP($B330,'Emissions factors'!$B$84:$AQ$147,22,FALSE)+M330*VLOOKUP($B330,'Emissions factors'!$B$84:$AQ$147,24,FALSE)+P330*VLOOKUP($B330,'Emissions factors'!$B$84:$AQ$147,26,FALSE)</f>
        <v>0</v>
      </c>
      <c r="AW330" s="718">
        <f>G330*VLOOKUP($B330,'Emissions factors'!$B$84:$AQ$147,27,FALSE)+J330*VLOOKUP($B330,'Emissions factors'!$B$84:$AQ$147,29,FALSE)+M330*VLOOKUP($B330,'Emissions factors'!$B$84:$AQ$147,31,FALSE)+P330*VLOOKUP($B330,'Emissions factors'!$B$84:$AQ$147,33,FALSE)</f>
        <v>0</v>
      </c>
      <c r="AX330" s="718">
        <f>G330*VLOOKUP($B330,'Emissions factors'!$B$84:$AQ$147,28,FALSE)+J330*VLOOKUP($B330,'Emissions factors'!$B$84:$AQ$147,30,FALSE)+M330*VLOOKUP($B330,'Emissions factors'!$B$84:$AQ$147,32,FALSE)+P330*VLOOKUP($B330,'Emissions factors'!$B$84:$AQ$147,34,FALSE)</f>
        <v>0</v>
      </c>
      <c r="AY330" s="718">
        <v>0</v>
      </c>
      <c r="AZ330" s="718">
        <v>0</v>
      </c>
      <c r="BA330" s="719">
        <f t="shared" si="144"/>
        <v>0</v>
      </c>
      <c r="BB330" s="720">
        <f t="shared" si="144"/>
        <v>0</v>
      </c>
      <c r="BC330" s="718">
        <f>G330*VLOOKUP($B330,'Emissions factors'!$B$84:$AQ$147,35,FALSE)+J330*VLOOKUP($B330,'Emissions factors'!$B$84:$AQ$147,37,FALSE)+M330*VLOOKUP($B330,'Emissions factors'!$B$84:$AQ$147,39,FALSE)+P330*VLOOKUP($B330,'Emissions factors'!$B$84:$AQ$147,41,FALSE)</f>
        <v>0</v>
      </c>
      <c r="BD330" s="721">
        <f>G330*VLOOKUP($B330,'Emissions factors'!$B$84:$AQ$147,36,FALSE)+J330*VLOOKUP($B330,'Emissions factors'!$B$84:$AQ$147,38,FALSE)+M330*VLOOKUP($B330,'Emissions factors'!$B$84:$AQ$147,40,FALSE)+P330*VLOOKUP($B330,'Emissions factors'!$B$84:$AQ$147,42,FALSE)</f>
        <v>0</v>
      </c>
    </row>
    <row r="331" spans="1:62" ht="12.75" hidden="1" customHeight="1" outlineLevel="1" x14ac:dyDescent="0.2">
      <c r="B331" s="200" t="s">
        <v>824</v>
      </c>
      <c r="C331" s="201"/>
      <c r="D331" s="262">
        <f>S331+T331</f>
        <v>0</v>
      </c>
      <c r="E331" s="265">
        <f>D331*12/44</f>
        <v>0</v>
      </c>
      <c r="F331" s="188"/>
      <c r="G331" s="188"/>
      <c r="H331" s="271">
        <f>VLOOKUP($B331,'Emissions factors'!$B$84:$K$147,2,FALSE)</f>
        <v>247.39999999999998</v>
      </c>
      <c r="I331" s="271">
        <f>VLOOKUP($B331,'Emissions factors'!$B$84:$K$147,3,FALSE)</f>
        <v>3030.7000000000003</v>
      </c>
      <c r="J331" s="188"/>
      <c r="K331" s="277">
        <f>VLOOKUP($B331,'Emissions factors'!$B$84:$K$147,4,FALSE)</f>
        <v>3.1899999999999998E-2</v>
      </c>
      <c r="L331" s="277">
        <f>VLOOKUP($B331,'Emissions factors'!$B$84:$K$147,5,FALSE)</f>
        <v>0.38894000000000001</v>
      </c>
      <c r="M331" s="188"/>
      <c r="N331" s="271">
        <f>VLOOKUP($B331,'Emissions factors'!$B$84:$K$147,6,FALSE)</f>
        <v>372</v>
      </c>
      <c r="O331" s="271">
        <f>VLOOKUP($B331,'Emissions factors'!$B$84:$K$147,7,FALSE)</f>
        <v>4536</v>
      </c>
      <c r="P331" s="188"/>
      <c r="Q331" s="277">
        <f>VLOOKUP($B331,'Emissions factors'!$B$84:$K$147,8,FALSE)</f>
        <v>0</v>
      </c>
      <c r="R331" s="277">
        <f>VLOOKUP($B331,'Emissions factors'!$B$84:$K$147,9,FALSE)</f>
        <v>0</v>
      </c>
      <c r="S331" s="210">
        <f>G331*H331+J331*K331+M331*N331+P331*Q331</f>
        <v>0</v>
      </c>
      <c r="T331" s="211">
        <f>G331*I331+J331*L331+M331*O331+P331*R331</f>
        <v>0</v>
      </c>
      <c r="U331" s="42"/>
      <c r="X331" s="282">
        <f>VLOOKUP($B331,'Emissions factors'!$B$84:$K$147,10,FALSE)</f>
        <v>0.2</v>
      </c>
      <c r="Y331" s="190"/>
      <c r="Z331" s="221">
        <f>S331*SQRT(X331^2+Y331^2)</f>
        <v>0</v>
      </c>
      <c r="AA331" s="221">
        <f>T331*SQRT(X331^2+Y331^2)</f>
        <v>0</v>
      </c>
      <c r="AB331" s="211">
        <f>SQRT(Z331^2+AA331^2)</f>
        <v>0</v>
      </c>
      <c r="AF331" s="190"/>
      <c r="AG331" s="221">
        <f>S331*AF331</f>
        <v>0</v>
      </c>
      <c r="AH331" s="224">
        <f>T331*AF331</f>
        <v>0</v>
      </c>
      <c r="AI331" s="210">
        <f>AG331+AH331</f>
        <v>0</v>
      </c>
      <c r="AJ331" s="190"/>
      <c r="AK331" s="221">
        <f>S331*AJ331</f>
        <v>0</v>
      </c>
      <c r="AL331" s="224">
        <f>T331*AJ331</f>
        <v>0</v>
      </c>
      <c r="AM331" s="211">
        <f>AK331+AL331</f>
        <v>0</v>
      </c>
      <c r="AS331" s="717">
        <f>G331*VLOOKUP($B331,'Emissions factors'!$B$84:$AQ$147,11,FALSE)+J331*VLOOKUP($B331,'Emissions factors'!$B$84:$AQ$147,13,FALSE)+M331*VLOOKUP($B331,'Emissions factors'!$B$84:$AQ$147,15,FALSE)+P331*VLOOKUP($B331,'Emissions factors'!$B$84:$AQ$147,17,FALSE)</f>
        <v>0</v>
      </c>
      <c r="AT331" s="718">
        <f>G331*VLOOKUP($B331,'Emissions factors'!$B$84:$AQ$147,12,FALSE)+J331*VLOOKUP($B331,'Emissions factors'!$B$84:$AQ$147,14,FALSE)+M331*VLOOKUP($B331,'Emissions factors'!$B$84:$AQ$147,16,FALSE)+P331*VLOOKUP($B331,'Emissions factors'!$B$84:$AQ$147,18,FALSE)</f>
        <v>0</v>
      </c>
      <c r="AU331" s="718">
        <f>G331*VLOOKUP($B331,'Emissions factors'!$B$84:$AQ$147,19,FALSE)+J331*VLOOKUP($B331,'Emissions factors'!$B$84:$AQ$147,21,FALSE)+M331*VLOOKUP($B331,'Emissions factors'!$B$84:$AQ$147,23,FALSE)+P331*VLOOKUP($B331,'Emissions factors'!$B$84:$AQ$147,25,FALSE)</f>
        <v>0</v>
      </c>
      <c r="AV331" s="718">
        <f>G331*VLOOKUP($B331,'Emissions factors'!$B$84:$AQ$147,20,FALSE)+J331*VLOOKUP($B331,'Emissions factors'!$B$84:$AQ$147,22,FALSE)+M331*VLOOKUP($B331,'Emissions factors'!$B$84:$AQ$147,24,FALSE)+P331*VLOOKUP($B331,'Emissions factors'!$B$84:$AQ$147,26,FALSE)</f>
        <v>0</v>
      </c>
      <c r="AW331" s="718">
        <f>G331*VLOOKUP($B331,'Emissions factors'!$B$84:$AQ$147,27,FALSE)+J331*VLOOKUP($B331,'Emissions factors'!$B$84:$AQ$147,29,FALSE)+M331*VLOOKUP($B331,'Emissions factors'!$B$84:$AQ$147,31,FALSE)+P331*VLOOKUP($B331,'Emissions factors'!$B$84:$AQ$147,33,FALSE)</f>
        <v>0</v>
      </c>
      <c r="AX331" s="718">
        <f>G331*VLOOKUP($B331,'Emissions factors'!$B$84:$AQ$147,28,FALSE)+J331*VLOOKUP($B331,'Emissions factors'!$B$84:$AQ$147,30,FALSE)+M331*VLOOKUP($B331,'Emissions factors'!$B$84:$AQ$147,32,FALSE)+P331*VLOOKUP($B331,'Emissions factors'!$B$84:$AQ$147,34,FALSE)</f>
        <v>0</v>
      </c>
      <c r="AY331" s="718">
        <v>0</v>
      </c>
      <c r="AZ331" s="718">
        <v>0</v>
      </c>
      <c r="BA331" s="719">
        <f t="shared" si="144"/>
        <v>0</v>
      </c>
      <c r="BB331" s="720">
        <f t="shared" si="144"/>
        <v>0</v>
      </c>
      <c r="BC331" s="718">
        <f>G331*VLOOKUP($B331,'Emissions factors'!$B$84:$AQ$147,35,FALSE)+J331*VLOOKUP($B331,'Emissions factors'!$B$84:$AQ$147,37,FALSE)+M331*VLOOKUP($B331,'Emissions factors'!$B$84:$AQ$147,39,FALSE)+P331*VLOOKUP($B331,'Emissions factors'!$B$84:$AQ$147,41,FALSE)</f>
        <v>0</v>
      </c>
      <c r="BD331" s="721">
        <f>G331*VLOOKUP($B331,'Emissions factors'!$B$84:$AQ$147,36,FALSE)+J331*VLOOKUP($B331,'Emissions factors'!$B$84:$AQ$147,38,FALSE)+M331*VLOOKUP($B331,'Emissions factors'!$B$84:$AQ$147,40,FALSE)+P331*VLOOKUP($B331,'Emissions factors'!$B$84:$AQ$147,42,FALSE)</f>
        <v>0</v>
      </c>
    </row>
    <row r="332" spans="1:62" ht="12.75" hidden="1" customHeight="1" outlineLevel="1" x14ac:dyDescent="0.2">
      <c r="B332" s="213"/>
      <c r="C332" s="214"/>
      <c r="D332" s="275"/>
      <c r="E332" s="268"/>
      <c r="F332" s="214"/>
      <c r="G332" s="214"/>
      <c r="H332" s="214"/>
      <c r="I332" s="214"/>
      <c r="J332" s="214"/>
      <c r="K332" s="214"/>
      <c r="L332" s="214"/>
      <c r="M332" s="214"/>
      <c r="N332" s="214"/>
      <c r="O332" s="214"/>
      <c r="P332" s="214"/>
      <c r="Q332" s="214"/>
      <c r="R332" s="214"/>
      <c r="S332" s="463"/>
      <c r="T332" s="215"/>
      <c r="U332" s="42"/>
      <c r="X332" s="213"/>
      <c r="Y332" s="214"/>
      <c r="Z332" s="214"/>
      <c r="AA332" s="214"/>
      <c r="AB332" s="433"/>
      <c r="AF332" s="213"/>
      <c r="AG332" s="214"/>
      <c r="AH332" s="214"/>
      <c r="AI332" s="269"/>
      <c r="AJ332" s="214"/>
      <c r="AK332" s="214"/>
      <c r="AL332" s="214"/>
      <c r="AM332" s="433"/>
      <c r="AS332" s="717"/>
      <c r="AT332" s="718"/>
      <c r="AU332" s="718"/>
      <c r="AV332" s="718"/>
      <c r="AW332" s="718"/>
      <c r="AX332" s="718"/>
      <c r="AY332" s="718"/>
      <c r="AZ332" s="718"/>
      <c r="BA332" s="719"/>
      <c r="BB332" s="720"/>
      <c r="BC332" s="722"/>
      <c r="BD332" s="723"/>
    </row>
    <row r="333" spans="1:62" ht="12.75" hidden="1" customHeight="1" outlineLevel="1" x14ac:dyDescent="0.2">
      <c r="B333" s="253" t="s">
        <v>2828</v>
      </c>
      <c r="C333" s="254"/>
      <c r="D333" s="264">
        <f>SUM(D329:D332)</f>
        <v>0</v>
      </c>
      <c r="E333" s="267">
        <f>SUM(E329:E332)</f>
        <v>0</v>
      </c>
      <c r="F333" s="255"/>
      <c r="G333" s="256"/>
      <c r="H333" s="256"/>
      <c r="I333" s="256"/>
      <c r="J333" s="256"/>
      <c r="K333" s="256"/>
      <c r="L333" s="256"/>
      <c r="M333" s="256"/>
      <c r="N333" s="256"/>
      <c r="O333" s="256"/>
      <c r="P333" s="256"/>
      <c r="Q333" s="256"/>
      <c r="R333" s="256"/>
      <c r="S333" s="259">
        <f>SUM(S329:S332)</f>
        <v>0</v>
      </c>
      <c r="T333" s="257">
        <f>SUM(T329:T332)</f>
        <v>0</v>
      </c>
      <c r="U333" s="42"/>
      <c r="X333" s="258"/>
      <c r="Y333" s="256"/>
      <c r="Z333" s="260">
        <f>SQRT(SUMSQ(Z329:Z332))</f>
        <v>0</v>
      </c>
      <c r="AA333" s="260">
        <f>SQRT(SUMSQ(AA329:AA332))</f>
        <v>0</v>
      </c>
      <c r="AB333" s="257">
        <f>SQRT(SUMSQ(AB329:AB332))</f>
        <v>0</v>
      </c>
      <c r="AF333" s="258"/>
      <c r="AG333" s="260">
        <f>SUM(AG329:AG332)</f>
        <v>0</v>
      </c>
      <c r="AH333" s="260">
        <f>SUM(AH329:AH332)</f>
        <v>0</v>
      </c>
      <c r="AI333" s="259">
        <f>SUM(AI329:AI332)</f>
        <v>0</v>
      </c>
      <c r="AJ333" s="256"/>
      <c r="AK333" s="260">
        <f>SUM(AK329:AK332)</f>
        <v>0</v>
      </c>
      <c r="AL333" s="260">
        <f>SUM(AL329:AL332)</f>
        <v>0</v>
      </c>
      <c r="AM333" s="257">
        <f>SUM(AM329:AM332)</f>
        <v>0</v>
      </c>
      <c r="AS333" s="724">
        <f t="shared" ref="AS333:BD333" si="145">SUM(AS329:AS332)</f>
        <v>0</v>
      </c>
      <c r="AT333" s="725">
        <f t="shared" si="145"/>
        <v>0</v>
      </c>
      <c r="AU333" s="725">
        <f t="shared" si="145"/>
        <v>0</v>
      </c>
      <c r="AV333" s="725">
        <f t="shared" si="145"/>
        <v>0</v>
      </c>
      <c r="AW333" s="725">
        <f t="shared" si="145"/>
        <v>0</v>
      </c>
      <c r="AX333" s="725">
        <f t="shared" si="145"/>
        <v>0</v>
      </c>
      <c r="AY333" s="725">
        <f t="shared" si="145"/>
        <v>0</v>
      </c>
      <c r="AZ333" s="725">
        <f t="shared" si="145"/>
        <v>0</v>
      </c>
      <c r="BA333" s="726">
        <f t="shared" si="145"/>
        <v>0</v>
      </c>
      <c r="BB333" s="727">
        <f t="shared" si="145"/>
        <v>0</v>
      </c>
      <c r="BC333" s="724">
        <f t="shared" si="145"/>
        <v>0</v>
      </c>
      <c r="BD333" s="728">
        <f t="shared" si="145"/>
        <v>0</v>
      </c>
    </row>
    <row r="334" spans="1:62" ht="12.75" hidden="1" customHeight="1" outlineLevel="1" x14ac:dyDescent="0.2"/>
    <row r="335" spans="1:62" ht="12.75" hidden="1" customHeight="1" outlineLevel="1" x14ac:dyDescent="0.2">
      <c r="B335" s="195" t="s">
        <v>2891</v>
      </c>
      <c r="C335" s="196"/>
      <c r="D335" s="196"/>
      <c r="E335" s="196"/>
      <c r="F335" s="196"/>
      <c r="G335" s="198"/>
      <c r="H335" s="198"/>
      <c r="I335" s="199"/>
      <c r="X335" s="1746" t="s">
        <v>723</v>
      </c>
      <c r="Y335" s="1747"/>
      <c r="Z335" s="1748"/>
      <c r="AF335" s="1746" t="s">
        <v>2066</v>
      </c>
      <c r="AG335" s="1747"/>
      <c r="AH335" s="1747"/>
      <c r="AI335" s="1748"/>
      <c r="AS335" s="1755" t="s">
        <v>2073</v>
      </c>
      <c r="AT335" s="1756"/>
      <c r="AU335" s="1756"/>
      <c r="AV335" s="1756"/>
      <c r="AW335" s="1756"/>
      <c r="AX335" s="1757"/>
      <c r="BC335" s="605"/>
    </row>
    <row r="336" spans="1:62" ht="12.75" hidden="1" customHeight="1" outlineLevel="1" x14ac:dyDescent="0.2">
      <c r="B336" s="417"/>
      <c r="C336" s="225"/>
      <c r="D336" s="705"/>
      <c r="E336" s="705"/>
      <c r="F336" s="201"/>
      <c r="G336" s="201"/>
      <c r="H336" s="201"/>
      <c r="I336" s="203"/>
      <c r="X336" s="1369"/>
      <c r="Y336" s="1370"/>
      <c r="Z336" s="203"/>
      <c r="AF336" s="1369"/>
      <c r="AG336" s="1370"/>
      <c r="AH336" s="1370"/>
      <c r="AI336" s="203"/>
      <c r="AS336" s="1374"/>
      <c r="AT336" s="1375"/>
      <c r="AU336" s="1375"/>
      <c r="AV336" s="1375"/>
      <c r="AW336" s="1379"/>
      <c r="AX336" s="780"/>
      <c r="BC336" s="605"/>
    </row>
    <row r="337" spans="1:62" ht="12.75" hidden="1" customHeight="1" outlineLevel="1" x14ac:dyDescent="0.2">
      <c r="B337" s="200"/>
      <c r="C337" s="201"/>
      <c r="D337" s="1370" t="s">
        <v>56</v>
      </c>
      <c r="E337" s="1370" t="s">
        <v>56</v>
      </c>
      <c r="F337" s="205" t="s">
        <v>2634</v>
      </c>
      <c r="G337" s="205"/>
      <c r="H337" s="1370" t="s">
        <v>61</v>
      </c>
      <c r="I337" s="711" t="s">
        <v>61</v>
      </c>
      <c r="X337" s="1629" t="s">
        <v>2605</v>
      </c>
      <c r="Y337" s="1370" t="s">
        <v>2110</v>
      </c>
      <c r="Z337" s="711" t="s">
        <v>61</v>
      </c>
      <c r="AF337" s="1369" t="s">
        <v>2065</v>
      </c>
      <c r="AG337" s="705" t="s">
        <v>61</v>
      </c>
      <c r="AH337" s="1370" t="s">
        <v>2558</v>
      </c>
      <c r="AI337" s="711" t="s">
        <v>61</v>
      </c>
      <c r="AS337" s="1739" t="s">
        <v>61</v>
      </c>
      <c r="AT337" s="1740"/>
      <c r="AU337" s="1740"/>
      <c r="AV337" s="1740"/>
      <c r="AW337" s="1379" t="s">
        <v>61</v>
      </c>
      <c r="AX337" s="742"/>
      <c r="AY337" s="743"/>
      <c r="AZ337" s="743"/>
      <c r="BA337" s="743"/>
    </row>
    <row r="338" spans="1:62" ht="12.75" hidden="1" customHeight="1" outlineLevel="1" x14ac:dyDescent="0.2">
      <c r="B338" s="200"/>
      <c r="C338" s="201"/>
      <c r="D338" s="1370" t="s">
        <v>61</v>
      </c>
      <c r="E338" s="1370" t="s">
        <v>63</v>
      </c>
      <c r="F338" s="208" t="s">
        <v>2054</v>
      </c>
      <c r="G338" s="208" t="s">
        <v>57</v>
      </c>
      <c r="H338" s="1370" t="s">
        <v>2540</v>
      </c>
      <c r="I338" s="711"/>
      <c r="X338" s="1629" t="s">
        <v>2109</v>
      </c>
      <c r="Y338" s="1370"/>
      <c r="Z338" s="711"/>
      <c r="AF338" s="1369"/>
      <c r="AG338" s="705"/>
      <c r="AH338" s="1370"/>
      <c r="AI338" s="711"/>
      <c r="AS338" s="1371" t="s">
        <v>14</v>
      </c>
      <c r="AT338" s="1372" t="s">
        <v>60</v>
      </c>
      <c r="AU338" s="1372" t="s">
        <v>27</v>
      </c>
      <c r="AV338" s="1372" t="s">
        <v>2074</v>
      </c>
      <c r="AW338" s="1373" t="s">
        <v>41</v>
      </c>
      <c r="AX338" s="747" t="s">
        <v>85</v>
      </c>
      <c r="AY338" s="743"/>
      <c r="AZ338" s="743"/>
      <c r="BA338" s="743"/>
      <c r="BC338" s="743"/>
    </row>
    <row r="339" spans="1:62" ht="12.75" hidden="1" customHeight="1" outlineLevel="1" x14ac:dyDescent="0.2">
      <c r="B339" s="200" t="s">
        <v>1311</v>
      </c>
      <c r="C339" s="201"/>
      <c r="D339" s="262">
        <f>I339</f>
        <v>0</v>
      </c>
      <c r="E339" s="265">
        <f>D339*12/44</f>
        <v>0</v>
      </c>
      <c r="F339" s="182"/>
      <c r="G339" s="182"/>
      <c r="H339" s="272">
        <f>VLOOKUP($B339,'Emissions factors'!$B$1252:$H$1280,2,FALSE)</f>
        <v>2.186E-3</v>
      </c>
      <c r="I339" s="211">
        <f>G339*H339</f>
        <v>0</v>
      </c>
      <c r="X339" s="282">
        <f>VLOOKUP($B339,'Emissions factors'!$B$1252:$H$1280,7,FALSE)</f>
        <v>0.7</v>
      </c>
      <c r="Y339" s="183"/>
      <c r="Z339" s="222">
        <f>I339*SQRT(X339^2+Y339^2)</f>
        <v>0</v>
      </c>
      <c r="AF339" s="184"/>
      <c r="AG339" s="221">
        <f>AF339*I339</f>
        <v>0</v>
      </c>
      <c r="AH339" s="184"/>
      <c r="AI339" s="222">
        <f>AH339*I339</f>
        <v>0</v>
      </c>
      <c r="AS339" s="717">
        <f>G339*VLOOKUP($B339,'Emissions factors'!$B$1252:$H$1280,3,FALSE)</f>
        <v>0</v>
      </c>
      <c r="AT339" s="718">
        <f>G339*VLOOKUP($B339,'Emissions factors'!$B$1252:$H$1280,4,FALSE)</f>
        <v>0</v>
      </c>
      <c r="AU339" s="718">
        <f>G339*VLOOKUP($B339,'Emissions factors'!$B$1252:$H$1280,5,FALSE)</f>
        <v>0</v>
      </c>
      <c r="AV339" s="718">
        <v>0</v>
      </c>
      <c r="AW339" s="720">
        <f>I339</f>
        <v>0</v>
      </c>
      <c r="AX339" s="748">
        <f>G339*VLOOKUP($B339,'Emissions factors'!$B$1252:$H$1280,6,FALSE)</f>
        <v>0</v>
      </c>
      <c r="BC339" s="743"/>
    </row>
    <row r="340" spans="1:62" ht="12.75" hidden="1" customHeight="1" outlineLevel="1" x14ac:dyDescent="0.2">
      <c r="B340" s="200" t="s">
        <v>1315</v>
      </c>
      <c r="C340" s="201"/>
      <c r="D340" s="262">
        <f>I340</f>
        <v>0</v>
      </c>
      <c r="E340" s="265">
        <f>D340*12/44</f>
        <v>0</v>
      </c>
      <c r="F340" s="185"/>
      <c r="G340" s="185"/>
      <c r="H340" s="272">
        <f>VLOOKUP($B340,'Emissions factors'!$B$1252:$H$1280,2,FALSE)</f>
        <v>2.7977930000000002E-2</v>
      </c>
      <c r="I340" s="211">
        <f>G340*H340</f>
        <v>0</v>
      </c>
      <c r="X340" s="282">
        <f>VLOOKUP($B340,'Emissions factors'!$B$1252:$H$1280,7,FALSE)</f>
        <v>0.7</v>
      </c>
      <c r="Y340" s="186"/>
      <c r="Z340" s="222">
        <f>I340*SQRT(X340^2+Y340^2)</f>
        <v>0</v>
      </c>
      <c r="AF340" s="187"/>
      <c r="AG340" s="221">
        <f>AF340*I340</f>
        <v>0</v>
      </c>
      <c r="AH340" s="187"/>
      <c r="AI340" s="222">
        <f>AH340*I340</f>
        <v>0</v>
      </c>
      <c r="AS340" s="717">
        <f>G340*VLOOKUP($B340,'Emissions factors'!$B$1252:$H$1280,3,FALSE)</f>
        <v>0</v>
      </c>
      <c r="AT340" s="718">
        <f>G340*VLOOKUP($B340,'Emissions factors'!$B$1252:$H$1280,4,FALSE)</f>
        <v>0</v>
      </c>
      <c r="AU340" s="718">
        <f>G340*VLOOKUP($B340,'Emissions factors'!$B$1252:$H$1280,5,FALSE)</f>
        <v>0</v>
      </c>
      <c r="AV340" s="718">
        <v>0</v>
      </c>
      <c r="AW340" s="720">
        <f>I340</f>
        <v>0</v>
      </c>
      <c r="AX340" s="748">
        <f>G340*VLOOKUP($B340,'Emissions factors'!$B$1252:$H$1280,6,FALSE)</f>
        <v>0</v>
      </c>
    </row>
    <row r="341" spans="1:62" s="191" customFormat="1" ht="15" hidden="1" customHeight="1" outlineLevel="1" x14ac:dyDescent="0.2">
      <c r="A341" s="40"/>
      <c r="B341" s="200" t="s">
        <v>1317</v>
      </c>
      <c r="C341" s="201"/>
      <c r="D341" s="262">
        <f>I341</f>
        <v>0</v>
      </c>
      <c r="E341" s="265">
        <f>D341*12/44</f>
        <v>0</v>
      </c>
      <c r="F341" s="188"/>
      <c r="G341" s="188"/>
      <c r="H341" s="272">
        <f>VLOOKUP($B341,'Emissions factors'!$B$1252:$H$1280,2,FALSE)</f>
        <v>1.464E-3</v>
      </c>
      <c r="I341" s="211">
        <f>G341*H341</f>
        <v>0</v>
      </c>
      <c r="J341" s="40"/>
      <c r="K341" s="40"/>
      <c r="L341" s="40"/>
      <c r="M341" s="40"/>
      <c r="N341" s="40"/>
      <c r="O341" s="40"/>
      <c r="P341" s="40"/>
      <c r="Q341" s="40"/>
      <c r="R341" s="40"/>
      <c r="S341" s="40"/>
      <c r="T341" s="40"/>
      <c r="U341" s="40"/>
      <c r="V341" s="40"/>
      <c r="W341" s="40"/>
      <c r="X341" s="282">
        <f>VLOOKUP($B341,'Emissions factors'!$B$1252:$H$1280,7,FALSE)</f>
        <v>0.7</v>
      </c>
      <c r="Y341" s="189"/>
      <c r="Z341" s="222">
        <f>I341*SQRT(X341^2+Y341^2)</f>
        <v>0</v>
      </c>
      <c r="AA341" s="40"/>
      <c r="AB341" s="40"/>
      <c r="AC341" s="40"/>
      <c r="AD341" s="40"/>
      <c r="AE341" s="40"/>
      <c r="AF341" s="190"/>
      <c r="AG341" s="221">
        <f>AF341*I341</f>
        <v>0</v>
      </c>
      <c r="AH341" s="190"/>
      <c r="AI341" s="222">
        <f>AH341*I341</f>
        <v>0</v>
      </c>
      <c r="AJ341" s="40"/>
      <c r="AK341" s="40"/>
      <c r="AL341" s="40"/>
      <c r="AM341" s="40"/>
      <c r="AN341" s="40"/>
      <c r="AO341" s="40"/>
      <c r="AP341" s="40"/>
      <c r="AQ341" s="40"/>
      <c r="AR341" s="40"/>
      <c r="AS341" s="717">
        <f>G341*VLOOKUP($B341,'Emissions factors'!$B$1252:$H$1280,3,FALSE)</f>
        <v>0</v>
      </c>
      <c r="AT341" s="718">
        <f>G341*VLOOKUP($B341,'Emissions factors'!$B$1252:$H$1280,4,FALSE)</f>
        <v>0</v>
      </c>
      <c r="AU341" s="718">
        <f>G341*VLOOKUP($B341,'Emissions factors'!$B$1252:$H$1280,5,FALSE)</f>
        <v>0</v>
      </c>
      <c r="AV341" s="718">
        <v>0</v>
      </c>
      <c r="AW341" s="720">
        <f>I341</f>
        <v>0</v>
      </c>
      <c r="AX341" s="748">
        <f>G341*VLOOKUP($B341,'Emissions factors'!$B$1252:$H$1280,6,FALSE)</f>
        <v>0</v>
      </c>
      <c r="AY341" s="602"/>
      <c r="AZ341" s="602"/>
      <c r="BA341" s="602"/>
      <c r="BB341" s="743"/>
      <c r="BC341" s="602"/>
      <c r="BD341" s="751"/>
      <c r="BE341" s="751"/>
      <c r="BF341" s="751"/>
      <c r="BG341" s="751"/>
      <c r="BH341" s="751"/>
      <c r="BI341" s="751"/>
      <c r="BJ341" s="751"/>
    </row>
    <row r="342" spans="1:62" ht="12.75" hidden="1" customHeight="1" outlineLevel="1" x14ac:dyDescent="0.2">
      <c r="B342" s="200"/>
      <c r="C342" s="201"/>
      <c r="D342" s="262"/>
      <c r="E342" s="265"/>
      <c r="F342" s="462"/>
      <c r="G342" s="201"/>
      <c r="H342" s="201"/>
      <c r="I342" s="222"/>
      <c r="X342" s="200"/>
      <c r="Y342" s="201"/>
      <c r="Z342" s="222"/>
      <c r="AF342" s="200"/>
      <c r="AG342" s="1370"/>
      <c r="AH342" s="201"/>
      <c r="AI342" s="222"/>
      <c r="AS342" s="717"/>
      <c r="AT342" s="718"/>
      <c r="AU342" s="718"/>
      <c r="AV342" s="718"/>
      <c r="AW342" s="720"/>
      <c r="AX342" s="749"/>
      <c r="AY342" s="605"/>
      <c r="AZ342" s="605"/>
      <c r="BA342" s="605"/>
    </row>
    <row r="343" spans="1:62" s="42" customFormat="1" ht="12.75" hidden="1" customHeight="1" outlineLevel="1" x14ac:dyDescent="0.2">
      <c r="A343" s="40"/>
      <c r="B343" s="253" t="s">
        <v>2828</v>
      </c>
      <c r="C343" s="254"/>
      <c r="D343" s="264">
        <f>SUM(D339:D342)</f>
        <v>0</v>
      </c>
      <c r="E343" s="267">
        <f>SUM(E339:E342)</f>
        <v>0</v>
      </c>
      <c r="F343" s="255"/>
      <c r="G343" s="254"/>
      <c r="H343" s="254"/>
      <c r="I343" s="257">
        <f>SUM(I339:I342)</f>
        <v>0</v>
      </c>
      <c r="J343" s="40"/>
      <c r="K343" s="40"/>
      <c r="L343" s="40"/>
      <c r="M343" s="40"/>
      <c r="N343" s="40"/>
      <c r="O343" s="40"/>
      <c r="P343" s="40"/>
      <c r="Q343" s="40"/>
      <c r="R343" s="40"/>
      <c r="S343" s="40"/>
      <c r="T343" s="40"/>
      <c r="U343" s="40"/>
      <c r="V343" s="40"/>
      <c r="W343" s="40"/>
      <c r="X343" s="258"/>
      <c r="Y343" s="256"/>
      <c r="Z343" s="257">
        <f>SQRT(SUMSQ(Z339:Z342))</f>
        <v>0</v>
      </c>
      <c r="AA343" s="40"/>
      <c r="AB343" s="40"/>
      <c r="AC343" s="40"/>
      <c r="AD343" s="40"/>
      <c r="AE343" s="40"/>
      <c r="AF343" s="258"/>
      <c r="AG343" s="259">
        <f>SUM(AG339:AG342)</f>
        <v>0</v>
      </c>
      <c r="AH343" s="256"/>
      <c r="AI343" s="257">
        <f>SUM(AI339:AI342)</f>
        <v>0</v>
      </c>
      <c r="AJ343" s="40"/>
      <c r="AK343" s="40"/>
      <c r="AL343" s="40"/>
      <c r="AM343" s="40"/>
      <c r="AN343" s="40"/>
      <c r="AO343" s="40"/>
      <c r="AP343" s="40"/>
      <c r="AQ343" s="40"/>
      <c r="AR343" s="40"/>
      <c r="AS343" s="724">
        <f t="shared" ref="AS343:AX343" si="146">SUM(AS339:AS342)</f>
        <v>0</v>
      </c>
      <c r="AT343" s="725">
        <f t="shared" si="146"/>
        <v>0</v>
      </c>
      <c r="AU343" s="725">
        <f t="shared" si="146"/>
        <v>0</v>
      </c>
      <c r="AV343" s="725">
        <f t="shared" si="146"/>
        <v>0</v>
      </c>
      <c r="AW343" s="727">
        <f t="shared" si="146"/>
        <v>0</v>
      </c>
      <c r="AX343" s="750">
        <f t="shared" si="146"/>
        <v>0</v>
      </c>
      <c r="AY343" s="602"/>
      <c r="AZ343" s="602"/>
      <c r="BA343" s="602"/>
      <c r="BB343" s="602"/>
      <c r="BC343" s="602"/>
      <c r="BD343" s="605"/>
      <c r="BE343" s="605"/>
      <c r="BF343" s="605"/>
      <c r="BG343" s="605"/>
      <c r="BH343" s="605"/>
      <c r="BI343" s="605"/>
      <c r="BJ343" s="605"/>
    </row>
    <row r="344" spans="1:62" ht="15" hidden="1" customHeight="1" outlineLevel="1" x14ac:dyDescent="0.2">
      <c r="AR344" s="191"/>
      <c r="BE344" s="743"/>
    </row>
    <row r="345" spans="1:62" collapsed="1" x14ac:dyDescent="0.2">
      <c r="BC345" s="605"/>
      <c r="BE345" s="743"/>
      <c r="BF345" s="743"/>
      <c r="BG345" s="743"/>
      <c r="BH345" s="743"/>
      <c r="BI345" s="743"/>
      <c r="BJ345" s="743"/>
    </row>
    <row r="346" spans="1:62" s="32" customFormat="1" ht="15.75" customHeight="1" collapsed="1" x14ac:dyDescent="0.2">
      <c r="A346" s="40"/>
      <c r="B346" s="1795" t="s">
        <v>2915</v>
      </c>
      <c r="C346" s="1795"/>
      <c r="D346" s="1795"/>
      <c r="E346" s="1795"/>
      <c r="F346" s="1795"/>
      <c r="G346" s="1795"/>
      <c r="H346" s="1795"/>
      <c r="I346" s="1795"/>
      <c r="J346" s="1795"/>
      <c r="K346" s="1795"/>
      <c r="L346" s="1795"/>
      <c r="M346" s="1795"/>
      <c r="N346" s="1795"/>
      <c r="O346" s="1795"/>
      <c r="P346" s="191"/>
      <c r="Q346" s="191"/>
      <c r="R346" s="191"/>
      <c r="S346" s="191"/>
      <c r="T346" s="191"/>
      <c r="U346" s="191"/>
      <c r="V346" s="191"/>
      <c r="W346" s="191"/>
      <c r="X346" s="191"/>
      <c r="Y346" s="191"/>
      <c r="Z346" s="191"/>
      <c r="AA346" s="191"/>
      <c r="AB346" s="191"/>
      <c r="AC346" s="191"/>
      <c r="AD346" s="191"/>
      <c r="AE346" s="191"/>
      <c r="AF346" s="191"/>
      <c r="AG346" s="191"/>
      <c r="AH346" s="191"/>
      <c r="AI346" s="191"/>
      <c r="AJ346" s="191"/>
      <c r="AK346" s="191"/>
      <c r="AL346" s="191"/>
      <c r="AM346" s="191"/>
      <c r="AN346" s="191"/>
      <c r="AO346" s="191"/>
      <c r="AP346" s="191"/>
      <c r="AQ346" s="191"/>
      <c r="AR346" s="42"/>
      <c r="AS346" s="602"/>
      <c r="AT346" s="602"/>
      <c r="AU346" s="602"/>
      <c r="AV346" s="602"/>
      <c r="AW346" s="602"/>
      <c r="AX346" s="602"/>
      <c r="AY346" s="602"/>
      <c r="AZ346" s="602"/>
      <c r="BA346" s="602"/>
      <c r="BB346" s="602"/>
      <c r="BC346" s="605"/>
      <c r="BD346" s="602"/>
      <c r="BE346" s="743"/>
      <c r="BF346" s="743"/>
      <c r="BG346" s="743"/>
      <c r="BH346" s="743"/>
      <c r="BI346" s="743"/>
      <c r="BJ346" s="743"/>
    </row>
    <row r="347" spans="1:62" ht="12.75" hidden="1" customHeight="1" outlineLevel="1" x14ac:dyDescent="0.2">
      <c r="D347" s="316"/>
      <c r="E347" s="316"/>
      <c r="F347" s="316"/>
      <c r="G347" s="316"/>
      <c r="H347" s="316"/>
      <c r="I347" s="316"/>
      <c r="J347" s="316"/>
      <c r="K347" s="316"/>
      <c r="T347" s="42"/>
      <c r="AS347" s="743"/>
      <c r="AT347" s="743"/>
      <c r="AU347" s="743"/>
      <c r="AV347" s="743"/>
      <c r="AW347" s="743"/>
      <c r="AX347" s="743"/>
      <c r="AY347" s="743"/>
      <c r="AZ347" s="743"/>
      <c r="BA347" s="743"/>
      <c r="BB347" s="743"/>
    </row>
    <row r="348" spans="1:62" ht="12.75" hidden="1" customHeight="1" outlineLevel="1" x14ac:dyDescent="0.2">
      <c r="B348" s="195" t="s">
        <v>2912</v>
      </c>
      <c r="C348" s="196"/>
      <c r="D348" s="196"/>
      <c r="E348" s="196"/>
      <c r="F348" s="1364"/>
      <c r="G348" s="198"/>
      <c r="H348" s="198"/>
      <c r="I348" s="198"/>
      <c r="J348" s="198"/>
      <c r="K348" s="198"/>
      <c r="L348" s="198"/>
      <c r="M348" s="198"/>
      <c r="N348" s="198"/>
      <c r="O348" s="198"/>
      <c r="P348" s="198"/>
      <c r="Q348" s="198"/>
      <c r="R348" s="198"/>
      <c r="S348" s="198"/>
      <c r="T348" s="199"/>
      <c r="U348" s="42"/>
      <c r="V348" s="42"/>
      <c r="W348" s="42"/>
      <c r="X348" s="1746" t="s">
        <v>723</v>
      </c>
      <c r="Y348" s="1747"/>
      <c r="Z348" s="1747"/>
      <c r="AA348" s="1747"/>
      <c r="AB348" s="1748"/>
      <c r="AC348" s="32"/>
      <c r="AD348" s="42"/>
      <c r="AE348" s="42"/>
      <c r="AF348" s="1746" t="s">
        <v>2066</v>
      </c>
      <c r="AG348" s="1747"/>
      <c r="AH348" s="1747"/>
      <c r="AI348" s="1747"/>
      <c r="AJ348" s="1747"/>
      <c r="AK348" s="1747"/>
      <c r="AL348" s="1747"/>
      <c r="AM348" s="1748"/>
      <c r="AN348" s="42"/>
      <c r="AO348" s="42"/>
      <c r="AP348" s="42"/>
      <c r="AQ348" s="42"/>
      <c r="AR348" s="32"/>
      <c r="AS348" s="1755" t="s">
        <v>2073</v>
      </c>
      <c r="AT348" s="1756"/>
      <c r="AU348" s="1756"/>
      <c r="AV348" s="1756"/>
      <c r="AW348" s="1756"/>
      <c r="AX348" s="1756"/>
      <c r="AY348" s="1756"/>
      <c r="AZ348" s="1756"/>
      <c r="BA348" s="1756"/>
      <c r="BB348" s="1756"/>
      <c r="BC348" s="1756"/>
      <c r="BD348" s="1757"/>
    </row>
    <row r="349" spans="1:62" ht="12.75" hidden="1" customHeight="1" outlineLevel="1" x14ac:dyDescent="0.2">
      <c r="B349" s="200"/>
      <c r="C349" s="201"/>
      <c r="D349" s="705"/>
      <c r="E349" s="705"/>
      <c r="F349" s="201"/>
      <c r="G349" s="201"/>
      <c r="H349" s="1370"/>
      <c r="I349" s="1370"/>
      <c r="J349" s="201"/>
      <c r="K349" s="201"/>
      <c r="L349" s="201"/>
      <c r="M349" s="201"/>
      <c r="N349" s="201"/>
      <c r="O349" s="201"/>
      <c r="P349" s="201"/>
      <c r="Q349" s="201"/>
      <c r="R349" s="201"/>
      <c r="S349" s="201"/>
      <c r="T349" s="203"/>
      <c r="U349" s="42"/>
      <c r="X349" s="216"/>
      <c r="Y349" s="217"/>
      <c r="Z349" s="217"/>
      <c r="AA349" s="217"/>
      <c r="AB349" s="218"/>
      <c r="AC349" s="32"/>
      <c r="AF349" s="216"/>
      <c r="AG349" s="217"/>
      <c r="AH349" s="217"/>
      <c r="AI349" s="217"/>
      <c r="AJ349" s="217"/>
      <c r="AK349" s="217"/>
      <c r="AL349" s="198"/>
      <c r="AM349" s="199"/>
      <c r="AR349" s="32"/>
      <c r="AS349" s="1758" t="s">
        <v>61</v>
      </c>
      <c r="AT349" s="1759"/>
      <c r="AU349" s="1759"/>
      <c r="AV349" s="1759"/>
      <c r="AW349" s="1759"/>
      <c r="AX349" s="1759"/>
      <c r="AY349" s="1759"/>
      <c r="AZ349" s="1759"/>
      <c r="BA349" s="1759" t="s">
        <v>61</v>
      </c>
      <c r="BB349" s="1760"/>
      <c r="BC349" s="730"/>
      <c r="BD349" s="731"/>
    </row>
    <row r="350" spans="1:62" ht="12.75" hidden="1" customHeight="1" outlineLevel="1" x14ac:dyDescent="0.2">
      <c r="B350" s="1369" t="s">
        <v>766</v>
      </c>
      <c r="C350" s="1370"/>
      <c r="D350" s="1370" t="s">
        <v>56</v>
      </c>
      <c r="E350" s="1370" t="s">
        <v>56</v>
      </c>
      <c r="F350" s="205" t="s">
        <v>2634</v>
      </c>
      <c r="G350" s="205" t="s">
        <v>2053</v>
      </c>
      <c r="H350" s="1745" t="s">
        <v>767</v>
      </c>
      <c r="I350" s="1745"/>
      <c r="J350" s="205" t="s">
        <v>2053</v>
      </c>
      <c r="K350" s="1745" t="s">
        <v>769</v>
      </c>
      <c r="L350" s="1745"/>
      <c r="M350" s="205" t="s">
        <v>2053</v>
      </c>
      <c r="N350" s="1745" t="s">
        <v>771</v>
      </c>
      <c r="O350" s="1745"/>
      <c r="P350" s="205" t="s">
        <v>2053</v>
      </c>
      <c r="Q350" s="1744" t="s">
        <v>770</v>
      </c>
      <c r="R350" s="1745"/>
      <c r="S350" s="705" t="s">
        <v>61</v>
      </c>
      <c r="T350" s="711" t="s">
        <v>61</v>
      </c>
      <c r="U350" s="42"/>
      <c r="V350" s="32"/>
      <c r="W350" s="32"/>
      <c r="X350" s="1629" t="s">
        <v>2605</v>
      </c>
      <c r="Y350" s="1370" t="s">
        <v>2110</v>
      </c>
      <c r="Z350" s="1370" t="s">
        <v>61</v>
      </c>
      <c r="AA350" s="1370" t="s">
        <v>61</v>
      </c>
      <c r="AB350" s="711" t="s">
        <v>61</v>
      </c>
      <c r="AC350" s="32"/>
      <c r="AD350" s="32"/>
      <c r="AE350" s="32"/>
      <c r="AF350" s="1369" t="s">
        <v>2065</v>
      </c>
      <c r="AG350" s="1370" t="s">
        <v>61</v>
      </c>
      <c r="AH350" s="1370" t="s">
        <v>61</v>
      </c>
      <c r="AI350" s="705" t="s">
        <v>61</v>
      </c>
      <c r="AJ350" s="1370" t="s">
        <v>2558</v>
      </c>
      <c r="AK350" s="1370" t="s">
        <v>61</v>
      </c>
      <c r="AL350" s="1370" t="s">
        <v>61</v>
      </c>
      <c r="AM350" s="711" t="s">
        <v>61</v>
      </c>
      <c r="AN350" s="32"/>
      <c r="AO350" s="32"/>
      <c r="AP350" s="32"/>
      <c r="AQ350" s="32"/>
      <c r="AS350" s="1764" t="s">
        <v>14</v>
      </c>
      <c r="AT350" s="1761"/>
      <c r="AU350" s="1761" t="s">
        <v>60</v>
      </c>
      <c r="AV350" s="1761"/>
      <c r="AW350" s="1761" t="s">
        <v>27</v>
      </c>
      <c r="AX350" s="1761"/>
      <c r="AY350" s="1761" t="s">
        <v>2074</v>
      </c>
      <c r="AZ350" s="1761"/>
      <c r="BA350" s="1762" t="s">
        <v>41</v>
      </c>
      <c r="BB350" s="1763"/>
      <c r="BC350" s="1764" t="s">
        <v>85</v>
      </c>
      <c r="BD350" s="1765"/>
    </row>
    <row r="351" spans="1:62" ht="12.75" hidden="1" customHeight="1" outlineLevel="1" x14ac:dyDescent="0.2">
      <c r="B351" s="1369"/>
      <c r="C351" s="1370"/>
      <c r="D351" s="1370" t="s">
        <v>61</v>
      </c>
      <c r="E351" s="1370" t="s">
        <v>63</v>
      </c>
      <c r="F351" s="208" t="s">
        <v>2054</v>
      </c>
      <c r="G351" s="208" t="s">
        <v>34</v>
      </c>
      <c r="H351" s="1377" t="s">
        <v>768</v>
      </c>
      <c r="I351" s="1377" t="s">
        <v>24</v>
      </c>
      <c r="J351" s="208" t="s">
        <v>2061</v>
      </c>
      <c r="K351" s="1377" t="s">
        <v>768</v>
      </c>
      <c r="L351" s="1377" t="s">
        <v>24</v>
      </c>
      <c r="M351" s="212" t="s">
        <v>2059</v>
      </c>
      <c r="N351" s="1377" t="s">
        <v>768</v>
      </c>
      <c r="O351" s="1377" t="s">
        <v>24</v>
      </c>
      <c r="P351" s="212" t="s">
        <v>15</v>
      </c>
      <c r="Q351" s="1377" t="s">
        <v>768</v>
      </c>
      <c r="R351" s="1377" t="s">
        <v>24</v>
      </c>
      <c r="S351" s="1376" t="s">
        <v>768</v>
      </c>
      <c r="T351" s="274" t="s">
        <v>24</v>
      </c>
      <c r="U351" s="42"/>
      <c r="V351" s="32"/>
      <c r="W351" s="32"/>
      <c r="X351" s="1629" t="s">
        <v>2109</v>
      </c>
      <c r="Y351" s="1370"/>
      <c r="Z351" s="1377" t="s">
        <v>768</v>
      </c>
      <c r="AA351" s="1377" t="s">
        <v>24</v>
      </c>
      <c r="AB351" s="219" t="s">
        <v>41</v>
      </c>
      <c r="AC351" s="32"/>
      <c r="AD351" s="32"/>
      <c r="AE351" s="32"/>
      <c r="AF351" s="1369"/>
      <c r="AG351" s="1377" t="s">
        <v>768</v>
      </c>
      <c r="AH351" s="1377" t="s">
        <v>24</v>
      </c>
      <c r="AI351" s="223" t="s">
        <v>41</v>
      </c>
      <c r="AJ351" s="1370"/>
      <c r="AK351" s="1377" t="s">
        <v>768</v>
      </c>
      <c r="AL351" s="1377" t="s">
        <v>24</v>
      </c>
      <c r="AM351" s="219" t="s">
        <v>41</v>
      </c>
      <c r="AN351" s="32"/>
      <c r="AO351" s="32"/>
      <c r="AP351" s="32"/>
      <c r="AQ351" s="32"/>
      <c r="AS351" s="732" t="s">
        <v>768</v>
      </c>
      <c r="AT351" s="733" t="s">
        <v>24</v>
      </c>
      <c r="AU351" s="733" t="s">
        <v>768</v>
      </c>
      <c r="AV351" s="733" t="s">
        <v>24</v>
      </c>
      <c r="AW351" s="733" t="s">
        <v>768</v>
      </c>
      <c r="AX351" s="733" t="s">
        <v>24</v>
      </c>
      <c r="AY351" s="733" t="s">
        <v>768</v>
      </c>
      <c r="AZ351" s="733" t="s">
        <v>24</v>
      </c>
      <c r="BA351" s="734" t="s">
        <v>768</v>
      </c>
      <c r="BB351" s="735" t="s">
        <v>24</v>
      </c>
      <c r="BC351" s="732" t="s">
        <v>768</v>
      </c>
      <c r="BD351" s="736" t="s">
        <v>24</v>
      </c>
    </row>
    <row r="352" spans="1:62" ht="12.75" hidden="1" customHeight="1" outlineLevel="1" x14ac:dyDescent="0.2">
      <c r="B352" s="200" t="s">
        <v>809</v>
      </c>
      <c r="C352" s="201"/>
      <c r="D352" s="262">
        <f>S352+T352</f>
        <v>0</v>
      </c>
      <c r="E352" s="265">
        <f>D352*12/44</f>
        <v>0</v>
      </c>
      <c r="F352" s="182"/>
      <c r="G352" s="182"/>
      <c r="H352" s="271">
        <f>VLOOKUP($B352,'Emissions factors'!$B$84:$K$147,2,FALSE)</f>
        <v>503.1</v>
      </c>
      <c r="I352" s="271">
        <f>VLOOKUP($B352,'Emissions factors'!$B$84:$K$147,3,FALSE)</f>
        <v>3141</v>
      </c>
      <c r="J352" s="182"/>
      <c r="K352" s="277">
        <f>VLOOKUP($B352,'Emissions factors'!$B$84:$K$147,4,FALSE)</f>
        <v>4.4000000000000004E-2</v>
      </c>
      <c r="L352" s="277">
        <f>VLOOKUP($B352,'Emissions factors'!$B$84:$K$147,5,FALSE)</f>
        <v>0.28288600000000003</v>
      </c>
      <c r="M352" s="182"/>
      <c r="N352" s="271">
        <f>VLOOKUP($B352,'Emissions factors'!$B$84:$K$147,6,FALSE)</f>
        <v>528.5</v>
      </c>
      <c r="O352" s="271">
        <f>VLOOKUP($B352,'Emissions factors'!$B$84:$K$147,7,FALSE)</f>
        <v>3302.02</v>
      </c>
      <c r="P352" s="182"/>
      <c r="Q352" s="277">
        <f>VLOOKUP($B352,'Emissions factors'!$B$84:$K$147,8,FALSE)</f>
        <v>0.45289999999999997</v>
      </c>
      <c r="R352" s="277">
        <f>VLOOKUP($B352,'Emissions factors'!$B$84:$K$147,9,FALSE)</f>
        <v>2.48</v>
      </c>
      <c r="S352" s="210">
        <f>G352*H352+J352*K352+M352*N352+P352*Q352</f>
        <v>0</v>
      </c>
      <c r="T352" s="211">
        <f>G352*I352+J352*L352+M352*O352+P352*R352</f>
        <v>0</v>
      </c>
      <c r="U352" s="42"/>
      <c r="X352" s="282">
        <f>VLOOKUP($B352,'Emissions factors'!$B$84:$K$147,10,FALSE)</f>
        <v>0.05</v>
      </c>
      <c r="Y352" s="184"/>
      <c r="Z352" s="221">
        <f>S352*SQRT(X352^2+Y352^2)</f>
        <v>0</v>
      </c>
      <c r="AA352" s="221">
        <f>T352*SQRT(X352^2+Y352^2)</f>
        <v>0</v>
      </c>
      <c r="AB352" s="211">
        <f>SQRT(Z352^2+AA352^2)</f>
        <v>0</v>
      </c>
      <c r="AF352" s="184"/>
      <c r="AG352" s="221">
        <f>S352*AF352</f>
        <v>0</v>
      </c>
      <c r="AH352" s="224">
        <f>T352*AF352</f>
        <v>0</v>
      </c>
      <c r="AI352" s="210">
        <f>AG352+AH352</f>
        <v>0</v>
      </c>
      <c r="AJ352" s="184"/>
      <c r="AK352" s="221">
        <f>S352*AJ352</f>
        <v>0</v>
      </c>
      <c r="AL352" s="224">
        <f>T352*AJ352</f>
        <v>0</v>
      </c>
      <c r="AM352" s="211">
        <f>AK352+AL352</f>
        <v>0</v>
      </c>
      <c r="AS352" s="717">
        <f>G352*VLOOKUP($B352,'Emissions factors'!$B$84:$AQ$147,11,FALSE)+J352*VLOOKUP($B352,'Emissions factors'!$B$84:$AQ$147,13,FALSE)+M352*VLOOKUP($B352,'Emissions factors'!$B$84:$AQ$147,15,FALSE)+P352*VLOOKUP($B352,'Emissions factors'!$B$84:$AQ$147,17,FALSE)</f>
        <v>0</v>
      </c>
      <c r="AT352" s="718">
        <f>G352*VLOOKUP($B352,'Emissions factors'!$B$84:$AQ$147,12,FALSE)+J352*VLOOKUP($B352,'Emissions factors'!$B$84:$AQ$147,14,FALSE)+M352*VLOOKUP($B352,'Emissions factors'!$B$84:$AQ$147,16,FALSE)+P352*VLOOKUP($B352,'Emissions factors'!$B$84:$AQ$147,18,FALSE)</f>
        <v>0</v>
      </c>
      <c r="AU352" s="718">
        <f>G352*VLOOKUP($B352,'Emissions factors'!$B$84:$AQ$147,19,FALSE)+J352*VLOOKUP($B352,'Emissions factors'!$B$84:$AQ$147,21,FALSE)+M352*VLOOKUP($B352,'Emissions factors'!$B$84:$AQ$147,23,FALSE)+P352*VLOOKUP($B352,'Emissions factors'!$B$84:$AQ$147,25,FALSE)</f>
        <v>0</v>
      </c>
      <c r="AV352" s="718">
        <f>G352*VLOOKUP($B352,'Emissions factors'!$B$84:$AQ$147,20,FALSE)+J352*VLOOKUP($B352,'Emissions factors'!$B$84:$AQ$147,22,FALSE)+M352*VLOOKUP($B352,'Emissions factors'!$B$84:$AQ$147,24,FALSE)+P352*VLOOKUP($B352,'Emissions factors'!$B$84:$AQ$147,26,FALSE)</f>
        <v>0</v>
      </c>
      <c r="AW352" s="718">
        <f>G352*VLOOKUP($B352,'Emissions factors'!$B$84:$AQ$147,27,FALSE)+J352*VLOOKUP($B352,'Emissions factors'!$B$84:$AQ$147,29,FALSE)+M352*VLOOKUP($B352,'Emissions factors'!$B$84:$AQ$147,31,FALSE)+P352*VLOOKUP($B352,'Emissions factors'!$B$84:$AQ$147,33,FALSE)</f>
        <v>0</v>
      </c>
      <c r="AX352" s="718">
        <f>G352*VLOOKUP($B352,'Emissions factors'!$B$84:$AQ$147,28,FALSE)+J352*VLOOKUP($B352,'Emissions factors'!$B$84:$AQ$147,30,FALSE)+M352*VLOOKUP($B352,'Emissions factors'!$B$84:$AQ$147,32,FALSE)+P352*VLOOKUP($B352,'Emissions factors'!$B$84:$AQ$147,34,FALSE)</f>
        <v>0</v>
      </c>
      <c r="AY352" s="718">
        <v>0</v>
      </c>
      <c r="AZ352" s="718">
        <v>0</v>
      </c>
      <c r="BA352" s="719">
        <f t="shared" ref="BA352:BB354" si="147">S352</f>
        <v>0</v>
      </c>
      <c r="BB352" s="720">
        <f t="shared" si="147"/>
        <v>0</v>
      </c>
      <c r="BC352" s="718">
        <f>G352*VLOOKUP($B352,'Emissions factors'!$B$84:$AQ$147,35,FALSE)+J352*VLOOKUP($B352,'Emissions factors'!$B$84:$AQ$147,37,FALSE)+M352*VLOOKUP($B352,'Emissions factors'!$B$84:$AQ$147,39,FALSE)+P352*VLOOKUP($B352,'Emissions factors'!$B$84:$AQ$147,41,FALSE)</f>
        <v>0</v>
      </c>
      <c r="BD352" s="721">
        <f>G352*VLOOKUP($B352,'Emissions factors'!$B$84:$AQ$147,36,FALSE)+J352*VLOOKUP($B352,'Emissions factors'!$B$84:$AQ$147,38,FALSE)+M352*VLOOKUP($B352,'Emissions factors'!$B$84:$AQ$147,40,FALSE)+P352*VLOOKUP($B352,'Emissions factors'!$B$84:$AQ$147,42,FALSE)</f>
        <v>0</v>
      </c>
    </row>
    <row r="353" spans="2:56" ht="12.75" hidden="1" customHeight="1" outlineLevel="1" x14ac:dyDescent="0.2">
      <c r="B353" s="200" t="s">
        <v>814</v>
      </c>
      <c r="C353" s="201"/>
      <c r="D353" s="262">
        <f>S353+T353</f>
        <v>0</v>
      </c>
      <c r="E353" s="265">
        <f>D353*12/44</f>
        <v>0</v>
      </c>
      <c r="F353" s="185"/>
      <c r="G353" s="185"/>
      <c r="H353" s="271">
        <f>VLOOKUP($B353,'Emissions factors'!$B$84:$K$147,2,FALSE)</f>
        <v>676.2</v>
      </c>
      <c r="I353" s="271">
        <f>VLOOKUP($B353,'Emissions factors'!$B$84:$K$147,3,FALSE)</f>
        <v>3169.22</v>
      </c>
      <c r="J353" s="185"/>
      <c r="K353" s="277">
        <f>VLOOKUP($B353,'Emissions factors'!$B$84:$K$147,4,FALSE)</f>
        <v>5.8999999999999997E-2</v>
      </c>
      <c r="L353" s="277">
        <f>VLOOKUP($B353,'Emissions factors'!$B$84:$K$147,5,FALSE)</f>
        <v>0.271646</v>
      </c>
      <c r="M353" s="185"/>
      <c r="N353" s="271">
        <f>VLOOKUP($B353,'Emissions factors'!$B$84:$K$147,6,FALSE)</f>
        <v>676.2</v>
      </c>
      <c r="O353" s="271">
        <f>VLOOKUP($B353,'Emissions factors'!$B$84:$K$147,7,FALSE)</f>
        <v>3169.22</v>
      </c>
      <c r="P353" s="185"/>
      <c r="Q353" s="277">
        <f>VLOOKUP($B353,'Emissions factors'!$B$84:$K$147,8,FALSE)</f>
        <v>0.5706</v>
      </c>
      <c r="R353" s="277">
        <f>VLOOKUP($B353,'Emissions factors'!$B$84:$K$147,9,FALSE)</f>
        <v>2.48</v>
      </c>
      <c r="S353" s="210">
        <f>G353*H353+J353*K353+M353*N353+P353*Q353</f>
        <v>0</v>
      </c>
      <c r="T353" s="211">
        <f>G353*I353+J353*L353+M353*O353+P353*R353</f>
        <v>0</v>
      </c>
      <c r="U353" s="42"/>
      <c r="X353" s="282">
        <f>VLOOKUP($B353,'Emissions factors'!$B$84:$K$147,10,FALSE)</f>
        <v>0.05</v>
      </c>
      <c r="Y353" s="187"/>
      <c r="Z353" s="221">
        <f>S353*SQRT(X353^2+Y353^2)</f>
        <v>0</v>
      </c>
      <c r="AA353" s="221">
        <f>T353*SQRT(X353^2+Y353^2)</f>
        <v>0</v>
      </c>
      <c r="AB353" s="211">
        <f>SQRT(Z353^2+AA353^2)</f>
        <v>0</v>
      </c>
      <c r="AF353" s="187"/>
      <c r="AG353" s="221">
        <f>S353*AF353</f>
        <v>0</v>
      </c>
      <c r="AH353" s="224">
        <f>T353*AF353</f>
        <v>0</v>
      </c>
      <c r="AI353" s="210">
        <f>AG353+AH353</f>
        <v>0</v>
      </c>
      <c r="AJ353" s="187"/>
      <c r="AK353" s="221">
        <f>S353*AJ353</f>
        <v>0</v>
      </c>
      <c r="AL353" s="224">
        <f>T353*AJ353</f>
        <v>0</v>
      </c>
      <c r="AM353" s="211">
        <f>AK353+AL353</f>
        <v>0</v>
      </c>
      <c r="AS353" s="717">
        <f>G353*VLOOKUP($B353,'Emissions factors'!$B$84:$AQ$147,11,FALSE)+J353*VLOOKUP($B353,'Emissions factors'!$B$84:$AQ$147,13,FALSE)+M353*VLOOKUP($B353,'Emissions factors'!$B$84:$AQ$147,15,FALSE)+P353*VLOOKUP($B353,'Emissions factors'!$B$84:$AQ$147,17,FALSE)</f>
        <v>0</v>
      </c>
      <c r="AT353" s="718">
        <f>G353*VLOOKUP($B353,'Emissions factors'!$B$84:$AQ$147,12,FALSE)+J353*VLOOKUP($B353,'Emissions factors'!$B$84:$AQ$147,14,FALSE)+M353*VLOOKUP($B353,'Emissions factors'!$B$84:$AQ$147,16,FALSE)+P353*VLOOKUP($B353,'Emissions factors'!$B$84:$AQ$147,18,FALSE)</f>
        <v>0</v>
      </c>
      <c r="AU353" s="718">
        <f>G353*VLOOKUP($B353,'Emissions factors'!$B$84:$AQ$147,19,FALSE)+J353*VLOOKUP($B353,'Emissions factors'!$B$84:$AQ$147,21,FALSE)+M353*VLOOKUP($B353,'Emissions factors'!$B$84:$AQ$147,23,FALSE)+P353*VLOOKUP($B353,'Emissions factors'!$B$84:$AQ$147,25,FALSE)</f>
        <v>0</v>
      </c>
      <c r="AV353" s="718">
        <f>G353*VLOOKUP($B353,'Emissions factors'!$B$84:$AQ$147,20,FALSE)+J353*VLOOKUP($B353,'Emissions factors'!$B$84:$AQ$147,22,FALSE)+M353*VLOOKUP($B353,'Emissions factors'!$B$84:$AQ$147,24,FALSE)+P353*VLOOKUP($B353,'Emissions factors'!$B$84:$AQ$147,26,FALSE)</f>
        <v>0</v>
      </c>
      <c r="AW353" s="718">
        <f>G353*VLOOKUP($B353,'Emissions factors'!$B$84:$AQ$147,27,FALSE)+J353*VLOOKUP($B353,'Emissions factors'!$B$84:$AQ$147,29,FALSE)+M353*VLOOKUP($B353,'Emissions factors'!$B$84:$AQ$147,31,FALSE)+P353*VLOOKUP($B353,'Emissions factors'!$B$84:$AQ$147,33,FALSE)</f>
        <v>0</v>
      </c>
      <c r="AX353" s="718">
        <f>G353*VLOOKUP($B353,'Emissions factors'!$B$84:$AQ$147,28,FALSE)+J353*VLOOKUP($B353,'Emissions factors'!$B$84:$AQ$147,30,FALSE)+M353*VLOOKUP($B353,'Emissions factors'!$B$84:$AQ$147,32,FALSE)+P353*VLOOKUP($B353,'Emissions factors'!$B$84:$AQ$147,34,FALSE)</f>
        <v>0</v>
      </c>
      <c r="AY353" s="718">
        <v>0</v>
      </c>
      <c r="AZ353" s="718">
        <v>0</v>
      </c>
      <c r="BA353" s="719">
        <f t="shared" si="147"/>
        <v>0</v>
      </c>
      <c r="BB353" s="720">
        <f t="shared" si="147"/>
        <v>0</v>
      </c>
      <c r="BC353" s="718">
        <f>G353*VLOOKUP($B353,'Emissions factors'!$B$84:$AQ$147,35,FALSE)+J353*VLOOKUP($B353,'Emissions factors'!$B$84:$AQ$147,37,FALSE)+M353*VLOOKUP($B353,'Emissions factors'!$B$84:$AQ$147,39,FALSE)+P353*VLOOKUP($B353,'Emissions factors'!$B$84:$AQ$147,41,FALSE)</f>
        <v>0</v>
      </c>
      <c r="BD353" s="721">
        <f>G353*VLOOKUP($B353,'Emissions factors'!$B$84:$AQ$147,36,FALSE)+J353*VLOOKUP($B353,'Emissions factors'!$B$84:$AQ$147,38,FALSE)+M353*VLOOKUP($B353,'Emissions factors'!$B$84:$AQ$147,40,FALSE)+P353*VLOOKUP($B353,'Emissions factors'!$B$84:$AQ$147,42,FALSE)</f>
        <v>0</v>
      </c>
    </row>
    <row r="354" spans="2:56" ht="12.75" hidden="1" customHeight="1" outlineLevel="1" x14ac:dyDescent="0.2">
      <c r="B354" s="200" t="s">
        <v>815</v>
      </c>
      <c r="C354" s="201"/>
      <c r="D354" s="262">
        <f>S354+T354</f>
        <v>0</v>
      </c>
      <c r="E354" s="265">
        <f>D354*12/44</f>
        <v>0</v>
      </c>
      <c r="F354" s="188"/>
      <c r="G354" s="188"/>
      <c r="H354" s="271">
        <f>VLOOKUP($B354,'Emissions factors'!$B$84:$K$147,2,FALSE)</f>
        <v>676.2</v>
      </c>
      <c r="I354" s="271">
        <f>VLOOKUP($B354,'Emissions factors'!$B$84:$K$147,3,FALSE)</f>
        <v>3169.22</v>
      </c>
      <c r="J354" s="188"/>
      <c r="K354" s="277">
        <f>VLOOKUP($B354,'Emissions factors'!$B$84:$K$147,4,FALSE)</f>
        <v>5.8999999999999997E-2</v>
      </c>
      <c r="L354" s="277">
        <f>VLOOKUP($B354,'Emissions factors'!$B$84:$K$147,5,FALSE)</f>
        <v>0.271646</v>
      </c>
      <c r="M354" s="188"/>
      <c r="N354" s="271">
        <f>VLOOKUP($B354,'Emissions factors'!$B$84:$K$147,6,FALSE)</f>
        <v>676.2</v>
      </c>
      <c r="O354" s="271">
        <f>VLOOKUP($B354,'Emissions factors'!$B$84:$K$147,7,FALSE)</f>
        <v>3169.22</v>
      </c>
      <c r="P354" s="188"/>
      <c r="Q354" s="277">
        <f>VLOOKUP($B354,'Emissions factors'!$B$84:$K$147,8,FALSE)</f>
        <v>0.5706</v>
      </c>
      <c r="R354" s="277">
        <f>VLOOKUP($B354,'Emissions factors'!$B$84:$K$147,9,FALSE)</f>
        <v>2.48</v>
      </c>
      <c r="S354" s="210">
        <f>G354*H354+J354*K354+M354*N354+P354*Q354</f>
        <v>0</v>
      </c>
      <c r="T354" s="211">
        <f>G354*I354+J354*L354+M354*O354+P354*R354</f>
        <v>0</v>
      </c>
      <c r="U354" s="42"/>
      <c r="X354" s="282">
        <f>VLOOKUP($B354,'Emissions factors'!$B$84:$K$147,10,FALSE)</f>
        <v>0.05</v>
      </c>
      <c r="Y354" s="190"/>
      <c r="Z354" s="221">
        <f>S354*SQRT(X354^2+Y354^2)</f>
        <v>0</v>
      </c>
      <c r="AA354" s="221">
        <f>T354*SQRT(X354^2+Y354^2)</f>
        <v>0</v>
      </c>
      <c r="AB354" s="211">
        <f>SQRT(Z354^2+AA354^2)</f>
        <v>0</v>
      </c>
      <c r="AF354" s="190"/>
      <c r="AG354" s="221">
        <f>S354*AF354</f>
        <v>0</v>
      </c>
      <c r="AH354" s="224">
        <f>T354*AF354</f>
        <v>0</v>
      </c>
      <c r="AI354" s="210">
        <f>AG354+AH354</f>
        <v>0</v>
      </c>
      <c r="AJ354" s="190"/>
      <c r="AK354" s="221">
        <f>S354*AJ354</f>
        <v>0</v>
      </c>
      <c r="AL354" s="224">
        <f>T354*AJ354</f>
        <v>0</v>
      </c>
      <c r="AM354" s="211">
        <f>AK354+AL354</f>
        <v>0</v>
      </c>
      <c r="AS354" s="717">
        <f>G354*VLOOKUP($B354,'Emissions factors'!$B$84:$AQ$147,11,FALSE)+J354*VLOOKUP($B354,'Emissions factors'!$B$84:$AQ$147,13,FALSE)+M354*VLOOKUP($B354,'Emissions factors'!$B$84:$AQ$147,15,FALSE)+P354*VLOOKUP($B354,'Emissions factors'!$B$84:$AQ$147,17,FALSE)</f>
        <v>0</v>
      </c>
      <c r="AT354" s="718">
        <f>G354*VLOOKUP($B354,'Emissions factors'!$B$84:$AQ$147,12,FALSE)+J354*VLOOKUP($B354,'Emissions factors'!$B$84:$AQ$147,14,FALSE)+M354*VLOOKUP($B354,'Emissions factors'!$B$84:$AQ$147,16,FALSE)+P354*VLOOKUP($B354,'Emissions factors'!$B$84:$AQ$147,18,FALSE)</f>
        <v>0</v>
      </c>
      <c r="AU354" s="718">
        <f>G354*VLOOKUP($B354,'Emissions factors'!$B$84:$AQ$147,19,FALSE)+J354*VLOOKUP($B354,'Emissions factors'!$B$84:$AQ$147,21,FALSE)+M354*VLOOKUP($B354,'Emissions factors'!$B$84:$AQ$147,23,FALSE)+P354*VLOOKUP($B354,'Emissions factors'!$B$84:$AQ$147,25,FALSE)</f>
        <v>0</v>
      </c>
      <c r="AV354" s="718">
        <f>G354*VLOOKUP($B354,'Emissions factors'!$B$84:$AQ$147,20,FALSE)+J354*VLOOKUP($B354,'Emissions factors'!$B$84:$AQ$147,22,FALSE)+M354*VLOOKUP($B354,'Emissions factors'!$B$84:$AQ$147,24,FALSE)+P354*VLOOKUP($B354,'Emissions factors'!$B$84:$AQ$147,26,FALSE)</f>
        <v>0</v>
      </c>
      <c r="AW354" s="718">
        <f>G354*VLOOKUP($B354,'Emissions factors'!$B$84:$AQ$147,27,FALSE)+J354*VLOOKUP($B354,'Emissions factors'!$B$84:$AQ$147,29,FALSE)+M354*VLOOKUP($B354,'Emissions factors'!$B$84:$AQ$147,31,FALSE)+P354*VLOOKUP($B354,'Emissions factors'!$B$84:$AQ$147,33,FALSE)</f>
        <v>0</v>
      </c>
      <c r="AX354" s="718">
        <f>G354*VLOOKUP($B354,'Emissions factors'!$B$84:$AQ$147,28,FALSE)+J354*VLOOKUP($B354,'Emissions factors'!$B$84:$AQ$147,30,FALSE)+M354*VLOOKUP($B354,'Emissions factors'!$B$84:$AQ$147,32,FALSE)+P354*VLOOKUP($B354,'Emissions factors'!$B$84:$AQ$147,34,FALSE)</f>
        <v>0</v>
      </c>
      <c r="AY354" s="718">
        <v>0</v>
      </c>
      <c r="AZ354" s="718">
        <v>0</v>
      </c>
      <c r="BA354" s="719">
        <f t="shared" si="147"/>
        <v>0</v>
      </c>
      <c r="BB354" s="720">
        <f t="shared" si="147"/>
        <v>0</v>
      </c>
      <c r="BC354" s="718">
        <f>G354*VLOOKUP($B354,'Emissions factors'!$B$84:$AQ$147,35,FALSE)+J354*VLOOKUP($B354,'Emissions factors'!$B$84:$AQ$147,37,FALSE)+M354*VLOOKUP($B354,'Emissions factors'!$B$84:$AQ$147,39,FALSE)+P354*VLOOKUP($B354,'Emissions factors'!$B$84:$AQ$147,41,FALSE)</f>
        <v>0</v>
      </c>
      <c r="BD354" s="721">
        <f>G354*VLOOKUP($B354,'Emissions factors'!$B$84:$AQ$147,36,FALSE)+J354*VLOOKUP($B354,'Emissions factors'!$B$84:$AQ$147,38,FALSE)+M354*VLOOKUP($B354,'Emissions factors'!$B$84:$AQ$147,40,FALSE)+P354*VLOOKUP($B354,'Emissions factors'!$B$84:$AQ$147,42,FALSE)</f>
        <v>0</v>
      </c>
    </row>
    <row r="355" spans="2:56" ht="12.75" hidden="1" customHeight="1" outlineLevel="1" x14ac:dyDescent="0.2">
      <c r="B355" s="200"/>
      <c r="C355" s="201"/>
      <c r="D355" s="263"/>
      <c r="E355" s="266"/>
      <c r="F355" s="410"/>
      <c r="G355" s="410"/>
      <c r="H355" s="273"/>
      <c r="I355" s="273"/>
      <c r="J355" s="410"/>
      <c r="K355" s="273"/>
      <c r="L355" s="273"/>
      <c r="M355" s="410"/>
      <c r="N355" s="273"/>
      <c r="O355" s="273"/>
      <c r="P355" s="410"/>
      <c r="Q355" s="273"/>
      <c r="R355" s="272"/>
      <c r="S355" s="210"/>
      <c r="T355" s="211"/>
      <c r="U355" s="42"/>
      <c r="X355" s="282"/>
      <c r="Y355" s="221"/>
      <c r="Z355" s="221"/>
      <c r="AA355" s="221"/>
      <c r="AB355" s="211"/>
      <c r="AF355" s="200"/>
      <c r="AG355" s="221"/>
      <c r="AH355" s="224"/>
      <c r="AI355" s="285"/>
      <c r="AJ355" s="224"/>
      <c r="AK355" s="221"/>
      <c r="AL355" s="224"/>
      <c r="AM355" s="211"/>
      <c r="AS355" s="717"/>
      <c r="AT355" s="718"/>
      <c r="AU355" s="718"/>
      <c r="AV355" s="718"/>
      <c r="AW355" s="718"/>
      <c r="AX355" s="718"/>
      <c r="AY355" s="718"/>
      <c r="AZ355" s="718"/>
      <c r="BA355" s="719"/>
      <c r="BB355" s="720"/>
      <c r="BC355" s="717"/>
      <c r="BD355" s="721"/>
    </row>
    <row r="356" spans="2:56" ht="12.75" hidden="1" customHeight="1" outlineLevel="1" x14ac:dyDescent="0.2">
      <c r="B356" s="200" t="s">
        <v>843</v>
      </c>
      <c r="C356" s="201"/>
      <c r="D356" s="262">
        <f>S356+T356</f>
        <v>0</v>
      </c>
      <c r="E356" s="265">
        <f>D356*12/44</f>
        <v>0</v>
      </c>
      <c r="F356" s="182"/>
      <c r="G356" s="182"/>
      <c r="H356" s="271">
        <f>VLOOKUP($B356,'Emissions factors'!$B$152:$K$165,2,FALSE)</f>
        <v>40.700000000000003</v>
      </c>
      <c r="I356" s="271">
        <f>VLOOKUP($B356,'Emissions factors'!$B$152:$K$165,3,FALSE)</f>
        <v>48.2</v>
      </c>
      <c r="J356" s="182"/>
      <c r="K356" s="277">
        <f>VLOOKUP($B356,'Emissions factors'!$B$152:$K$165,4,FALSE)</f>
        <v>1.115E-2</v>
      </c>
      <c r="L356" s="277">
        <f>VLOOKUP($B356,'Emissions factors'!$B$152:$K$165,5,FALSE)</f>
        <v>1.32E-2</v>
      </c>
      <c r="M356" s="182"/>
      <c r="N356" s="271">
        <f>VLOOKUP($B356,'Emissions factors'!$B$152:$K$165,6,FALSE)</f>
        <v>0</v>
      </c>
      <c r="O356" s="271">
        <f>VLOOKUP($B356,'Emissions factors'!$B$152:$K$165,7,FALSE)</f>
        <v>0</v>
      </c>
      <c r="P356" s="182"/>
      <c r="Q356" s="271">
        <f>VLOOKUP($B356,'Emissions factors'!$B$152:$K$165,8,FALSE)</f>
        <v>0</v>
      </c>
      <c r="R356" s="271">
        <f>VLOOKUP($B356,'Emissions factors'!$B$152:$K$165,9,FALSE)</f>
        <v>0</v>
      </c>
      <c r="S356" s="210">
        <f>G356*H356+J356*K356+M356*N356+P356*Q356</f>
        <v>0</v>
      </c>
      <c r="T356" s="211">
        <f>G356*I356+J356*L356+M356*O356+P356*R356</f>
        <v>0</v>
      </c>
      <c r="U356" s="42"/>
      <c r="X356" s="282">
        <f>VLOOKUP($B356,'Emissions factors'!$B$152:$K$165,10,FALSE)</f>
        <v>0.5</v>
      </c>
      <c r="Y356" s="184"/>
      <c r="Z356" s="221">
        <f>S356*SQRT(X356^2+Y356^2)</f>
        <v>0</v>
      </c>
      <c r="AA356" s="221">
        <f>T356*SQRT(X356^2+Y356^2)</f>
        <v>0</v>
      </c>
      <c r="AB356" s="211">
        <f>SQRT(Z356^2+AA356^2)</f>
        <v>0</v>
      </c>
      <c r="AF356" s="184"/>
      <c r="AG356" s="221">
        <f>S356*AF356</f>
        <v>0</v>
      </c>
      <c r="AH356" s="224">
        <f>T356*AF356</f>
        <v>0</v>
      </c>
      <c r="AI356" s="210">
        <f>AG356+AH356</f>
        <v>0</v>
      </c>
      <c r="AJ356" s="184"/>
      <c r="AK356" s="221">
        <f>S356*AJ356</f>
        <v>0</v>
      </c>
      <c r="AL356" s="224">
        <f>T356*AJ356</f>
        <v>0</v>
      </c>
      <c r="AM356" s="211">
        <f>AK356+AL356</f>
        <v>0</v>
      </c>
      <c r="AS356" s="717">
        <f>G356*VLOOKUP($B356,'Emissions factors'!$B$152:$AQ$165,11,FALSE)+J356*VLOOKUP($B356,'Emissions factors'!$B$152:$AQ$165,13,FALSE)+M356*VLOOKUP($B356,'Emissions factors'!$B$152:$AQ$165,15,FALSE)+P356*VLOOKUP($B356,'Emissions factors'!$B$152:$AQ$165,17,FALSE)</f>
        <v>0</v>
      </c>
      <c r="AT356" s="718">
        <f>G356*VLOOKUP($B356,'Emissions factors'!$B$152:$AQ$165,12,FALSE)+J356*VLOOKUP($B356,'Emissions factors'!$B$152:$AQ$165,14,FALSE)+M356*VLOOKUP($B356,'Emissions factors'!$B$152:$AQ$165,16,FALSE)+P356*VLOOKUP($B356,'Emissions factors'!$B$152:$AQ$165,18,FALSE)</f>
        <v>0</v>
      </c>
      <c r="AU356" s="718">
        <f>G356*VLOOKUP($B356,'Emissions factors'!$B$152:$AQ$165,19,FALSE)+J356*VLOOKUP($B356,'Emissions factors'!$B$152:$AQ$165,21,FALSE)+M356*VLOOKUP($B356,'Emissions factors'!$B$152:$AQ$165,23,FALSE)+P356*VLOOKUP($B356,'Emissions factors'!$B$152:$AQ$165,25,FALSE)</f>
        <v>0</v>
      </c>
      <c r="AV356" s="718">
        <f>G356*VLOOKUP($B356,'Emissions factors'!$B$152:$AQ$165,20,FALSE)+J356*VLOOKUP($B356,'Emissions factors'!$B$152:$AQ$165,22,FALSE)+M356*VLOOKUP($B356,'Emissions factors'!$B$152:$AQ$165,24,FALSE)+P356*VLOOKUP($B356,'Emissions factors'!$B$152:$AQ$165,26,FALSE)</f>
        <v>0</v>
      </c>
      <c r="AW356" s="718">
        <f>G356*VLOOKUP($B356,'Emissions factors'!$B$152:$AQ$165,27,FALSE)+J356*VLOOKUP($B356,'Emissions factors'!$B$152:$AQ$165,29,FALSE)+M356*VLOOKUP($B356,'Emissions factors'!$B$152:$AQ$165,31,FALSE)+P356*VLOOKUP($B356,'Emissions factors'!$B$152:$AQ$165,33,FALSE)</f>
        <v>0</v>
      </c>
      <c r="AX356" s="718">
        <f>G356*VLOOKUP($B356,'Emissions factors'!$B$152:$AQ$165,28,FALSE)+J356*VLOOKUP($B356,'Emissions factors'!$B$152:$AQ$165,30,FALSE)+M356*VLOOKUP($B356,'Emissions factors'!$B$152:$AQ$165,32,FALSE)+P356*VLOOKUP($B356,'Emissions factors'!$B$152:$AQ$165,34,FALSE)</f>
        <v>0</v>
      </c>
      <c r="AY356" s="718">
        <v>0</v>
      </c>
      <c r="AZ356" s="718">
        <v>0</v>
      </c>
      <c r="BA356" s="719">
        <f>S356</f>
        <v>0</v>
      </c>
      <c r="BB356" s="720">
        <f>T356</f>
        <v>0</v>
      </c>
      <c r="BC356" s="717">
        <f>G356*VLOOKUP($B356,'Emissions factors'!$B$152:$AQ$165,35,FALSE)+J356*VLOOKUP($B356,'Emissions factors'!$B$152:$AQ$165,37,FALSE)+M356*VLOOKUP($B356,'Emissions factors'!$B$152:$AQ$165,39,FALSE)+P356*VLOOKUP($B356,'Emissions factors'!$B$152:$AQ$165,41,FALSE)</f>
        <v>0</v>
      </c>
      <c r="BD356" s="721">
        <f>G356*VLOOKUP($B356,'Emissions factors'!$B$152:$AQ$165,36,FALSE)+J356*VLOOKUP($B356,'Emissions factors'!$B$152:$AQ$165,38,FALSE)+M356*VLOOKUP($B356,'Emissions factors'!$B$152:$AQ$165,40,FALSE)+P356*VLOOKUP($B356,'Emissions factors'!$B$152:$AQ$165,42,FALSE)</f>
        <v>0</v>
      </c>
    </row>
    <row r="357" spans="2:56" ht="12.75" hidden="1" customHeight="1" outlineLevel="1" x14ac:dyDescent="0.2">
      <c r="B357" s="200" t="s">
        <v>842</v>
      </c>
      <c r="C357" s="201"/>
      <c r="D357" s="262">
        <f>S357+T357</f>
        <v>0</v>
      </c>
      <c r="E357" s="265">
        <f>D357*12/44</f>
        <v>0</v>
      </c>
      <c r="F357" s="188"/>
      <c r="G357" s="188"/>
      <c r="H357" s="271">
        <f>VLOOKUP($B357,'Emissions factors'!$B$152:$K$165,2,FALSE)</f>
        <v>59.7</v>
      </c>
      <c r="I357" s="271">
        <f>VLOOKUP($B357,'Emissions factors'!$B$152:$K$165,3,FALSE)</f>
        <v>51.1</v>
      </c>
      <c r="J357" s="188"/>
      <c r="K357" s="277">
        <f>VLOOKUP($B357,'Emissions factors'!$B$152:$K$165,4,FALSE)</f>
        <v>1.6379999999999999E-2</v>
      </c>
      <c r="L357" s="277">
        <f>VLOOKUP($B357,'Emissions factors'!$B$152:$K$165,5,FALSE)</f>
        <v>1.4E-2</v>
      </c>
      <c r="M357" s="188"/>
      <c r="N357" s="271">
        <f>VLOOKUP($B357,'Emissions factors'!$B$152:$K$165,6,FALSE)</f>
        <v>0</v>
      </c>
      <c r="O357" s="271">
        <f>VLOOKUP($B357,'Emissions factors'!$B$152:$K$165,7,FALSE)</f>
        <v>0</v>
      </c>
      <c r="P357" s="188"/>
      <c r="Q357" s="271">
        <f>VLOOKUP($B357,'Emissions factors'!$B$152:$K$165,8,FALSE)</f>
        <v>0</v>
      </c>
      <c r="R357" s="271">
        <f>VLOOKUP($B357,'Emissions factors'!$B$152:$K$165,9,FALSE)</f>
        <v>0</v>
      </c>
      <c r="S357" s="210">
        <f>G357*H357+J357*K357+M357*N357+P357*Q357</f>
        <v>0</v>
      </c>
      <c r="T357" s="211">
        <f>G357*I357+J357*L357+M357*O357+P357*R357</f>
        <v>0</v>
      </c>
      <c r="U357" s="42"/>
      <c r="X357" s="282">
        <f>VLOOKUP($B357,'Emissions factors'!$B$152:$K$165,10,FALSE)</f>
        <v>0.5</v>
      </c>
      <c r="Y357" s="190"/>
      <c r="Z357" s="221">
        <f>S357*SQRT(X357^2+Y357^2)</f>
        <v>0</v>
      </c>
      <c r="AA357" s="221">
        <f>T357*SQRT(X357^2+Y357^2)</f>
        <v>0</v>
      </c>
      <c r="AB357" s="211">
        <f>SQRT(Z357^2+AA357^2)</f>
        <v>0</v>
      </c>
      <c r="AF357" s="190"/>
      <c r="AG357" s="221">
        <f>S357*AF357</f>
        <v>0</v>
      </c>
      <c r="AH357" s="224">
        <f>T357*AF357</f>
        <v>0</v>
      </c>
      <c r="AI357" s="210">
        <f>AG357+AH357</f>
        <v>0</v>
      </c>
      <c r="AJ357" s="190"/>
      <c r="AK357" s="221">
        <f>S357*AJ357</f>
        <v>0</v>
      </c>
      <c r="AL357" s="224">
        <f>T357*AJ357</f>
        <v>0</v>
      </c>
      <c r="AM357" s="211">
        <f>AK357+AL357</f>
        <v>0</v>
      </c>
      <c r="AS357" s="717">
        <f>G357*VLOOKUP($B357,'Emissions factors'!$B$152:$AQ$165,11,FALSE)+J357*VLOOKUP($B357,'Emissions factors'!$B$152:$AQ$165,13,FALSE)+M357*VLOOKUP($B357,'Emissions factors'!$B$152:$AQ$165,15,FALSE)+P357*VLOOKUP($B357,'Emissions factors'!$B$152:$AQ$165,17,FALSE)</f>
        <v>0</v>
      </c>
      <c r="AT357" s="718">
        <f>G357*VLOOKUP($B357,'Emissions factors'!$B$152:$AQ$165,12,FALSE)+J357*VLOOKUP($B357,'Emissions factors'!$B$152:$AQ$165,14,FALSE)+M357*VLOOKUP($B357,'Emissions factors'!$B$152:$AQ$165,16,FALSE)+P357*VLOOKUP($B357,'Emissions factors'!$B$152:$AQ$165,18,FALSE)</f>
        <v>0</v>
      </c>
      <c r="AU357" s="718">
        <f>G357*VLOOKUP($B357,'Emissions factors'!$B$152:$AQ$165,19,FALSE)+J357*VLOOKUP($B357,'Emissions factors'!$B$152:$AQ$165,21,FALSE)+M357*VLOOKUP($B357,'Emissions factors'!$B$152:$AQ$165,23,FALSE)+P357*VLOOKUP($B357,'Emissions factors'!$B$152:$AQ$165,25,FALSE)</f>
        <v>0</v>
      </c>
      <c r="AV357" s="718">
        <f>G357*VLOOKUP($B357,'Emissions factors'!$B$152:$AQ$165,20,FALSE)+J357*VLOOKUP($B357,'Emissions factors'!$B$152:$AQ$165,22,FALSE)+M357*VLOOKUP($B357,'Emissions factors'!$B$152:$AQ$165,24,FALSE)+P357*VLOOKUP($B357,'Emissions factors'!$B$152:$AQ$165,26,FALSE)</f>
        <v>0</v>
      </c>
      <c r="AW357" s="718">
        <f>G357*VLOOKUP($B357,'Emissions factors'!$B$152:$AQ$165,27,FALSE)+J357*VLOOKUP($B357,'Emissions factors'!$B$152:$AQ$165,29,FALSE)+M357*VLOOKUP($B357,'Emissions factors'!$B$152:$AQ$165,31,FALSE)+P357*VLOOKUP($B357,'Emissions factors'!$B$152:$AQ$165,33,FALSE)</f>
        <v>0</v>
      </c>
      <c r="AX357" s="718">
        <f>G357*VLOOKUP($B357,'Emissions factors'!$B$152:$AQ$165,28,FALSE)+J357*VLOOKUP($B357,'Emissions factors'!$B$152:$AQ$165,30,FALSE)+M357*VLOOKUP($B357,'Emissions factors'!$B$152:$AQ$165,32,FALSE)+P357*VLOOKUP($B357,'Emissions factors'!$B$152:$AQ$165,34,FALSE)</f>
        <v>0</v>
      </c>
      <c r="AY357" s="718">
        <v>0</v>
      </c>
      <c r="AZ357" s="718">
        <v>0</v>
      </c>
      <c r="BA357" s="719">
        <f>S357</f>
        <v>0</v>
      </c>
      <c r="BB357" s="720">
        <f>T357</f>
        <v>0</v>
      </c>
      <c r="BC357" s="717">
        <f>G357*VLOOKUP($B357,'Emissions factors'!$B$152:$AQ$165,35,FALSE)+J357*VLOOKUP($B357,'Emissions factors'!$B$152:$AQ$165,37,FALSE)+M357*VLOOKUP($B357,'Emissions factors'!$B$152:$AQ$165,39,FALSE)+P357*VLOOKUP($B357,'Emissions factors'!$B$152:$AQ$165,41,FALSE)</f>
        <v>0</v>
      </c>
      <c r="BD357" s="721">
        <f>G357*VLOOKUP($B357,'Emissions factors'!$B$152:$AQ$165,36,FALSE)+J357*VLOOKUP($B357,'Emissions factors'!$B$152:$AQ$165,38,FALSE)+M357*VLOOKUP($B357,'Emissions factors'!$B$152:$AQ$165,40,FALSE)+P357*VLOOKUP($B357,'Emissions factors'!$B$152:$AQ$165,42,FALSE)</f>
        <v>0</v>
      </c>
    </row>
    <row r="358" spans="2:56" ht="12.75" hidden="1" customHeight="1" outlineLevel="1" x14ac:dyDescent="0.2">
      <c r="B358" s="213"/>
      <c r="C358" s="214"/>
      <c r="D358" s="275"/>
      <c r="E358" s="268"/>
      <c r="F358" s="214"/>
      <c r="G358" s="214"/>
      <c r="H358" s="214"/>
      <c r="I358" s="214"/>
      <c r="J358" s="214"/>
      <c r="K358" s="214"/>
      <c r="L358" s="214"/>
      <c r="M358" s="214"/>
      <c r="N358" s="214"/>
      <c r="O358" s="214"/>
      <c r="P358" s="214"/>
      <c r="Q358" s="214"/>
      <c r="R358" s="214"/>
      <c r="S358" s="463"/>
      <c r="T358" s="215"/>
      <c r="U358" s="42"/>
      <c r="X358" s="213"/>
      <c r="Y358" s="214"/>
      <c r="Z358" s="214"/>
      <c r="AA358" s="214"/>
      <c r="AB358" s="433"/>
      <c r="AC358" s="32"/>
      <c r="AF358" s="213"/>
      <c r="AG358" s="214"/>
      <c r="AH358" s="214"/>
      <c r="AI358" s="269"/>
      <c r="AJ358" s="214"/>
      <c r="AK358" s="214"/>
      <c r="AL358" s="214"/>
      <c r="AM358" s="433"/>
      <c r="AS358" s="717"/>
      <c r="AT358" s="718"/>
      <c r="AU358" s="718"/>
      <c r="AV358" s="718"/>
      <c r="AW358" s="718"/>
      <c r="AX358" s="718"/>
      <c r="AY358" s="718"/>
      <c r="AZ358" s="718"/>
      <c r="BA358" s="719"/>
      <c r="BB358" s="720"/>
      <c r="BC358" s="722"/>
      <c r="BD358" s="723"/>
    </row>
    <row r="359" spans="2:56" ht="12.75" hidden="1" customHeight="1" outlineLevel="1" x14ac:dyDescent="0.2">
      <c r="B359" s="253" t="s">
        <v>2828</v>
      </c>
      <c r="C359" s="254"/>
      <c r="D359" s="264">
        <f>SUM(D352:D358)</f>
        <v>0</v>
      </c>
      <c r="E359" s="267">
        <f>SUM(E352:E358)</f>
        <v>0</v>
      </c>
      <c r="F359" s="255"/>
      <c r="G359" s="256"/>
      <c r="H359" s="256"/>
      <c r="I359" s="256"/>
      <c r="J359" s="256"/>
      <c r="K359" s="256"/>
      <c r="L359" s="256"/>
      <c r="M359" s="256"/>
      <c r="N359" s="256"/>
      <c r="O359" s="256"/>
      <c r="P359" s="256"/>
      <c r="Q359" s="256"/>
      <c r="R359" s="256"/>
      <c r="S359" s="259">
        <f>SUM(S352:S358)</f>
        <v>0</v>
      </c>
      <c r="T359" s="257">
        <f>SUM(T352:T358)</f>
        <v>0</v>
      </c>
      <c r="U359" s="42"/>
      <c r="X359" s="258"/>
      <c r="Y359" s="256"/>
      <c r="Z359" s="260">
        <f>SQRT(SUMSQ(Z352:Z358))</f>
        <v>0</v>
      </c>
      <c r="AA359" s="260">
        <f>SQRT(SUMSQ(AA352:AA358))</f>
        <v>0</v>
      </c>
      <c r="AB359" s="257">
        <f>SQRT(SUMSQ(AB352:AB358))</f>
        <v>0</v>
      </c>
      <c r="AC359" s="32"/>
      <c r="AF359" s="258"/>
      <c r="AG359" s="260">
        <f>SUM(AG352:AG358)</f>
        <v>0</v>
      </c>
      <c r="AH359" s="260">
        <f>SUM(AH352:AH358)</f>
        <v>0</v>
      </c>
      <c r="AI359" s="259">
        <f>SUM(AI352:AI358)</f>
        <v>0</v>
      </c>
      <c r="AJ359" s="256"/>
      <c r="AK359" s="260">
        <f>SUM(AK352:AK358)</f>
        <v>0</v>
      </c>
      <c r="AL359" s="260">
        <f>SUM(AL352:AL358)</f>
        <v>0</v>
      </c>
      <c r="AM359" s="257">
        <f>SUM(AM352:AM358)</f>
        <v>0</v>
      </c>
      <c r="AS359" s="724">
        <f t="shared" ref="AS359:BD359" si="148">SUM(AS352:AS358)</f>
        <v>0</v>
      </c>
      <c r="AT359" s="725">
        <f t="shared" si="148"/>
        <v>0</v>
      </c>
      <c r="AU359" s="725">
        <f t="shared" si="148"/>
        <v>0</v>
      </c>
      <c r="AV359" s="725">
        <f t="shared" si="148"/>
        <v>0</v>
      </c>
      <c r="AW359" s="725">
        <f t="shared" si="148"/>
        <v>0</v>
      </c>
      <c r="AX359" s="725">
        <f t="shared" si="148"/>
        <v>0</v>
      </c>
      <c r="AY359" s="725">
        <f t="shared" si="148"/>
        <v>0</v>
      </c>
      <c r="AZ359" s="725">
        <f t="shared" si="148"/>
        <v>0</v>
      </c>
      <c r="BA359" s="726">
        <f t="shared" si="148"/>
        <v>0</v>
      </c>
      <c r="BB359" s="727">
        <f t="shared" si="148"/>
        <v>0</v>
      </c>
      <c r="BC359" s="724">
        <f t="shared" si="148"/>
        <v>0</v>
      </c>
      <c r="BD359" s="728">
        <f t="shared" si="148"/>
        <v>0</v>
      </c>
    </row>
    <row r="360" spans="2:56" ht="12.75" hidden="1" customHeight="1" outlineLevel="1" x14ac:dyDescent="0.2">
      <c r="P360" s="42"/>
      <c r="V360" s="32"/>
      <c r="W360" s="32"/>
      <c r="X360" s="32"/>
      <c r="Y360" s="32"/>
      <c r="Z360" s="32"/>
      <c r="AA360" s="32"/>
      <c r="AB360" s="32"/>
      <c r="BA360" s="743"/>
    </row>
    <row r="361" spans="2:56" ht="12.75" hidden="1" customHeight="1" outlineLevel="1" x14ac:dyDescent="0.2">
      <c r="B361" s="195" t="s">
        <v>2913</v>
      </c>
      <c r="C361" s="196"/>
      <c r="D361" s="196"/>
      <c r="E361" s="196"/>
      <c r="F361" s="198"/>
      <c r="G361" s="198"/>
      <c r="H361" s="198"/>
      <c r="I361" s="198"/>
      <c r="J361" s="198"/>
      <c r="K361" s="198"/>
      <c r="L361" s="198"/>
      <c r="M361" s="217"/>
      <c r="N361" s="217"/>
      <c r="O361" s="218"/>
      <c r="X361" s="1746" t="s">
        <v>723</v>
      </c>
      <c r="Y361" s="1747"/>
      <c r="Z361" s="1747"/>
      <c r="AA361" s="1747"/>
      <c r="AB361" s="1747"/>
      <c r="AC361" s="1748"/>
      <c r="AF361" s="1746" t="s">
        <v>2066</v>
      </c>
      <c r="AG361" s="1747"/>
      <c r="AH361" s="1747"/>
      <c r="AI361" s="1747"/>
      <c r="AJ361" s="1747"/>
      <c r="AK361" s="1747"/>
      <c r="AL361" s="1747"/>
      <c r="AM361" s="1747"/>
      <c r="AN361" s="1747"/>
      <c r="AO361" s="1748"/>
      <c r="AS361" s="1755" t="s">
        <v>2073</v>
      </c>
      <c r="AT361" s="1756"/>
      <c r="AU361" s="1756"/>
      <c r="AV361" s="1756"/>
      <c r="AW361" s="1756"/>
      <c r="AX361" s="1756"/>
      <c r="AY361" s="1756"/>
      <c r="AZ361" s="1756"/>
      <c r="BA361" s="1756"/>
      <c r="BB361" s="1756"/>
      <c r="BC361" s="1756"/>
      <c r="BD361" s="1757"/>
    </row>
    <row r="362" spans="2:56" ht="12.75" hidden="1" customHeight="1" outlineLevel="1" x14ac:dyDescent="0.2">
      <c r="B362" s="1369"/>
      <c r="C362" s="1370"/>
      <c r="D362" s="705"/>
      <c r="E362" s="705"/>
      <c r="F362" s="201"/>
      <c r="G362" s="201"/>
      <c r="H362" s="201"/>
      <c r="I362" s="201"/>
      <c r="J362" s="214"/>
      <c r="K362" s="201"/>
      <c r="L362" s="201"/>
      <c r="M362" s="1745" t="s">
        <v>2646</v>
      </c>
      <c r="N362" s="1745"/>
      <c r="O362" s="1378" t="s">
        <v>2639</v>
      </c>
      <c r="X362" s="216"/>
      <c r="Y362" s="217"/>
      <c r="Z362" s="705"/>
      <c r="AA362" s="705"/>
      <c r="AB362" s="705"/>
      <c r="AC362" s="1378" t="s">
        <v>2639</v>
      </c>
      <c r="AF362" s="216"/>
      <c r="AG362" s="705"/>
      <c r="AH362" s="705"/>
      <c r="AI362" s="705"/>
      <c r="AJ362" s="1465" t="s">
        <v>2639</v>
      </c>
      <c r="AK362" s="217"/>
      <c r="AL362" s="705"/>
      <c r="AM362" s="705"/>
      <c r="AN362" s="705"/>
      <c r="AO362" s="1468" t="s">
        <v>2639</v>
      </c>
      <c r="AS362" s="1758" t="s">
        <v>61</v>
      </c>
      <c r="AT362" s="1759"/>
      <c r="AU362" s="1759"/>
      <c r="AV362" s="1759"/>
      <c r="AW362" s="1759"/>
      <c r="AX362" s="1759"/>
      <c r="AY362" s="1759"/>
      <c r="AZ362" s="1759"/>
      <c r="BA362" s="1759" t="s">
        <v>61</v>
      </c>
      <c r="BB362" s="1760"/>
      <c r="BC362" s="730"/>
      <c r="BD362" s="731"/>
    </row>
    <row r="363" spans="2:56" ht="12.75" hidden="1" customHeight="1" outlineLevel="1" x14ac:dyDescent="0.2">
      <c r="B363" s="1629" t="s">
        <v>1365</v>
      </c>
      <c r="C363" s="1370"/>
      <c r="D363" s="1370" t="s">
        <v>56</v>
      </c>
      <c r="E363" s="1370" t="s">
        <v>56</v>
      </c>
      <c r="F363" s="205" t="s">
        <v>2634</v>
      </c>
      <c r="G363" s="205"/>
      <c r="H363" s="1744" t="s">
        <v>1308</v>
      </c>
      <c r="I363" s="1745"/>
      <c r="J363" s="205"/>
      <c r="K363" s="1744" t="s">
        <v>1281</v>
      </c>
      <c r="L363" s="1745"/>
      <c r="M363" s="705" t="s">
        <v>61</v>
      </c>
      <c r="N363" s="705" t="s">
        <v>61</v>
      </c>
      <c r="O363" s="1378" t="s">
        <v>30</v>
      </c>
      <c r="X363" s="1629" t="s">
        <v>2605</v>
      </c>
      <c r="Y363" s="1370" t="s">
        <v>2110</v>
      </c>
      <c r="Z363" s="1370" t="s">
        <v>61</v>
      </c>
      <c r="AA363" s="1370" t="s">
        <v>61</v>
      </c>
      <c r="AB363" s="705" t="s">
        <v>61</v>
      </c>
      <c r="AC363" s="1378" t="s">
        <v>30</v>
      </c>
      <c r="AF363" s="1466" t="s">
        <v>2065</v>
      </c>
      <c r="AG363" s="1465" t="s">
        <v>61</v>
      </c>
      <c r="AH363" s="1465" t="s">
        <v>61</v>
      </c>
      <c r="AI363" s="705" t="s">
        <v>61</v>
      </c>
      <c r="AJ363" s="1465" t="s">
        <v>30</v>
      </c>
      <c r="AK363" s="1465" t="s">
        <v>2558</v>
      </c>
      <c r="AL363" s="1465" t="s">
        <v>61</v>
      </c>
      <c r="AM363" s="1465" t="s">
        <v>61</v>
      </c>
      <c r="AN363" s="705" t="s">
        <v>61</v>
      </c>
      <c r="AO363" s="1468" t="s">
        <v>30</v>
      </c>
      <c r="AS363" s="1764" t="s">
        <v>14</v>
      </c>
      <c r="AT363" s="1761"/>
      <c r="AU363" s="1761" t="s">
        <v>60</v>
      </c>
      <c r="AV363" s="1761"/>
      <c r="AW363" s="1761" t="s">
        <v>27</v>
      </c>
      <c r="AX363" s="1761"/>
      <c r="AY363" s="1761" t="s">
        <v>2074</v>
      </c>
      <c r="AZ363" s="1761"/>
      <c r="BA363" s="1762" t="s">
        <v>41</v>
      </c>
      <c r="BB363" s="1763"/>
      <c r="BC363" s="1764" t="s">
        <v>85</v>
      </c>
      <c r="BD363" s="1765"/>
    </row>
    <row r="364" spans="2:56" ht="14.25" hidden="1" customHeight="1" outlineLevel="1" x14ac:dyDescent="0.2">
      <c r="B364" s="1369"/>
      <c r="C364" s="1370"/>
      <c r="D364" s="1370" t="s">
        <v>61</v>
      </c>
      <c r="E364" s="1370" t="s">
        <v>63</v>
      </c>
      <c r="F364" s="208" t="s">
        <v>2054</v>
      </c>
      <c r="G364" s="208" t="s">
        <v>57</v>
      </c>
      <c r="H364" s="1377" t="s">
        <v>768</v>
      </c>
      <c r="I364" s="1377" t="s">
        <v>24</v>
      </c>
      <c r="J364" s="208" t="s">
        <v>2635</v>
      </c>
      <c r="K364" s="1377" t="s">
        <v>768</v>
      </c>
      <c r="L364" s="1377" t="s">
        <v>24</v>
      </c>
      <c r="M364" s="1376" t="s">
        <v>768</v>
      </c>
      <c r="N364" s="1376" t="s">
        <v>24</v>
      </c>
      <c r="O364" s="1378" t="s">
        <v>61</v>
      </c>
      <c r="X364" s="1629" t="s">
        <v>2109</v>
      </c>
      <c r="Y364" s="1370"/>
      <c r="Z364" s="1377" t="s">
        <v>768</v>
      </c>
      <c r="AA364" s="1377" t="s">
        <v>24</v>
      </c>
      <c r="AB364" s="223" t="s">
        <v>41</v>
      </c>
      <c r="AC364" s="1378" t="s">
        <v>61</v>
      </c>
      <c r="AF364" s="1466"/>
      <c r="AG364" s="1467" t="s">
        <v>768</v>
      </c>
      <c r="AH364" s="1467" t="s">
        <v>24</v>
      </c>
      <c r="AI364" s="223" t="s">
        <v>41</v>
      </c>
      <c r="AJ364" s="1465" t="s">
        <v>61</v>
      </c>
      <c r="AK364" s="1465"/>
      <c r="AL364" s="1467" t="s">
        <v>768</v>
      </c>
      <c r="AM364" s="1467" t="s">
        <v>24</v>
      </c>
      <c r="AN364" s="223" t="s">
        <v>41</v>
      </c>
      <c r="AO364" s="1468" t="s">
        <v>61</v>
      </c>
      <c r="AS364" s="732" t="s">
        <v>768</v>
      </c>
      <c r="AT364" s="733" t="s">
        <v>24</v>
      </c>
      <c r="AU364" s="733" t="s">
        <v>768</v>
      </c>
      <c r="AV364" s="733" t="s">
        <v>24</v>
      </c>
      <c r="AW364" s="733" t="s">
        <v>768</v>
      </c>
      <c r="AX364" s="733" t="s">
        <v>24</v>
      </c>
      <c r="AY364" s="733" t="s">
        <v>768</v>
      </c>
      <c r="AZ364" s="733" t="s">
        <v>24</v>
      </c>
      <c r="BA364" s="734" t="s">
        <v>768</v>
      </c>
      <c r="BB364" s="735" t="s">
        <v>24</v>
      </c>
      <c r="BC364" s="732" t="s">
        <v>768</v>
      </c>
      <c r="BD364" s="736" t="s">
        <v>24</v>
      </c>
    </row>
    <row r="365" spans="2:56" ht="12.75" hidden="1" customHeight="1" outlineLevel="1" x14ac:dyDescent="0.2">
      <c r="B365" s="200" t="s">
        <v>1366</v>
      </c>
      <c r="C365" s="201"/>
      <c r="D365" s="262">
        <f>M365+N365</f>
        <v>0</v>
      </c>
      <c r="E365" s="265">
        <f>D365*12/44</f>
        <v>0</v>
      </c>
      <c r="F365" s="559"/>
      <c r="G365" s="182"/>
      <c r="H365" s="492">
        <f>VLOOKUP($B365,'Emissions factors'!$B$1336:$W$1341,2,FALSE)</f>
        <v>4.6049999999999997E-3</v>
      </c>
      <c r="I365" s="492">
        <f>VLOOKUP($B365,'Emissions factors'!$B$1336:$W$1341,3,FALSE)</f>
        <v>2.8481599999999999E-2</v>
      </c>
      <c r="J365" s="182"/>
      <c r="K365" s="789">
        <f>VLOOKUP($B365,'Emissions factors'!$B$1336:$W$1341,12,FALSE)</f>
        <v>16.78</v>
      </c>
      <c r="L365" s="789">
        <f>VLOOKUP($B365,'Emissions factors'!$B$1336:$W$1341,13,FALSE)</f>
        <v>103.6627</v>
      </c>
      <c r="M365" s="465">
        <f>G365*H365+J365*K365</f>
        <v>0</v>
      </c>
      <c r="N365" s="210">
        <f>G365*I365+J365*L365</f>
        <v>0</v>
      </c>
      <c r="O365" s="222">
        <f>IF(OR(F365='Info utili'!$G$532,F365='Info utili'!$G$537),N365,0)</f>
        <v>0</v>
      </c>
      <c r="X365" s="282">
        <f>VLOOKUP($B365,'Emissions factors'!$B$1336:$W$1341,22,FALSE)</f>
        <v>0.6</v>
      </c>
      <c r="Y365" s="184"/>
      <c r="Z365" s="221">
        <f>M365*SQRT(X365^2+Y365^2)</f>
        <v>0</v>
      </c>
      <c r="AA365" s="221">
        <f>N365*SQRT(X365^2+Y365^2)</f>
        <v>0</v>
      </c>
      <c r="AB365" s="210">
        <f>SQRT(Z365^2+AA365^2)</f>
        <v>0</v>
      </c>
      <c r="AC365" s="222">
        <f>O365*SQRT(X365^2+Y365^2)</f>
        <v>0</v>
      </c>
      <c r="AF365" s="183"/>
      <c r="AG365" s="221">
        <f t="shared" ref="AG365:AH367" si="149">$AF365*M365</f>
        <v>0</v>
      </c>
      <c r="AH365" s="221">
        <f t="shared" si="149"/>
        <v>0</v>
      </c>
      <c r="AI365" s="210">
        <f>AG365+AH365</f>
        <v>0</v>
      </c>
      <c r="AJ365" s="221">
        <f>AF365*O365</f>
        <v>0</v>
      </c>
      <c r="AK365" s="183"/>
      <c r="AL365" s="221">
        <f t="shared" ref="AL365:AM367" si="150">$AK365*M365</f>
        <v>0</v>
      </c>
      <c r="AM365" s="221">
        <f t="shared" si="150"/>
        <v>0</v>
      </c>
      <c r="AN365" s="210">
        <f>AL365+AM365</f>
        <v>0</v>
      </c>
      <c r="AO365" s="222">
        <f>AK365*O365</f>
        <v>0</v>
      </c>
      <c r="AS365" s="717">
        <f>G365*VLOOKUP($B365,'Emissions factors'!$B$1336:$W$1341,4,FALSE)+J365*VLOOKUP($B365,'Emissions factors'!$B$1336:$W$1341,14,FALSE)</f>
        <v>0</v>
      </c>
      <c r="AT365" s="718">
        <f>G365*VLOOKUP($B365,'Emissions factors'!$B$1336:$W$1341,5,FALSE)+J365*VLOOKUP($B365,'Emissions factors'!$B$1336:$W$1341,15,FALSE)</f>
        <v>0</v>
      </c>
      <c r="AU365" s="718">
        <f>G365*VLOOKUP($B365,'Emissions factors'!$B$1336:$W$1341,6,FALSE)+J365*VLOOKUP($B365,'Emissions factors'!$B$1336:$W$1341,16,FALSE)</f>
        <v>0</v>
      </c>
      <c r="AV365" s="718">
        <f>G365*VLOOKUP($B365,'Emissions factors'!$B$1336:$W$1341,7,FALSE)+J365*VLOOKUP($B365,'Emissions factors'!$B$1336:$W$1341,17,FALSE)</f>
        <v>0</v>
      </c>
      <c r="AW365" s="718">
        <f>G365*VLOOKUP($B365,'Emissions factors'!$B$1336:$W$1341,8,FALSE)+J365*VLOOKUP($B365,'Emissions factors'!$B$1336:$W$1341,18,FALSE)</f>
        <v>0</v>
      </c>
      <c r="AX365" s="718">
        <f>G365*VLOOKUP($B365,'Emissions factors'!$B$1336:$W$1341,9,FALSE)+J365*VLOOKUP($B365,'Emissions factors'!$B$1336:$W$1341,19,FALSE)</f>
        <v>0</v>
      </c>
      <c r="AY365" s="718">
        <v>0</v>
      </c>
      <c r="AZ365" s="718">
        <v>0</v>
      </c>
      <c r="BA365" s="719">
        <f t="shared" ref="BA365:BB367" si="151">M365</f>
        <v>0</v>
      </c>
      <c r="BB365" s="720">
        <f t="shared" si="151"/>
        <v>0</v>
      </c>
      <c r="BC365" s="717">
        <f>G365*VLOOKUP($B365,'Emissions factors'!$B$1336:$W$1341,10,FALSE)+J365*VLOOKUP($B365,'Emissions factors'!$B$1336:$W$1341,20,FALSE)</f>
        <v>0</v>
      </c>
      <c r="BD365" s="721">
        <f>G365*VLOOKUP($B365,'Emissions factors'!$B$1336:$W$1341,11,FALSE)+J365*VLOOKUP($B365,'Emissions factors'!$B$1336:$W$1341,21,FALSE)</f>
        <v>0</v>
      </c>
    </row>
    <row r="366" spans="2:56" ht="12.75" hidden="1" customHeight="1" outlineLevel="1" x14ac:dyDescent="0.2">
      <c r="B366" s="200" t="s">
        <v>1367</v>
      </c>
      <c r="C366" s="201"/>
      <c r="D366" s="262">
        <f>M366+N366</f>
        <v>0</v>
      </c>
      <c r="E366" s="265">
        <f>D366*12/44</f>
        <v>0</v>
      </c>
      <c r="F366" s="442"/>
      <c r="G366" s="185"/>
      <c r="H366" s="492">
        <f>VLOOKUP($B366,'Emissions factors'!$B$1336:$W$1341,2,FALSE)</f>
        <v>3.026E-3</v>
      </c>
      <c r="I366" s="492">
        <f>VLOOKUP($B366,'Emissions factors'!$B$1336:$W$1341,3,FALSE)</f>
        <v>1.8921030000000002E-2</v>
      </c>
      <c r="J366" s="185"/>
      <c r="K366" s="789">
        <f>VLOOKUP($B366,'Emissions factors'!$B$1336:$W$1341,12,FALSE)</f>
        <v>33.33</v>
      </c>
      <c r="L366" s="789">
        <f>VLOOKUP($B366,'Emissions factors'!$B$1336:$W$1341,13,FALSE)</f>
        <v>208.3295</v>
      </c>
      <c r="M366" s="465">
        <f>G366*H366+J366*K366</f>
        <v>0</v>
      </c>
      <c r="N366" s="210">
        <f>G366*I366+J366*L366</f>
        <v>0</v>
      </c>
      <c r="O366" s="222">
        <f>IF(OR(F366='Info utili'!$G$532,F366='Info utili'!$G$537),N366,0)</f>
        <v>0</v>
      </c>
      <c r="X366" s="282">
        <f>VLOOKUP($B366,'Emissions factors'!$B$1336:$W$1341,22,FALSE)</f>
        <v>0.6</v>
      </c>
      <c r="Y366" s="187"/>
      <c r="Z366" s="221">
        <f>M366*SQRT(X366^2+Y366^2)</f>
        <v>0</v>
      </c>
      <c r="AA366" s="221">
        <f>N366*SQRT(X366^2+Y366^2)</f>
        <v>0</v>
      </c>
      <c r="AB366" s="210">
        <f>SQRT(Z366^2+AA366^2)</f>
        <v>0</v>
      </c>
      <c r="AC366" s="222">
        <f>O366*SQRT(X366^2+Y366^2)</f>
        <v>0</v>
      </c>
      <c r="AF366" s="186"/>
      <c r="AG366" s="221">
        <f t="shared" si="149"/>
        <v>0</v>
      </c>
      <c r="AH366" s="221">
        <f t="shared" si="149"/>
        <v>0</v>
      </c>
      <c r="AI366" s="210">
        <f>AG366+AH366</f>
        <v>0</v>
      </c>
      <c r="AJ366" s="221">
        <f>AF366*O366</f>
        <v>0</v>
      </c>
      <c r="AK366" s="186"/>
      <c r="AL366" s="221">
        <f t="shared" si="150"/>
        <v>0</v>
      </c>
      <c r="AM366" s="221">
        <f t="shared" si="150"/>
        <v>0</v>
      </c>
      <c r="AN366" s="210">
        <f>AL366+AM366</f>
        <v>0</v>
      </c>
      <c r="AO366" s="222">
        <f>AK366*O366</f>
        <v>0</v>
      </c>
      <c r="AS366" s="717">
        <f>G366*VLOOKUP($B366,'Emissions factors'!$B$1336:$W$1341,4,FALSE)+J366*VLOOKUP($B366,'Emissions factors'!$B$1336:$W$1341,14,FALSE)</f>
        <v>0</v>
      </c>
      <c r="AT366" s="718">
        <f>G366*VLOOKUP($B366,'Emissions factors'!$B$1336:$W$1341,5,FALSE)+J366*VLOOKUP($B366,'Emissions factors'!$B$1336:$W$1341,15,FALSE)</f>
        <v>0</v>
      </c>
      <c r="AU366" s="718">
        <f>G366*VLOOKUP($B366,'Emissions factors'!$B$1336:$W$1341,6,FALSE)+J366*VLOOKUP($B366,'Emissions factors'!$B$1336:$W$1341,16,FALSE)</f>
        <v>0</v>
      </c>
      <c r="AV366" s="718">
        <f>G366*VLOOKUP($B366,'Emissions factors'!$B$1336:$W$1341,7,FALSE)+J366*VLOOKUP($B366,'Emissions factors'!$B$1336:$W$1341,17,FALSE)</f>
        <v>0</v>
      </c>
      <c r="AW366" s="718">
        <f>G366*VLOOKUP($B366,'Emissions factors'!$B$1336:$W$1341,8,FALSE)+J366*VLOOKUP($B366,'Emissions factors'!$B$1336:$W$1341,18,FALSE)</f>
        <v>0</v>
      </c>
      <c r="AX366" s="718">
        <f>G366*VLOOKUP($B366,'Emissions factors'!$B$1336:$W$1341,9,FALSE)+J366*VLOOKUP($B366,'Emissions factors'!$B$1336:$W$1341,19,FALSE)</f>
        <v>0</v>
      </c>
      <c r="AY366" s="718">
        <v>0</v>
      </c>
      <c r="AZ366" s="718">
        <v>0</v>
      </c>
      <c r="BA366" s="719">
        <f t="shared" si="151"/>
        <v>0</v>
      </c>
      <c r="BB366" s="720">
        <f t="shared" si="151"/>
        <v>0</v>
      </c>
      <c r="BC366" s="717">
        <f>G366*VLOOKUP($B366,'Emissions factors'!$B$1336:$W$1341,10,FALSE)+J366*VLOOKUP($B366,'Emissions factors'!$B$1336:$W$1341,20,FALSE)</f>
        <v>0</v>
      </c>
      <c r="BD366" s="721">
        <f>G366*VLOOKUP($B366,'Emissions factors'!$B$1336:$W$1341,11,FALSE)+J366*VLOOKUP($B366,'Emissions factors'!$B$1336:$W$1341,21,FALSE)</f>
        <v>0</v>
      </c>
    </row>
    <row r="367" spans="2:56" ht="12.75" hidden="1" customHeight="1" outlineLevel="1" x14ac:dyDescent="0.2">
      <c r="B367" s="200" t="s">
        <v>1370</v>
      </c>
      <c r="C367" s="201"/>
      <c r="D367" s="262">
        <f>M367+N367</f>
        <v>0</v>
      </c>
      <c r="E367" s="265">
        <f>D367*12/44</f>
        <v>0</v>
      </c>
      <c r="F367" s="443"/>
      <c r="G367" s="188"/>
      <c r="H367" s="492">
        <f>VLOOKUP($B367,'Emissions factors'!$B$1336:$W$1341,2,FALSE)</f>
        <v>1.4139999999999999E-3</v>
      </c>
      <c r="I367" s="492">
        <f>VLOOKUP($B367,'Emissions factors'!$B$1336:$W$1341,3,FALSE)</f>
        <v>8.8264299999999997E-3</v>
      </c>
      <c r="J367" s="188"/>
      <c r="K367" s="789">
        <f>VLOOKUP($B367,'Emissions factors'!$B$1336:$W$1341,12,FALSE)</f>
        <v>105.91</v>
      </c>
      <c r="L367" s="789">
        <f>VLOOKUP($B367,'Emissions factors'!$B$1336:$W$1341,13,FALSE)</f>
        <v>661.226</v>
      </c>
      <c r="M367" s="465">
        <f>G367*H367+J367*K367</f>
        <v>0</v>
      </c>
      <c r="N367" s="210">
        <f>G367*I367+J367*L367</f>
        <v>0</v>
      </c>
      <c r="O367" s="222">
        <f>IF(OR(F367='Info utili'!$G$532,F367='Info utili'!$G$537),N367,0)</f>
        <v>0</v>
      </c>
      <c r="X367" s="282">
        <f>VLOOKUP($B367,'Emissions factors'!$B$1336:$W$1341,22,FALSE)</f>
        <v>0.6</v>
      </c>
      <c r="Y367" s="190"/>
      <c r="Z367" s="221">
        <f>M367*SQRT(X367^2+Y367^2)</f>
        <v>0</v>
      </c>
      <c r="AA367" s="221">
        <f>N367*SQRT(X367^2+Y367^2)</f>
        <v>0</v>
      </c>
      <c r="AB367" s="210">
        <f>SQRT(Z367^2+AA367^2)</f>
        <v>0</v>
      </c>
      <c r="AC367" s="222">
        <f>O367*SQRT(X367^2+Y367^2)</f>
        <v>0</v>
      </c>
      <c r="AF367" s="189"/>
      <c r="AG367" s="221">
        <f t="shared" si="149"/>
        <v>0</v>
      </c>
      <c r="AH367" s="221">
        <f t="shared" si="149"/>
        <v>0</v>
      </c>
      <c r="AI367" s="210">
        <f>AG367+AH367</f>
        <v>0</v>
      </c>
      <c r="AJ367" s="221">
        <f>AF367*O367</f>
        <v>0</v>
      </c>
      <c r="AK367" s="189"/>
      <c r="AL367" s="221">
        <f t="shared" si="150"/>
        <v>0</v>
      </c>
      <c r="AM367" s="221">
        <f t="shared" si="150"/>
        <v>0</v>
      </c>
      <c r="AN367" s="210">
        <f>AL367+AM367</f>
        <v>0</v>
      </c>
      <c r="AO367" s="222">
        <f>AK367*O367</f>
        <v>0</v>
      </c>
      <c r="AS367" s="717">
        <f>G367*VLOOKUP($B367,'Emissions factors'!$B$1336:$W$1341,4,FALSE)+J367*VLOOKUP($B367,'Emissions factors'!$B$1336:$W$1341,14,FALSE)</f>
        <v>0</v>
      </c>
      <c r="AT367" s="718">
        <f>G367*VLOOKUP($B367,'Emissions factors'!$B$1336:$W$1341,5,FALSE)+J367*VLOOKUP($B367,'Emissions factors'!$B$1336:$W$1341,15,FALSE)</f>
        <v>0</v>
      </c>
      <c r="AU367" s="718">
        <f>G367*VLOOKUP($B367,'Emissions factors'!$B$1336:$W$1341,6,FALSE)+J367*VLOOKUP($B367,'Emissions factors'!$B$1336:$W$1341,16,FALSE)</f>
        <v>0</v>
      </c>
      <c r="AV367" s="718">
        <f>G367*VLOOKUP($B367,'Emissions factors'!$B$1336:$W$1341,7,FALSE)+J367*VLOOKUP($B367,'Emissions factors'!$B$1336:$W$1341,17,FALSE)</f>
        <v>0</v>
      </c>
      <c r="AW367" s="718">
        <f>G367*VLOOKUP($B367,'Emissions factors'!$B$1336:$W$1341,8,FALSE)+J367*VLOOKUP($B367,'Emissions factors'!$B$1336:$W$1341,18,FALSE)</f>
        <v>0</v>
      </c>
      <c r="AX367" s="718">
        <f>G367*VLOOKUP($B367,'Emissions factors'!$B$1336:$W$1341,9,FALSE)+J367*VLOOKUP($B367,'Emissions factors'!$B$1336:$W$1341,19,FALSE)</f>
        <v>0</v>
      </c>
      <c r="AY367" s="718">
        <v>0</v>
      </c>
      <c r="AZ367" s="718">
        <v>0</v>
      </c>
      <c r="BA367" s="719">
        <f t="shared" si="151"/>
        <v>0</v>
      </c>
      <c r="BB367" s="720">
        <f t="shared" si="151"/>
        <v>0</v>
      </c>
      <c r="BC367" s="717">
        <f>G367*VLOOKUP($B367,'Emissions factors'!$B$1336:$W$1341,10,FALSE)+J367*VLOOKUP($B367,'Emissions factors'!$B$1336:$W$1341,20,FALSE)</f>
        <v>0</v>
      </c>
      <c r="BD367" s="721">
        <f>G367*VLOOKUP($B367,'Emissions factors'!$B$1336:$W$1341,11,FALSE)+J367*VLOOKUP($B367,'Emissions factors'!$B$1336:$W$1341,21,FALSE)</f>
        <v>0</v>
      </c>
    </row>
    <row r="368" spans="2:56" ht="12.75" hidden="1" customHeight="1" outlineLevel="1" x14ac:dyDescent="0.2">
      <c r="B368" s="213"/>
      <c r="C368" s="214"/>
      <c r="D368" s="275"/>
      <c r="E368" s="268"/>
      <c r="F368" s="214"/>
      <c r="G368" s="201"/>
      <c r="H368" s="201"/>
      <c r="I368" s="201"/>
      <c r="J368" s="473"/>
      <c r="K368" s="473"/>
      <c r="L368" s="473"/>
      <c r="M368" s="474"/>
      <c r="N368" s="227"/>
      <c r="O368" s="466"/>
      <c r="X368" s="213"/>
      <c r="Y368" s="214"/>
      <c r="Z368" s="214"/>
      <c r="AA368" s="214"/>
      <c r="AB368" s="269"/>
      <c r="AC368" s="466"/>
      <c r="AF368" s="213"/>
      <c r="AG368" s="413"/>
      <c r="AH368" s="413"/>
      <c r="AI368" s="210"/>
      <c r="AJ368" s="413"/>
      <c r="AK368" s="214"/>
      <c r="AL368" s="214"/>
      <c r="AM368" s="214"/>
      <c r="AN368" s="210"/>
      <c r="AO368" s="466"/>
      <c r="AS368" s="717"/>
      <c r="AT368" s="718"/>
      <c r="AU368" s="718"/>
      <c r="AV368" s="718"/>
      <c r="AW368" s="718"/>
      <c r="AX368" s="718"/>
      <c r="AY368" s="718"/>
      <c r="AZ368" s="718"/>
      <c r="BA368" s="719"/>
      <c r="BB368" s="720"/>
      <c r="BC368" s="722"/>
      <c r="BD368" s="723"/>
    </row>
    <row r="369" spans="2:56" ht="12.75" hidden="1" customHeight="1" outlineLevel="1" x14ac:dyDescent="0.2">
      <c r="B369" s="253" t="s">
        <v>44</v>
      </c>
      <c r="C369" s="254"/>
      <c r="D369" s="264">
        <f>SUM(D365:D368)</f>
        <v>0</v>
      </c>
      <c r="E369" s="267">
        <f>SUM(E365:E368)</f>
        <v>0</v>
      </c>
      <c r="F369" s="254"/>
      <c r="G369" s="254"/>
      <c r="H369" s="254"/>
      <c r="I369" s="254"/>
      <c r="J369" s="254"/>
      <c r="K369" s="487"/>
      <c r="L369" s="487"/>
      <c r="M369" s="488">
        <f>SUM(M365:M368)</f>
        <v>0</v>
      </c>
      <c r="N369" s="259">
        <f>SUM(N365:N368)</f>
        <v>0</v>
      </c>
      <c r="O369" s="428">
        <f>SUM(O365:O368)</f>
        <v>0</v>
      </c>
      <c r="X369" s="258"/>
      <c r="Y369" s="256"/>
      <c r="Z369" s="260">
        <f>SQRT(SUMSQ(Z365:Z368))</f>
        <v>0</v>
      </c>
      <c r="AA369" s="260">
        <f>SQRT(SUMSQ(AA365:AA368))</f>
        <v>0</v>
      </c>
      <c r="AB369" s="259">
        <f>SQRT(SUMSQ(AB365:AB368))</f>
        <v>0</v>
      </c>
      <c r="AC369" s="428">
        <f>SQRT(SUMSQ(AC365:AC368))</f>
        <v>0</v>
      </c>
      <c r="AF369" s="258"/>
      <c r="AG369" s="260">
        <f>SUM(AG365:AG368)</f>
        <v>0</v>
      </c>
      <c r="AH369" s="260">
        <f>SUM(AH365:AH368)</f>
        <v>0</v>
      </c>
      <c r="AI369" s="259">
        <f>SUM(AI365:AI368)</f>
        <v>0</v>
      </c>
      <c r="AJ369" s="260">
        <f>SUM(AJ365:AJ368)</f>
        <v>0</v>
      </c>
      <c r="AK369" s="256"/>
      <c r="AL369" s="260">
        <f>SUM(AL365:AL368)</f>
        <v>0</v>
      </c>
      <c r="AM369" s="260">
        <f>SUM(AM365:AM368)</f>
        <v>0</v>
      </c>
      <c r="AN369" s="259">
        <f>SUM(AN365:AN368)</f>
        <v>0</v>
      </c>
      <c r="AO369" s="428">
        <f>SUM(AO365:AO368)</f>
        <v>0</v>
      </c>
      <c r="AS369" s="724">
        <f t="shared" ref="AS369:BD369" si="152">SUM(AS365:AS368)</f>
        <v>0</v>
      </c>
      <c r="AT369" s="725">
        <f t="shared" si="152"/>
        <v>0</v>
      </c>
      <c r="AU369" s="725">
        <f t="shared" si="152"/>
        <v>0</v>
      </c>
      <c r="AV369" s="725">
        <f t="shared" si="152"/>
        <v>0</v>
      </c>
      <c r="AW369" s="725">
        <f t="shared" si="152"/>
        <v>0</v>
      </c>
      <c r="AX369" s="725">
        <f t="shared" si="152"/>
        <v>0</v>
      </c>
      <c r="AY369" s="725">
        <f t="shared" si="152"/>
        <v>0</v>
      </c>
      <c r="AZ369" s="725">
        <f t="shared" si="152"/>
        <v>0</v>
      </c>
      <c r="BA369" s="726">
        <f t="shared" si="152"/>
        <v>0</v>
      </c>
      <c r="BB369" s="727">
        <f t="shared" si="152"/>
        <v>0</v>
      </c>
      <c r="BC369" s="724">
        <f t="shared" si="152"/>
        <v>0</v>
      </c>
      <c r="BD369" s="728">
        <f t="shared" si="152"/>
        <v>0</v>
      </c>
    </row>
    <row r="370" spans="2:56" ht="12.75" hidden="1" customHeight="1" outlineLevel="1" x14ac:dyDescent="0.2">
      <c r="AR370" s="32"/>
      <c r="AS370" s="743"/>
      <c r="AT370" s="743"/>
      <c r="AU370" s="743"/>
      <c r="AV370" s="743"/>
      <c r="AW370" s="743"/>
      <c r="AX370" s="743"/>
      <c r="AY370" s="743"/>
      <c r="BC370" s="743"/>
      <c r="BD370" s="743"/>
    </row>
    <row r="371" spans="2:56" ht="12.75" hidden="1" customHeight="1" outlineLevel="1" x14ac:dyDescent="0.2">
      <c r="B371" s="195" t="s">
        <v>2916</v>
      </c>
      <c r="C371" s="196"/>
      <c r="D371" s="196"/>
      <c r="E371" s="196"/>
      <c r="F371" s="198"/>
      <c r="G371" s="198"/>
      <c r="H371" s="198"/>
      <c r="I371" s="198"/>
      <c r="J371" s="198"/>
      <c r="K371" s="198"/>
      <c r="L371" s="198"/>
      <c r="M371" s="217"/>
      <c r="N371" s="217"/>
      <c r="O371" s="218"/>
      <c r="X371" s="1746" t="s">
        <v>723</v>
      </c>
      <c r="Y371" s="1747"/>
      <c r="Z371" s="1747"/>
      <c r="AA371" s="1747"/>
      <c r="AB371" s="1747"/>
      <c r="AC371" s="1748"/>
      <c r="AF371" s="1746" t="s">
        <v>2066</v>
      </c>
      <c r="AG371" s="1747"/>
      <c r="AH371" s="1747"/>
      <c r="AI371" s="1747"/>
      <c r="AJ371" s="1747"/>
      <c r="AK371" s="1747"/>
      <c r="AL371" s="1747"/>
      <c r="AM371" s="1747"/>
      <c r="AN371" s="1747"/>
      <c r="AO371" s="1748"/>
      <c r="AS371" s="1755" t="s">
        <v>2073</v>
      </c>
      <c r="AT371" s="1756"/>
      <c r="AU371" s="1756"/>
      <c r="AV371" s="1756"/>
      <c r="AW371" s="1756"/>
      <c r="AX371" s="1756"/>
      <c r="AY371" s="1756"/>
      <c r="AZ371" s="1756"/>
      <c r="BA371" s="1756"/>
      <c r="BB371" s="1756"/>
      <c r="BC371" s="1756"/>
      <c r="BD371" s="1757"/>
    </row>
    <row r="372" spans="2:56" ht="12.75" hidden="1" customHeight="1" outlineLevel="1" x14ac:dyDescent="0.2">
      <c r="B372" s="417"/>
      <c r="C372" s="225"/>
      <c r="D372" s="705"/>
      <c r="E372" s="705"/>
      <c r="F372" s="201"/>
      <c r="G372" s="201"/>
      <c r="H372" s="201"/>
      <c r="I372" s="201"/>
      <c r="J372" s="214"/>
      <c r="K372" s="201"/>
      <c r="L372" s="201"/>
      <c r="M372" s="1745" t="s">
        <v>2646</v>
      </c>
      <c r="N372" s="1745"/>
      <c r="O372" s="1378" t="s">
        <v>2639</v>
      </c>
      <c r="X372" s="216"/>
      <c r="Y372" s="217"/>
      <c r="Z372" s="705"/>
      <c r="AA372" s="705"/>
      <c r="AB372" s="705"/>
      <c r="AC372" s="1378" t="s">
        <v>2639</v>
      </c>
      <c r="AF372" s="216"/>
      <c r="AG372" s="705"/>
      <c r="AH372" s="705"/>
      <c r="AI372" s="705"/>
      <c r="AJ372" s="1465" t="s">
        <v>2639</v>
      </c>
      <c r="AK372" s="217"/>
      <c r="AL372" s="705"/>
      <c r="AM372" s="705"/>
      <c r="AN372" s="705"/>
      <c r="AO372" s="1468" t="s">
        <v>2639</v>
      </c>
      <c r="AS372" s="1758" t="s">
        <v>61</v>
      </c>
      <c r="AT372" s="1759"/>
      <c r="AU372" s="1759"/>
      <c r="AV372" s="1759"/>
      <c r="AW372" s="1759"/>
      <c r="AX372" s="1759"/>
      <c r="AY372" s="1759"/>
      <c r="AZ372" s="1759"/>
      <c r="BA372" s="1759" t="s">
        <v>61</v>
      </c>
      <c r="BB372" s="1760"/>
      <c r="BC372" s="730"/>
      <c r="BD372" s="731"/>
    </row>
    <row r="373" spans="2:56" ht="12.75" hidden="1" customHeight="1" outlineLevel="1" x14ac:dyDescent="0.2">
      <c r="B373" s="1629" t="s">
        <v>1386</v>
      </c>
      <c r="C373" s="1370"/>
      <c r="D373" s="1370" t="s">
        <v>56</v>
      </c>
      <c r="E373" s="1370" t="s">
        <v>56</v>
      </c>
      <c r="F373" s="205" t="s">
        <v>2634</v>
      </c>
      <c r="G373" s="205"/>
      <c r="H373" s="1744" t="s">
        <v>1308</v>
      </c>
      <c r="I373" s="1745"/>
      <c r="J373" s="205"/>
      <c r="K373" s="1744" t="s">
        <v>1281</v>
      </c>
      <c r="L373" s="1745"/>
      <c r="M373" s="705" t="s">
        <v>61</v>
      </c>
      <c r="N373" s="705" t="s">
        <v>61</v>
      </c>
      <c r="O373" s="1378" t="s">
        <v>30</v>
      </c>
      <c r="X373" s="1629" t="s">
        <v>2605</v>
      </c>
      <c r="Y373" s="1370" t="s">
        <v>2110</v>
      </c>
      <c r="Z373" s="1370" t="s">
        <v>61</v>
      </c>
      <c r="AA373" s="1370" t="s">
        <v>61</v>
      </c>
      <c r="AB373" s="705" t="s">
        <v>61</v>
      </c>
      <c r="AC373" s="1378" t="s">
        <v>30</v>
      </c>
      <c r="AF373" s="1466" t="s">
        <v>2065</v>
      </c>
      <c r="AG373" s="1465" t="s">
        <v>61</v>
      </c>
      <c r="AH373" s="1465" t="s">
        <v>61</v>
      </c>
      <c r="AI373" s="705" t="s">
        <v>61</v>
      </c>
      <c r="AJ373" s="1465" t="s">
        <v>30</v>
      </c>
      <c r="AK373" s="1465" t="s">
        <v>2558</v>
      </c>
      <c r="AL373" s="1465" t="s">
        <v>61</v>
      </c>
      <c r="AM373" s="1465" t="s">
        <v>61</v>
      </c>
      <c r="AN373" s="705" t="s">
        <v>61</v>
      </c>
      <c r="AO373" s="1468" t="s">
        <v>30</v>
      </c>
      <c r="AS373" s="1764" t="s">
        <v>14</v>
      </c>
      <c r="AT373" s="1761"/>
      <c r="AU373" s="1761" t="s">
        <v>60</v>
      </c>
      <c r="AV373" s="1761"/>
      <c r="AW373" s="1761" t="s">
        <v>27</v>
      </c>
      <c r="AX373" s="1761"/>
      <c r="AY373" s="1761" t="s">
        <v>2074</v>
      </c>
      <c r="AZ373" s="1761"/>
      <c r="BA373" s="1762" t="s">
        <v>41</v>
      </c>
      <c r="BB373" s="1763"/>
      <c r="BC373" s="1764" t="s">
        <v>85</v>
      </c>
      <c r="BD373" s="1765"/>
    </row>
    <row r="374" spans="2:56" ht="12.75" hidden="1" customHeight="1" outlineLevel="1" x14ac:dyDescent="0.2">
      <c r="B374" s="1369"/>
      <c r="C374" s="1370"/>
      <c r="D374" s="1370" t="s">
        <v>61</v>
      </c>
      <c r="E374" s="1370" t="s">
        <v>63</v>
      </c>
      <c r="F374" s="208" t="s">
        <v>2054</v>
      </c>
      <c r="G374" s="208" t="s">
        <v>57</v>
      </c>
      <c r="H374" s="1377" t="s">
        <v>768</v>
      </c>
      <c r="I374" s="1377" t="s">
        <v>24</v>
      </c>
      <c r="J374" s="208" t="s">
        <v>2635</v>
      </c>
      <c r="K374" s="1377" t="s">
        <v>768</v>
      </c>
      <c r="L374" s="1377" t="s">
        <v>24</v>
      </c>
      <c r="M374" s="1376" t="s">
        <v>768</v>
      </c>
      <c r="N374" s="1376" t="s">
        <v>24</v>
      </c>
      <c r="O374" s="1378" t="s">
        <v>61</v>
      </c>
      <c r="X374" s="1629" t="s">
        <v>2109</v>
      </c>
      <c r="Y374" s="1370"/>
      <c r="Z374" s="1377" t="s">
        <v>768</v>
      </c>
      <c r="AA374" s="1377" t="s">
        <v>24</v>
      </c>
      <c r="AB374" s="223" t="s">
        <v>41</v>
      </c>
      <c r="AC374" s="1378" t="s">
        <v>61</v>
      </c>
      <c r="AF374" s="1466"/>
      <c r="AG374" s="1467" t="s">
        <v>768</v>
      </c>
      <c r="AH374" s="1467" t="s">
        <v>24</v>
      </c>
      <c r="AI374" s="223" t="s">
        <v>41</v>
      </c>
      <c r="AJ374" s="1465" t="s">
        <v>61</v>
      </c>
      <c r="AK374" s="1465"/>
      <c r="AL374" s="1467" t="s">
        <v>768</v>
      </c>
      <c r="AM374" s="1467" t="s">
        <v>24</v>
      </c>
      <c r="AN374" s="223" t="s">
        <v>41</v>
      </c>
      <c r="AO374" s="1468" t="s">
        <v>61</v>
      </c>
      <c r="AS374" s="732" t="s">
        <v>768</v>
      </c>
      <c r="AT374" s="733" t="s">
        <v>24</v>
      </c>
      <c r="AU374" s="733" t="s">
        <v>768</v>
      </c>
      <c r="AV374" s="733" t="s">
        <v>24</v>
      </c>
      <c r="AW374" s="733" t="s">
        <v>768</v>
      </c>
      <c r="AX374" s="733" t="s">
        <v>24</v>
      </c>
      <c r="AY374" s="733" t="s">
        <v>768</v>
      </c>
      <c r="AZ374" s="733" t="s">
        <v>24</v>
      </c>
      <c r="BA374" s="734" t="s">
        <v>768</v>
      </c>
      <c r="BB374" s="735" t="s">
        <v>24</v>
      </c>
      <c r="BC374" s="732" t="s">
        <v>768</v>
      </c>
      <c r="BD374" s="736" t="s">
        <v>24</v>
      </c>
    </row>
    <row r="375" spans="2:56" ht="12.75" hidden="1" customHeight="1" outlineLevel="1" x14ac:dyDescent="0.2">
      <c r="B375" s="236" t="s">
        <v>1388</v>
      </c>
      <c r="C375" s="237"/>
      <c r="D375" s="262">
        <f>M375+N375</f>
        <v>0</v>
      </c>
      <c r="E375" s="265">
        <f>D375*12/44</f>
        <v>0</v>
      </c>
      <c r="F375" s="559"/>
      <c r="G375" s="182"/>
      <c r="H375" s="492">
        <f>VLOOKUP($B375,'Emissions factors'!$B$1366:$W$1371,2,FALSE)</f>
        <v>2.9617020568900001E-2</v>
      </c>
      <c r="I375" s="492">
        <f>VLOOKUP($B375,'Emissions factors'!$B$1366:$W$1371,3,FALSE)</f>
        <v>0.180940559369</v>
      </c>
      <c r="J375" s="182"/>
      <c r="K375" s="789">
        <f>VLOOKUP($B375,'Emissions factors'!$B$1366:$W$1371,12,FALSE)</f>
        <v>69.496338765100006</v>
      </c>
      <c r="L375" s="789">
        <f>VLOOKUP($B375,'Emissions factors'!$B$1366:$W$1371,13,FALSE)</f>
        <v>424.57702255800001</v>
      </c>
      <c r="M375" s="465">
        <f>G375*H375+J375*K375</f>
        <v>0</v>
      </c>
      <c r="N375" s="210">
        <f>G375*I375+J375*L375</f>
        <v>0</v>
      </c>
      <c r="O375" s="222">
        <f>IF(OR(F375='Info utili'!$G$532,F375='Info utili'!$G$537),N375,0)</f>
        <v>0</v>
      </c>
      <c r="X375" s="282">
        <f>VLOOKUP($B375,'Emissions factors'!$B$1366:$W$1371,22,FALSE)</f>
        <v>0.6</v>
      </c>
      <c r="Y375" s="184"/>
      <c r="Z375" s="221">
        <f>M375*SQRT(X375^2+Y375^2)</f>
        <v>0</v>
      </c>
      <c r="AA375" s="221">
        <f>N375*SQRT(X375^2+Y375^2)</f>
        <v>0</v>
      </c>
      <c r="AB375" s="210">
        <f>SQRT(Z375^2+AA375^2)</f>
        <v>0</v>
      </c>
      <c r="AC375" s="222">
        <f>O375*SQRT(X375^2+Y375^2)</f>
        <v>0</v>
      </c>
      <c r="AF375" s="183"/>
      <c r="AG375" s="221">
        <f>AF375*M375</f>
        <v>0</v>
      </c>
      <c r="AH375" s="221">
        <f>AF375*N375</f>
        <v>0</v>
      </c>
      <c r="AI375" s="210">
        <f>AG375+AH375</f>
        <v>0</v>
      </c>
      <c r="AJ375" s="221">
        <f>AF375*O375</f>
        <v>0</v>
      </c>
      <c r="AK375" s="183"/>
      <c r="AL375" s="221">
        <f t="shared" ref="AL375:AM377" si="153">$AK375*M375</f>
        <v>0</v>
      </c>
      <c r="AM375" s="221">
        <f t="shared" si="153"/>
        <v>0</v>
      </c>
      <c r="AN375" s="210">
        <f>AL375+AM375</f>
        <v>0</v>
      </c>
      <c r="AO375" s="222">
        <f>AK375*O375</f>
        <v>0</v>
      </c>
      <c r="AS375" s="717">
        <f>G375*VLOOKUP($B375,'Emissions factors'!$B$1366:$W$1371,4,FALSE)+J375*VLOOKUP($B375,'Emissions factors'!$B$1366:$W$1371,14,FALSE)</f>
        <v>0</v>
      </c>
      <c r="AT375" s="718">
        <f>G375*VLOOKUP($B375,'Emissions factors'!$B$1366:$W$1371,5,FALSE)+J375*VLOOKUP($B375,'Emissions factors'!$B$1366:$W$1371,15,FALSE)</f>
        <v>0</v>
      </c>
      <c r="AU375" s="718">
        <f>G375*VLOOKUP($B375,'Emissions factors'!$B$1366:$W$1371,6,FALSE)+J375*VLOOKUP($B375,'Emissions factors'!$B$1366:$W$1371,16,FALSE)</f>
        <v>0</v>
      </c>
      <c r="AV375" s="718">
        <f>G375*VLOOKUP($B375,'Emissions factors'!$B$1366:$W$1371,7,FALSE)+J375*VLOOKUP($B375,'Emissions factors'!$B$1366:$W$1371,17,FALSE)</f>
        <v>0</v>
      </c>
      <c r="AW375" s="718">
        <f>G375*VLOOKUP($B375,'Emissions factors'!$B$1366:$W$1371,8,FALSE)+J375*VLOOKUP($B375,'Emissions factors'!$B$1366:$W$1371,18,FALSE)</f>
        <v>0</v>
      </c>
      <c r="AX375" s="718">
        <f>G375*VLOOKUP($B375,'Emissions factors'!$B$1366:$W$1371,9,FALSE)+J375*VLOOKUP($B375,'Emissions factors'!$B$1366:$W$1371,19,FALSE)</f>
        <v>0</v>
      </c>
      <c r="AY375" s="718">
        <v>0</v>
      </c>
      <c r="AZ375" s="718">
        <v>0</v>
      </c>
      <c r="BA375" s="719">
        <f t="shared" ref="BA375:BB377" si="154">M375</f>
        <v>0</v>
      </c>
      <c r="BB375" s="720">
        <f t="shared" si="154"/>
        <v>0</v>
      </c>
      <c r="BC375" s="717">
        <f>G375*VLOOKUP($B375,'Emissions factors'!$B$1366:$W$1371,10,FALSE)+J375*VLOOKUP($B375,'Emissions factors'!$B$1366:$W$1371,20,FALSE)</f>
        <v>0</v>
      </c>
      <c r="BD375" s="721">
        <f>G375*VLOOKUP($B375,'Emissions factors'!$B$1366:$W$1371,11,FALSE)+J375*VLOOKUP($B375,'Emissions factors'!$B$1366:$W$1371,21,FALSE)</f>
        <v>0</v>
      </c>
    </row>
    <row r="376" spans="2:56" ht="12.75" hidden="1" customHeight="1" outlineLevel="1" x14ac:dyDescent="0.2">
      <c r="B376" s="236" t="s">
        <v>1389</v>
      </c>
      <c r="C376" s="237"/>
      <c r="D376" s="262">
        <f>M376+N376</f>
        <v>0</v>
      </c>
      <c r="E376" s="265">
        <f>D376*12/44</f>
        <v>0</v>
      </c>
      <c r="F376" s="442"/>
      <c r="G376" s="185"/>
      <c r="H376" s="492">
        <f>VLOOKUP($B376,'Emissions factors'!$B$1366:$W$1371,2,FALSE)</f>
        <v>4.7449136941499999E-2</v>
      </c>
      <c r="I376" s="492">
        <f>VLOOKUP($B376,'Emissions factors'!$B$1366:$W$1371,3,FALSE)</f>
        <v>0.265858064452</v>
      </c>
      <c r="J376" s="185"/>
      <c r="K376" s="789">
        <f>VLOOKUP($B376,'Emissions factors'!$B$1366:$W$1371,12,FALSE)</f>
        <v>61.250098014099997</v>
      </c>
      <c r="L376" s="789">
        <f>VLOOKUP($B376,'Emissions factors'!$B$1366:$W$1371,13,FALSE)</f>
        <v>343.18500936300001</v>
      </c>
      <c r="M376" s="465">
        <f>G376*H376+J376*K376</f>
        <v>0</v>
      </c>
      <c r="N376" s="210">
        <f>G376*I376+J376*L376</f>
        <v>0</v>
      </c>
      <c r="O376" s="222">
        <f>IF(OR(F376='Info utili'!$G$532,F376='Info utili'!$G$537),N376,0)</f>
        <v>0</v>
      </c>
      <c r="X376" s="282">
        <f>VLOOKUP($B376,'Emissions factors'!$B$1366:$W$1371,22,FALSE)</f>
        <v>0.6</v>
      </c>
      <c r="Y376" s="187"/>
      <c r="Z376" s="221">
        <f>M376*SQRT(X376^2+Y376^2)</f>
        <v>0</v>
      </c>
      <c r="AA376" s="221">
        <f>N376*SQRT(X376^2+Y376^2)</f>
        <v>0</v>
      </c>
      <c r="AB376" s="210">
        <f>SQRT(Z376^2+AA376^2)</f>
        <v>0</v>
      </c>
      <c r="AC376" s="222">
        <f>O376*SQRT(X376^2+Y376^2)</f>
        <v>0</v>
      </c>
      <c r="AF376" s="186"/>
      <c r="AG376" s="221">
        <f>AF376*M376</f>
        <v>0</v>
      </c>
      <c r="AH376" s="221">
        <f>AF376*N376</f>
        <v>0</v>
      </c>
      <c r="AI376" s="210">
        <f>AG376+AH376</f>
        <v>0</v>
      </c>
      <c r="AJ376" s="221">
        <f>AF376*O376</f>
        <v>0</v>
      </c>
      <c r="AK376" s="186"/>
      <c r="AL376" s="221">
        <f t="shared" si="153"/>
        <v>0</v>
      </c>
      <c r="AM376" s="221">
        <f t="shared" si="153"/>
        <v>0</v>
      </c>
      <c r="AN376" s="210">
        <f>AL376+AM376</f>
        <v>0</v>
      </c>
      <c r="AO376" s="222">
        <f>AK376*O376</f>
        <v>0</v>
      </c>
      <c r="AS376" s="717">
        <f>G376*VLOOKUP($B376,'Emissions factors'!$B$1366:$W$1371,4,FALSE)+J376*VLOOKUP($B376,'Emissions factors'!$B$1366:$W$1371,14,FALSE)</f>
        <v>0</v>
      </c>
      <c r="AT376" s="718">
        <f>G376*VLOOKUP($B376,'Emissions factors'!$B$1366:$W$1371,5,FALSE)+J376*VLOOKUP($B376,'Emissions factors'!$B$1366:$W$1371,15,FALSE)</f>
        <v>0</v>
      </c>
      <c r="AU376" s="718">
        <f>G376*VLOOKUP($B376,'Emissions factors'!$B$1366:$W$1371,6,FALSE)+J376*VLOOKUP($B376,'Emissions factors'!$B$1366:$W$1371,16,FALSE)</f>
        <v>0</v>
      </c>
      <c r="AV376" s="718">
        <f>G376*VLOOKUP($B376,'Emissions factors'!$B$1366:$W$1371,7,FALSE)+J376*VLOOKUP($B376,'Emissions factors'!$B$1366:$W$1371,17,FALSE)</f>
        <v>0</v>
      </c>
      <c r="AW376" s="718">
        <f>G376*VLOOKUP($B376,'Emissions factors'!$B$1366:$W$1371,8,FALSE)+J376*VLOOKUP($B376,'Emissions factors'!$B$1366:$W$1371,18,FALSE)</f>
        <v>0</v>
      </c>
      <c r="AX376" s="718">
        <f>G376*VLOOKUP($B376,'Emissions factors'!$B$1366:$W$1371,9,FALSE)+J376*VLOOKUP($B376,'Emissions factors'!$B$1366:$W$1371,19,FALSE)</f>
        <v>0</v>
      </c>
      <c r="AY376" s="718">
        <v>0</v>
      </c>
      <c r="AZ376" s="718">
        <v>0</v>
      </c>
      <c r="BA376" s="719">
        <f t="shared" si="154"/>
        <v>0</v>
      </c>
      <c r="BB376" s="720">
        <f t="shared" si="154"/>
        <v>0</v>
      </c>
      <c r="BC376" s="717">
        <f>G376*VLOOKUP($B376,'Emissions factors'!$B$1366:$W$1371,10,FALSE)+J376*VLOOKUP($B376,'Emissions factors'!$B$1366:$W$1371,20,FALSE)</f>
        <v>0</v>
      </c>
      <c r="BD376" s="721">
        <f>G376*VLOOKUP($B376,'Emissions factors'!$B$1366:$W$1371,11,FALSE)+J376*VLOOKUP($B376,'Emissions factors'!$B$1366:$W$1371,21,FALSE)</f>
        <v>0</v>
      </c>
    </row>
    <row r="377" spans="2:56" ht="12.75" hidden="1" customHeight="1" outlineLevel="1" x14ac:dyDescent="0.2">
      <c r="B377" s="236" t="s">
        <v>1390</v>
      </c>
      <c r="C377" s="237"/>
      <c r="D377" s="262">
        <f>M377+N377</f>
        <v>0</v>
      </c>
      <c r="E377" s="265">
        <f>D377*12/44</f>
        <v>0</v>
      </c>
      <c r="F377" s="443"/>
      <c r="G377" s="188"/>
      <c r="H377" s="492">
        <f>VLOOKUP($B377,'Emissions factors'!$B$1366:$W$1371,2,FALSE)</f>
        <v>3.2954476275300001E-2</v>
      </c>
      <c r="I377" s="492">
        <f>VLOOKUP($B377,'Emissions factors'!$B$1366:$W$1371,3,FALSE)</f>
        <v>0.20893177855</v>
      </c>
      <c r="J377" s="188"/>
      <c r="K377" s="789">
        <f>VLOOKUP($B377,'Emissions factors'!$B$1366:$W$1371,12,FALSE)</f>
        <v>56.978289480100003</v>
      </c>
      <c r="L377" s="789">
        <f>VLOOKUP($B377,'Emissions factors'!$B$1366:$W$1371,13,FALSE)</f>
        <v>361.24304511299999</v>
      </c>
      <c r="M377" s="465">
        <f>G377*H377+J377*K377</f>
        <v>0</v>
      </c>
      <c r="N377" s="210">
        <f>G377*I377+J377*L377</f>
        <v>0</v>
      </c>
      <c r="O377" s="222">
        <f>IF(OR(F377='Info utili'!$G$532,F377='Info utili'!$G$537),N377,0)</f>
        <v>0</v>
      </c>
      <c r="X377" s="282">
        <f>VLOOKUP($B377,'Emissions factors'!$B$1366:$W$1371,22,FALSE)</f>
        <v>0.6</v>
      </c>
      <c r="Y377" s="190"/>
      <c r="Z377" s="221">
        <f>M377*SQRT(X377^2+Y377^2)</f>
        <v>0</v>
      </c>
      <c r="AA377" s="221">
        <f>N377*SQRT(X377^2+Y377^2)</f>
        <v>0</v>
      </c>
      <c r="AB377" s="210">
        <f>SQRT(Z377^2+AA377^2)</f>
        <v>0</v>
      </c>
      <c r="AC377" s="222">
        <f>O377*SQRT(X377^2+Y377^2)</f>
        <v>0</v>
      </c>
      <c r="AF377" s="189"/>
      <c r="AG377" s="221">
        <f>AF377*M377</f>
        <v>0</v>
      </c>
      <c r="AH377" s="221">
        <f>AF377*N377</f>
        <v>0</v>
      </c>
      <c r="AI377" s="210">
        <f>AG377+AH377</f>
        <v>0</v>
      </c>
      <c r="AJ377" s="221">
        <f>AF377*O377</f>
        <v>0</v>
      </c>
      <c r="AK377" s="189"/>
      <c r="AL377" s="221">
        <f t="shared" si="153"/>
        <v>0</v>
      </c>
      <c r="AM377" s="221">
        <f t="shared" si="153"/>
        <v>0</v>
      </c>
      <c r="AN377" s="210">
        <f>AL377+AM377</f>
        <v>0</v>
      </c>
      <c r="AO377" s="222">
        <f>AK377*O377</f>
        <v>0</v>
      </c>
      <c r="AS377" s="717">
        <f>G377*VLOOKUP($B377,'Emissions factors'!$B$1366:$W$1371,4,FALSE)+J377*VLOOKUP($B377,'Emissions factors'!$B$1366:$W$1371,14,FALSE)</f>
        <v>0</v>
      </c>
      <c r="AT377" s="718">
        <f>G377*VLOOKUP($B377,'Emissions factors'!$B$1366:$W$1371,5,FALSE)+J377*VLOOKUP($B377,'Emissions factors'!$B$1366:$W$1371,15,FALSE)</f>
        <v>0</v>
      </c>
      <c r="AU377" s="718">
        <f>G377*VLOOKUP($B377,'Emissions factors'!$B$1366:$W$1371,6,FALSE)+J377*VLOOKUP($B377,'Emissions factors'!$B$1366:$W$1371,16,FALSE)</f>
        <v>0</v>
      </c>
      <c r="AV377" s="718">
        <f>G377*VLOOKUP($B377,'Emissions factors'!$B$1366:$W$1371,7,FALSE)+J377*VLOOKUP($B377,'Emissions factors'!$B$1366:$W$1371,17,FALSE)</f>
        <v>0</v>
      </c>
      <c r="AW377" s="718">
        <f>G377*VLOOKUP($B377,'Emissions factors'!$B$1366:$W$1371,8,FALSE)+J377*VLOOKUP($B377,'Emissions factors'!$B$1366:$W$1371,18,FALSE)</f>
        <v>0</v>
      </c>
      <c r="AX377" s="718">
        <f>G377*VLOOKUP($B377,'Emissions factors'!$B$1366:$W$1371,9,FALSE)+J377*VLOOKUP($B377,'Emissions factors'!$B$1366:$W$1371,19,FALSE)</f>
        <v>0</v>
      </c>
      <c r="AY377" s="718">
        <v>0</v>
      </c>
      <c r="AZ377" s="718">
        <v>0</v>
      </c>
      <c r="BA377" s="719">
        <f t="shared" si="154"/>
        <v>0</v>
      </c>
      <c r="BB377" s="720">
        <f t="shared" si="154"/>
        <v>0</v>
      </c>
      <c r="BC377" s="717">
        <f>G377*VLOOKUP($B377,'Emissions factors'!$B$1366:$W$1371,10,FALSE)+J377*VLOOKUP($B377,'Emissions factors'!$B$1366:$W$1371,20,FALSE)</f>
        <v>0</v>
      </c>
      <c r="BD377" s="721">
        <f>G377*VLOOKUP($B377,'Emissions factors'!$B$1366:$W$1371,11,FALSE)+J377*VLOOKUP($B377,'Emissions factors'!$B$1366:$W$1371,21,FALSE)</f>
        <v>0</v>
      </c>
    </row>
    <row r="378" spans="2:56" ht="12.75" hidden="1" customHeight="1" outlineLevel="1" x14ac:dyDescent="0.2">
      <c r="B378" s="200"/>
      <c r="C378" s="201"/>
      <c r="D378" s="275"/>
      <c r="E378" s="268"/>
      <c r="F378" s="201"/>
      <c r="G378" s="201"/>
      <c r="H378" s="201"/>
      <c r="I378" s="201"/>
      <c r="J378" s="473"/>
      <c r="K378" s="473"/>
      <c r="L378" s="473"/>
      <c r="M378" s="475"/>
      <c r="N378" s="475"/>
      <c r="O378" s="222"/>
      <c r="X378" s="200"/>
      <c r="Y378" s="201"/>
      <c r="Z378" s="214"/>
      <c r="AA378" s="214"/>
      <c r="AB378" s="269"/>
      <c r="AC378" s="466"/>
      <c r="AF378" s="200"/>
      <c r="AG378" s="201"/>
      <c r="AH378" s="201"/>
      <c r="AI378" s="269"/>
      <c r="AJ378" s="1465"/>
      <c r="AK378" s="201"/>
      <c r="AL378" s="201"/>
      <c r="AM378" s="201"/>
      <c r="AN378" s="269"/>
      <c r="AO378" s="222"/>
      <c r="AS378" s="717"/>
      <c r="AT378" s="718"/>
      <c r="AU378" s="718"/>
      <c r="AV378" s="718"/>
      <c r="AW378" s="718"/>
      <c r="AX378" s="718"/>
      <c r="AY378" s="718"/>
      <c r="AZ378" s="718"/>
      <c r="BA378" s="719"/>
      <c r="BB378" s="720"/>
      <c r="BC378" s="722"/>
      <c r="BD378" s="723"/>
    </row>
    <row r="379" spans="2:56" ht="12.75" hidden="1" customHeight="1" outlineLevel="1" x14ac:dyDescent="0.2">
      <c r="B379" s="253" t="s">
        <v>44</v>
      </c>
      <c r="C379" s="254"/>
      <c r="D379" s="264">
        <f>SUM(D375:D378)</f>
        <v>0</v>
      </c>
      <c r="E379" s="267">
        <f>SUM(E375:E378)</f>
        <v>0</v>
      </c>
      <c r="F379" s="254"/>
      <c r="G379" s="254"/>
      <c r="H379" s="254"/>
      <c r="I379" s="254"/>
      <c r="J379" s="254"/>
      <c r="K379" s="487"/>
      <c r="L379" s="487"/>
      <c r="M379" s="488">
        <f>SUM(M375:M378)</f>
        <v>0</v>
      </c>
      <c r="N379" s="488">
        <f>SUM(N375:N378)</f>
        <v>0</v>
      </c>
      <c r="O379" s="428">
        <f>SUM(O375:O378)</f>
        <v>0</v>
      </c>
      <c r="X379" s="258"/>
      <c r="Y379" s="256"/>
      <c r="Z379" s="260">
        <f>SQRT(SUMSQ(Z375:Z378))</f>
        <v>0</v>
      </c>
      <c r="AA379" s="260">
        <f>SQRT(SUMSQ(AA375:AA378))</f>
        <v>0</v>
      </c>
      <c r="AB379" s="259">
        <f>SQRT(SUMSQ(AB375:AB378))</f>
        <v>0</v>
      </c>
      <c r="AC379" s="428">
        <f>SQRT(SUMSQ(AC375:AC378))</f>
        <v>0</v>
      </c>
      <c r="AF379" s="258"/>
      <c r="AG379" s="260">
        <f>SUM(AG375:AG378)</f>
        <v>0</v>
      </c>
      <c r="AH379" s="260">
        <f>SUM(AH375:AH378)</f>
        <v>0</v>
      </c>
      <c r="AI379" s="259">
        <f>SUM(AI375:AI378)</f>
        <v>0</v>
      </c>
      <c r="AJ379" s="260">
        <f>SUM(AJ375:AJ378)</f>
        <v>0</v>
      </c>
      <c r="AK379" s="256"/>
      <c r="AL379" s="260">
        <f>SUM(AL375:AL378)</f>
        <v>0</v>
      </c>
      <c r="AM379" s="260">
        <f>SUM(AM375:AM378)</f>
        <v>0</v>
      </c>
      <c r="AN379" s="259">
        <f>SUM(AN375:AN378)</f>
        <v>0</v>
      </c>
      <c r="AO379" s="428">
        <f>SUM(AO375:AO378)</f>
        <v>0</v>
      </c>
      <c r="AS379" s="724">
        <f t="shared" ref="AS379:BD379" si="155">SUM(AS375:AS378)</f>
        <v>0</v>
      </c>
      <c r="AT379" s="725">
        <f t="shared" si="155"/>
        <v>0</v>
      </c>
      <c r="AU379" s="725">
        <f t="shared" si="155"/>
        <v>0</v>
      </c>
      <c r="AV379" s="725">
        <f t="shared" si="155"/>
        <v>0</v>
      </c>
      <c r="AW379" s="725">
        <f t="shared" si="155"/>
        <v>0</v>
      </c>
      <c r="AX379" s="725">
        <f t="shared" si="155"/>
        <v>0</v>
      </c>
      <c r="AY379" s="725">
        <f t="shared" si="155"/>
        <v>0</v>
      </c>
      <c r="AZ379" s="725">
        <f t="shared" si="155"/>
        <v>0</v>
      </c>
      <c r="BA379" s="726">
        <f t="shared" si="155"/>
        <v>0</v>
      </c>
      <c r="BB379" s="727">
        <f t="shared" si="155"/>
        <v>0</v>
      </c>
      <c r="BC379" s="724">
        <f t="shared" si="155"/>
        <v>0</v>
      </c>
      <c r="BD379" s="728">
        <f t="shared" si="155"/>
        <v>0</v>
      </c>
    </row>
    <row r="380" spans="2:56" ht="12.75" hidden="1" customHeight="1" outlineLevel="1" x14ac:dyDescent="0.2">
      <c r="B380" s="42"/>
      <c r="C380" s="42"/>
      <c r="D380" s="42"/>
      <c r="E380" s="42"/>
      <c r="F380" s="42"/>
      <c r="G380" s="42"/>
      <c r="H380" s="42"/>
      <c r="I380" s="42"/>
      <c r="J380" s="42"/>
      <c r="K380" s="42"/>
      <c r="L380" s="42"/>
      <c r="M380" s="42"/>
      <c r="N380" s="42"/>
      <c r="O380" s="42"/>
      <c r="P380" s="42"/>
      <c r="Q380" s="42"/>
      <c r="R380" s="42"/>
      <c r="S380" s="42"/>
      <c r="T380" s="42"/>
      <c r="U380" s="42"/>
      <c r="V380" s="42"/>
    </row>
    <row r="381" spans="2:56" ht="12.75" hidden="1" customHeight="1" outlineLevel="1" x14ac:dyDescent="0.2">
      <c r="B381" s="195" t="s">
        <v>2914</v>
      </c>
      <c r="C381" s="196"/>
      <c r="D381" s="196"/>
      <c r="E381" s="196"/>
      <c r="F381" s="198"/>
      <c r="G381" s="198"/>
      <c r="H381" s="198"/>
      <c r="I381" s="198"/>
      <c r="J381" s="198"/>
      <c r="K381" s="198"/>
      <c r="L381" s="198"/>
      <c r="M381" s="217"/>
      <c r="N381" s="217"/>
      <c r="O381" s="218"/>
      <c r="X381" s="1746" t="s">
        <v>723</v>
      </c>
      <c r="Y381" s="1747"/>
      <c r="Z381" s="1747"/>
      <c r="AA381" s="1747"/>
      <c r="AB381" s="1747"/>
      <c r="AC381" s="1748"/>
      <c r="AF381" s="1746" t="s">
        <v>2066</v>
      </c>
      <c r="AG381" s="1747"/>
      <c r="AH381" s="1747"/>
      <c r="AI381" s="1747"/>
      <c r="AJ381" s="1747"/>
      <c r="AK381" s="1747"/>
      <c r="AL381" s="1747"/>
      <c r="AM381" s="1747"/>
      <c r="AN381" s="1747"/>
      <c r="AO381" s="1748"/>
      <c r="AS381" s="1755" t="s">
        <v>2073</v>
      </c>
      <c r="AT381" s="1756"/>
      <c r="AU381" s="1756"/>
      <c r="AV381" s="1756"/>
      <c r="AW381" s="1756"/>
      <c r="AX381" s="1756"/>
      <c r="AY381" s="1756"/>
      <c r="AZ381" s="1756"/>
      <c r="BA381" s="1756"/>
      <c r="BB381" s="1756"/>
      <c r="BC381" s="1756"/>
      <c r="BD381" s="1757"/>
    </row>
    <row r="382" spans="2:56" ht="12.75" hidden="1" customHeight="1" outlineLevel="1" x14ac:dyDescent="0.2">
      <c r="B382" s="417"/>
      <c r="C382" s="225"/>
      <c r="D382" s="705"/>
      <c r="E382" s="705"/>
      <c r="F382" s="201"/>
      <c r="G382" s="201"/>
      <c r="H382" s="201"/>
      <c r="I382" s="201"/>
      <c r="J382" s="214"/>
      <c r="K382" s="201"/>
      <c r="L382" s="201"/>
      <c r="M382" s="1745" t="s">
        <v>2646</v>
      </c>
      <c r="N382" s="1745"/>
      <c r="O382" s="1378" t="s">
        <v>2639</v>
      </c>
      <c r="X382" s="216"/>
      <c r="Y382" s="217"/>
      <c r="Z382" s="705"/>
      <c r="AA382" s="705"/>
      <c r="AB382" s="705"/>
      <c r="AC382" s="1378" t="s">
        <v>2639</v>
      </c>
      <c r="AF382" s="216"/>
      <c r="AG382" s="705"/>
      <c r="AH382" s="705"/>
      <c r="AI382" s="705"/>
      <c r="AJ382" s="1465" t="s">
        <v>2639</v>
      </c>
      <c r="AK382" s="217"/>
      <c r="AL382" s="705"/>
      <c r="AM382" s="705"/>
      <c r="AN382" s="705"/>
      <c r="AO382" s="1468" t="s">
        <v>2639</v>
      </c>
      <c r="AS382" s="1758" t="s">
        <v>61</v>
      </c>
      <c r="AT382" s="1759"/>
      <c r="AU382" s="1759"/>
      <c r="AV382" s="1759"/>
      <c r="AW382" s="1759"/>
      <c r="AX382" s="1759"/>
      <c r="AY382" s="1759"/>
      <c r="AZ382" s="1759"/>
      <c r="BA382" s="1759" t="s">
        <v>61</v>
      </c>
      <c r="BB382" s="1760"/>
      <c r="BC382" s="730"/>
      <c r="BD382" s="731"/>
    </row>
    <row r="383" spans="2:56" ht="12.75" hidden="1" customHeight="1" outlineLevel="1" x14ac:dyDescent="0.2">
      <c r="B383" s="1629" t="s">
        <v>2909</v>
      </c>
      <c r="C383" s="1370"/>
      <c r="D383" s="1370" t="s">
        <v>56</v>
      </c>
      <c r="E383" s="1370" t="s">
        <v>56</v>
      </c>
      <c r="F383" s="205" t="s">
        <v>2634</v>
      </c>
      <c r="G383" s="205"/>
      <c r="H383" s="1744" t="s">
        <v>1308</v>
      </c>
      <c r="I383" s="1745"/>
      <c r="J383" s="205"/>
      <c r="K383" s="1744" t="s">
        <v>1281</v>
      </c>
      <c r="L383" s="1745"/>
      <c r="M383" s="705" t="s">
        <v>61</v>
      </c>
      <c r="N383" s="705" t="s">
        <v>61</v>
      </c>
      <c r="O383" s="1378" t="s">
        <v>30</v>
      </c>
      <c r="X383" s="1629" t="s">
        <v>2605</v>
      </c>
      <c r="Y383" s="1370" t="s">
        <v>2110</v>
      </c>
      <c r="Z383" s="1370" t="s">
        <v>61</v>
      </c>
      <c r="AA383" s="1370" t="s">
        <v>61</v>
      </c>
      <c r="AB383" s="705" t="s">
        <v>61</v>
      </c>
      <c r="AC383" s="1378" t="s">
        <v>30</v>
      </c>
      <c r="AF383" s="1466" t="s">
        <v>2065</v>
      </c>
      <c r="AG383" s="1465" t="s">
        <v>61</v>
      </c>
      <c r="AH383" s="1465" t="s">
        <v>61</v>
      </c>
      <c r="AI383" s="705" t="s">
        <v>61</v>
      </c>
      <c r="AJ383" s="1465" t="s">
        <v>30</v>
      </c>
      <c r="AK383" s="1465" t="s">
        <v>2558</v>
      </c>
      <c r="AL383" s="1465" t="s">
        <v>61</v>
      </c>
      <c r="AM383" s="1465" t="s">
        <v>61</v>
      </c>
      <c r="AN383" s="705" t="s">
        <v>61</v>
      </c>
      <c r="AO383" s="1468" t="s">
        <v>30</v>
      </c>
      <c r="AS383" s="1764" t="s">
        <v>14</v>
      </c>
      <c r="AT383" s="1761"/>
      <c r="AU383" s="1761" t="s">
        <v>60</v>
      </c>
      <c r="AV383" s="1761"/>
      <c r="AW383" s="1761" t="s">
        <v>27</v>
      </c>
      <c r="AX383" s="1761"/>
      <c r="AY383" s="1761" t="s">
        <v>2074</v>
      </c>
      <c r="AZ383" s="1761"/>
      <c r="BA383" s="1762" t="s">
        <v>41</v>
      </c>
      <c r="BB383" s="1763"/>
      <c r="BC383" s="1764" t="s">
        <v>85</v>
      </c>
      <c r="BD383" s="1765"/>
    </row>
    <row r="384" spans="2:56" ht="12.75" hidden="1" customHeight="1" outlineLevel="1" x14ac:dyDescent="0.2">
      <c r="B384" s="1369"/>
      <c r="C384" s="1370"/>
      <c r="D384" s="1370" t="s">
        <v>61</v>
      </c>
      <c r="E384" s="1370" t="s">
        <v>63</v>
      </c>
      <c r="F384" s="208" t="s">
        <v>2054</v>
      </c>
      <c r="G384" s="208" t="s">
        <v>57</v>
      </c>
      <c r="H384" s="1377" t="s">
        <v>768</v>
      </c>
      <c r="I384" s="1377" t="s">
        <v>24</v>
      </c>
      <c r="J384" s="208" t="s">
        <v>2635</v>
      </c>
      <c r="K384" s="1377" t="s">
        <v>768</v>
      </c>
      <c r="L384" s="1377" t="s">
        <v>24</v>
      </c>
      <c r="M384" s="1376" t="s">
        <v>768</v>
      </c>
      <c r="N384" s="1376" t="s">
        <v>24</v>
      </c>
      <c r="O384" s="1378" t="s">
        <v>61</v>
      </c>
      <c r="X384" s="1629" t="s">
        <v>2109</v>
      </c>
      <c r="Y384" s="1370"/>
      <c r="Z384" s="1377" t="s">
        <v>768</v>
      </c>
      <c r="AA384" s="1377" t="s">
        <v>24</v>
      </c>
      <c r="AB384" s="223" t="s">
        <v>41</v>
      </c>
      <c r="AC384" s="1378" t="s">
        <v>61</v>
      </c>
      <c r="AF384" s="1466"/>
      <c r="AG384" s="1467" t="s">
        <v>768</v>
      </c>
      <c r="AH384" s="1467" t="s">
        <v>24</v>
      </c>
      <c r="AI384" s="223" t="s">
        <v>41</v>
      </c>
      <c r="AJ384" s="1465" t="s">
        <v>61</v>
      </c>
      <c r="AK384" s="1465"/>
      <c r="AL384" s="1467" t="s">
        <v>768</v>
      </c>
      <c r="AM384" s="1467" t="s">
        <v>24</v>
      </c>
      <c r="AN384" s="223" t="s">
        <v>41</v>
      </c>
      <c r="AO384" s="1468" t="s">
        <v>61</v>
      </c>
      <c r="AS384" s="732" t="s">
        <v>768</v>
      </c>
      <c r="AT384" s="733" t="s">
        <v>24</v>
      </c>
      <c r="AU384" s="733" t="s">
        <v>768</v>
      </c>
      <c r="AV384" s="733" t="s">
        <v>24</v>
      </c>
      <c r="AW384" s="733" t="s">
        <v>768</v>
      </c>
      <c r="AX384" s="733" t="s">
        <v>24</v>
      </c>
      <c r="AY384" s="733" t="s">
        <v>768</v>
      </c>
      <c r="AZ384" s="733" t="s">
        <v>24</v>
      </c>
      <c r="BA384" s="734" t="s">
        <v>768</v>
      </c>
      <c r="BB384" s="735" t="s">
        <v>24</v>
      </c>
      <c r="BC384" s="732" t="s">
        <v>768</v>
      </c>
      <c r="BD384" s="736" t="s">
        <v>24</v>
      </c>
    </row>
    <row r="385" spans="2:56" ht="12.75" hidden="1" customHeight="1" outlineLevel="1" x14ac:dyDescent="0.2">
      <c r="B385" s="200" t="s">
        <v>1380</v>
      </c>
      <c r="C385" s="201"/>
      <c r="D385" s="262">
        <f>M385+N385</f>
        <v>0</v>
      </c>
      <c r="E385" s="265">
        <f>D385*12/44</f>
        <v>0</v>
      </c>
      <c r="F385" s="559"/>
      <c r="G385" s="182"/>
      <c r="H385" s="492">
        <f>VLOOKUP($B385,'Emissions factors'!$B$1346:$W$1361,2,FALSE)</f>
        <v>5.0440000000000001E-4</v>
      </c>
      <c r="I385" s="492">
        <f>VLOOKUP($B385,'Emissions factors'!$B$1346:$W$1361,3,FALSE)</f>
        <v>3.1501000000000003E-3</v>
      </c>
      <c r="J385" s="182"/>
      <c r="K385" s="789">
        <f>VLOOKUP($B385,'Emissions factors'!$B$1346:$W$1361,12,FALSE)</f>
        <v>40.130000000000003</v>
      </c>
      <c r="L385" s="789">
        <f>VLOOKUP($B385,'Emissions factors'!$B$1346:$W$1361,13,FALSE)</f>
        <v>250.6</v>
      </c>
      <c r="M385" s="465">
        <f>G385*H385+J385*K385</f>
        <v>0</v>
      </c>
      <c r="N385" s="210">
        <f>G385*I385+J385*L385</f>
        <v>0</v>
      </c>
      <c r="O385" s="222">
        <f>IF(OR(F385='Info utili'!$G$532,F385='Info utili'!$G$537),N385,0)</f>
        <v>0</v>
      </c>
      <c r="X385" s="282">
        <f>VLOOKUP($B385,'Emissions factors'!$B$1346:$W$1361,22,FALSE)</f>
        <v>0.6</v>
      </c>
      <c r="Y385" s="184"/>
      <c r="Z385" s="221">
        <f>M385*SQRT(X385^2+Y385^2)</f>
        <v>0</v>
      </c>
      <c r="AA385" s="221">
        <f>N385*SQRT(X385^2+Y385^2)</f>
        <v>0</v>
      </c>
      <c r="AB385" s="210">
        <f>SQRT(Z385^2+AA385^2)</f>
        <v>0</v>
      </c>
      <c r="AC385" s="222">
        <f>O385*SQRT(X385^2+Y385^2)</f>
        <v>0</v>
      </c>
      <c r="AF385" s="183"/>
      <c r="AG385" s="221">
        <f>AF385*M385</f>
        <v>0</v>
      </c>
      <c r="AH385" s="221">
        <f>AF385*N385</f>
        <v>0</v>
      </c>
      <c r="AI385" s="210">
        <f>AG385+AH385</f>
        <v>0</v>
      </c>
      <c r="AJ385" s="221">
        <f>AF385*O385</f>
        <v>0</v>
      </c>
      <c r="AK385" s="183"/>
      <c r="AL385" s="221">
        <f>AK385*M385</f>
        <v>0</v>
      </c>
      <c r="AM385" s="221">
        <f>AK385*N385</f>
        <v>0</v>
      </c>
      <c r="AN385" s="210">
        <f>AL385+AM385</f>
        <v>0</v>
      </c>
      <c r="AO385" s="222">
        <f>AK385*O385</f>
        <v>0</v>
      </c>
      <c r="AS385" s="717">
        <f>G385*VLOOKUP($B385,'Emissions factors'!$B$1346:$W$1361,4,FALSE)+J385*VLOOKUP($B385,'Emissions factors'!$B$1346:$W$1361,14,FALSE)</f>
        <v>0</v>
      </c>
      <c r="AT385" s="718">
        <f>G385*VLOOKUP($B385,'Emissions factors'!$B$1346:$W$1361,5,FALSE)+J385*VLOOKUP($B385,'Emissions factors'!$B$1346:$W$1361,15,FALSE)</f>
        <v>0</v>
      </c>
      <c r="AU385" s="718">
        <f>G385*VLOOKUP($B385,'Emissions factors'!$B$1346:$W$1361,6,FALSE)+J385*VLOOKUP($B385,'Emissions factors'!$B$1346:$W$1361,16,FALSE)</f>
        <v>0</v>
      </c>
      <c r="AV385" s="718">
        <f>G385*VLOOKUP($B385,'Emissions factors'!$B$1346:$W$1361,7,FALSE)+J385*VLOOKUP($B385,'Emissions factors'!$B$1346:$W$1361,17,FALSE)</f>
        <v>0</v>
      </c>
      <c r="AW385" s="718">
        <f>G385*VLOOKUP($B385,'Emissions factors'!$B$1346:$W$1361,8,FALSE)+J385*VLOOKUP($B385,'Emissions factors'!$B$1346:$W$1361,18,FALSE)</f>
        <v>0</v>
      </c>
      <c r="AX385" s="718">
        <f>G385*VLOOKUP($B385,'Emissions factors'!$B$1346:$W$1361,9,FALSE)+J385*VLOOKUP($B385,'Emissions factors'!$B$1346:$W$1361,19,FALSE)</f>
        <v>0</v>
      </c>
      <c r="AY385" s="718">
        <v>0</v>
      </c>
      <c r="AZ385" s="718">
        <v>0</v>
      </c>
      <c r="BA385" s="719">
        <f t="shared" ref="BA385:BB387" si="156">M385</f>
        <v>0</v>
      </c>
      <c r="BB385" s="720">
        <f t="shared" si="156"/>
        <v>0</v>
      </c>
      <c r="BC385" s="717">
        <f>G385*VLOOKUP($B385,'Emissions factors'!$B$1346:$W$1361,10,FALSE)+J385*VLOOKUP($B385,'Emissions factors'!$B$1346:$W$1361,20,FALSE)</f>
        <v>0</v>
      </c>
      <c r="BD385" s="721">
        <f>G385*VLOOKUP($B385,'Emissions factors'!$B$1346:$W$1361,11,FALSE)+J385*VLOOKUP($B385,'Emissions factors'!$B$1346:$W$1361,21,FALSE)</f>
        <v>0</v>
      </c>
    </row>
    <row r="386" spans="2:56" ht="12.75" hidden="1" customHeight="1" outlineLevel="1" x14ac:dyDescent="0.2">
      <c r="B386" s="200" t="s">
        <v>1376</v>
      </c>
      <c r="C386" s="201"/>
      <c r="D386" s="262">
        <f>M386+N386</f>
        <v>0</v>
      </c>
      <c r="E386" s="265">
        <f>D386*12/44</f>
        <v>0</v>
      </c>
      <c r="F386" s="442"/>
      <c r="G386" s="185"/>
      <c r="H386" s="492">
        <f>VLOOKUP($B386,'Emissions factors'!$B$1346:$W$1361,2,FALSE)</f>
        <v>2.0280000000000003E-3</v>
      </c>
      <c r="I386" s="492">
        <f>VLOOKUP($B386,'Emissions factors'!$B$1346:$W$1361,3,FALSE)</f>
        <v>1.2680760000000001E-2</v>
      </c>
      <c r="J386" s="185"/>
      <c r="K386" s="789">
        <f>VLOOKUP($B386,'Emissions factors'!$B$1346:$W$1361,12,FALSE)</f>
        <v>45.17</v>
      </c>
      <c r="L386" s="789">
        <f>VLOOKUP($B386,'Emissions factors'!$B$1346:$W$1361,13,FALSE)</f>
        <v>281.80500000000001</v>
      </c>
      <c r="M386" s="465">
        <f>G386*H386+J386*K386</f>
        <v>0</v>
      </c>
      <c r="N386" s="210">
        <f>G386*I386+J386*L386</f>
        <v>0</v>
      </c>
      <c r="O386" s="222">
        <f>IF(OR(F386='Info utili'!$G$532,F386='Info utili'!$G$537),N386,0)</f>
        <v>0</v>
      </c>
      <c r="X386" s="282">
        <f>VLOOKUP($B386,'Emissions factors'!$B$1346:$W$1361,22,FALSE)</f>
        <v>0.6</v>
      </c>
      <c r="Y386" s="187"/>
      <c r="Z386" s="221">
        <f>M386*SQRT(X386^2+Y386^2)</f>
        <v>0</v>
      </c>
      <c r="AA386" s="221">
        <f>N386*SQRT(X386^2+Y386^2)</f>
        <v>0</v>
      </c>
      <c r="AB386" s="210">
        <f>SQRT(Z386^2+AA386^2)</f>
        <v>0</v>
      </c>
      <c r="AC386" s="222">
        <f>O386*SQRT(X386^2+Y386^2)</f>
        <v>0</v>
      </c>
      <c r="AF386" s="186"/>
      <c r="AG386" s="221">
        <f>AF386*M386</f>
        <v>0</v>
      </c>
      <c r="AH386" s="221">
        <f>AF386*N386</f>
        <v>0</v>
      </c>
      <c r="AI386" s="210">
        <f>AG386+AH386</f>
        <v>0</v>
      </c>
      <c r="AJ386" s="221">
        <f>AF386*O386</f>
        <v>0</v>
      </c>
      <c r="AK386" s="186"/>
      <c r="AL386" s="221">
        <f>AK386*M386</f>
        <v>0</v>
      </c>
      <c r="AM386" s="221">
        <f>AK386*N386</f>
        <v>0</v>
      </c>
      <c r="AN386" s="210">
        <f>AL386+AM386</f>
        <v>0</v>
      </c>
      <c r="AO386" s="222">
        <f>AK386*O386</f>
        <v>0</v>
      </c>
      <c r="AS386" s="717">
        <f>G386*VLOOKUP($B386,'Emissions factors'!$B$1346:$W$1361,4,FALSE)+J386*VLOOKUP($B386,'Emissions factors'!$B$1346:$W$1361,14,FALSE)</f>
        <v>0</v>
      </c>
      <c r="AT386" s="718">
        <f>G386*VLOOKUP($B386,'Emissions factors'!$B$1346:$W$1361,5,FALSE)+J386*VLOOKUP($B386,'Emissions factors'!$B$1346:$W$1361,15,FALSE)</f>
        <v>0</v>
      </c>
      <c r="AU386" s="718">
        <f>G386*VLOOKUP($B386,'Emissions factors'!$B$1346:$W$1361,6,FALSE)+J386*VLOOKUP($B386,'Emissions factors'!$B$1346:$W$1361,16,FALSE)</f>
        <v>0</v>
      </c>
      <c r="AV386" s="718">
        <f>G386*VLOOKUP($B386,'Emissions factors'!$B$1346:$W$1361,7,FALSE)+J386*VLOOKUP($B386,'Emissions factors'!$B$1346:$W$1361,17,FALSE)</f>
        <v>0</v>
      </c>
      <c r="AW386" s="718">
        <f>G386*VLOOKUP($B386,'Emissions factors'!$B$1346:$W$1361,8,FALSE)+J386*VLOOKUP($B386,'Emissions factors'!$B$1346:$W$1361,18,FALSE)</f>
        <v>0</v>
      </c>
      <c r="AX386" s="718">
        <f>G386*VLOOKUP($B386,'Emissions factors'!$B$1346:$W$1361,9,FALSE)+J386*VLOOKUP($B386,'Emissions factors'!$B$1346:$W$1361,19,FALSE)</f>
        <v>0</v>
      </c>
      <c r="AY386" s="718">
        <v>0</v>
      </c>
      <c r="AZ386" s="718">
        <v>0</v>
      </c>
      <c r="BA386" s="719">
        <f t="shared" si="156"/>
        <v>0</v>
      </c>
      <c r="BB386" s="720">
        <f t="shared" si="156"/>
        <v>0</v>
      </c>
      <c r="BC386" s="717">
        <f>G386*VLOOKUP($B386,'Emissions factors'!$B$1346:$W$1361,10,FALSE)+J386*VLOOKUP($B386,'Emissions factors'!$B$1346:$W$1361,20,FALSE)</f>
        <v>0</v>
      </c>
      <c r="BD386" s="721">
        <f>G386*VLOOKUP($B386,'Emissions factors'!$B$1346:$W$1361,11,FALSE)+J386*VLOOKUP($B386,'Emissions factors'!$B$1346:$W$1361,21,FALSE)</f>
        <v>0</v>
      </c>
    </row>
    <row r="387" spans="2:56" ht="12.75" hidden="1" customHeight="1" outlineLevel="1" x14ac:dyDescent="0.2">
      <c r="B387" s="200" t="s">
        <v>1383</v>
      </c>
      <c r="C387" s="201"/>
      <c r="D387" s="262">
        <f>M387+N387</f>
        <v>0</v>
      </c>
      <c r="E387" s="265">
        <f>D387*12/44</f>
        <v>0</v>
      </c>
      <c r="F387" s="443"/>
      <c r="G387" s="188"/>
      <c r="H387" s="492">
        <f>VLOOKUP($B387,'Emissions factors'!$B$1346:$W$1361,2,FALSE)</f>
        <v>7.4899999999999999E-4</v>
      </c>
      <c r="I387" s="492">
        <f>VLOOKUP($B387,'Emissions factors'!$B$1346:$W$1361,3,FALSE)</f>
        <v>4.6798399999999993E-3</v>
      </c>
      <c r="J387" s="188"/>
      <c r="K387" s="789">
        <f>VLOOKUP($B387,'Emissions factors'!$B$1346:$W$1361,12,FALSE)</f>
        <v>36.51</v>
      </c>
      <c r="L387" s="789">
        <f>VLOOKUP($B387,'Emissions factors'!$B$1346:$W$1361,13,FALSE)</f>
        <v>227.459</v>
      </c>
      <c r="M387" s="465">
        <f>G387*H387+J387*K387</f>
        <v>0</v>
      </c>
      <c r="N387" s="210">
        <f>G387*I387+J387*L387</f>
        <v>0</v>
      </c>
      <c r="O387" s="222">
        <f>IF(OR(F387='Info utili'!$G$532,F387='Info utili'!$G$537),N387,0)</f>
        <v>0</v>
      </c>
      <c r="X387" s="282">
        <f>VLOOKUP($B387,'Emissions factors'!$B$1346:$W$1361,22,FALSE)</f>
        <v>0.6</v>
      </c>
      <c r="Y387" s="190"/>
      <c r="Z387" s="221">
        <f>M387*SQRT(X387^2+Y387^2)</f>
        <v>0</v>
      </c>
      <c r="AA387" s="221">
        <f>N387*SQRT(X387^2+Y387^2)</f>
        <v>0</v>
      </c>
      <c r="AB387" s="210">
        <f>SQRT(Z387^2+AA387^2)</f>
        <v>0</v>
      </c>
      <c r="AC387" s="222">
        <f>O387*SQRT(X387^2+Y387^2)</f>
        <v>0</v>
      </c>
      <c r="AF387" s="189"/>
      <c r="AG387" s="221">
        <f>AF387*M387</f>
        <v>0</v>
      </c>
      <c r="AH387" s="221">
        <f>AF387*N387</f>
        <v>0</v>
      </c>
      <c r="AI387" s="210">
        <f>AG387+AH387</f>
        <v>0</v>
      </c>
      <c r="AJ387" s="221">
        <f>AF387*O387</f>
        <v>0</v>
      </c>
      <c r="AK387" s="189"/>
      <c r="AL387" s="221">
        <f>AK387*M387</f>
        <v>0</v>
      </c>
      <c r="AM387" s="221">
        <f>AK387*N387</f>
        <v>0</v>
      </c>
      <c r="AN387" s="210">
        <f>AL387+AM387</f>
        <v>0</v>
      </c>
      <c r="AO387" s="222">
        <f>AK387*O387</f>
        <v>0</v>
      </c>
      <c r="AS387" s="717">
        <f>G387*VLOOKUP($B387,'Emissions factors'!$B$1346:$W$1361,4,FALSE)+J387*VLOOKUP($B387,'Emissions factors'!$B$1346:$W$1361,14,FALSE)</f>
        <v>0</v>
      </c>
      <c r="AT387" s="718">
        <f>G387*VLOOKUP($B387,'Emissions factors'!$B$1346:$W$1361,5,FALSE)+J387*VLOOKUP($B387,'Emissions factors'!$B$1346:$W$1361,15,FALSE)</f>
        <v>0</v>
      </c>
      <c r="AU387" s="718">
        <f>G387*VLOOKUP($B387,'Emissions factors'!$B$1346:$W$1361,6,FALSE)+J387*VLOOKUP($B387,'Emissions factors'!$B$1346:$W$1361,16,FALSE)</f>
        <v>0</v>
      </c>
      <c r="AV387" s="718">
        <f>G387*VLOOKUP($B387,'Emissions factors'!$B$1346:$W$1361,7,FALSE)+J387*VLOOKUP($B387,'Emissions factors'!$B$1346:$W$1361,17,FALSE)</f>
        <v>0</v>
      </c>
      <c r="AW387" s="718">
        <f>G387*VLOOKUP($B387,'Emissions factors'!$B$1346:$W$1361,8,FALSE)+J387*VLOOKUP($B387,'Emissions factors'!$B$1346:$W$1361,18,FALSE)</f>
        <v>0</v>
      </c>
      <c r="AX387" s="718">
        <f>G387*VLOOKUP($B387,'Emissions factors'!$B$1346:$W$1361,9,FALSE)+J387*VLOOKUP($B387,'Emissions factors'!$B$1346:$W$1361,19,FALSE)</f>
        <v>0</v>
      </c>
      <c r="AY387" s="718">
        <v>0</v>
      </c>
      <c r="AZ387" s="718">
        <v>0</v>
      </c>
      <c r="BA387" s="719">
        <f t="shared" si="156"/>
        <v>0</v>
      </c>
      <c r="BB387" s="720">
        <f t="shared" si="156"/>
        <v>0</v>
      </c>
      <c r="BC387" s="717">
        <f>G387*VLOOKUP($B387,'Emissions factors'!$B$1346:$W$1361,10,FALSE)+J387*VLOOKUP($B387,'Emissions factors'!$B$1346:$W$1361,20,FALSE)</f>
        <v>0</v>
      </c>
      <c r="BD387" s="721">
        <f>G387*VLOOKUP($B387,'Emissions factors'!$B$1346:$W$1361,11,FALSE)+J387*VLOOKUP($B387,'Emissions factors'!$B$1346:$W$1361,21,FALSE)</f>
        <v>0</v>
      </c>
    </row>
    <row r="388" spans="2:56" ht="12.75" hidden="1" customHeight="1" outlineLevel="1" x14ac:dyDescent="0.2">
      <c r="B388" s="200"/>
      <c r="C388" s="201"/>
      <c r="D388" s="275"/>
      <c r="E388" s="268"/>
      <c r="F388" s="201"/>
      <c r="G388" s="201"/>
      <c r="H388" s="201"/>
      <c r="I388" s="201"/>
      <c r="J388" s="473"/>
      <c r="K388" s="473"/>
      <c r="L388" s="473"/>
      <c r="M388" s="465"/>
      <c r="N388" s="210"/>
      <c r="O388" s="222"/>
      <c r="X388" s="213"/>
      <c r="Y388" s="214"/>
      <c r="Z388" s="214"/>
      <c r="AA388" s="214"/>
      <c r="AB388" s="269"/>
      <c r="AC388" s="466"/>
      <c r="AF388" s="213"/>
      <c r="AG388" s="413"/>
      <c r="AH388" s="413"/>
      <c r="AI388" s="210"/>
      <c r="AJ388" s="413"/>
      <c r="AK388" s="214"/>
      <c r="AL388" s="214"/>
      <c r="AM388" s="214"/>
      <c r="AN388" s="210"/>
      <c r="AO388" s="466"/>
      <c r="AS388" s="717"/>
      <c r="AT388" s="718"/>
      <c r="AU388" s="718"/>
      <c r="AV388" s="718"/>
      <c r="AW388" s="718"/>
      <c r="AX388" s="718"/>
      <c r="AY388" s="718"/>
      <c r="AZ388" s="718"/>
      <c r="BA388" s="719"/>
      <c r="BB388" s="720"/>
      <c r="BC388" s="722"/>
      <c r="BD388" s="723"/>
    </row>
    <row r="389" spans="2:56" ht="12.75" hidden="1" customHeight="1" outlineLevel="1" x14ac:dyDescent="0.2">
      <c r="B389" s="253" t="s">
        <v>2828</v>
      </c>
      <c r="C389" s="254"/>
      <c r="D389" s="264">
        <f>SUM(D385:D388)</f>
        <v>0</v>
      </c>
      <c r="E389" s="267">
        <f>SUM(E385:E388)</f>
        <v>0</v>
      </c>
      <c r="F389" s="254"/>
      <c r="G389" s="254"/>
      <c r="H389" s="254"/>
      <c r="I389" s="254"/>
      <c r="J389" s="254"/>
      <c r="K389" s="487"/>
      <c r="L389" s="487"/>
      <c r="M389" s="488">
        <f>SUM(M385:M388)</f>
        <v>0</v>
      </c>
      <c r="N389" s="488">
        <f>SUM(N385:N388)</f>
        <v>0</v>
      </c>
      <c r="O389" s="428">
        <f>SUM(O385:O388)</f>
        <v>0</v>
      </c>
      <c r="X389" s="258"/>
      <c r="Y389" s="256"/>
      <c r="Z389" s="260">
        <f>SQRT(SUMSQ(Z385:Z388))</f>
        <v>0</v>
      </c>
      <c r="AA389" s="260">
        <f>SQRT(SUMSQ(AA385:AA388))</f>
        <v>0</v>
      </c>
      <c r="AB389" s="259">
        <f>SQRT(SUMSQ(AB385:AB388))</f>
        <v>0</v>
      </c>
      <c r="AC389" s="428">
        <f>SQRT(SUMSQ(AC385:AC388))</f>
        <v>0</v>
      </c>
      <c r="AF389" s="258"/>
      <c r="AG389" s="260">
        <f>SUM(AG385:AG388)</f>
        <v>0</v>
      </c>
      <c r="AH389" s="260">
        <f>SUM(AH385:AH388)</f>
        <v>0</v>
      </c>
      <c r="AI389" s="259">
        <f>SUM(AI385:AI388)</f>
        <v>0</v>
      </c>
      <c r="AJ389" s="260">
        <f>SUM(AJ385:AJ388)</f>
        <v>0</v>
      </c>
      <c r="AK389" s="256"/>
      <c r="AL389" s="260">
        <f>SUM(AL385:AL388)</f>
        <v>0</v>
      </c>
      <c r="AM389" s="260">
        <f>SUM(AM385:AM388)</f>
        <v>0</v>
      </c>
      <c r="AN389" s="259">
        <f>SUM(AN385:AN388)</f>
        <v>0</v>
      </c>
      <c r="AO389" s="428">
        <f>SUM(AO385:AO388)</f>
        <v>0</v>
      </c>
      <c r="AS389" s="724">
        <f t="shared" ref="AS389:BD389" si="157">SUM(AS385:AS388)</f>
        <v>0</v>
      </c>
      <c r="AT389" s="725">
        <f t="shared" si="157"/>
        <v>0</v>
      </c>
      <c r="AU389" s="725">
        <f t="shared" si="157"/>
        <v>0</v>
      </c>
      <c r="AV389" s="725">
        <f t="shared" si="157"/>
        <v>0</v>
      </c>
      <c r="AW389" s="725">
        <f t="shared" si="157"/>
        <v>0</v>
      </c>
      <c r="AX389" s="725">
        <f t="shared" si="157"/>
        <v>0</v>
      </c>
      <c r="AY389" s="725">
        <f t="shared" si="157"/>
        <v>0</v>
      </c>
      <c r="AZ389" s="725">
        <f t="shared" si="157"/>
        <v>0</v>
      </c>
      <c r="BA389" s="726">
        <f t="shared" si="157"/>
        <v>0</v>
      </c>
      <c r="BB389" s="727">
        <f t="shared" si="157"/>
        <v>0</v>
      </c>
      <c r="BC389" s="724">
        <f t="shared" si="157"/>
        <v>0</v>
      </c>
      <c r="BD389" s="728">
        <f t="shared" si="157"/>
        <v>0</v>
      </c>
    </row>
    <row r="390" spans="2:56" ht="12.75" hidden="1" customHeight="1" outlineLevel="1" x14ac:dyDescent="0.2">
      <c r="F390" s="328"/>
      <c r="G390" s="329"/>
      <c r="H390" s="314"/>
    </row>
    <row r="391" spans="2:56" ht="12.75" hidden="1" customHeight="1" outlineLevel="1" x14ac:dyDescent="0.2">
      <c r="B391" s="195" t="s">
        <v>2908</v>
      </c>
      <c r="C391" s="196"/>
      <c r="D391" s="196"/>
      <c r="E391" s="196"/>
      <c r="F391" s="196"/>
      <c r="G391" s="198"/>
      <c r="H391" s="198"/>
      <c r="I391" s="198"/>
      <c r="J391" s="198"/>
      <c r="K391" s="198"/>
      <c r="L391" s="198"/>
      <c r="M391" s="217"/>
      <c r="N391" s="217"/>
      <c r="O391" s="218"/>
      <c r="X391" s="1746" t="s">
        <v>723</v>
      </c>
      <c r="Y391" s="1747"/>
      <c r="Z391" s="1747"/>
      <c r="AA391" s="1747"/>
      <c r="AB391" s="1747"/>
      <c r="AC391" s="1748"/>
      <c r="AF391" s="1746" t="s">
        <v>2066</v>
      </c>
      <c r="AG391" s="1747"/>
      <c r="AH391" s="1747"/>
      <c r="AI391" s="1747"/>
      <c r="AJ391" s="1747"/>
      <c r="AK391" s="1747"/>
      <c r="AL391" s="1747"/>
      <c r="AM391" s="1747"/>
      <c r="AN391" s="1747"/>
      <c r="AO391" s="1748"/>
      <c r="AS391" s="1755" t="s">
        <v>2073</v>
      </c>
      <c r="AT391" s="1756"/>
      <c r="AU391" s="1756"/>
      <c r="AV391" s="1756"/>
      <c r="AW391" s="1756"/>
      <c r="AX391" s="1756"/>
      <c r="AY391" s="1756"/>
      <c r="AZ391" s="1756"/>
      <c r="BA391" s="1756"/>
      <c r="BB391" s="1756"/>
      <c r="BC391" s="1756"/>
      <c r="BD391" s="1757"/>
    </row>
    <row r="392" spans="2:56" ht="12.75" hidden="1" customHeight="1" outlineLevel="1" x14ac:dyDescent="0.2">
      <c r="B392" s="417"/>
      <c r="C392" s="225"/>
      <c r="D392" s="705"/>
      <c r="E392" s="705"/>
      <c r="F392" s="201"/>
      <c r="G392" s="201"/>
      <c r="H392" s="201"/>
      <c r="I392" s="201"/>
      <c r="J392" s="201"/>
      <c r="K392" s="201"/>
      <c r="L392" s="201"/>
      <c r="M392" s="1745" t="s">
        <v>2646</v>
      </c>
      <c r="N392" s="1745"/>
      <c r="O392" s="1378" t="s">
        <v>2639</v>
      </c>
      <c r="X392" s="216"/>
      <c r="Y392" s="217"/>
      <c r="Z392" s="705"/>
      <c r="AA392" s="705"/>
      <c r="AB392" s="705"/>
      <c r="AC392" s="1378" t="s">
        <v>2639</v>
      </c>
      <c r="AF392" s="216"/>
      <c r="AG392" s="705"/>
      <c r="AH392" s="705"/>
      <c r="AI392" s="705"/>
      <c r="AJ392" s="1465" t="s">
        <v>2639</v>
      </c>
      <c r="AK392" s="217"/>
      <c r="AL392" s="705"/>
      <c r="AM392" s="705"/>
      <c r="AN392" s="705"/>
      <c r="AO392" s="1468" t="s">
        <v>2639</v>
      </c>
      <c r="AS392" s="1758" t="s">
        <v>61</v>
      </c>
      <c r="AT392" s="1759"/>
      <c r="AU392" s="1759"/>
      <c r="AV392" s="1759"/>
      <c r="AW392" s="1759"/>
      <c r="AX392" s="1759"/>
      <c r="AY392" s="1759"/>
      <c r="AZ392" s="1759"/>
      <c r="BA392" s="1759" t="s">
        <v>61</v>
      </c>
      <c r="BB392" s="1760"/>
      <c r="BC392" s="730"/>
      <c r="BD392" s="731"/>
    </row>
    <row r="393" spans="2:56" ht="12.75" hidden="1" customHeight="1" outlineLevel="1" x14ac:dyDescent="0.2">
      <c r="B393" s="1653" t="s">
        <v>2909</v>
      </c>
      <c r="C393" s="1370"/>
      <c r="D393" s="1370" t="s">
        <v>56</v>
      </c>
      <c r="E393" s="1370" t="s">
        <v>56</v>
      </c>
      <c r="F393" s="205" t="s">
        <v>2634</v>
      </c>
      <c r="G393" s="205"/>
      <c r="H393" s="1744" t="s">
        <v>1308</v>
      </c>
      <c r="I393" s="1745"/>
      <c r="J393" s="205"/>
      <c r="K393" s="1744" t="s">
        <v>1281</v>
      </c>
      <c r="L393" s="1745"/>
      <c r="M393" s="705" t="s">
        <v>61</v>
      </c>
      <c r="N393" s="705" t="s">
        <v>61</v>
      </c>
      <c r="O393" s="1378" t="s">
        <v>30</v>
      </c>
      <c r="X393" s="1629" t="s">
        <v>2605</v>
      </c>
      <c r="Y393" s="1370" t="s">
        <v>2110</v>
      </c>
      <c r="Z393" s="1370" t="s">
        <v>61</v>
      </c>
      <c r="AA393" s="1370" t="s">
        <v>61</v>
      </c>
      <c r="AB393" s="705" t="s">
        <v>61</v>
      </c>
      <c r="AC393" s="1378" t="s">
        <v>30</v>
      </c>
      <c r="AF393" s="1466" t="s">
        <v>2065</v>
      </c>
      <c r="AG393" s="1465" t="s">
        <v>61</v>
      </c>
      <c r="AH393" s="1465" t="s">
        <v>61</v>
      </c>
      <c r="AI393" s="705" t="s">
        <v>61</v>
      </c>
      <c r="AJ393" s="1465" t="s">
        <v>30</v>
      </c>
      <c r="AK393" s="1465" t="s">
        <v>2558</v>
      </c>
      <c r="AL393" s="1465" t="s">
        <v>61</v>
      </c>
      <c r="AM393" s="1465" t="s">
        <v>61</v>
      </c>
      <c r="AN393" s="705" t="s">
        <v>61</v>
      </c>
      <c r="AO393" s="1468" t="s">
        <v>30</v>
      </c>
      <c r="AS393" s="1764" t="s">
        <v>14</v>
      </c>
      <c r="AT393" s="1761"/>
      <c r="AU393" s="1761" t="s">
        <v>60</v>
      </c>
      <c r="AV393" s="1761"/>
      <c r="AW393" s="1761" t="s">
        <v>27</v>
      </c>
      <c r="AX393" s="1761"/>
      <c r="AY393" s="1761" t="s">
        <v>2074</v>
      </c>
      <c r="AZ393" s="1761"/>
      <c r="BA393" s="1762" t="s">
        <v>41</v>
      </c>
      <c r="BB393" s="1763"/>
      <c r="BC393" s="1764" t="s">
        <v>85</v>
      </c>
      <c r="BD393" s="1765"/>
    </row>
    <row r="394" spans="2:56" ht="12.75" hidden="1" customHeight="1" outlineLevel="1" x14ac:dyDescent="0.2">
      <c r="B394" s="1369"/>
      <c r="C394" s="1370"/>
      <c r="D394" s="1370" t="s">
        <v>61</v>
      </c>
      <c r="E394" s="1370" t="s">
        <v>63</v>
      </c>
      <c r="F394" s="208" t="s">
        <v>2054</v>
      </c>
      <c r="G394" s="208" t="s">
        <v>57</v>
      </c>
      <c r="H394" s="1377" t="s">
        <v>768</v>
      </c>
      <c r="I394" s="1377" t="s">
        <v>24</v>
      </c>
      <c r="J394" s="208" t="s">
        <v>2635</v>
      </c>
      <c r="K394" s="1377" t="s">
        <v>768</v>
      </c>
      <c r="L394" s="1377" t="s">
        <v>24</v>
      </c>
      <c r="M394" s="1376" t="s">
        <v>768</v>
      </c>
      <c r="N394" s="1376" t="s">
        <v>24</v>
      </c>
      <c r="O394" s="1378" t="s">
        <v>61</v>
      </c>
      <c r="X394" s="1629" t="s">
        <v>2109</v>
      </c>
      <c r="Y394" s="1370"/>
      <c r="Z394" s="1377" t="s">
        <v>768</v>
      </c>
      <c r="AA394" s="1377" t="s">
        <v>24</v>
      </c>
      <c r="AB394" s="223" t="s">
        <v>41</v>
      </c>
      <c r="AC394" s="1378" t="s">
        <v>61</v>
      </c>
      <c r="AF394" s="1466"/>
      <c r="AG394" s="1467" t="s">
        <v>768</v>
      </c>
      <c r="AH394" s="1467" t="s">
        <v>24</v>
      </c>
      <c r="AI394" s="223" t="s">
        <v>41</v>
      </c>
      <c r="AJ394" s="1465" t="s">
        <v>61</v>
      </c>
      <c r="AK394" s="1465"/>
      <c r="AL394" s="1467" t="s">
        <v>768</v>
      </c>
      <c r="AM394" s="1467" t="s">
        <v>24</v>
      </c>
      <c r="AN394" s="223" t="s">
        <v>41</v>
      </c>
      <c r="AO394" s="1468" t="s">
        <v>61</v>
      </c>
      <c r="AS394" s="732" t="s">
        <v>768</v>
      </c>
      <c r="AT394" s="733" t="s">
        <v>24</v>
      </c>
      <c r="AU394" s="733" t="s">
        <v>768</v>
      </c>
      <c r="AV394" s="733" t="s">
        <v>24</v>
      </c>
      <c r="AW394" s="733" t="s">
        <v>768</v>
      </c>
      <c r="AX394" s="733" t="s">
        <v>24</v>
      </c>
      <c r="AY394" s="733" t="s">
        <v>768</v>
      </c>
      <c r="AZ394" s="733" t="s">
        <v>24</v>
      </c>
      <c r="BA394" s="734" t="s">
        <v>768</v>
      </c>
      <c r="BB394" s="735" t="s">
        <v>24</v>
      </c>
      <c r="BC394" s="732" t="s">
        <v>768</v>
      </c>
      <c r="BD394" s="736" t="s">
        <v>24</v>
      </c>
    </row>
    <row r="395" spans="2:56" ht="12.75" hidden="1" customHeight="1" outlineLevel="1" x14ac:dyDescent="0.2">
      <c r="B395" s="200" t="s">
        <v>1396</v>
      </c>
      <c r="C395" s="201"/>
      <c r="D395" s="262">
        <f>M395+N395</f>
        <v>0</v>
      </c>
      <c r="E395" s="265">
        <f>D395*12/44</f>
        <v>0</v>
      </c>
      <c r="F395" s="559"/>
      <c r="G395" s="182"/>
      <c r="H395" s="492">
        <f>VLOOKUP($B395,'Emissions factors'!$B$1376:$W$1385,2,FALSE)</f>
        <v>1.9798999999999997E-2</v>
      </c>
      <c r="I395" s="492">
        <f>VLOOKUP($B395,'Emissions factors'!$B$1376:$W$1385,3,FALSE)</f>
        <v>7.6037899999999992E-2</v>
      </c>
      <c r="J395" s="182"/>
      <c r="K395" s="789">
        <f>VLOOKUP($B395,'Emissions factors'!$B$1376:$W$1385,12,FALSE)</f>
        <v>4.1070000000000002</v>
      </c>
      <c r="L395" s="789">
        <f>VLOOKUP($B395,'Emissions factors'!$B$1376:$W$1385,13,FALSE)</f>
        <v>15.73204</v>
      </c>
      <c r="M395" s="465">
        <f>G395*H395+J395*K395</f>
        <v>0</v>
      </c>
      <c r="N395" s="210">
        <f>G395*I395+J395*L395</f>
        <v>0</v>
      </c>
      <c r="O395" s="222">
        <f>IF(OR(F395='Info utili'!$G$532,F395='Info utili'!$G$537),N395,0)</f>
        <v>0</v>
      </c>
      <c r="X395" s="282">
        <f>VLOOKUP($B395,'Emissions factors'!$B$1376:$W$1385,22,FALSE)</f>
        <v>0.7</v>
      </c>
      <c r="Y395" s="184"/>
      <c r="Z395" s="221">
        <f>M395*SQRT(X395^2+Y395^2)</f>
        <v>0</v>
      </c>
      <c r="AA395" s="221">
        <f>N395*SQRT(X395^2+Y395^2)</f>
        <v>0</v>
      </c>
      <c r="AB395" s="210">
        <f>SQRT(Z395^2+AA395^2)</f>
        <v>0</v>
      </c>
      <c r="AC395" s="222">
        <f>O395*SQRT(X395^2+Y395^2)</f>
        <v>0</v>
      </c>
      <c r="AF395" s="183"/>
      <c r="AG395" s="221">
        <f>AF395*M395</f>
        <v>0</v>
      </c>
      <c r="AH395" s="221">
        <f>AF395*N395</f>
        <v>0</v>
      </c>
      <c r="AI395" s="210">
        <f>AG395+AH395</f>
        <v>0</v>
      </c>
      <c r="AJ395" s="221">
        <f>AF395*O395</f>
        <v>0</v>
      </c>
      <c r="AK395" s="183"/>
      <c r="AL395" s="221">
        <f>AK395*M395</f>
        <v>0</v>
      </c>
      <c r="AM395" s="221">
        <f>AK395*N395</f>
        <v>0</v>
      </c>
      <c r="AN395" s="210">
        <f>AL395+AM395</f>
        <v>0</v>
      </c>
      <c r="AO395" s="222">
        <f>AK395*O395</f>
        <v>0</v>
      </c>
      <c r="AS395" s="717">
        <f>G395*VLOOKUP($B395,'Emissions factors'!$B$1376:$W$1385,4,FALSE)+J395*VLOOKUP($B395,'Emissions factors'!$B$1376:$W$1385,14,FALSE)</f>
        <v>0</v>
      </c>
      <c r="AT395" s="718">
        <f>G395*VLOOKUP($B395,'Emissions factors'!$B$1376:$W$1385,5,FALSE)+J395*VLOOKUP($B395,'Emissions factors'!$B$1376:$W$1385,15,FALSE)</f>
        <v>0</v>
      </c>
      <c r="AU395" s="718">
        <f>G395*VLOOKUP($B395,'Emissions factors'!$B$1376:$W$1385,6,FALSE)+J395*VLOOKUP($B395,'Emissions factors'!$B$1376:$W$1385,16,FALSE)</f>
        <v>0</v>
      </c>
      <c r="AV395" s="718">
        <f>G395*VLOOKUP($B395,'Emissions factors'!$B$1376:$W$1385,7,FALSE)+J395*VLOOKUP($B395,'Emissions factors'!$B$1376:$W$1385,17,FALSE)</f>
        <v>0</v>
      </c>
      <c r="AW395" s="718">
        <f>G395*VLOOKUP($B395,'Emissions factors'!$B$1376:$W$1385,8,FALSE)+J395*VLOOKUP($B395,'Emissions factors'!$B$1376:$W$1385,18,FALSE)</f>
        <v>0</v>
      </c>
      <c r="AX395" s="718">
        <f>G395*VLOOKUP($B395,'Emissions factors'!$B$1376:$W$1385,9,FALSE)+J395*VLOOKUP($B395,'Emissions factors'!$B$1376:$W$1385,19,FALSE)</f>
        <v>0</v>
      </c>
      <c r="AY395" s="718">
        <v>0</v>
      </c>
      <c r="AZ395" s="718">
        <v>0</v>
      </c>
      <c r="BA395" s="719">
        <f t="shared" ref="BA395:BB397" si="158">M395</f>
        <v>0</v>
      </c>
      <c r="BB395" s="720">
        <f t="shared" si="158"/>
        <v>0</v>
      </c>
      <c r="BC395" s="717">
        <f>G395*VLOOKUP($B395,'Emissions factors'!$B$1376:$W$1385,10,FALSE)+J395*VLOOKUP($B395,'Emissions factors'!$B$1376:$W$1385,20,FALSE)</f>
        <v>0</v>
      </c>
      <c r="BD395" s="721">
        <f>G395*VLOOKUP($B395,'Emissions factors'!$B$1376:$W$1385,11,FALSE)+J395*VLOOKUP($B395,'Emissions factors'!$B$1376:$W$1385,21,FALSE)</f>
        <v>0</v>
      </c>
    </row>
    <row r="396" spans="2:56" ht="12.75" hidden="1" customHeight="1" outlineLevel="1" x14ac:dyDescent="0.2">
      <c r="B396" s="200" t="s">
        <v>1393</v>
      </c>
      <c r="C396" s="201"/>
      <c r="D396" s="262">
        <f>M396+N396</f>
        <v>0</v>
      </c>
      <c r="E396" s="265">
        <f>D396*12/44</f>
        <v>0</v>
      </c>
      <c r="F396" s="442"/>
      <c r="G396" s="185"/>
      <c r="H396" s="492">
        <f>VLOOKUP($B396,'Emissions factors'!$B$1376:$W$1385,2,FALSE)</f>
        <v>1.1024000000000001E-2</v>
      </c>
      <c r="I396" s="492">
        <f>VLOOKUP($B396,'Emissions factors'!$B$1376:$W$1385,3,FALSE)</f>
        <v>4.2255899999999999E-2</v>
      </c>
      <c r="J396" s="185"/>
      <c r="K396" s="789">
        <f>VLOOKUP($B396,'Emissions factors'!$B$1376:$W$1385,12,FALSE)</f>
        <v>5.4729999999999999</v>
      </c>
      <c r="L396" s="789">
        <f>VLOOKUP($B396,'Emissions factors'!$B$1376:$W$1385,13,FALSE)</f>
        <v>20.976400000000002</v>
      </c>
      <c r="M396" s="465">
        <f>G396*H396+J396*K396</f>
        <v>0</v>
      </c>
      <c r="N396" s="210">
        <f>G396*I396+J396*L396</f>
        <v>0</v>
      </c>
      <c r="O396" s="222">
        <f>IF(OR(F396='Info utili'!$G$532,F396='Info utili'!$G$537),N396,0)</f>
        <v>0</v>
      </c>
      <c r="X396" s="282">
        <f>VLOOKUP($B396,'Emissions factors'!$B$1376:$W$1385,22,FALSE)</f>
        <v>0.7</v>
      </c>
      <c r="Y396" s="187"/>
      <c r="Z396" s="221">
        <f>M396*SQRT(X396^2+Y396^2)</f>
        <v>0</v>
      </c>
      <c r="AA396" s="221">
        <f>N396*SQRT(X396^2+Y396^2)</f>
        <v>0</v>
      </c>
      <c r="AB396" s="210">
        <f>SQRT(Z396^2+AA396^2)</f>
        <v>0</v>
      </c>
      <c r="AC396" s="222">
        <f>O396*SQRT(X396^2+Y396^2)</f>
        <v>0</v>
      </c>
      <c r="AF396" s="186"/>
      <c r="AG396" s="221">
        <f>AF396*M396</f>
        <v>0</v>
      </c>
      <c r="AH396" s="221">
        <f>AF396*N396</f>
        <v>0</v>
      </c>
      <c r="AI396" s="210">
        <f>AG396+AH396</f>
        <v>0</v>
      </c>
      <c r="AJ396" s="221">
        <f>AF396*O396</f>
        <v>0</v>
      </c>
      <c r="AK396" s="186"/>
      <c r="AL396" s="221">
        <f>AK396*M396</f>
        <v>0</v>
      </c>
      <c r="AM396" s="221">
        <f>AK396*N396</f>
        <v>0</v>
      </c>
      <c r="AN396" s="210">
        <f>AL396+AM396</f>
        <v>0</v>
      </c>
      <c r="AO396" s="222">
        <f>AK396*O396</f>
        <v>0</v>
      </c>
      <c r="AS396" s="717">
        <f>G396*VLOOKUP($B396,'Emissions factors'!$B$1376:$W$1385,4,FALSE)+J396*VLOOKUP($B396,'Emissions factors'!$B$1376:$W$1385,14,FALSE)</f>
        <v>0</v>
      </c>
      <c r="AT396" s="718">
        <f>G396*VLOOKUP($B396,'Emissions factors'!$B$1376:$W$1385,5,FALSE)+J396*VLOOKUP($B396,'Emissions factors'!$B$1376:$W$1385,15,FALSE)</f>
        <v>0</v>
      </c>
      <c r="AU396" s="718">
        <f>G396*VLOOKUP($B396,'Emissions factors'!$B$1376:$W$1385,6,FALSE)+J396*VLOOKUP($B396,'Emissions factors'!$B$1376:$W$1385,16,FALSE)</f>
        <v>0</v>
      </c>
      <c r="AV396" s="718">
        <f>G396*VLOOKUP($B396,'Emissions factors'!$B$1376:$W$1385,7,FALSE)+J396*VLOOKUP($B396,'Emissions factors'!$B$1376:$W$1385,17,FALSE)</f>
        <v>0</v>
      </c>
      <c r="AW396" s="718">
        <f>G396*VLOOKUP($B396,'Emissions factors'!$B$1376:$W$1385,8,FALSE)+J396*VLOOKUP($B396,'Emissions factors'!$B$1376:$W$1385,18,FALSE)</f>
        <v>0</v>
      </c>
      <c r="AX396" s="718">
        <f>G396*VLOOKUP($B396,'Emissions factors'!$B$1376:$W$1385,9,FALSE)+J396*VLOOKUP($B396,'Emissions factors'!$B$1376:$W$1385,19,FALSE)</f>
        <v>0</v>
      </c>
      <c r="AY396" s="718">
        <v>0</v>
      </c>
      <c r="AZ396" s="718">
        <v>0</v>
      </c>
      <c r="BA396" s="719">
        <f t="shared" si="158"/>
        <v>0</v>
      </c>
      <c r="BB396" s="720">
        <f t="shared" si="158"/>
        <v>0</v>
      </c>
      <c r="BC396" s="717">
        <f>G396*VLOOKUP($B396,'Emissions factors'!$B$1376:$W$1385,10,FALSE)+J396*VLOOKUP($B396,'Emissions factors'!$B$1376:$W$1385,20,FALSE)</f>
        <v>0</v>
      </c>
      <c r="BD396" s="721">
        <f>G396*VLOOKUP($B396,'Emissions factors'!$B$1376:$W$1385,11,FALSE)+J396*VLOOKUP($B396,'Emissions factors'!$B$1376:$W$1385,21,FALSE)</f>
        <v>0</v>
      </c>
    </row>
    <row r="397" spans="2:56" ht="12.75" hidden="1" customHeight="1" outlineLevel="1" x14ac:dyDescent="0.2">
      <c r="B397" s="200" t="s">
        <v>1398</v>
      </c>
      <c r="C397" s="201"/>
      <c r="D397" s="262">
        <f>M397+N397</f>
        <v>0</v>
      </c>
      <c r="E397" s="265">
        <f>D397*12/44</f>
        <v>0</v>
      </c>
      <c r="F397" s="443"/>
      <c r="G397" s="188"/>
      <c r="H397" s="492">
        <f>VLOOKUP($B397,'Emissions factors'!$B$1376:$W$1385,2,FALSE)</f>
        <v>7.4289999999999998E-3</v>
      </c>
      <c r="I397" s="492">
        <f>VLOOKUP($B397,'Emissions factors'!$B$1376:$W$1385,3,FALSE)</f>
        <v>2.8539800000000001E-2</v>
      </c>
      <c r="J397" s="188"/>
      <c r="K397" s="789">
        <f>VLOOKUP($B397,'Emissions factors'!$B$1376:$W$1385,12,FALSE)</f>
        <v>9.4309999999999992</v>
      </c>
      <c r="L397" s="789">
        <f>VLOOKUP($B397,'Emissions factors'!$B$1376:$W$1385,13,FALSE)</f>
        <v>36.204199999999993</v>
      </c>
      <c r="M397" s="465">
        <f>G397*H397+J397*K397</f>
        <v>0</v>
      </c>
      <c r="N397" s="210">
        <f>G397*I397+J397*L397</f>
        <v>0</v>
      </c>
      <c r="O397" s="222">
        <f>IF(OR(F397='Info utili'!$G$532,F397='Info utili'!$G$537),N397,0)</f>
        <v>0</v>
      </c>
      <c r="X397" s="282">
        <f>VLOOKUP($B397,'Emissions factors'!$B$1376:$W$1385,22,FALSE)</f>
        <v>0.7</v>
      </c>
      <c r="Y397" s="190"/>
      <c r="Z397" s="221">
        <f>M397*SQRT(X397^2+Y397^2)</f>
        <v>0</v>
      </c>
      <c r="AA397" s="221">
        <f>N397*SQRT(X397^2+Y397^2)</f>
        <v>0</v>
      </c>
      <c r="AB397" s="210">
        <f>SQRT(Z397^2+AA397^2)</f>
        <v>0</v>
      </c>
      <c r="AC397" s="222">
        <f>O397*SQRT(X397^2+Y397^2)</f>
        <v>0</v>
      </c>
      <c r="AF397" s="189"/>
      <c r="AG397" s="221">
        <f>AF397*M397</f>
        <v>0</v>
      </c>
      <c r="AH397" s="221">
        <f>AF397*N397</f>
        <v>0</v>
      </c>
      <c r="AI397" s="210">
        <f>AG397+AH397</f>
        <v>0</v>
      </c>
      <c r="AJ397" s="221">
        <f>AF397*O397</f>
        <v>0</v>
      </c>
      <c r="AK397" s="189"/>
      <c r="AL397" s="221">
        <f>AK397*M397</f>
        <v>0</v>
      </c>
      <c r="AM397" s="221">
        <f>AK397*N397</f>
        <v>0</v>
      </c>
      <c r="AN397" s="210">
        <f>AL397+AM397</f>
        <v>0</v>
      </c>
      <c r="AO397" s="222">
        <f>AK397*O397</f>
        <v>0</v>
      </c>
      <c r="AS397" s="717">
        <f>G397*VLOOKUP($B397,'Emissions factors'!$B$1376:$W$1385,4,FALSE)+J397*VLOOKUP($B397,'Emissions factors'!$B$1376:$W$1385,14,FALSE)</f>
        <v>0</v>
      </c>
      <c r="AT397" s="718">
        <f>G397*VLOOKUP($B397,'Emissions factors'!$B$1376:$W$1385,5,FALSE)+J397*VLOOKUP($B397,'Emissions factors'!$B$1376:$W$1385,15,FALSE)</f>
        <v>0</v>
      </c>
      <c r="AU397" s="718">
        <f>G397*VLOOKUP($B397,'Emissions factors'!$B$1376:$W$1385,6,FALSE)+J397*VLOOKUP($B397,'Emissions factors'!$B$1376:$W$1385,16,FALSE)</f>
        <v>0</v>
      </c>
      <c r="AV397" s="718">
        <f>G397*VLOOKUP($B397,'Emissions factors'!$B$1376:$W$1385,7,FALSE)+J397*VLOOKUP($B397,'Emissions factors'!$B$1376:$W$1385,17,FALSE)</f>
        <v>0</v>
      </c>
      <c r="AW397" s="718">
        <f>G397*VLOOKUP($B397,'Emissions factors'!$B$1376:$W$1385,8,FALSE)+J397*VLOOKUP($B397,'Emissions factors'!$B$1376:$W$1385,18,FALSE)</f>
        <v>0</v>
      </c>
      <c r="AX397" s="718">
        <f>G397*VLOOKUP($B397,'Emissions factors'!$B$1376:$W$1385,9,FALSE)+J397*VLOOKUP($B397,'Emissions factors'!$B$1376:$W$1385,19,FALSE)</f>
        <v>0</v>
      </c>
      <c r="AY397" s="718">
        <v>0</v>
      </c>
      <c r="AZ397" s="718">
        <v>0</v>
      </c>
      <c r="BA397" s="719">
        <f t="shared" si="158"/>
        <v>0</v>
      </c>
      <c r="BB397" s="720">
        <f t="shared" si="158"/>
        <v>0</v>
      </c>
      <c r="BC397" s="717">
        <f>G397*VLOOKUP($B397,'Emissions factors'!$B$1376:$W$1385,10,FALSE)+J397*VLOOKUP($B397,'Emissions factors'!$B$1376:$W$1385,20,FALSE)</f>
        <v>0</v>
      </c>
      <c r="BD397" s="721">
        <f>G397*VLOOKUP($B397,'Emissions factors'!$B$1376:$W$1385,11,FALSE)+J397*VLOOKUP($B397,'Emissions factors'!$B$1376:$W$1385,21,FALSE)</f>
        <v>0</v>
      </c>
    </row>
    <row r="398" spans="2:56" ht="12.75" hidden="1" customHeight="1" outlineLevel="1" x14ac:dyDescent="0.2">
      <c r="B398" s="200"/>
      <c r="C398" s="201"/>
      <c r="D398" s="275"/>
      <c r="E398" s="268"/>
      <c r="F398" s="201"/>
      <c r="G398" s="473"/>
      <c r="H398" s="473"/>
      <c r="I398" s="473"/>
      <c r="J398" s="473"/>
      <c r="K398" s="473"/>
      <c r="L398" s="473"/>
      <c r="M398" s="475"/>
      <c r="N398" s="475"/>
      <c r="O398" s="222"/>
      <c r="X398" s="200"/>
      <c r="Y398" s="201"/>
      <c r="Z398" s="214"/>
      <c r="AA398" s="214"/>
      <c r="AB398" s="269"/>
      <c r="AC398" s="466"/>
      <c r="AF398" s="200"/>
      <c r="AG398" s="201"/>
      <c r="AH398" s="201"/>
      <c r="AI398" s="210"/>
      <c r="AJ398" s="1465"/>
      <c r="AK398" s="201"/>
      <c r="AL398" s="201"/>
      <c r="AM398" s="201"/>
      <c r="AN398" s="210"/>
      <c r="AO398" s="222"/>
      <c r="AS398" s="717"/>
      <c r="AT398" s="718"/>
      <c r="AU398" s="718"/>
      <c r="AV398" s="718"/>
      <c r="AW398" s="718"/>
      <c r="AX398" s="718"/>
      <c r="AY398" s="718"/>
      <c r="AZ398" s="718"/>
      <c r="BA398" s="719"/>
      <c r="BB398" s="720"/>
      <c r="BC398" s="722"/>
      <c r="BD398" s="723"/>
    </row>
    <row r="399" spans="2:56" ht="12.75" hidden="1" customHeight="1" outlineLevel="1" x14ac:dyDescent="0.2">
      <c r="B399" s="253" t="s">
        <v>2828</v>
      </c>
      <c r="C399" s="254"/>
      <c r="D399" s="264">
        <f>SUM(D395:D398)</f>
        <v>0</v>
      </c>
      <c r="E399" s="267">
        <f>SUM(E395:E398)</f>
        <v>0</v>
      </c>
      <c r="F399" s="254"/>
      <c r="G399" s="254"/>
      <c r="H399" s="487"/>
      <c r="I399" s="487"/>
      <c r="J399" s="254"/>
      <c r="K399" s="487"/>
      <c r="L399" s="487"/>
      <c r="M399" s="488">
        <f>SUM(M395:M398)</f>
        <v>0</v>
      </c>
      <c r="N399" s="488">
        <f>SUM(N395:N398)</f>
        <v>0</v>
      </c>
      <c r="O399" s="428">
        <f>SUM(O395:O398)</f>
        <v>0</v>
      </c>
      <c r="X399" s="258"/>
      <c r="Y399" s="256"/>
      <c r="Z399" s="260">
        <f>SQRT(SUMSQ(Z395:Z398))</f>
        <v>0</v>
      </c>
      <c r="AA399" s="260">
        <f>SQRT(SUMSQ(AA395:AA398))</f>
        <v>0</v>
      </c>
      <c r="AB399" s="259">
        <f>SQRT(SUMSQ(AB395:AB398))</f>
        <v>0</v>
      </c>
      <c r="AC399" s="428">
        <f>SQRT(SUMSQ(AC395:AC398))</f>
        <v>0</v>
      </c>
      <c r="AF399" s="258"/>
      <c r="AG399" s="260">
        <f>SUM(AG395:AG398)</f>
        <v>0</v>
      </c>
      <c r="AH399" s="260">
        <f>SUM(AH395:AH398)</f>
        <v>0</v>
      </c>
      <c r="AI399" s="259">
        <f>SUM(AI395:AI398)</f>
        <v>0</v>
      </c>
      <c r="AJ399" s="260">
        <f>SUM(AJ395:AJ398)</f>
        <v>0</v>
      </c>
      <c r="AK399" s="256"/>
      <c r="AL399" s="260">
        <f>SUM(AL395:AL398)</f>
        <v>0</v>
      </c>
      <c r="AM399" s="260">
        <f>SUM(AM395:AM398)</f>
        <v>0</v>
      </c>
      <c r="AN399" s="259">
        <f>SUM(AN395:AN398)</f>
        <v>0</v>
      </c>
      <c r="AO399" s="428">
        <f>SUM(AO395:AO398)</f>
        <v>0</v>
      </c>
      <c r="AS399" s="724">
        <f t="shared" ref="AS399:BD399" si="159">SUM(AS395:AS398)</f>
        <v>0</v>
      </c>
      <c r="AT399" s="725">
        <f t="shared" si="159"/>
        <v>0</v>
      </c>
      <c r="AU399" s="725">
        <f t="shared" si="159"/>
        <v>0</v>
      </c>
      <c r="AV399" s="725">
        <f t="shared" si="159"/>
        <v>0</v>
      </c>
      <c r="AW399" s="725">
        <f t="shared" si="159"/>
        <v>0</v>
      </c>
      <c r="AX399" s="725">
        <f t="shared" si="159"/>
        <v>0</v>
      </c>
      <c r="AY399" s="725">
        <f t="shared" si="159"/>
        <v>0</v>
      </c>
      <c r="AZ399" s="725">
        <f t="shared" si="159"/>
        <v>0</v>
      </c>
      <c r="BA399" s="726">
        <f t="shared" si="159"/>
        <v>0</v>
      </c>
      <c r="BB399" s="727">
        <f t="shared" si="159"/>
        <v>0</v>
      </c>
      <c r="BC399" s="724">
        <f t="shared" si="159"/>
        <v>0</v>
      </c>
      <c r="BD399" s="728">
        <f t="shared" si="159"/>
        <v>0</v>
      </c>
    </row>
    <row r="400" spans="2:56" ht="12.75" hidden="1" customHeight="1" outlineLevel="1" x14ac:dyDescent="0.2"/>
    <row r="401" spans="1:63" ht="12.75" hidden="1" customHeight="1" outlineLevel="1" x14ac:dyDescent="0.2">
      <c r="B401" s="195" t="s">
        <v>2911</v>
      </c>
      <c r="C401" s="196"/>
      <c r="D401" s="1364"/>
      <c r="E401" s="1364"/>
      <c r="F401" s="196"/>
      <c r="G401" s="198"/>
      <c r="H401" s="198"/>
      <c r="I401" s="198"/>
      <c r="J401" s="217"/>
      <c r="K401" s="217"/>
      <c r="L401" s="218"/>
      <c r="X401" s="1746" t="s">
        <v>723</v>
      </c>
      <c r="Y401" s="1747"/>
      <c r="Z401" s="1747"/>
      <c r="AA401" s="1747"/>
      <c r="AB401" s="1747"/>
      <c r="AC401" s="1748"/>
      <c r="AF401" s="1746" t="s">
        <v>2066</v>
      </c>
      <c r="AG401" s="1747"/>
      <c r="AH401" s="1747"/>
      <c r="AI401" s="1747"/>
      <c r="AJ401" s="1747"/>
      <c r="AK401" s="1747"/>
      <c r="AL401" s="1747"/>
      <c r="AM401" s="1747"/>
      <c r="AN401" s="1747"/>
      <c r="AO401" s="1748"/>
      <c r="AS401" s="1755" t="s">
        <v>2073</v>
      </c>
      <c r="AT401" s="1756"/>
      <c r="AU401" s="1756"/>
      <c r="AV401" s="1756"/>
      <c r="AW401" s="1756"/>
      <c r="AX401" s="1756"/>
      <c r="AY401" s="1756"/>
      <c r="AZ401" s="1756"/>
      <c r="BA401" s="1756"/>
      <c r="BB401" s="1756"/>
      <c r="BC401" s="1756"/>
      <c r="BD401" s="1757"/>
    </row>
    <row r="402" spans="1:63" ht="12.75" hidden="1" customHeight="1" outlineLevel="1" x14ac:dyDescent="0.2">
      <c r="B402" s="417"/>
      <c r="C402" s="225"/>
      <c r="D402" s="705"/>
      <c r="E402" s="705"/>
      <c r="F402" s="201"/>
      <c r="G402" s="201"/>
      <c r="H402" s="201"/>
      <c r="I402" s="201"/>
      <c r="J402" s="1745" t="s">
        <v>2646</v>
      </c>
      <c r="K402" s="1745"/>
      <c r="L402" s="1378" t="s">
        <v>2639</v>
      </c>
      <c r="X402" s="216"/>
      <c r="Y402" s="217"/>
      <c r="Z402" s="705"/>
      <c r="AA402" s="705"/>
      <c r="AB402" s="705"/>
      <c r="AC402" s="1378" t="s">
        <v>2639</v>
      </c>
      <c r="AF402" s="216"/>
      <c r="AG402" s="705"/>
      <c r="AH402" s="705"/>
      <c r="AI402" s="705"/>
      <c r="AJ402" s="1465" t="s">
        <v>2639</v>
      </c>
      <c r="AK402" s="217"/>
      <c r="AL402" s="705"/>
      <c r="AM402" s="705"/>
      <c r="AN402" s="705"/>
      <c r="AO402" s="1468" t="s">
        <v>2639</v>
      </c>
      <c r="AS402" s="1758" t="s">
        <v>61</v>
      </c>
      <c r="AT402" s="1759"/>
      <c r="AU402" s="1759"/>
      <c r="AV402" s="1759"/>
      <c r="AW402" s="1759"/>
      <c r="AX402" s="1759"/>
      <c r="AY402" s="1759"/>
      <c r="AZ402" s="1759"/>
      <c r="BA402" s="1759" t="s">
        <v>61</v>
      </c>
      <c r="BB402" s="1760"/>
      <c r="BC402" s="730"/>
      <c r="BD402" s="731"/>
    </row>
    <row r="403" spans="1:63" ht="12.75" hidden="1" customHeight="1" outlineLevel="1" x14ac:dyDescent="0.2">
      <c r="B403" s="1629" t="s">
        <v>2910</v>
      </c>
      <c r="C403" s="1370"/>
      <c r="D403" s="1370" t="s">
        <v>56</v>
      </c>
      <c r="E403" s="1370" t="s">
        <v>56</v>
      </c>
      <c r="F403" s="205" t="s">
        <v>2634</v>
      </c>
      <c r="G403" s="205"/>
      <c r="H403" s="1744" t="s">
        <v>1308</v>
      </c>
      <c r="I403" s="1745"/>
      <c r="J403" s="705" t="s">
        <v>61</v>
      </c>
      <c r="K403" s="705" t="s">
        <v>61</v>
      </c>
      <c r="L403" s="1378" t="s">
        <v>30</v>
      </c>
      <c r="X403" s="1629" t="s">
        <v>2605</v>
      </c>
      <c r="Y403" s="1370" t="s">
        <v>2110</v>
      </c>
      <c r="Z403" s="1370" t="s">
        <v>61</v>
      </c>
      <c r="AA403" s="1370" t="s">
        <v>61</v>
      </c>
      <c r="AB403" s="705" t="s">
        <v>61</v>
      </c>
      <c r="AC403" s="1378" t="s">
        <v>30</v>
      </c>
      <c r="AF403" s="1466" t="s">
        <v>2065</v>
      </c>
      <c r="AG403" s="1465" t="s">
        <v>61</v>
      </c>
      <c r="AH403" s="1465" t="s">
        <v>61</v>
      </c>
      <c r="AI403" s="705" t="s">
        <v>61</v>
      </c>
      <c r="AJ403" s="1465" t="s">
        <v>30</v>
      </c>
      <c r="AK403" s="1465" t="s">
        <v>2558</v>
      </c>
      <c r="AL403" s="1465" t="s">
        <v>61</v>
      </c>
      <c r="AM403" s="1465" t="s">
        <v>61</v>
      </c>
      <c r="AN403" s="705" t="s">
        <v>61</v>
      </c>
      <c r="AO403" s="1468" t="s">
        <v>30</v>
      </c>
      <c r="AS403" s="1764" t="s">
        <v>14</v>
      </c>
      <c r="AT403" s="1761"/>
      <c r="AU403" s="1761" t="s">
        <v>60</v>
      </c>
      <c r="AV403" s="1761"/>
      <c r="AW403" s="1761" t="s">
        <v>27</v>
      </c>
      <c r="AX403" s="1761"/>
      <c r="AY403" s="1761" t="s">
        <v>2074</v>
      </c>
      <c r="AZ403" s="1761"/>
      <c r="BA403" s="1762" t="s">
        <v>41</v>
      </c>
      <c r="BB403" s="1763"/>
      <c r="BC403" s="1764" t="s">
        <v>85</v>
      </c>
      <c r="BD403" s="1765"/>
    </row>
    <row r="404" spans="1:63" ht="12.75" hidden="1" customHeight="1" outlineLevel="1" x14ac:dyDescent="0.2">
      <c r="B404" s="418" t="s">
        <v>2638</v>
      </c>
      <c r="C404" s="418"/>
      <c r="D404" s="1370" t="s">
        <v>61</v>
      </c>
      <c r="E404" s="1370" t="s">
        <v>63</v>
      </c>
      <c r="F404" s="208" t="s">
        <v>2054</v>
      </c>
      <c r="G404" s="208" t="s">
        <v>57</v>
      </c>
      <c r="H404" s="1377" t="s">
        <v>768</v>
      </c>
      <c r="I404" s="1377" t="s">
        <v>24</v>
      </c>
      <c r="J404" s="1376" t="s">
        <v>768</v>
      </c>
      <c r="K404" s="1376" t="s">
        <v>24</v>
      </c>
      <c r="L404" s="1378" t="s">
        <v>61</v>
      </c>
      <c r="X404" s="1629" t="s">
        <v>2109</v>
      </c>
      <c r="Y404" s="1370"/>
      <c r="Z404" s="1377" t="s">
        <v>768</v>
      </c>
      <c r="AA404" s="1377" t="s">
        <v>24</v>
      </c>
      <c r="AB404" s="223" t="s">
        <v>41</v>
      </c>
      <c r="AC404" s="1378" t="s">
        <v>61</v>
      </c>
      <c r="AF404" s="1466"/>
      <c r="AG404" s="1467" t="s">
        <v>768</v>
      </c>
      <c r="AH404" s="1467" t="s">
        <v>24</v>
      </c>
      <c r="AI404" s="223" t="s">
        <v>41</v>
      </c>
      <c r="AJ404" s="1465" t="s">
        <v>61</v>
      </c>
      <c r="AK404" s="1465"/>
      <c r="AL404" s="1467" t="s">
        <v>768</v>
      </c>
      <c r="AM404" s="1467" t="s">
        <v>24</v>
      </c>
      <c r="AN404" s="223" t="s">
        <v>41</v>
      </c>
      <c r="AO404" s="1468" t="s">
        <v>61</v>
      </c>
      <c r="AS404" s="732" t="s">
        <v>768</v>
      </c>
      <c r="AT404" s="733" t="s">
        <v>24</v>
      </c>
      <c r="AU404" s="733" t="s">
        <v>768</v>
      </c>
      <c r="AV404" s="733" t="s">
        <v>24</v>
      </c>
      <c r="AW404" s="733" t="s">
        <v>768</v>
      </c>
      <c r="AX404" s="733" t="s">
        <v>24</v>
      </c>
      <c r="AY404" s="733" t="s">
        <v>768</v>
      </c>
      <c r="AZ404" s="733" t="s">
        <v>24</v>
      </c>
      <c r="BA404" s="734" t="s">
        <v>768</v>
      </c>
      <c r="BB404" s="735" t="s">
        <v>24</v>
      </c>
      <c r="BC404" s="732" t="s">
        <v>768</v>
      </c>
      <c r="BD404" s="736" t="s">
        <v>24</v>
      </c>
    </row>
    <row r="405" spans="1:63" ht="12.75" hidden="1" customHeight="1" outlineLevel="1" x14ac:dyDescent="0.2">
      <c r="B405" s="200" t="s">
        <v>155</v>
      </c>
      <c r="C405" s="201"/>
      <c r="D405" s="262">
        <f>J405+K405</f>
        <v>0</v>
      </c>
      <c r="E405" s="265">
        <f>D405*12/44</f>
        <v>0</v>
      </c>
      <c r="F405" s="559"/>
      <c r="G405" s="182"/>
      <c r="H405" s="492">
        <f>VLOOKUP($B405,'Emissions factors'!$B$1390:$E$1400,2,FALSE)</f>
        <v>3.0797708413814423E-3</v>
      </c>
      <c r="I405" s="492">
        <f>VLOOKUP($B405,'Emissions factors'!$B$1390:$E$1400,3,FALSE)</f>
        <v>2.9197674418604654E-2</v>
      </c>
      <c r="J405" s="465">
        <f>G405*H405</f>
        <v>0</v>
      </c>
      <c r="K405" s="210">
        <f>G405*I405</f>
        <v>0</v>
      </c>
      <c r="L405" s="222">
        <f>IF(OR(F405='Info utili'!$G$532,F405='Info utili'!$G$537),K405,0)</f>
        <v>0</v>
      </c>
      <c r="X405" s="282">
        <f>VLOOKUP($B405,'Emissions factors'!$B$1390:$E$1400,4,FALSE)</f>
        <v>0.1</v>
      </c>
      <c r="Y405" s="184"/>
      <c r="Z405" s="221">
        <f>J405*SQRT(X405^2+Y405^2)</f>
        <v>0</v>
      </c>
      <c r="AA405" s="221">
        <f>K405*SQRT(X405^2+Y405^2)</f>
        <v>0</v>
      </c>
      <c r="AB405" s="210">
        <f>SQRT(Z405^2+AA405^2)</f>
        <v>0</v>
      </c>
      <c r="AC405" s="222">
        <f>L405*SQRT(X405^2+Y405^2)</f>
        <v>0</v>
      </c>
      <c r="AF405" s="183"/>
      <c r="AG405" s="221">
        <f>AF405*J405</f>
        <v>0</v>
      </c>
      <c r="AH405" s="221">
        <f>AF405*K405</f>
        <v>0</v>
      </c>
      <c r="AI405" s="210">
        <f>AG405+AH405</f>
        <v>0</v>
      </c>
      <c r="AJ405" s="221">
        <f>AF405*L405</f>
        <v>0</v>
      </c>
      <c r="AK405" s="183"/>
      <c r="AL405" s="221">
        <f>AK405*J405</f>
        <v>0</v>
      </c>
      <c r="AM405" s="221">
        <f>AK405*K405</f>
        <v>0</v>
      </c>
      <c r="AN405" s="210">
        <f>AL405+AM405</f>
        <v>0</v>
      </c>
      <c r="AO405" s="222">
        <f>AK405*L405</f>
        <v>0</v>
      </c>
      <c r="AS405" s="717"/>
      <c r="AT405" s="718"/>
      <c r="AU405" s="718"/>
      <c r="AV405" s="718"/>
      <c r="AW405" s="718"/>
      <c r="AX405" s="718"/>
      <c r="AY405" s="718"/>
      <c r="AZ405" s="718"/>
      <c r="BA405" s="719">
        <f t="shared" ref="BA405:BB407" si="160">J405</f>
        <v>0</v>
      </c>
      <c r="BB405" s="720">
        <f t="shared" si="160"/>
        <v>0</v>
      </c>
      <c r="BC405" s="717"/>
      <c r="BD405" s="721"/>
    </row>
    <row r="406" spans="1:63" ht="12.75" hidden="1" customHeight="1" outlineLevel="1" x14ac:dyDescent="0.2">
      <c r="B406" s="200" t="s">
        <v>1405</v>
      </c>
      <c r="C406" s="201"/>
      <c r="D406" s="262">
        <f>J406+K406</f>
        <v>0</v>
      </c>
      <c r="E406" s="265">
        <f>D406*12/44</f>
        <v>0</v>
      </c>
      <c r="F406" s="442"/>
      <c r="G406" s="185"/>
      <c r="H406" s="492">
        <f>VLOOKUP($B406,'Emissions factors'!$B$1390:$E$1400,2,FALSE)</f>
        <v>3.5765080738623199E-3</v>
      </c>
      <c r="I406" s="492">
        <f>VLOOKUP($B406,'Emissions factors'!$B$1390:$E$1400,3,FALSE)</f>
        <v>3.3906976744186051E-2</v>
      </c>
      <c r="J406" s="465">
        <f>G406*H406</f>
        <v>0</v>
      </c>
      <c r="K406" s="210">
        <f>G406*I406</f>
        <v>0</v>
      </c>
      <c r="L406" s="222">
        <f>IF(OR(F406='Info utili'!$G$532,F406='Info utili'!$G$537),K406,0)</f>
        <v>0</v>
      </c>
      <c r="X406" s="282">
        <f>VLOOKUP($B406,'Emissions factors'!$B$1390:$E$1400,4,FALSE)</f>
        <v>0.1</v>
      </c>
      <c r="Y406" s="187"/>
      <c r="Z406" s="221">
        <f>J406*SQRT(X406^2+Y406^2)</f>
        <v>0</v>
      </c>
      <c r="AA406" s="221">
        <f>K406*SQRT(X406^2+Y406^2)</f>
        <v>0</v>
      </c>
      <c r="AB406" s="210">
        <f>SQRT(Z406^2+AA406^2)</f>
        <v>0</v>
      </c>
      <c r="AC406" s="222">
        <f>L406*SQRT(X406^2+Y406^2)</f>
        <v>0</v>
      </c>
      <c r="AF406" s="186"/>
      <c r="AG406" s="221">
        <f>AF406*J406</f>
        <v>0</v>
      </c>
      <c r="AH406" s="221">
        <f>AF406*K406</f>
        <v>0</v>
      </c>
      <c r="AI406" s="210">
        <f>AG406+AH406</f>
        <v>0</v>
      </c>
      <c r="AJ406" s="221">
        <f>AF406*L406</f>
        <v>0</v>
      </c>
      <c r="AK406" s="186"/>
      <c r="AL406" s="221">
        <f>AK406*J406</f>
        <v>0</v>
      </c>
      <c r="AM406" s="221">
        <f>AK406*K406</f>
        <v>0</v>
      </c>
      <c r="AN406" s="210">
        <f>AL406+AM406</f>
        <v>0</v>
      </c>
      <c r="AO406" s="222">
        <f>AK406*L406</f>
        <v>0</v>
      </c>
      <c r="AS406" s="717"/>
      <c r="AT406" s="718"/>
      <c r="AU406" s="718"/>
      <c r="AV406" s="718"/>
      <c r="AW406" s="718"/>
      <c r="AX406" s="718"/>
      <c r="AY406" s="718"/>
      <c r="AZ406" s="718"/>
      <c r="BA406" s="719">
        <f t="shared" si="160"/>
        <v>0</v>
      </c>
      <c r="BB406" s="720">
        <f t="shared" si="160"/>
        <v>0</v>
      </c>
      <c r="BC406" s="717"/>
      <c r="BD406" s="721"/>
    </row>
    <row r="407" spans="1:63" ht="12.75" hidden="1" customHeight="1" outlineLevel="1" x14ac:dyDescent="0.2">
      <c r="B407" s="200" t="s">
        <v>156</v>
      </c>
      <c r="C407" s="201"/>
      <c r="D407" s="262">
        <f>J407+K407</f>
        <v>0</v>
      </c>
      <c r="E407" s="265">
        <f>D407*12/44</f>
        <v>0</v>
      </c>
      <c r="F407" s="443"/>
      <c r="G407" s="188"/>
      <c r="H407" s="492">
        <f>VLOOKUP($B407,'Emissions factors'!$B$1390:$E$1400,2,FALSE)</f>
        <v>4.5037509078266246E-3</v>
      </c>
      <c r="I407" s="492">
        <f>VLOOKUP($B407,'Emissions factors'!$B$1390:$E$1400,3,FALSE)</f>
        <v>4.2697674418604649E-2</v>
      </c>
      <c r="J407" s="465">
        <f>G407*H407</f>
        <v>0</v>
      </c>
      <c r="K407" s="210">
        <f>G407*I407</f>
        <v>0</v>
      </c>
      <c r="L407" s="222">
        <f>IF(OR(F407='Info utili'!$G$532,F407='Info utili'!$G$537),K407,0)</f>
        <v>0</v>
      </c>
      <c r="X407" s="282">
        <f>VLOOKUP($B407,'Emissions factors'!$B$1390:$E$1400,4,FALSE)</f>
        <v>0.1</v>
      </c>
      <c r="Y407" s="190"/>
      <c r="Z407" s="221">
        <f>J407*SQRT(X407^2+Y407^2)</f>
        <v>0</v>
      </c>
      <c r="AA407" s="221">
        <f>K407*SQRT(X407^2+Y407^2)</f>
        <v>0</v>
      </c>
      <c r="AB407" s="210">
        <f>SQRT(Z407^2+AA407^2)</f>
        <v>0</v>
      </c>
      <c r="AC407" s="222">
        <f>L407*SQRT(X407^2+Y407^2)</f>
        <v>0</v>
      </c>
      <c r="AF407" s="189"/>
      <c r="AG407" s="221">
        <f>AF407*J407</f>
        <v>0</v>
      </c>
      <c r="AH407" s="221">
        <f>AF407*K407</f>
        <v>0</v>
      </c>
      <c r="AI407" s="210">
        <f>AG407+AH407</f>
        <v>0</v>
      </c>
      <c r="AJ407" s="221">
        <f>AF407*L407</f>
        <v>0</v>
      </c>
      <c r="AK407" s="189"/>
      <c r="AL407" s="221">
        <f>AK407*J407</f>
        <v>0</v>
      </c>
      <c r="AM407" s="221">
        <f>AK407*K407</f>
        <v>0</v>
      </c>
      <c r="AN407" s="210">
        <f>AL407+AM407</f>
        <v>0</v>
      </c>
      <c r="AO407" s="222">
        <f>AK407*L407</f>
        <v>0</v>
      </c>
      <c r="AS407" s="717"/>
      <c r="AT407" s="718"/>
      <c r="AU407" s="718"/>
      <c r="AV407" s="718"/>
      <c r="AW407" s="718"/>
      <c r="AX407" s="718"/>
      <c r="AY407" s="718"/>
      <c r="AZ407" s="718"/>
      <c r="BA407" s="719">
        <f t="shared" si="160"/>
        <v>0</v>
      </c>
      <c r="BB407" s="720">
        <f t="shared" si="160"/>
        <v>0</v>
      </c>
      <c r="BC407" s="717"/>
      <c r="BD407" s="721"/>
    </row>
    <row r="408" spans="1:63" ht="12.75" hidden="1" customHeight="1" outlineLevel="1" x14ac:dyDescent="0.2">
      <c r="B408" s="200"/>
      <c r="C408" s="201"/>
      <c r="D408" s="275"/>
      <c r="E408" s="268"/>
      <c r="F408" s="201"/>
      <c r="G408" s="473"/>
      <c r="H408" s="473"/>
      <c r="I408" s="473"/>
      <c r="J408" s="475"/>
      <c r="K408" s="475"/>
      <c r="L408" s="222"/>
      <c r="X408" s="200"/>
      <c r="Y408" s="201"/>
      <c r="Z408" s="201"/>
      <c r="AA408" s="201"/>
      <c r="AB408" s="214"/>
      <c r="AC408" s="222"/>
      <c r="AF408" s="200"/>
      <c r="AG408" s="201"/>
      <c r="AH408" s="201"/>
      <c r="AI408" s="269"/>
      <c r="AJ408" s="1465"/>
      <c r="AK408" s="201"/>
      <c r="AL408" s="201"/>
      <c r="AM408" s="201"/>
      <c r="AN408" s="269"/>
      <c r="AO408" s="222"/>
      <c r="AS408" s="717"/>
      <c r="AT408" s="718"/>
      <c r="AU408" s="718"/>
      <c r="AV408" s="718"/>
      <c r="AW408" s="718"/>
      <c r="AX408" s="718"/>
      <c r="AY408" s="718"/>
      <c r="AZ408" s="718"/>
      <c r="BA408" s="719"/>
      <c r="BB408" s="720"/>
      <c r="BC408" s="722"/>
      <c r="BD408" s="723"/>
    </row>
    <row r="409" spans="1:63" ht="12.75" hidden="1" customHeight="1" outlineLevel="1" x14ac:dyDescent="0.2">
      <c r="B409" s="253" t="s">
        <v>2828</v>
      </c>
      <c r="C409" s="254"/>
      <c r="D409" s="264">
        <f>SUM(D405:D408)</f>
        <v>0</v>
      </c>
      <c r="E409" s="267">
        <f>SUM(E405:E408)</f>
        <v>0</v>
      </c>
      <c r="F409" s="254"/>
      <c r="G409" s="254"/>
      <c r="H409" s="487"/>
      <c r="I409" s="487"/>
      <c r="J409" s="488">
        <f>SUM(J405:J408)</f>
        <v>0</v>
      </c>
      <c r="K409" s="488">
        <f>SUM(K405:K408)</f>
        <v>0</v>
      </c>
      <c r="L409" s="428">
        <f>SUM(L405:L408)</f>
        <v>0</v>
      </c>
      <c r="X409" s="258"/>
      <c r="Y409" s="256"/>
      <c r="Z409" s="260">
        <f>SQRT(SUMSQ(Z405:Z408))</f>
        <v>0</v>
      </c>
      <c r="AA409" s="260">
        <f>SQRT(SUMSQ(AA405:AA408))</f>
        <v>0</v>
      </c>
      <c r="AB409" s="259">
        <f>SQRT(SUMSQ(AB405:AB408))</f>
        <v>0</v>
      </c>
      <c r="AC409" s="428">
        <f>SQRT(SUMSQ(AC405:AC408))</f>
        <v>0</v>
      </c>
      <c r="AF409" s="258"/>
      <c r="AG409" s="260">
        <f>SUM(AG405:AG408)</f>
        <v>0</v>
      </c>
      <c r="AH409" s="260">
        <f>SUM(AH405:AH408)</f>
        <v>0</v>
      </c>
      <c r="AI409" s="259">
        <f>SUM(AI405:AI408)</f>
        <v>0</v>
      </c>
      <c r="AJ409" s="260">
        <f>SUM(AJ405:AJ408)</f>
        <v>0</v>
      </c>
      <c r="AK409" s="256"/>
      <c r="AL409" s="260">
        <f>SUM(AL405:AL408)</f>
        <v>0</v>
      </c>
      <c r="AM409" s="260">
        <f>SUM(AM405:AM408)</f>
        <v>0</v>
      </c>
      <c r="AN409" s="259">
        <f>SUM(AN405:AN408)</f>
        <v>0</v>
      </c>
      <c r="AO409" s="428">
        <f>SUM(AO405:AO408)</f>
        <v>0</v>
      </c>
      <c r="AS409" s="724">
        <f t="shared" ref="AS409:BD409" si="161">SUM(AS405:AS408)</f>
        <v>0</v>
      </c>
      <c r="AT409" s="725">
        <f t="shared" si="161"/>
        <v>0</v>
      </c>
      <c r="AU409" s="725">
        <f t="shared" si="161"/>
        <v>0</v>
      </c>
      <c r="AV409" s="725">
        <f t="shared" si="161"/>
        <v>0</v>
      </c>
      <c r="AW409" s="725">
        <f t="shared" si="161"/>
        <v>0</v>
      </c>
      <c r="AX409" s="725">
        <f t="shared" si="161"/>
        <v>0</v>
      </c>
      <c r="AY409" s="725">
        <f t="shared" si="161"/>
        <v>0</v>
      </c>
      <c r="AZ409" s="725">
        <f t="shared" si="161"/>
        <v>0</v>
      </c>
      <c r="BA409" s="726">
        <f t="shared" si="161"/>
        <v>0</v>
      </c>
      <c r="BB409" s="727">
        <f t="shared" si="161"/>
        <v>0</v>
      </c>
      <c r="BC409" s="724">
        <f t="shared" si="161"/>
        <v>0</v>
      </c>
      <c r="BD409" s="728">
        <f t="shared" si="161"/>
        <v>0</v>
      </c>
    </row>
    <row r="410" spans="1:63" ht="12.75" hidden="1" customHeight="1" outlineLevel="1" x14ac:dyDescent="0.2">
      <c r="B410" s="321"/>
      <c r="C410" s="321"/>
      <c r="D410" s="321"/>
      <c r="E410" s="321"/>
      <c r="F410" s="321"/>
      <c r="G410" s="321"/>
      <c r="H410" s="321"/>
      <c r="I410" s="321"/>
      <c r="J410" s="321"/>
      <c r="K410" s="321"/>
      <c r="L410" s="321"/>
      <c r="M410" s="321"/>
      <c r="N410" s="321"/>
      <c r="O410" s="321"/>
      <c r="P410" s="321"/>
      <c r="Q410" s="321"/>
      <c r="V410" s="42"/>
    </row>
    <row r="411" spans="1:63" ht="16" collapsed="1" x14ac:dyDescent="0.2">
      <c r="B411" s="321"/>
      <c r="C411" s="321"/>
      <c r="D411" s="321"/>
      <c r="E411" s="321"/>
      <c r="F411" s="321"/>
      <c r="G411" s="321"/>
      <c r="H411" s="321"/>
      <c r="I411" s="321"/>
      <c r="J411" s="321"/>
      <c r="K411" s="321"/>
      <c r="L411" s="42"/>
      <c r="AR411" s="191"/>
      <c r="BA411" s="751"/>
      <c r="BB411" s="751"/>
    </row>
    <row r="412" spans="1:63" ht="16" x14ac:dyDescent="0.2">
      <c r="B412" s="321"/>
      <c r="C412" s="321"/>
      <c r="D412" s="321"/>
      <c r="E412" s="321"/>
      <c r="F412" s="321"/>
      <c r="G412" s="321"/>
      <c r="H412" s="321"/>
      <c r="I412" s="321"/>
      <c r="J412" s="321"/>
      <c r="K412" s="321"/>
      <c r="L412" s="42"/>
      <c r="AR412" s="191"/>
      <c r="BA412" s="751"/>
      <c r="BB412" s="751"/>
    </row>
    <row r="413" spans="1:63" s="42" customFormat="1" ht="15.75" customHeight="1" collapsed="1" x14ac:dyDescent="0.2">
      <c r="A413" s="40"/>
      <c r="B413" s="1795" t="s">
        <v>2892</v>
      </c>
      <c r="C413" s="1795"/>
      <c r="D413" s="1795"/>
      <c r="E413" s="1795"/>
      <c r="F413" s="1795"/>
      <c r="G413" s="1795"/>
      <c r="H413" s="1795"/>
      <c r="I413" s="1795"/>
      <c r="J413" s="1795"/>
      <c r="K413" s="1795"/>
      <c r="L413" s="1795"/>
      <c r="M413" s="1795"/>
      <c r="N413" s="1795"/>
      <c r="O413" s="1795"/>
      <c r="P413" s="32"/>
      <c r="Q413" s="191"/>
      <c r="R413" s="191"/>
      <c r="S413" s="191"/>
      <c r="T413" s="191"/>
      <c r="U413" s="191"/>
      <c r="V413" s="191"/>
      <c r="W413" s="191"/>
      <c r="X413" s="191"/>
      <c r="Y413" s="191"/>
      <c r="Z413" s="191"/>
      <c r="AA413" s="191"/>
      <c r="AB413" s="191"/>
      <c r="AC413" s="191"/>
      <c r="AD413" s="191"/>
      <c r="AE413" s="191"/>
      <c r="AF413" s="191"/>
      <c r="AG413" s="191"/>
      <c r="AH413" s="191"/>
      <c r="AI413" s="191"/>
      <c r="AJ413" s="191"/>
      <c r="AK413" s="191"/>
      <c r="AL413" s="191"/>
      <c r="AM413" s="191"/>
      <c r="AN413" s="191"/>
      <c r="AO413" s="191"/>
      <c r="AP413" s="191"/>
      <c r="AQ413" s="191"/>
      <c r="AR413" s="40"/>
      <c r="AS413" s="602"/>
      <c r="AT413" s="602"/>
      <c r="AU413" s="602"/>
      <c r="AV413" s="602"/>
      <c r="AW413" s="602"/>
      <c r="AX413" s="602"/>
      <c r="AY413" s="602"/>
      <c r="AZ413" s="602"/>
      <c r="BA413" s="602"/>
      <c r="BB413" s="602"/>
      <c r="BC413" s="602"/>
      <c r="BD413" s="602"/>
      <c r="BE413" s="743"/>
      <c r="BF413" s="743"/>
      <c r="BG413" s="743"/>
      <c r="BH413" s="743"/>
      <c r="BI413" s="743"/>
      <c r="BJ413" s="743"/>
      <c r="BK413" s="32"/>
    </row>
    <row r="414" spans="1:63" ht="12.75" customHeight="1" outlineLevel="1" x14ac:dyDescent="0.2">
      <c r="D414" s="316"/>
      <c r="F414" s="316"/>
      <c r="G414" s="316"/>
      <c r="H414" s="316"/>
      <c r="I414" s="316"/>
      <c r="J414" s="316"/>
      <c r="K414" s="316"/>
      <c r="AS414" s="605"/>
      <c r="AT414" s="743"/>
      <c r="AU414" s="743"/>
      <c r="AV414" s="743"/>
      <c r="AW414" s="743"/>
      <c r="AX414" s="743"/>
      <c r="AY414" s="743"/>
      <c r="AZ414" s="743"/>
      <c r="BA414" s="743"/>
      <c r="BB414" s="743"/>
      <c r="BC414" s="743"/>
      <c r="BF414" s="743"/>
      <c r="BG414" s="743"/>
      <c r="BH414" s="743"/>
      <c r="BI414" s="743"/>
      <c r="BJ414" s="743"/>
      <c r="BK414" s="32"/>
    </row>
    <row r="415" spans="1:63" s="32" customFormat="1" ht="12.75" customHeight="1" outlineLevel="1" x14ac:dyDescent="0.2">
      <c r="A415" s="40"/>
      <c r="B415" s="195" t="s">
        <v>2893</v>
      </c>
      <c r="C415" s="196"/>
      <c r="D415" s="1364"/>
      <c r="E415" s="1364"/>
      <c r="F415" s="1364"/>
      <c r="G415" s="198"/>
      <c r="H415" s="198"/>
      <c r="I415" s="198"/>
      <c r="J415" s="198"/>
      <c r="K415" s="198"/>
      <c r="L415" s="198"/>
      <c r="M415" s="198"/>
      <c r="N415" s="198"/>
      <c r="O415" s="198"/>
      <c r="P415" s="198"/>
      <c r="Q415" s="198"/>
      <c r="R415" s="198"/>
      <c r="S415" s="198"/>
      <c r="T415" s="199"/>
      <c r="U415" s="42"/>
      <c r="V415" s="42"/>
      <c r="W415" s="42"/>
      <c r="X415" s="1746" t="s">
        <v>723</v>
      </c>
      <c r="Y415" s="1747"/>
      <c r="Z415" s="1747"/>
      <c r="AA415" s="1747"/>
      <c r="AB415" s="1748"/>
      <c r="AC415" s="42"/>
      <c r="AD415" s="42"/>
      <c r="AE415" s="42"/>
      <c r="AF415" s="1746" t="s">
        <v>2066</v>
      </c>
      <c r="AG415" s="1747"/>
      <c r="AH415" s="1747"/>
      <c r="AI415" s="1747"/>
      <c r="AJ415" s="1747"/>
      <c r="AK415" s="1747"/>
      <c r="AL415" s="1747"/>
      <c r="AM415" s="1748"/>
      <c r="AN415" s="42"/>
      <c r="AO415" s="42"/>
      <c r="AP415" s="42"/>
      <c r="AQ415" s="42"/>
      <c r="AR415" s="40"/>
      <c r="AS415" s="1755" t="s">
        <v>2073</v>
      </c>
      <c r="AT415" s="1756"/>
      <c r="AU415" s="1756"/>
      <c r="AV415" s="1756"/>
      <c r="AW415" s="1756"/>
      <c r="AX415" s="1756"/>
      <c r="AY415" s="1756"/>
      <c r="AZ415" s="1756"/>
      <c r="BA415" s="1756"/>
      <c r="BB415" s="1756"/>
      <c r="BC415" s="1756"/>
      <c r="BD415" s="1757"/>
      <c r="BE415" s="602"/>
      <c r="BF415" s="602"/>
      <c r="BG415" s="602"/>
      <c r="BH415" s="602"/>
      <c r="BI415" s="602"/>
      <c r="BJ415" s="602"/>
      <c r="BK415" s="40"/>
    </row>
    <row r="416" spans="1:63" s="32" customFormat="1" ht="12.75" customHeight="1" outlineLevel="1" x14ac:dyDescent="0.2">
      <c r="A416" s="40"/>
      <c r="B416" s="200"/>
      <c r="C416" s="201"/>
      <c r="D416" s="705"/>
      <c r="E416" s="705"/>
      <c r="F416" s="201"/>
      <c r="G416" s="201"/>
      <c r="H416" s="1370"/>
      <c r="I416" s="1370"/>
      <c r="J416" s="201"/>
      <c r="K416" s="201"/>
      <c r="L416" s="201"/>
      <c r="M416" s="201"/>
      <c r="N416" s="201"/>
      <c r="O416" s="201"/>
      <c r="P416" s="201"/>
      <c r="Q416" s="201"/>
      <c r="R416" s="201"/>
      <c r="S416" s="201"/>
      <c r="T416" s="203"/>
      <c r="U416" s="42"/>
      <c r="V416" s="40"/>
      <c r="W416" s="40"/>
      <c r="X416" s="216"/>
      <c r="Y416" s="217"/>
      <c r="Z416" s="217"/>
      <c r="AA416" s="217"/>
      <c r="AB416" s="218"/>
      <c r="AC416" s="40"/>
      <c r="AD416" s="40"/>
      <c r="AE416" s="40"/>
      <c r="AF416" s="216"/>
      <c r="AG416" s="217"/>
      <c r="AH416" s="217"/>
      <c r="AI416" s="217"/>
      <c r="AJ416" s="217"/>
      <c r="AK416" s="217"/>
      <c r="AL416" s="198"/>
      <c r="AM416" s="199"/>
      <c r="AN416" s="40"/>
      <c r="AO416" s="40"/>
      <c r="AP416" s="40"/>
      <c r="AQ416" s="40"/>
      <c r="AS416" s="1758" t="s">
        <v>61</v>
      </c>
      <c r="AT416" s="1759"/>
      <c r="AU416" s="1759"/>
      <c r="AV416" s="1759"/>
      <c r="AW416" s="1759"/>
      <c r="AX416" s="1759"/>
      <c r="AY416" s="1759"/>
      <c r="AZ416" s="1759"/>
      <c r="BA416" s="1759" t="s">
        <v>61</v>
      </c>
      <c r="BB416" s="1760"/>
      <c r="BC416" s="730"/>
      <c r="BD416" s="731"/>
      <c r="BE416" s="602"/>
      <c r="BF416" s="602"/>
      <c r="BG416" s="602"/>
      <c r="BH416" s="602"/>
      <c r="BI416" s="602"/>
      <c r="BJ416" s="602"/>
      <c r="BK416" s="40"/>
    </row>
    <row r="417" spans="2:62" ht="12.75" customHeight="1" outlineLevel="1" x14ac:dyDescent="0.2">
      <c r="B417" s="1369" t="s">
        <v>766</v>
      </c>
      <c r="C417" s="1370"/>
      <c r="D417" s="1370" t="s">
        <v>56</v>
      </c>
      <c r="E417" s="1370" t="s">
        <v>56</v>
      </c>
      <c r="F417" s="205" t="s">
        <v>2634</v>
      </c>
      <c r="G417" s="205" t="s">
        <v>2053</v>
      </c>
      <c r="H417" s="1745" t="s">
        <v>767</v>
      </c>
      <c r="I417" s="1745"/>
      <c r="J417" s="205" t="s">
        <v>2053</v>
      </c>
      <c r="K417" s="1745" t="s">
        <v>769</v>
      </c>
      <c r="L417" s="1745"/>
      <c r="M417" s="205" t="s">
        <v>2053</v>
      </c>
      <c r="N417" s="1745" t="s">
        <v>771</v>
      </c>
      <c r="O417" s="1745"/>
      <c r="P417" s="205" t="s">
        <v>2053</v>
      </c>
      <c r="Q417" s="1744" t="s">
        <v>770</v>
      </c>
      <c r="R417" s="1745"/>
      <c r="S417" s="705" t="s">
        <v>61</v>
      </c>
      <c r="T417" s="711" t="s">
        <v>61</v>
      </c>
      <c r="U417" s="42"/>
      <c r="V417" s="32"/>
      <c r="W417" s="32"/>
      <c r="X417" s="1629" t="s">
        <v>2605</v>
      </c>
      <c r="Y417" s="1370" t="s">
        <v>2110</v>
      </c>
      <c r="Z417" s="1370" t="s">
        <v>61</v>
      </c>
      <c r="AA417" s="1370" t="s">
        <v>61</v>
      </c>
      <c r="AB417" s="711" t="s">
        <v>61</v>
      </c>
      <c r="AC417" s="32"/>
      <c r="AD417" s="32"/>
      <c r="AE417" s="32"/>
      <c r="AF417" s="1369" t="s">
        <v>2065</v>
      </c>
      <c r="AG417" s="1370" t="s">
        <v>61</v>
      </c>
      <c r="AH417" s="1370" t="s">
        <v>61</v>
      </c>
      <c r="AI417" s="705" t="s">
        <v>61</v>
      </c>
      <c r="AJ417" s="1370" t="s">
        <v>2558</v>
      </c>
      <c r="AK417" s="1370" t="s">
        <v>61</v>
      </c>
      <c r="AL417" s="1370" t="s">
        <v>61</v>
      </c>
      <c r="AM417" s="711" t="s">
        <v>61</v>
      </c>
      <c r="AN417" s="32"/>
      <c r="AO417" s="32"/>
      <c r="AP417" s="32"/>
      <c r="AQ417" s="32"/>
      <c r="AR417" s="32"/>
      <c r="AS417" s="1764" t="s">
        <v>14</v>
      </c>
      <c r="AT417" s="1761"/>
      <c r="AU417" s="1761" t="s">
        <v>60</v>
      </c>
      <c r="AV417" s="1761"/>
      <c r="AW417" s="1761" t="s">
        <v>27</v>
      </c>
      <c r="AX417" s="1761"/>
      <c r="AY417" s="1761" t="s">
        <v>2074</v>
      </c>
      <c r="AZ417" s="1761"/>
      <c r="BA417" s="1762" t="s">
        <v>41</v>
      </c>
      <c r="BB417" s="1763"/>
      <c r="BC417" s="1764" t="s">
        <v>85</v>
      </c>
      <c r="BD417" s="1765"/>
    </row>
    <row r="418" spans="2:62" ht="12.75" customHeight="1" outlineLevel="1" x14ac:dyDescent="0.2">
      <c r="B418" s="1369"/>
      <c r="C418" s="1370"/>
      <c r="D418" s="1370" t="s">
        <v>61</v>
      </c>
      <c r="E418" s="1370" t="s">
        <v>63</v>
      </c>
      <c r="F418" s="1623" t="s">
        <v>2054</v>
      </c>
      <c r="G418" s="208" t="s">
        <v>34</v>
      </c>
      <c r="H418" s="1377" t="s">
        <v>768</v>
      </c>
      <c r="I418" s="1377" t="s">
        <v>24</v>
      </c>
      <c r="J418" s="208" t="s">
        <v>2061</v>
      </c>
      <c r="K418" s="1377" t="s">
        <v>768</v>
      </c>
      <c r="L418" s="1377" t="s">
        <v>24</v>
      </c>
      <c r="M418" s="212" t="s">
        <v>2059</v>
      </c>
      <c r="N418" s="1377" t="s">
        <v>768</v>
      </c>
      <c r="O418" s="1377" t="s">
        <v>24</v>
      </c>
      <c r="P418" s="212" t="s">
        <v>15</v>
      </c>
      <c r="Q418" s="1377" t="s">
        <v>768</v>
      </c>
      <c r="R418" s="1377" t="s">
        <v>24</v>
      </c>
      <c r="S418" s="1376" t="s">
        <v>768</v>
      </c>
      <c r="T418" s="274" t="s">
        <v>24</v>
      </c>
      <c r="U418" s="42"/>
      <c r="V418" s="32"/>
      <c r="W418" s="32"/>
      <c r="X418" s="1629" t="s">
        <v>2109</v>
      </c>
      <c r="Y418" s="1370"/>
      <c r="Z418" s="1377" t="s">
        <v>768</v>
      </c>
      <c r="AA418" s="1377" t="s">
        <v>24</v>
      </c>
      <c r="AB418" s="219" t="s">
        <v>41</v>
      </c>
      <c r="AC418" s="32"/>
      <c r="AD418" s="32"/>
      <c r="AE418" s="32"/>
      <c r="AF418" s="1369"/>
      <c r="AG418" s="1377" t="s">
        <v>768</v>
      </c>
      <c r="AH418" s="1377" t="s">
        <v>24</v>
      </c>
      <c r="AI418" s="223" t="s">
        <v>41</v>
      </c>
      <c r="AJ418" s="1370"/>
      <c r="AK418" s="1377" t="s">
        <v>768</v>
      </c>
      <c r="AL418" s="1377" t="s">
        <v>24</v>
      </c>
      <c r="AM418" s="219" t="s">
        <v>41</v>
      </c>
      <c r="AN418" s="32"/>
      <c r="AO418" s="32"/>
      <c r="AP418" s="32"/>
      <c r="AQ418" s="32"/>
      <c r="AS418" s="732" t="s">
        <v>768</v>
      </c>
      <c r="AT418" s="733" t="s">
        <v>24</v>
      </c>
      <c r="AU418" s="733" t="s">
        <v>768</v>
      </c>
      <c r="AV418" s="733" t="s">
        <v>24</v>
      </c>
      <c r="AW418" s="733" t="s">
        <v>768</v>
      </c>
      <c r="AX418" s="733" t="s">
        <v>24</v>
      </c>
      <c r="AY418" s="733" t="s">
        <v>768</v>
      </c>
      <c r="AZ418" s="733" t="s">
        <v>24</v>
      </c>
      <c r="BA418" s="734" t="s">
        <v>768</v>
      </c>
      <c r="BB418" s="735" t="s">
        <v>24</v>
      </c>
      <c r="BC418" s="732" t="s">
        <v>768</v>
      </c>
      <c r="BD418" s="736" t="s">
        <v>24</v>
      </c>
    </row>
    <row r="419" spans="2:62" ht="12.75" customHeight="1" outlineLevel="1" x14ac:dyDescent="0.2">
      <c r="B419" s="200" t="s">
        <v>796</v>
      </c>
      <c r="C419" s="201"/>
      <c r="D419" s="262">
        <f>S419+T419</f>
        <v>0</v>
      </c>
      <c r="E419" s="265">
        <f>D419*12/44</f>
        <v>0</v>
      </c>
      <c r="F419" s="559"/>
      <c r="G419" s="182"/>
      <c r="H419" s="271">
        <f>VLOOKUP($B419,'Emissions factors'!$B$84:$K$147,2,FALSE)</f>
        <v>707.3</v>
      </c>
      <c r="I419" s="271">
        <f>VLOOKUP($B419,'Emissions factors'!$B$84:$K$147,3,FALSE)</f>
        <v>3008.5</v>
      </c>
      <c r="J419" s="182"/>
      <c r="K419" s="277">
        <f>VLOOKUP($B419,'Emissions factors'!$B$84:$K$147,4,FALSE)</f>
        <v>6.0859999999999997E-2</v>
      </c>
      <c r="L419" s="277">
        <f>VLOOKUP($B419,'Emissions factors'!$B$84:$K$147,5,FALSE)</f>
        <v>0.25307999999999997</v>
      </c>
      <c r="M419" s="182"/>
      <c r="N419" s="271">
        <f>VLOOKUP($B419,'Emissions factors'!$B$84:$K$147,6,FALSE)</f>
        <v>694.7</v>
      </c>
      <c r="O419" s="271">
        <f>VLOOKUP($B419,'Emissions factors'!$B$84:$K$147,7,FALSE)</f>
        <v>2957.6</v>
      </c>
      <c r="P419" s="182"/>
      <c r="Q419" s="277">
        <f>VLOOKUP($B419,'Emissions factors'!$B$84:$K$147,8,FALSE)</f>
        <v>0.53329999999999989</v>
      </c>
      <c r="R419" s="277">
        <f>VLOOKUP($B419,'Emissions factors'!$B$84:$K$147,9,FALSE)</f>
        <v>2.2637</v>
      </c>
      <c r="S419" s="210">
        <f>G419*H419+J419*K419+M419*N419+P419*Q419</f>
        <v>0</v>
      </c>
      <c r="T419" s="211">
        <f>G419*I419+J419*L419+M419*O419+P419*R419</f>
        <v>0</v>
      </c>
      <c r="U419" s="42"/>
      <c r="X419" s="282">
        <f>VLOOKUP($B419,'Emissions factors'!$B$84:$K$147,10,FALSE)</f>
        <v>0.05</v>
      </c>
      <c r="Y419" s="184"/>
      <c r="Z419" s="221">
        <f>S419*SQRT(X419^2+Y419^2)</f>
        <v>0</v>
      </c>
      <c r="AA419" s="221">
        <f>T419*SQRT(X419^2+Y419^2)</f>
        <v>0</v>
      </c>
      <c r="AB419" s="211">
        <f>SQRT(Z419^2+AA419^2)</f>
        <v>0</v>
      </c>
      <c r="AF419" s="184"/>
      <c r="AG419" s="221">
        <f>S419*AF419</f>
        <v>0</v>
      </c>
      <c r="AH419" s="224">
        <f>T419*AF419</f>
        <v>0</v>
      </c>
      <c r="AI419" s="210">
        <f>AG419+AH419</f>
        <v>0</v>
      </c>
      <c r="AJ419" s="184"/>
      <c r="AK419" s="221">
        <f>S419*AJ419</f>
        <v>0</v>
      </c>
      <c r="AL419" s="224">
        <f>T419*AJ419</f>
        <v>0</v>
      </c>
      <c r="AM419" s="211">
        <f>AK419+AL419</f>
        <v>0</v>
      </c>
      <c r="AS419" s="717">
        <f>G419*VLOOKUP($B419,'Emissions factors'!$B$84:$AQ$147,11,FALSE)+J419*VLOOKUP($B419,'Emissions factors'!$B$84:$AQ$147,13,FALSE)+M419*VLOOKUP($B419,'Emissions factors'!$B$84:$AQ$147,15,FALSE)+P419*VLOOKUP($B419,'Emissions factors'!$B$84:$AQ$147,17,FALSE)</f>
        <v>0</v>
      </c>
      <c r="AT419" s="718">
        <f>G419*VLOOKUP($B419,'Emissions factors'!$B$84:$AQ$147,12,FALSE)+J419*VLOOKUP($B419,'Emissions factors'!$B$84:$AQ$147,14,FALSE)+M419*VLOOKUP($B419,'Emissions factors'!$B$84:$AQ$147,16,FALSE)+P419*VLOOKUP($B419,'Emissions factors'!$B$84:$AQ$147,18,FALSE)</f>
        <v>0</v>
      </c>
      <c r="AU419" s="718">
        <f>G419*VLOOKUP($B419,'Emissions factors'!$B$84:$AQ$147,19,FALSE)+J419*VLOOKUP($B419,'Emissions factors'!$B$84:$AQ$147,21,FALSE)+M419*VLOOKUP($B419,'Emissions factors'!$B$84:$AQ$147,23,FALSE)+P419*VLOOKUP($B419,'Emissions factors'!$B$84:$AQ$147,25,FALSE)</f>
        <v>0</v>
      </c>
      <c r="AV419" s="718">
        <f>G419*VLOOKUP($B419,'Emissions factors'!$B$84:$AQ$147,20,FALSE)+J419*VLOOKUP($B419,'Emissions factors'!$B$84:$AQ$147,22,FALSE)+M419*VLOOKUP($B419,'Emissions factors'!$B$84:$AQ$147,24,FALSE)+P419*VLOOKUP($B419,'Emissions factors'!$B$84:$AQ$147,26,FALSE)</f>
        <v>0</v>
      </c>
      <c r="AW419" s="718">
        <f>G419*VLOOKUP($B419,'Emissions factors'!$B$84:$AQ$147,27,FALSE)+J419*VLOOKUP($B419,'Emissions factors'!$B$84:$AQ$147,29,FALSE)+M419*VLOOKUP($B419,'Emissions factors'!$B$84:$AQ$147,31,FALSE)+P419*VLOOKUP($B419,'Emissions factors'!$B$84:$AQ$147,33,FALSE)</f>
        <v>0</v>
      </c>
      <c r="AX419" s="718">
        <f>G419*VLOOKUP($B419,'Emissions factors'!$B$84:$AQ$147,28,FALSE)+J419*VLOOKUP($B419,'Emissions factors'!$B$84:$AQ$147,30,FALSE)+M419*VLOOKUP($B419,'Emissions factors'!$B$84:$AQ$147,32,FALSE)+P419*VLOOKUP($B419,'Emissions factors'!$B$84:$AQ$147,34,FALSE)</f>
        <v>0</v>
      </c>
      <c r="AY419" s="718">
        <v>0</v>
      </c>
      <c r="AZ419" s="718">
        <v>0</v>
      </c>
      <c r="BA419" s="719">
        <f t="shared" ref="BA419:BB421" si="162">S419</f>
        <v>0</v>
      </c>
      <c r="BB419" s="720">
        <f t="shared" si="162"/>
        <v>0</v>
      </c>
      <c r="BC419" s="718">
        <f>G419*VLOOKUP($B419,'Emissions factors'!$B$84:$AQ$147,35,FALSE)+J419*VLOOKUP($B419,'Emissions factors'!$B$84:$AQ$147,37,FALSE)+M419*VLOOKUP($B419,'Emissions factors'!$B$84:$AQ$147,39,FALSE)+P419*VLOOKUP($B419,'Emissions factors'!$B$84:$AQ$147,41,FALSE)</f>
        <v>0</v>
      </c>
      <c r="BD419" s="721">
        <f>G419*VLOOKUP($B419,'Emissions factors'!$B$84:$AQ$147,36,FALSE)+J419*VLOOKUP($B419,'Emissions factors'!$B$84:$AQ$147,38,FALSE)+M419*VLOOKUP($B419,'Emissions factors'!$B$84:$AQ$147,40,FALSE)+P419*VLOOKUP($B419,'Emissions factors'!$B$84:$AQ$147,42,FALSE)</f>
        <v>0</v>
      </c>
    </row>
    <row r="420" spans="2:62" ht="12.75" customHeight="1" outlineLevel="1" x14ac:dyDescent="0.2">
      <c r="B420" s="200" t="s">
        <v>805</v>
      </c>
      <c r="C420" s="201"/>
      <c r="D420" s="262">
        <f>S420+T420</f>
        <v>0</v>
      </c>
      <c r="E420" s="265">
        <f>D420*12/44</f>
        <v>0</v>
      </c>
      <c r="F420" s="442"/>
      <c r="G420" s="185"/>
      <c r="H420" s="271">
        <f>VLOOKUP($B420,'Emissions factors'!$B$84:$K$147,2,FALSE)</f>
        <v>775.9</v>
      </c>
      <c r="I420" s="271">
        <f>VLOOKUP($B420,'Emissions factors'!$B$84:$K$147,3,FALSE)</f>
        <v>2975.0299999999997</v>
      </c>
      <c r="J420" s="185"/>
      <c r="K420" s="277">
        <f>VLOOKUP($B420,'Emissions factors'!$B$84:$K$147,4,FALSE)</f>
        <v>6.7080000000000001E-2</v>
      </c>
      <c r="L420" s="277">
        <f>VLOOKUP($B420,'Emissions factors'!$B$84:$K$147,5,FALSE)</f>
        <v>0.25615399999999999</v>
      </c>
      <c r="M420" s="185"/>
      <c r="N420" s="271">
        <f>VLOOKUP($B420,'Emissions factors'!$B$84:$K$147,6,FALSE)</f>
        <v>783.2</v>
      </c>
      <c r="O420" s="271">
        <f>VLOOKUP($B420,'Emissions factors'!$B$84:$K$147,7,FALSE)</f>
        <v>2985.1400000000003</v>
      </c>
      <c r="P420" s="185"/>
      <c r="Q420" s="277">
        <f>VLOOKUP($B420,'Emissions factors'!$B$84:$K$147,8,FALSE)</f>
        <v>0.65529999999999988</v>
      </c>
      <c r="R420" s="277">
        <f>VLOOKUP($B420,'Emissions factors'!$B$84:$K$147,9,FALSE)</f>
        <v>2.5111300000000001</v>
      </c>
      <c r="S420" s="210">
        <f>G420*H420+J420*K420+M420*N420+P420*Q420</f>
        <v>0</v>
      </c>
      <c r="T420" s="211">
        <f>G420*I420+J420*L420+M420*O420+P420*R420</f>
        <v>0</v>
      </c>
      <c r="U420" s="42"/>
      <c r="X420" s="282">
        <f>VLOOKUP($B420,'Emissions factors'!$B$84:$K$147,10,FALSE)</f>
        <v>0.05</v>
      </c>
      <c r="Y420" s="187"/>
      <c r="Z420" s="221">
        <f>S420*SQRT(X420^2+Y420^2)</f>
        <v>0</v>
      </c>
      <c r="AA420" s="221">
        <f>T420*SQRT(X420^2+Y420^2)</f>
        <v>0</v>
      </c>
      <c r="AB420" s="211">
        <f>SQRT(Z420^2+AA420^2)</f>
        <v>0</v>
      </c>
      <c r="AF420" s="187"/>
      <c r="AG420" s="221">
        <f>S420*AF420</f>
        <v>0</v>
      </c>
      <c r="AH420" s="224">
        <f>T420*AF420</f>
        <v>0</v>
      </c>
      <c r="AI420" s="210">
        <f>AG420+AH420</f>
        <v>0</v>
      </c>
      <c r="AJ420" s="187"/>
      <c r="AK420" s="221">
        <f>S420*AJ420</f>
        <v>0</v>
      </c>
      <c r="AL420" s="224">
        <f>T420*AJ420</f>
        <v>0</v>
      </c>
      <c r="AM420" s="211">
        <f>AK420+AL420</f>
        <v>0</v>
      </c>
      <c r="AS420" s="717">
        <f>G420*VLOOKUP($B420,'Emissions factors'!$B$84:$AQ$147,11,FALSE)+J420*VLOOKUP($B420,'Emissions factors'!$B$84:$AQ$147,13,FALSE)+M420*VLOOKUP($B420,'Emissions factors'!$B$84:$AQ$147,15,FALSE)+P420*VLOOKUP($B420,'Emissions factors'!$B$84:$AQ$147,17,FALSE)</f>
        <v>0</v>
      </c>
      <c r="AT420" s="718">
        <f>G420*VLOOKUP($B420,'Emissions factors'!$B$84:$AQ$147,12,FALSE)+J420*VLOOKUP($B420,'Emissions factors'!$B$84:$AQ$147,14,FALSE)+M420*VLOOKUP($B420,'Emissions factors'!$B$84:$AQ$147,16,FALSE)+P420*VLOOKUP($B420,'Emissions factors'!$B$84:$AQ$147,18,FALSE)</f>
        <v>0</v>
      </c>
      <c r="AU420" s="718">
        <f>G420*VLOOKUP($B420,'Emissions factors'!$B$84:$AQ$147,19,FALSE)+J420*VLOOKUP($B420,'Emissions factors'!$B$84:$AQ$147,21,FALSE)+M420*VLOOKUP($B420,'Emissions factors'!$B$84:$AQ$147,23,FALSE)+P420*VLOOKUP($B420,'Emissions factors'!$B$84:$AQ$147,25,FALSE)</f>
        <v>0</v>
      </c>
      <c r="AV420" s="718">
        <f>G420*VLOOKUP($B420,'Emissions factors'!$B$84:$AQ$147,20,FALSE)+J420*VLOOKUP($B420,'Emissions factors'!$B$84:$AQ$147,22,FALSE)+M420*VLOOKUP($B420,'Emissions factors'!$B$84:$AQ$147,24,FALSE)+P420*VLOOKUP($B420,'Emissions factors'!$B$84:$AQ$147,26,FALSE)</f>
        <v>0</v>
      </c>
      <c r="AW420" s="718">
        <f>G420*VLOOKUP($B420,'Emissions factors'!$B$84:$AQ$147,27,FALSE)+J420*VLOOKUP($B420,'Emissions factors'!$B$84:$AQ$147,29,FALSE)+M420*VLOOKUP($B420,'Emissions factors'!$B$84:$AQ$147,31,FALSE)+P420*VLOOKUP($B420,'Emissions factors'!$B$84:$AQ$147,33,FALSE)</f>
        <v>0</v>
      </c>
      <c r="AX420" s="718">
        <f>G420*VLOOKUP($B420,'Emissions factors'!$B$84:$AQ$147,28,FALSE)+J420*VLOOKUP($B420,'Emissions factors'!$B$84:$AQ$147,30,FALSE)+M420*VLOOKUP($B420,'Emissions factors'!$B$84:$AQ$147,32,FALSE)+P420*VLOOKUP($B420,'Emissions factors'!$B$84:$AQ$147,34,FALSE)</f>
        <v>0</v>
      </c>
      <c r="AY420" s="718">
        <v>0</v>
      </c>
      <c r="AZ420" s="718">
        <v>0</v>
      </c>
      <c r="BA420" s="719">
        <f t="shared" si="162"/>
        <v>0</v>
      </c>
      <c r="BB420" s="720">
        <f t="shared" si="162"/>
        <v>0</v>
      </c>
      <c r="BC420" s="718">
        <f>G420*VLOOKUP($B420,'Emissions factors'!$B$84:$AQ$147,35,FALSE)+J420*VLOOKUP($B420,'Emissions factors'!$B$84:$AQ$147,37,FALSE)+M420*VLOOKUP($B420,'Emissions factors'!$B$84:$AQ$147,39,FALSE)+P420*VLOOKUP($B420,'Emissions factors'!$B$84:$AQ$147,41,FALSE)</f>
        <v>0</v>
      </c>
      <c r="BD420" s="721">
        <f>G420*VLOOKUP($B420,'Emissions factors'!$B$84:$AQ$147,36,FALSE)+J420*VLOOKUP($B420,'Emissions factors'!$B$84:$AQ$147,38,FALSE)+M420*VLOOKUP($B420,'Emissions factors'!$B$84:$AQ$147,40,FALSE)+P420*VLOOKUP($B420,'Emissions factors'!$B$84:$AQ$147,42,FALSE)</f>
        <v>0</v>
      </c>
    </row>
    <row r="421" spans="2:62" ht="12.75" customHeight="1" outlineLevel="1" x14ac:dyDescent="0.2">
      <c r="B421" s="200" t="s">
        <v>803</v>
      </c>
      <c r="C421" s="201"/>
      <c r="D421" s="262">
        <f>S421+T421</f>
        <v>0</v>
      </c>
      <c r="E421" s="265">
        <f>D421*12/44</f>
        <v>0</v>
      </c>
      <c r="F421" s="443"/>
      <c r="G421" s="188"/>
      <c r="H421" s="271">
        <f>VLOOKUP($B421,'Emissions factors'!$B$84:$K$147,2,FALSE)</f>
        <v>1153.9000000000001</v>
      </c>
      <c r="I421" s="271">
        <f>VLOOKUP($B421,'Emissions factors'!$B$84:$K$147,3,FALSE)</f>
        <v>2228.6959999999999</v>
      </c>
      <c r="J421" s="188"/>
      <c r="K421" s="277">
        <f>VLOOKUP($B421,'Emissions factors'!$B$84:$K$147,4,FALSE)</f>
        <v>0.1023</v>
      </c>
      <c r="L421" s="277">
        <f>VLOOKUP($B421,'Emissions factors'!$B$84:$K$147,5,FALSE)</f>
        <v>0.19462700000000002</v>
      </c>
      <c r="M421" s="188"/>
      <c r="N421" s="271">
        <f>VLOOKUP($B421,'Emissions factors'!$B$84:$K$147,6,FALSE)</f>
        <v>1178.0999999999999</v>
      </c>
      <c r="O421" s="271">
        <f>VLOOKUP($B421,'Emissions factors'!$B$84:$K$147,7,FALSE)</f>
        <v>2269.11</v>
      </c>
      <c r="P421" s="188"/>
      <c r="Q421" s="277">
        <f>VLOOKUP($B421,'Emissions factors'!$B$84:$K$147,8,FALSE)</f>
        <v>0.97550000000000003</v>
      </c>
      <c r="R421" s="277">
        <f>VLOOKUP($B421,'Emissions factors'!$B$84:$K$147,9,FALSE)</f>
        <v>1.87584</v>
      </c>
      <c r="S421" s="210">
        <f>G421*H421+J421*K421+M421*N421+P421*Q421</f>
        <v>0</v>
      </c>
      <c r="T421" s="211">
        <f>G421*I421+J421*L421+M421*O421+P421*R421</f>
        <v>0</v>
      </c>
      <c r="U421" s="42"/>
      <c r="X421" s="282">
        <f>VLOOKUP($B421,'Emissions factors'!$B$84:$K$147,10,FALSE)</f>
        <v>0.05</v>
      </c>
      <c r="Y421" s="190"/>
      <c r="Z421" s="221">
        <f>S421*SQRT(X421^2+Y421^2)</f>
        <v>0</v>
      </c>
      <c r="AA421" s="221">
        <f>T421*SQRT(X421^2+Y421^2)</f>
        <v>0</v>
      </c>
      <c r="AB421" s="211">
        <f>SQRT(Z421^2+AA421^2)</f>
        <v>0</v>
      </c>
      <c r="AF421" s="190"/>
      <c r="AG421" s="221">
        <f>S421*AF421</f>
        <v>0</v>
      </c>
      <c r="AH421" s="224">
        <f>T421*AF421</f>
        <v>0</v>
      </c>
      <c r="AI421" s="210">
        <f>AG421+AH421</f>
        <v>0</v>
      </c>
      <c r="AJ421" s="190"/>
      <c r="AK421" s="221">
        <f>S421*AJ421</f>
        <v>0</v>
      </c>
      <c r="AL421" s="224">
        <f>T421*AJ421</f>
        <v>0</v>
      </c>
      <c r="AM421" s="211">
        <f>AK421+AL421</f>
        <v>0</v>
      </c>
      <c r="AS421" s="717">
        <f>G421*VLOOKUP($B421,'Emissions factors'!$B$84:$AQ$147,11,FALSE)+J421*VLOOKUP($B421,'Emissions factors'!$B$84:$AQ$147,13,FALSE)+M421*VLOOKUP($B421,'Emissions factors'!$B$84:$AQ$147,15,FALSE)+P421*VLOOKUP($B421,'Emissions factors'!$B$84:$AQ$147,17,FALSE)</f>
        <v>0</v>
      </c>
      <c r="AT421" s="718">
        <f>G421*VLOOKUP($B421,'Emissions factors'!$B$84:$AQ$147,12,FALSE)+J421*VLOOKUP($B421,'Emissions factors'!$B$84:$AQ$147,14,FALSE)+M421*VLOOKUP($B421,'Emissions factors'!$B$84:$AQ$147,16,FALSE)+P421*VLOOKUP($B421,'Emissions factors'!$B$84:$AQ$147,18,FALSE)</f>
        <v>0</v>
      </c>
      <c r="AU421" s="718">
        <f>G421*VLOOKUP($B421,'Emissions factors'!$B$84:$AQ$147,19,FALSE)+J421*VLOOKUP($B421,'Emissions factors'!$B$84:$AQ$147,21,FALSE)+M421*VLOOKUP($B421,'Emissions factors'!$B$84:$AQ$147,23,FALSE)+P421*VLOOKUP($B421,'Emissions factors'!$B$84:$AQ$147,25,FALSE)</f>
        <v>0</v>
      </c>
      <c r="AV421" s="718">
        <f>G421*VLOOKUP($B421,'Emissions factors'!$B$84:$AQ$147,20,FALSE)+J421*VLOOKUP($B421,'Emissions factors'!$B$84:$AQ$147,22,FALSE)+M421*VLOOKUP($B421,'Emissions factors'!$B$84:$AQ$147,24,FALSE)+P421*VLOOKUP($B421,'Emissions factors'!$B$84:$AQ$147,26,FALSE)</f>
        <v>0</v>
      </c>
      <c r="AW421" s="718">
        <f>G421*VLOOKUP($B421,'Emissions factors'!$B$84:$AQ$147,27,FALSE)+J421*VLOOKUP($B421,'Emissions factors'!$B$84:$AQ$147,29,FALSE)+M421*VLOOKUP($B421,'Emissions factors'!$B$84:$AQ$147,31,FALSE)+P421*VLOOKUP($B421,'Emissions factors'!$B$84:$AQ$147,33,FALSE)</f>
        <v>0</v>
      </c>
      <c r="AX421" s="718">
        <f>G421*VLOOKUP($B421,'Emissions factors'!$B$84:$AQ$147,28,FALSE)+J421*VLOOKUP($B421,'Emissions factors'!$B$84:$AQ$147,30,FALSE)+M421*VLOOKUP($B421,'Emissions factors'!$B$84:$AQ$147,32,FALSE)+P421*VLOOKUP($B421,'Emissions factors'!$B$84:$AQ$147,34,FALSE)</f>
        <v>0</v>
      </c>
      <c r="AY421" s="718">
        <v>0</v>
      </c>
      <c r="AZ421" s="718">
        <v>0</v>
      </c>
      <c r="BA421" s="719">
        <f t="shared" si="162"/>
        <v>0</v>
      </c>
      <c r="BB421" s="720">
        <f t="shared" si="162"/>
        <v>0</v>
      </c>
      <c r="BC421" s="718">
        <f>G421*VLOOKUP($B421,'Emissions factors'!$B$84:$AQ$147,35,FALSE)+J421*VLOOKUP($B421,'Emissions factors'!$B$84:$AQ$147,37,FALSE)+M421*VLOOKUP($B421,'Emissions factors'!$B$84:$AQ$147,39,FALSE)+P421*VLOOKUP($B421,'Emissions factors'!$B$84:$AQ$147,41,FALSE)</f>
        <v>0</v>
      </c>
      <c r="BD421" s="721">
        <f>G421*VLOOKUP($B421,'Emissions factors'!$B$84:$AQ$147,36,FALSE)+J421*VLOOKUP($B421,'Emissions factors'!$B$84:$AQ$147,38,FALSE)+M421*VLOOKUP($B421,'Emissions factors'!$B$84:$AQ$147,40,FALSE)+P421*VLOOKUP($B421,'Emissions factors'!$B$84:$AQ$147,42,FALSE)</f>
        <v>0</v>
      </c>
    </row>
    <row r="422" spans="2:62" ht="12.75" customHeight="1" outlineLevel="1" x14ac:dyDescent="0.2">
      <c r="B422" s="200"/>
      <c r="C422" s="201"/>
      <c r="D422" s="263"/>
      <c r="E422" s="266"/>
      <c r="F422" s="410"/>
      <c r="G422" s="410"/>
      <c r="H422" s="273"/>
      <c r="I422" s="273"/>
      <c r="J422" s="410"/>
      <c r="K422" s="273"/>
      <c r="L422" s="273"/>
      <c r="M422" s="410"/>
      <c r="N422" s="273"/>
      <c r="O422" s="273"/>
      <c r="P422" s="410"/>
      <c r="Q422" s="277"/>
      <c r="R422" s="277"/>
      <c r="S422" s="210"/>
      <c r="T422" s="211"/>
      <c r="U422" s="42"/>
      <c r="X422" s="282"/>
      <c r="Y422" s="221"/>
      <c r="Z422" s="221"/>
      <c r="AA422" s="221"/>
      <c r="AB422" s="211"/>
      <c r="AF422" s="200"/>
      <c r="AG422" s="221"/>
      <c r="AH422" s="224"/>
      <c r="AI422" s="285"/>
      <c r="AJ422" s="224"/>
      <c r="AK422" s="221"/>
      <c r="AL422" s="224"/>
      <c r="AM422" s="211"/>
      <c r="AS422" s="717"/>
      <c r="AT422" s="718"/>
      <c r="AU422" s="718"/>
      <c r="AV422" s="718"/>
      <c r="AW422" s="718"/>
      <c r="AX422" s="718"/>
      <c r="AY422" s="718"/>
      <c r="AZ422" s="718"/>
      <c r="BA422" s="719"/>
      <c r="BB422" s="720"/>
      <c r="BC422" s="717"/>
      <c r="BD422" s="721"/>
    </row>
    <row r="423" spans="2:62" ht="12.75" customHeight="1" outlineLevel="1" x14ac:dyDescent="0.2">
      <c r="B423" s="200" t="s">
        <v>834</v>
      </c>
      <c r="C423" s="201"/>
      <c r="D423" s="262">
        <f>S423+T423</f>
        <v>0</v>
      </c>
      <c r="E423" s="265">
        <f>D423*12/44</f>
        <v>0</v>
      </c>
      <c r="F423" s="182"/>
      <c r="G423" s="182"/>
      <c r="H423" s="271">
        <f>VLOOKUP($B423,'Emissions factors'!$B$152:$K$165,2,FALSE)</f>
        <v>1134.9000000000001</v>
      </c>
      <c r="I423" s="271">
        <f>VLOOKUP($B423,'Emissions factors'!$B$152:$K$165,3,FALSE)</f>
        <v>0</v>
      </c>
      <c r="J423" s="182"/>
      <c r="K423" s="277">
        <f>VLOOKUP($B423,'Emissions factors'!$B$152:$K$165,4,FALSE)</f>
        <v>0.10988999999999999</v>
      </c>
      <c r="L423" s="277">
        <f>VLOOKUP($B423,'Emissions factors'!$B$152:$K$165,5,FALSE)</f>
        <v>0</v>
      </c>
      <c r="M423" s="182"/>
      <c r="N423" s="271">
        <f>VLOOKUP($B423,'Emissions factors'!$B$152:$K$165,6,FALSE)</f>
        <v>1278.0999999999999</v>
      </c>
      <c r="O423" s="271">
        <f>VLOOKUP($B423,'Emissions factors'!$B$152:$K$165,7,FALSE)</f>
        <v>0</v>
      </c>
      <c r="P423" s="182"/>
      <c r="Q423" s="277">
        <f>VLOOKUP($B423,'Emissions factors'!$B$152:$K$165,8,FALSE)</f>
        <v>1.0113000000000001</v>
      </c>
      <c r="R423" s="277">
        <f>VLOOKUP($B423,'Emissions factors'!$B$152:$K$165,9,FALSE)</f>
        <v>0</v>
      </c>
      <c r="S423" s="210">
        <f>G423*H423+J423*K423+M423*N423+P423*Q423</f>
        <v>0</v>
      </c>
      <c r="T423" s="211">
        <f>G423*I423+J423*L423+M423*O423+P423*R423</f>
        <v>0</v>
      </c>
      <c r="U423" s="42"/>
      <c r="X423" s="282">
        <f>VLOOKUP($B423,'Emissions factors'!$B$152:$K$165,10,FALSE)</f>
        <v>0.2</v>
      </c>
      <c r="Y423" s="184"/>
      <c r="Z423" s="221">
        <f>S423*SQRT(X423^2+Y423^2)</f>
        <v>0</v>
      </c>
      <c r="AA423" s="221">
        <f>T423*SQRT(X423^2+Y423^2)</f>
        <v>0</v>
      </c>
      <c r="AB423" s="211">
        <f>SQRT(Z423^2+AA423^2)</f>
        <v>0</v>
      </c>
      <c r="AF423" s="184"/>
      <c r="AG423" s="221">
        <f>S423*AF423</f>
        <v>0</v>
      </c>
      <c r="AH423" s="224">
        <f>T423*AF423</f>
        <v>0</v>
      </c>
      <c r="AI423" s="210">
        <f>AG423+AH423</f>
        <v>0</v>
      </c>
      <c r="AJ423" s="184"/>
      <c r="AK423" s="221">
        <f>S423*AJ423</f>
        <v>0</v>
      </c>
      <c r="AL423" s="224">
        <f>T423*AJ423</f>
        <v>0</v>
      </c>
      <c r="AM423" s="211">
        <f>AK423+AL423</f>
        <v>0</v>
      </c>
      <c r="AS423" s="717">
        <f>G423*VLOOKUP($B423,'Emissions factors'!$B$152:$AQ$165,11,FALSE)+J423*VLOOKUP($B423,'Emissions factors'!$B$152:$AQ$165,13,FALSE)+M423*VLOOKUP($B423,'Emissions factors'!$B$152:$AQ$165,15,FALSE)+P423*VLOOKUP($B423,'Emissions factors'!$B$152:$AQ$165,17,FALSE)</f>
        <v>0</v>
      </c>
      <c r="AT423" s="718">
        <f>G423*VLOOKUP($B423,'Emissions factors'!$B$152:$AQ$165,12,FALSE)+J423*VLOOKUP($B423,'Emissions factors'!$B$152:$AQ$165,14,FALSE)+M423*VLOOKUP($B423,'Emissions factors'!$B$152:$AQ$165,16,FALSE)+P423*VLOOKUP($B423,'Emissions factors'!$B$152:$AQ$165,18,FALSE)</f>
        <v>0</v>
      </c>
      <c r="AU423" s="718">
        <f>G423*VLOOKUP($B423,'Emissions factors'!$B$152:$AQ$165,19,FALSE)+J423*VLOOKUP($B423,'Emissions factors'!$B$152:$AQ$165,21,FALSE)+M423*VLOOKUP($B423,'Emissions factors'!$B$152:$AQ$165,23,FALSE)+P423*VLOOKUP($B423,'Emissions factors'!$B$152:$AQ$165,25,FALSE)</f>
        <v>0</v>
      </c>
      <c r="AV423" s="718">
        <f>G423*VLOOKUP($B423,'Emissions factors'!$B$152:$AQ$165,20,FALSE)+J423*VLOOKUP($B423,'Emissions factors'!$B$152:$AQ$165,22,FALSE)+M423*VLOOKUP($B423,'Emissions factors'!$B$152:$AQ$165,24,FALSE)+P423*VLOOKUP($B423,'Emissions factors'!$B$152:$AQ$165,26,FALSE)</f>
        <v>0</v>
      </c>
      <c r="AW423" s="718">
        <f>G423*VLOOKUP($B423,'Emissions factors'!$B$152:$AQ$165,27,FALSE)+J423*VLOOKUP($B423,'Emissions factors'!$B$152:$AQ$165,29,FALSE)+M423*VLOOKUP($B423,'Emissions factors'!$B$152:$AQ$165,31,FALSE)+P423*VLOOKUP($B423,'Emissions factors'!$B$152:$AQ$165,33,FALSE)</f>
        <v>0</v>
      </c>
      <c r="AX423" s="718">
        <f>G423*VLOOKUP($B423,'Emissions factors'!$B$152:$AQ$165,28,FALSE)+J423*VLOOKUP($B423,'Emissions factors'!$B$152:$AQ$165,30,FALSE)+M423*VLOOKUP($B423,'Emissions factors'!$B$152:$AQ$165,32,FALSE)+P423*VLOOKUP($B423,'Emissions factors'!$B$152:$AQ$165,34,FALSE)</f>
        <v>0</v>
      </c>
      <c r="AY423" s="718">
        <v>0</v>
      </c>
      <c r="AZ423" s="718">
        <v>0</v>
      </c>
      <c r="BA423" s="719">
        <f>S423</f>
        <v>0</v>
      </c>
      <c r="BB423" s="720">
        <f>T423</f>
        <v>0</v>
      </c>
      <c r="BC423" s="717">
        <f>G423*VLOOKUP($B423,'Emissions factors'!$B$152:$AQ$165,35,FALSE)+J423*VLOOKUP($B423,'Emissions factors'!$B$152:$AQ$165,37,FALSE)+M423*VLOOKUP($B423,'Emissions factors'!$B$152:$AQ$165,39,FALSE)+P423*VLOOKUP($B423,'Emissions factors'!$B$152:$AQ$165,41,FALSE)</f>
        <v>0</v>
      </c>
      <c r="BD423" s="721">
        <f>G423*VLOOKUP($B423,'Emissions factors'!$B$152:$AQ$165,36,FALSE)+J423*VLOOKUP($B423,'Emissions factors'!$B$152:$AQ$165,38,FALSE)+M423*VLOOKUP($B423,'Emissions factors'!$B$152:$AQ$165,40,FALSE)+P423*VLOOKUP($B423,'Emissions factors'!$B$152:$AQ$165,42,FALSE)</f>
        <v>0</v>
      </c>
    </row>
    <row r="424" spans="2:62" ht="12.75" customHeight="1" outlineLevel="1" x14ac:dyDescent="0.2">
      <c r="B424" s="200" t="s">
        <v>843</v>
      </c>
      <c r="C424" s="201"/>
      <c r="D424" s="262">
        <f>S424+T424</f>
        <v>0</v>
      </c>
      <c r="E424" s="265">
        <f>D424*12/44</f>
        <v>0</v>
      </c>
      <c r="F424" s="188"/>
      <c r="G424" s="188"/>
      <c r="H424" s="271">
        <f>VLOOKUP($B424,'Emissions factors'!$B$152:$K$165,2,FALSE)</f>
        <v>40.700000000000003</v>
      </c>
      <c r="I424" s="271">
        <f>VLOOKUP($B424,'Emissions factors'!$B$152:$K$165,3,FALSE)</f>
        <v>48.2</v>
      </c>
      <c r="J424" s="188"/>
      <c r="K424" s="277">
        <f>VLOOKUP($B424,'Emissions factors'!$B$152:$K$165,4,FALSE)</f>
        <v>1.115E-2</v>
      </c>
      <c r="L424" s="277">
        <f>VLOOKUP($B424,'Emissions factors'!$B$152:$K$165,5,FALSE)</f>
        <v>1.32E-2</v>
      </c>
      <c r="M424" s="188"/>
      <c r="N424" s="271">
        <f>VLOOKUP($B424,'Emissions factors'!$B$152:$K$165,6,FALSE)</f>
        <v>0</v>
      </c>
      <c r="O424" s="271">
        <f>VLOOKUP($B424,'Emissions factors'!$B$152:$K$165,7,FALSE)</f>
        <v>0</v>
      </c>
      <c r="P424" s="188"/>
      <c r="Q424" s="277">
        <f>VLOOKUP($B424,'Emissions factors'!$B$152:$K$165,8,FALSE)</f>
        <v>0</v>
      </c>
      <c r="R424" s="277">
        <f>VLOOKUP($B424,'Emissions factors'!$B$152:$K$165,9,FALSE)</f>
        <v>0</v>
      </c>
      <c r="S424" s="210">
        <f>G424*H424+J424*K424+M424*N424+P424*Q424</f>
        <v>0</v>
      </c>
      <c r="T424" s="211">
        <f>G424*I424+J424*L424+M424*O424+P424*R424</f>
        <v>0</v>
      </c>
      <c r="U424" s="42"/>
      <c r="X424" s="282">
        <f>VLOOKUP($B424,'Emissions factors'!$B$152:$K$165,10,FALSE)</f>
        <v>0.5</v>
      </c>
      <c r="Y424" s="190"/>
      <c r="Z424" s="221">
        <f>S424*SQRT(X424^2+Y424^2)</f>
        <v>0</v>
      </c>
      <c r="AA424" s="221">
        <f>T424*SQRT(X424^2+Y424^2)</f>
        <v>0</v>
      </c>
      <c r="AB424" s="211">
        <f>SQRT(Z424^2+AA424^2)</f>
        <v>0</v>
      </c>
      <c r="AF424" s="190"/>
      <c r="AG424" s="221">
        <f>S424*AF424</f>
        <v>0</v>
      </c>
      <c r="AH424" s="224">
        <f>T424*AF424</f>
        <v>0</v>
      </c>
      <c r="AI424" s="210">
        <f>AG424+AH424</f>
        <v>0</v>
      </c>
      <c r="AJ424" s="190"/>
      <c r="AK424" s="221">
        <f>S424*AJ424</f>
        <v>0</v>
      </c>
      <c r="AL424" s="224">
        <f>T424*AJ424</f>
        <v>0</v>
      </c>
      <c r="AM424" s="211">
        <f>AK424+AL424</f>
        <v>0</v>
      </c>
      <c r="AS424" s="717">
        <f>G424*VLOOKUP($B424,'Emissions factors'!$B$152:$AQ$165,11,FALSE)+J424*VLOOKUP($B424,'Emissions factors'!$B$152:$AQ$165,13,FALSE)+M424*VLOOKUP($B424,'Emissions factors'!$B$152:$AQ$165,15,FALSE)+P424*VLOOKUP($B424,'Emissions factors'!$B$152:$AQ$165,17,FALSE)</f>
        <v>0</v>
      </c>
      <c r="AT424" s="718">
        <f>G424*VLOOKUP($B424,'Emissions factors'!$B$152:$AQ$165,12,FALSE)+J424*VLOOKUP($B424,'Emissions factors'!$B$152:$AQ$165,14,FALSE)+M424*VLOOKUP($B424,'Emissions factors'!$B$152:$AQ$165,16,FALSE)+P424*VLOOKUP($B424,'Emissions factors'!$B$152:$AQ$165,18,FALSE)</f>
        <v>0</v>
      </c>
      <c r="AU424" s="718">
        <f>G424*VLOOKUP($B424,'Emissions factors'!$B$152:$AQ$165,19,FALSE)+J424*VLOOKUP($B424,'Emissions factors'!$B$152:$AQ$165,21,FALSE)+M424*VLOOKUP($B424,'Emissions factors'!$B$152:$AQ$165,23,FALSE)+P424*VLOOKUP($B424,'Emissions factors'!$B$152:$AQ$165,25,FALSE)</f>
        <v>0</v>
      </c>
      <c r="AV424" s="718">
        <f>G424*VLOOKUP($B424,'Emissions factors'!$B$152:$AQ$165,20,FALSE)+J424*VLOOKUP($B424,'Emissions factors'!$B$152:$AQ$165,22,FALSE)+M424*VLOOKUP($B424,'Emissions factors'!$B$152:$AQ$165,24,FALSE)+P424*VLOOKUP($B424,'Emissions factors'!$B$152:$AQ$165,26,FALSE)</f>
        <v>0</v>
      </c>
      <c r="AW424" s="718">
        <f>G424*VLOOKUP($B424,'Emissions factors'!$B$152:$AQ$165,27,FALSE)+J424*VLOOKUP($B424,'Emissions factors'!$B$152:$AQ$165,29,FALSE)+M424*VLOOKUP($B424,'Emissions factors'!$B$152:$AQ$165,31,FALSE)+P424*VLOOKUP($B424,'Emissions factors'!$B$152:$AQ$165,33,FALSE)</f>
        <v>0</v>
      </c>
      <c r="AX424" s="718">
        <f>G424*VLOOKUP($B424,'Emissions factors'!$B$152:$AQ$165,28,FALSE)+J424*VLOOKUP($B424,'Emissions factors'!$B$152:$AQ$165,30,FALSE)+M424*VLOOKUP($B424,'Emissions factors'!$B$152:$AQ$165,32,FALSE)+P424*VLOOKUP($B424,'Emissions factors'!$B$152:$AQ$165,34,FALSE)</f>
        <v>0</v>
      </c>
      <c r="AY424" s="718">
        <v>0</v>
      </c>
      <c r="AZ424" s="718">
        <v>0</v>
      </c>
      <c r="BA424" s="719">
        <f>S424</f>
        <v>0</v>
      </c>
      <c r="BB424" s="720">
        <f>T424</f>
        <v>0</v>
      </c>
      <c r="BC424" s="717">
        <f>G424*VLOOKUP($B424,'Emissions factors'!$B$152:$AQ$165,35,FALSE)+J424*VLOOKUP($B424,'Emissions factors'!$B$152:$AQ$165,37,FALSE)+M424*VLOOKUP($B424,'Emissions factors'!$B$152:$AQ$165,39,FALSE)+P424*VLOOKUP($B424,'Emissions factors'!$B$152:$AQ$165,41,FALSE)</f>
        <v>0</v>
      </c>
      <c r="BD424" s="721">
        <f>G424*VLOOKUP($B424,'Emissions factors'!$B$152:$AQ$165,36,FALSE)+J424*VLOOKUP($B424,'Emissions factors'!$B$152:$AQ$165,38,FALSE)+M424*VLOOKUP($B424,'Emissions factors'!$B$152:$AQ$165,40,FALSE)+P424*VLOOKUP($B424,'Emissions factors'!$B$152:$AQ$165,42,FALSE)</f>
        <v>0</v>
      </c>
    </row>
    <row r="425" spans="2:62" ht="12.75" customHeight="1" outlineLevel="1" x14ac:dyDescent="0.2">
      <c r="B425" s="213"/>
      <c r="C425" s="214"/>
      <c r="D425" s="275"/>
      <c r="E425" s="268"/>
      <c r="F425" s="214"/>
      <c r="G425" s="214"/>
      <c r="H425" s="214"/>
      <c r="I425" s="214"/>
      <c r="J425" s="214"/>
      <c r="K425" s="214"/>
      <c r="L425" s="214"/>
      <c r="M425" s="214"/>
      <c r="N425" s="214"/>
      <c r="O425" s="214"/>
      <c r="P425" s="214"/>
      <c r="Q425" s="214"/>
      <c r="R425" s="214"/>
      <c r="S425" s="463"/>
      <c r="T425" s="215"/>
      <c r="U425" s="42"/>
      <c r="X425" s="213"/>
      <c r="Y425" s="214"/>
      <c r="Z425" s="214"/>
      <c r="AA425" s="214"/>
      <c r="AB425" s="433"/>
      <c r="AF425" s="213"/>
      <c r="AG425" s="214"/>
      <c r="AH425" s="214"/>
      <c r="AI425" s="269"/>
      <c r="AJ425" s="214"/>
      <c r="AK425" s="214"/>
      <c r="AL425" s="214"/>
      <c r="AM425" s="433"/>
      <c r="AS425" s="717"/>
      <c r="AT425" s="718"/>
      <c r="AU425" s="718"/>
      <c r="AV425" s="718"/>
      <c r="AW425" s="718"/>
      <c r="AX425" s="718"/>
      <c r="AY425" s="718"/>
      <c r="AZ425" s="718"/>
      <c r="BA425" s="719"/>
      <c r="BB425" s="720"/>
      <c r="BC425" s="722"/>
      <c r="BD425" s="723"/>
    </row>
    <row r="426" spans="2:62" ht="12.75" customHeight="1" outlineLevel="1" x14ac:dyDescent="0.2">
      <c r="B426" s="253" t="s">
        <v>2828</v>
      </c>
      <c r="C426" s="254"/>
      <c r="D426" s="264">
        <f>SUM(D419:D425)</f>
        <v>0</v>
      </c>
      <c r="E426" s="267">
        <f>SUM(E419:E425)</f>
        <v>0</v>
      </c>
      <c r="F426" s="255"/>
      <c r="G426" s="256"/>
      <c r="H426" s="256"/>
      <c r="I426" s="256"/>
      <c r="J426" s="256"/>
      <c r="K426" s="256"/>
      <c r="L426" s="256"/>
      <c r="M426" s="256"/>
      <c r="N426" s="256"/>
      <c r="O426" s="256"/>
      <c r="P426" s="256"/>
      <c r="Q426" s="256"/>
      <c r="R426" s="256"/>
      <c r="S426" s="259">
        <f>SUM(S419:S425)</f>
        <v>0</v>
      </c>
      <c r="T426" s="257">
        <f>SUM(T419:T425)</f>
        <v>0</v>
      </c>
      <c r="U426" s="42"/>
      <c r="X426" s="258"/>
      <c r="Y426" s="256"/>
      <c r="Z426" s="260">
        <f>SQRT(SUMSQ(Z419:Z425))</f>
        <v>0</v>
      </c>
      <c r="AA426" s="260">
        <f>SQRT(SUMSQ(AA419:AA425))</f>
        <v>0</v>
      </c>
      <c r="AB426" s="257">
        <f>SQRT(SUMSQ(AB419:AB425))</f>
        <v>0</v>
      </c>
      <c r="AF426" s="258"/>
      <c r="AG426" s="260">
        <f>SUM(AG419:AG425)</f>
        <v>0</v>
      </c>
      <c r="AH426" s="260">
        <f>SUM(AH419:AH425)</f>
        <v>0</v>
      </c>
      <c r="AI426" s="259">
        <f>SUM(AI419:AI425)</f>
        <v>0</v>
      </c>
      <c r="AJ426" s="256"/>
      <c r="AK426" s="260">
        <f>SUM(AK419:AK425)</f>
        <v>0</v>
      </c>
      <c r="AL426" s="260">
        <f>SUM(AL419:AL425)</f>
        <v>0</v>
      </c>
      <c r="AM426" s="257">
        <f>SUM(AM419:AM425)</f>
        <v>0</v>
      </c>
      <c r="AS426" s="724">
        <f t="shared" ref="AS426:BD426" si="163">SUM(AS419:AS425)</f>
        <v>0</v>
      </c>
      <c r="AT426" s="725">
        <f t="shared" si="163"/>
        <v>0</v>
      </c>
      <c r="AU426" s="725">
        <f t="shared" si="163"/>
        <v>0</v>
      </c>
      <c r="AV426" s="725">
        <f t="shared" si="163"/>
        <v>0</v>
      </c>
      <c r="AW426" s="725">
        <f t="shared" si="163"/>
        <v>0</v>
      </c>
      <c r="AX426" s="725">
        <f t="shared" si="163"/>
        <v>0</v>
      </c>
      <c r="AY426" s="725">
        <f t="shared" si="163"/>
        <v>0</v>
      </c>
      <c r="AZ426" s="725">
        <f t="shared" si="163"/>
        <v>0</v>
      </c>
      <c r="BA426" s="726">
        <f t="shared" si="163"/>
        <v>0</v>
      </c>
      <c r="BB426" s="727">
        <f t="shared" si="163"/>
        <v>0</v>
      </c>
      <c r="BC426" s="724">
        <f t="shared" si="163"/>
        <v>0</v>
      </c>
      <c r="BD426" s="728">
        <f t="shared" si="163"/>
        <v>0</v>
      </c>
    </row>
    <row r="427" spans="2:62" ht="12.75" customHeight="1" outlineLevel="1" x14ac:dyDescent="0.2">
      <c r="Q427" s="42"/>
    </row>
    <row r="428" spans="2:62" ht="12.75" customHeight="1" outlineLevel="1" x14ac:dyDescent="0.2">
      <c r="B428" s="195" t="s">
        <v>2894</v>
      </c>
      <c r="C428" s="196"/>
      <c r="D428" s="1364"/>
      <c r="E428" s="1364"/>
      <c r="F428" s="196"/>
      <c r="G428" s="196"/>
      <c r="H428" s="196"/>
      <c r="I428" s="196"/>
      <c r="J428" s="196"/>
      <c r="K428" s="196"/>
      <c r="L428" s="196"/>
      <c r="M428" s="196"/>
      <c r="N428" s="196"/>
      <c r="O428" s="198"/>
      <c r="P428" s="198"/>
      <c r="Q428" s="198"/>
      <c r="R428" s="198"/>
      <c r="S428" s="198"/>
      <c r="T428" s="198"/>
      <c r="U428" s="199"/>
      <c r="W428" s="42"/>
      <c r="X428" s="1746" t="s">
        <v>723</v>
      </c>
      <c r="Y428" s="1747"/>
      <c r="Z428" s="1747"/>
      <c r="AA428" s="1747"/>
      <c r="AB428" s="1747"/>
      <c r="AC428" s="1747"/>
      <c r="AD428" s="1748"/>
      <c r="AF428" s="1746" t="s">
        <v>2066</v>
      </c>
      <c r="AG428" s="1747"/>
      <c r="AH428" s="1747"/>
      <c r="AI428" s="1747"/>
      <c r="AJ428" s="1747"/>
      <c r="AK428" s="1747"/>
      <c r="AL428" s="1747"/>
      <c r="AM428" s="1747"/>
      <c r="AN428" s="1747"/>
      <c r="AO428" s="1747"/>
      <c r="AP428" s="1747"/>
      <c r="AQ428" s="1748"/>
      <c r="AS428" s="1755" t="s">
        <v>2073</v>
      </c>
      <c r="AT428" s="1756"/>
      <c r="AU428" s="1756"/>
      <c r="AV428" s="1756"/>
      <c r="AW428" s="1756"/>
      <c r="AX428" s="1756"/>
      <c r="AY428" s="1756"/>
      <c r="AZ428" s="1756"/>
      <c r="BA428" s="1756"/>
      <c r="BB428" s="1756"/>
      <c r="BC428" s="1756"/>
      <c r="BD428" s="1756"/>
      <c r="BE428" s="1756"/>
      <c r="BF428" s="1756"/>
      <c r="BG428" s="1756"/>
      <c r="BH428" s="1756"/>
      <c r="BI428" s="1756"/>
      <c r="BJ428" s="1757"/>
    </row>
    <row r="429" spans="2:62" ht="12.75" customHeight="1" outlineLevel="1" x14ac:dyDescent="0.2">
      <c r="B429" s="417"/>
      <c r="C429" s="225"/>
      <c r="D429" s="705"/>
      <c r="E429" s="705"/>
      <c r="F429" s="201"/>
      <c r="G429" s="1370" t="s">
        <v>61</v>
      </c>
      <c r="H429" s="1745" t="s">
        <v>1249</v>
      </c>
      <c r="I429" s="1745"/>
      <c r="J429" s="1745" t="s">
        <v>1249</v>
      </c>
      <c r="K429" s="1745"/>
      <c r="L429" s="225"/>
      <c r="M429" s="225"/>
      <c r="N429" s="225"/>
      <c r="O429" s="225"/>
      <c r="P429" s="201"/>
      <c r="Q429" s="201"/>
      <c r="R429" s="201"/>
      <c r="S429" s="1745" t="s">
        <v>2646</v>
      </c>
      <c r="T429" s="1745"/>
      <c r="U429" s="1378" t="s">
        <v>2639</v>
      </c>
      <c r="W429" s="42"/>
      <c r="X429" s="1369"/>
      <c r="Y429" s="1370"/>
      <c r="Z429" s="1370"/>
      <c r="AA429" s="1370"/>
      <c r="AB429" s="1370"/>
      <c r="AC429" s="1370"/>
      <c r="AD429" s="1378" t="s">
        <v>2639</v>
      </c>
      <c r="AE429" s="42"/>
      <c r="AF429" s="216"/>
      <c r="AG429" s="705"/>
      <c r="AH429" s="705"/>
      <c r="AI429" s="705"/>
      <c r="AJ429" s="1370"/>
      <c r="AK429" s="1370" t="s">
        <v>2639</v>
      </c>
      <c r="AL429" s="217"/>
      <c r="AM429" s="705"/>
      <c r="AN429" s="705"/>
      <c r="AO429" s="705"/>
      <c r="AP429" s="1370"/>
      <c r="AQ429" s="1378" t="s">
        <v>2639</v>
      </c>
      <c r="AS429" s="1758" t="s">
        <v>61</v>
      </c>
      <c r="AT429" s="1759"/>
      <c r="AU429" s="1759"/>
      <c r="AV429" s="1759"/>
      <c r="AW429" s="1759"/>
      <c r="AX429" s="1759"/>
      <c r="AY429" s="1759"/>
      <c r="AZ429" s="1759"/>
      <c r="BA429" s="1759"/>
      <c r="BB429" s="1759"/>
      <c r="BC429" s="1759"/>
      <c r="BD429" s="1759"/>
      <c r="BE429" s="1759" t="s">
        <v>61</v>
      </c>
      <c r="BF429" s="1759"/>
      <c r="BG429" s="1760"/>
      <c r="BH429" s="730"/>
      <c r="BI429" s="785"/>
      <c r="BJ429" s="731"/>
    </row>
    <row r="430" spans="2:62" ht="12.75" customHeight="1" outlineLevel="1" x14ac:dyDescent="0.2">
      <c r="B430" s="200"/>
      <c r="C430" s="201"/>
      <c r="D430" s="1370" t="s">
        <v>56</v>
      </c>
      <c r="E430" s="1370" t="s">
        <v>56</v>
      </c>
      <c r="F430" s="205" t="s">
        <v>2634</v>
      </c>
      <c r="G430" s="1370" t="s">
        <v>2537</v>
      </c>
      <c r="H430" s="1745" t="s">
        <v>2640</v>
      </c>
      <c r="I430" s="1745"/>
      <c r="J430" s="1745" t="s">
        <v>2641</v>
      </c>
      <c r="K430" s="1835"/>
      <c r="L430" s="205" t="s">
        <v>2642</v>
      </c>
      <c r="M430" s="205" t="s">
        <v>2643</v>
      </c>
      <c r="N430" s="1652" t="s">
        <v>2637</v>
      </c>
      <c r="O430" s="205"/>
      <c r="P430" s="1744" t="s">
        <v>1281</v>
      </c>
      <c r="Q430" s="1745"/>
      <c r="R430" s="705" t="s">
        <v>61</v>
      </c>
      <c r="S430" s="705" t="s">
        <v>61</v>
      </c>
      <c r="T430" s="705" t="s">
        <v>61</v>
      </c>
      <c r="U430" s="1378" t="s">
        <v>30</v>
      </c>
      <c r="W430" s="42"/>
      <c r="X430" s="1629" t="s">
        <v>2605</v>
      </c>
      <c r="Y430" s="1370" t="s">
        <v>2110</v>
      </c>
      <c r="Z430" s="1370" t="s">
        <v>61</v>
      </c>
      <c r="AA430" s="1370" t="s">
        <v>61</v>
      </c>
      <c r="AB430" s="1370" t="s">
        <v>61</v>
      </c>
      <c r="AC430" s="705" t="s">
        <v>61</v>
      </c>
      <c r="AD430" s="1378" t="s">
        <v>30</v>
      </c>
      <c r="AE430" s="42"/>
      <c r="AF430" s="1369" t="s">
        <v>2065</v>
      </c>
      <c r="AG430" s="1370" t="s">
        <v>61</v>
      </c>
      <c r="AH430" s="1370" t="s">
        <v>61</v>
      </c>
      <c r="AI430" s="1370" t="s">
        <v>61</v>
      </c>
      <c r="AJ430" s="705" t="s">
        <v>61</v>
      </c>
      <c r="AK430" s="1370" t="s">
        <v>30</v>
      </c>
      <c r="AL430" s="1370" t="s">
        <v>2558</v>
      </c>
      <c r="AM430" s="1370" t="s">
        <v>61</v>
      </c>
      <c r="AN430" s="1370" t="s">
        <v>61</v>
      </c>
      <c r="AO430" s="1370" t="s">
        <v>61</v>
      </c>
      <c r="AP430" s="705" t="s">
        <v>61</v>
      </c>
      <c r="AQ430" s="1378" t="s">
        <v>30</v>
      </c>
      <c r="AS430" s="1764" t="s">
        <v>14</v>
      </c>
      <c r="AT430" s="1761"/>
      <c r="AU430" s="1761"/>
      <c r="AV430" s="1761" t="s">
        <v>60</v>
      </c>
      <c r="AW430" s="1761"/>
      <c r="AX430" s="1761"/>
      <c r="AY430" s="1761" t="s">
        <v>27</v>
      </c>
      <c r="AZ430" s="1761"/>
      <c r="BA430" s="1761"/>
      <c r="BB430" s="1761" t="s">
        <v>2074</v>
      </c>
      <c r="BC430" s="1761"/>
      <c r="BD430" s="1761"/>
      <c r="BE430" s="1762" t="s">
        <v>41</v>
      </c>
      <c r="BF430" s="1762"/>
      <c r="BG430" s="1763"/>
      <c r="BH430" s="1764" t="s">
        <v>85</v>
      </c>
      <c r="BI430" s="1761"/>
      <c r="BJ430" s="1765"/>
    </row>
    <row r="431" spans="2:62" ht="12.75" customHeight="1" outlineLevel="1" x14ac:dyDescent="0.2">
      <c r="B431" s="704" t="s">
        <v>2638</v>
      </c>
      <c r="C431" s="201"/>
      <c r="D431" s="1370" t="s">
        <v>61</v>
      </c>
      <c r="E431" s="1370" t="s">
        <v>63</v>
      </c>
      <c r="F431" s="1623" t="s">
        <v>2054</v>
      </c>
      <c r="G431" s="1377" t="s">
        <v>1279</v>
      </c>
      <c r="H431" s="1377" t="s">
        <v>768</v>
      </c>
      <c r="I431" s="1377" t="s">
        <v>24</v>
      </c>
      <c r="J431" s="1377" t="s">
        <v>768</v>
      </c>
      <c r="K431" s="1377" t="s">
        <v>24</v>
      </c>
      <c r="L431" s="212" t="s">
        <v>2644</v>
      </c>
      <c r="M431" s="212" t="s">
        <v>2645</v>
      </c>
      <c r="N431" s="1652" t="s">
        <v>34</v>
      </c>
      <c r="O431" s="212" t="s">
        <v>2635</v>
      </c>
      <c r="P431" s="1377" t="s">
        <v>768</v>
      </c>
      <c r="Q431" s="1377" t="s">
        <v>24</v>
      </c>
      <c r="R431" s="1376" t="s">
        <v>1279</v>
      </c>
      <c r="S431" s="1376" t="s">
        <v>768</v>
      </c>
      <c r="T431" s="1376" t="s">
        <v>24</v>
      </c>
      <c r="U431" s="1378" t="s">
        <v>61</v>
      </c>
      <c r="W431" s="42"/>
      <c r="X431" s="1629" t="s">
        <v>2109</v>
      </c>
      <c r="Y431" s="1370"/>
      <c r="Z431" s="1377" t="s">
        <v>1279</v>
      </c>
      <c r="AA431" s="1377" t="s">
        <v>768</v>
      </c>
      <c r="AB431" s="1377" t="s">
        <v>24</v>
      </c>
      <c r="AC431" s="223" t="s">
        <v>41</v>
      </c>
      <c r="AD431" s="1378" t="s">
        <v>61</v>
      </c>
      <c r="AE431" s="42"/>
      <c r="AF431" s="1369"/>
      <c r="AG431" s="1377" t="s">
        <v>1279</v>
      </c>
      <c r="AH431" s="1377" t="s">
        <v>768</v>
      </c>
      <c r="AI431" s="1377" t="s">
        <v>24</v>
      </c>
      <c r="AJ431" s="223" t="s">
        <v>41</v>
      </c>
      <c r="AK431" s="1370" t="s">
        <v>61</v>
      </c>
      <c r="AL431" s="1370"/>
      <c r="AM431" s="1377" t="s">
        <v>1279</v>
      </c>
      <c r="AN431" s="1377" t="s">
        <v>768</v>
      </c>
      <c r="AO431" s="1377" t="s">
        <v>24</v>
      </c>
      <c r="AP431" s="223" t="s">
        <v>41</v>
      </c>
      <c r="AQ431" s="1378" t="s">
        <v>61</v>
      </c>
      <c r="AS431" s="732" t="s">
        <v>1279</v>
      </c>
      <c r="AT431" s="733" t="s">
        <v>768</v>
      </c>
      <c r="AU431" s="733" t="s">
        <v>24</v>
      </c>
      <c r="AV431" s="733" t="s">
        <v>1279</v>
      </c>
      <c r="AW431" s="733" t="s">
        <v>768</v>
      </c>
      <c r="AX431" s="733" t="s">
        <v>24</v>
      </c>
      <c r="AY431" s="733" t="s">
        <v>1279</v>
      </c>
      <c r="AZ431" s="733" t="s">
        <v>768</v>
      </c>
      <c r="BA431" s="733" t="s">
        <v>24</v>
      </c>
      <c r="BB431" s="733" t="s">
        <v>1279</v>
      </c>
      <c r="BC431" s="733" t="s">
        <v>768</v>
      </c>
      <c r="BD431" s="733" t="s">
        <v>24</v>
      </c>
      <c r="BE431" s="734" t="s">
        <v>1279</v>
      </c>
      <c r="BF431" s="734" t="s">
        <v>768</v>
      </c>
      <c r="BG431" s="735" t="s">
        <v>24</v>
      </c>
      <c r="BH431" s="732" t="s">
        <v>1279</v>
      </c>
      <c r="BI431" s="733" t="s">
        <v>768</v>
      </c>
      <c r="BJ431" s="736" t="s">
        <v>24</v>
      </c>
    </row>
    <row r="432" spans="2:62" ht="12.75" customHeight="1" outlineLevel="1" x14ac:dyDescent="0.2">
      <c r="B432" s="200" t="s">
        <v>1229</v>
      </c>
      <c r="C432" s="201"/>
      <c r="D432" s="262">
        <f>SUM(R432:T432)</f>
        <v>0</v>
      </c>
      <c r="E432" s="265">
        <f>D432*12/44</f>
        <v>0</v>
      </c>
      <c r="F432" s="559" t="s">
        <v>2432</v>
      </c>
      <c r="G432" s="493">
        <f>VLOOKUP($B432,'Emissions factors'!$B$1171:$K$1216,2,FALSE)</f>
        <v>3.2999999999999995E-2</v>
      </c>
      <c r="H432" s="493">
        <f>VLOOKUP($B432,'Emissions factors'!$B$1171:$K$1216,3,FALSE)</f>
        <v>3.4326837023255813E-2</v>
      </c>
      <c r="I432" s="493">
        <f>VLOOKUP($B432,'Emissions factors'!$B$1171:$K$1216,4,FALSE)</f>
        <v>0.20370504</v>
      </c>
      <c r="J432" s="493">
        <f>VLOOKUP($B432,'Emissions factors'!$B$1171:$K$1216,5,FALSE)</f>
        <v>3.4326837023255813E-2</v>
      </c>
      <c r="K432" s="493">
        <f>VLOOKUP($B432,'Emissions factors'!$B$1171:$K$1216,6,FALSE)</f>
        <v>0.20370504</v>
      </c>
      <c r="L432" s="494">
        <f>VLOOKUP($B432,'Emissions factors'!$B$1171:$K$1216,7,FALSE)</f>
        <v>0.2</v>
      </c>
      <c r="M432" s="494">
        <f>VLOOKUP($B432,'Emissions factors'!$B$1171:$K$1216,8,FALSE)</f>
        <v>0.26058444187301394</v>
      </c>
      <c r="N432" s="495">
        <f>VLOOKUP($B432,'Emissions factors'!$B$1171:$K$1216,9,FALSE)</f>
        <v>0.46050331760971941</v>
      </c>
      <c r="O432" s="182"/>
      <c r="P432" s="272">
        <f>H432+(J432-H432)*(1-L432)*M432</f>
        <v>3.4326837023255813E-2</v>
      </c>
      <c r="Q432" s="272">
        <f>I432+(K432-I432)*(1-L432)*M432</f>
        <v>0.20370504</v>
      </c>
      <c r="R432" s="465">
        <f>G432*O432</f>
        <v>0</v>
      </c>
      <c r="S432" s="465">
        <f>O432*P432</f>
        <v>0</v>
      </c>
      <c r="T432" s="210">
        <f>O432*Q432</f>
        <v>0</v>
      </c>
      <c r="U432" s="222">
        <f>IF(OR(F432='Info utili'!$G$532,F432='Info utili'!$G$537),T432,0)</f>
        <v>0</v>
      </c>
      <c r="W432" s="324"/>
      <c r="X432" s="282">
        <f>VLOOKUP($B432,'Emissions factors'!$B$1171:$K$1216,10,FALSE)</f>
        <v>9.2614913518120803E-2</v>
      </c>
      <c r="Y432" s="183"/>
      <c r="Z432" s="221">
        <f>R432*SQRT(X432^2+Y432^2)</f>
        <v>0</v>
      </c>
      <c r="AA432" s="221">
        <f>S432*SQRT(X432^2+Y432^2)</f>
        <v>0</v>
      </c>
      <c r="AB432" s="221">
        <f>T432*SQRT(X432^2+Y432^2)</f>
        <v>0</v>
      </c>
      <c r="AC432" s="210">
        <f>SQRT(SUMSQ(Z432:AB432))</f>
        <v>0</v>
      </c>
      <c r="AD432" s="222">
        <f>U432*SQRT(X432^2+Y432^2)</f>
        <v>0</v>
      </c>
      <c r="AE432" s="42"/>
      <c r="AF432" s="184"/>
      <c r="AG432" s="221">
        <f t="shared" ref="AG432:AI436" si="164">R432*$AF432</f>
        <v>0</v>
      </c>
      <c r="AH432" s="221">
        <f t="shared" si="164"/>
        <v>0</v>
      </c>
      <c r="AI432" s="221">
        <f t="shared" si="164"/>
        <v>0</v>
      </c>
      <c r="AJ432" s="210">
        <f>SUM(AG432:AI432)</f>
        <v>0</v>
      </c>
      <c r="AK432" s="221">
        <f>U432*$AF432</f>
        <v>0</v>
      </c>
      <c r="AL432" s="184"/>
      <c r="AM432" s="221">
        <f>AL432*R432</f>
        <v>0</v>
      </c>
      <c r="AN432" s="221">
        <f>AL432*S432</f>
        <v>0</v>
      </c>
      <c r="AO432" s="221">
        <f>AL432*T432</f>
        <v>0</v>
      </c>
      <c r="AP432" s="210">
        <f>SUM(AM432:AO432)</f>
        <v>0</v>
      </c>
      <c r="AQ432" s="222">
        <f>AL432*U432</f>
        <v>0</v>
      </c>
      <c r="AS432" s="717"/>
      <c r="AT432" s="718"/>
      <c r="AU432" s="718"/>
      <c r="AV432" s="718"/>
      <c r="AW432" s="718"/>
      <c r="AX432" s="718"/>
      <c r="AY432" s="718"/>
      <c r="AZ432" s="718"/>
      <c r="BA432" s="718"/>
      <c r="BB432" s="718"/>
      <c r="BC432" s="718"/>
      <c r="BD432" s="718"/>
      <c r="BE432" s="719">
        <f t="shared" ref="BE432:BG436" si="165">R432</f>
        <v>0</v>
      </c>
      <c r="BF432" s="719">
        <f t="shared" si="165"/>
        <v>0</v>
      </c>
      <c r="BG432" s="720">
        <f t="shared" si="165"/>
        <v>0</v>
      </c>
      <c r="BH432" s="717"/>
      <c r="BI432" s="718"/>
      <c r="BJ432" s="721"/>
    </row>
    <row r="433" spans="2:62" ht="12.75" customHeight="1" outlineLevel="1" x14ac:dyDescent="0.2">
      <c r="B433" s="200" t="s">
        <v>1230</v>
      </c>
      <c r="C433" s="201"/>
      <c r="D433" s="262">
        <f>SUM(R433:T433)</f>
        <v>0</v>
      </c>
      <c r="E433" s="265">
        <f>D433*12/44</f>
        <v>0</v>
      </c>
      <c r="F433" s="442"/>
      <c r="G433" s="493">
        <f>VLOOKUP($B433,'Emissions factors'!$B$1171:$K$1216,2,FALSE)</f>
        <v>2.4749999999999998E-2</v>
      </c>
      <c r="H433" s="493">
        <f>VLOOKUP($B433,'Emissions factors'!$B$1171:$K$1216,3,FALSE)</f>
        <v>2.0214821023255811E-2</v>
      </c>
      <c r="I433" s="493">
        <f>VLOOKUP($B433,'Emissions factors'!$B$1171:$K$1216,4,FALSE)</f>
        <v>0.19164599999999998</v>
      </c>
      <c r="J433" s="493">
        <f>VLOOKUP($B433,'Emissions factors'!$B$1171:$K$1216,5,FALSE)</f>
        <v>2.0214821023255811E-2</v>
      </c>
      <c r="K433" s="493">
        <f>VLOOKUP($B433,'Emissions factors'!$B$1171:$K$1216,6,FALSE)</f>
        <v>0.19164599999999998</v>
      </c>
      <c r="L433" s="496">
        <f>VLOOKUP($B433,'Emissions factors'!$B$1171:$K$1216,7,FALSE)</f>
        <v>0.2</v>
      </c>
      <c r="M433" s="496">
        <f>VLOOKUP($B433,'Emissions factors'!$B$1171:$K$1216,8,FALSE)</f>
        <v>0.26058444187301394</v>
      </c>
      <c r="N433" s="495">
        <f>VLOOKUP($B433,'Emissions factors'!$B$1171:$K$1216,9,FALSE)</f>
        <v>0.46050331760971941</v>
      </c>
      <c r="O433" s="185"/>
      <c r="P433" s="272">
        <f>H433+(J433-H433)*(1-L433)*M433</f>
        <v>2.0214821023255811E-2</v>
      </c>
      <c r="Q433" s="272">
        <f>I433+(K433-I433)*(1-L433)*M433</f>
        <v>0.19164599999999998</v>
      </c>
      <c r="R433" s="465">
        <f>G433*O433</f>
        <v>0</v>
      </c>
      <c r="S433" s="465">
        <f>O433*P433</f>
        <v>0</v>
      </c>
      <c r="T433" s="210">
        <f>O433*Q433</f>
        <v>0</v>
      </c>
      <c r="U433" s="222">
        <f>IF(OR(F433='Info utili'!$G$532,F433='Info utili'!$G$537),T433,0)</f>
        <v>0</v>
      </c>
      <c r="W433" s="324"/>
      <c r="X433" s="282">
        <f>VLOOKUP($B433,'Emissions factors'!$B$1171:$K$1216,10,FALSE)</f>
        <v>8.661075162385995E-2</v>
      </c>
      <c r="Y433" s="186"/>
      <c r="Z433" s="221">
        <f>R433*SQRT(X433^2+Y433^2)</f>
        <v>0</v>
      </c>
      <c r="AA433" s="221">
        <f>S433*SQRT(X433^2+Y433^2)</f>
        <v>0</v>
      </c>
      <c r="AB433" s="221">
        <f>T433*SQRT(X433^2+Y433^2)</f>
        <v>0</v>
      </c>
      <c r="AC433" s="210">
        <f>SQRT(SUMSQ(Z433:AB433))</f>
        <v>0</v>
      </c>
      <c r="AD433" s="222">
        <f>U433*SQRT(X433^2+Y433^2)</f>
        <v>0</v>
      </c>
      <c r="AE433" s="42"/>
      <c r="AF433" s="187"/>
      <c r="AG433" s="221">
        <f t="shared" si="164"/>
        <v>0</v>
      </c>
      <c r="AH433" s="221">
        <f t="shared" si="164"/>
        <v>0</v>
      </c>
      <c r="AI433" s="221">
        <f t="shared" si="164"/>
        <v>0</v>
      </c>
      <c r="AJ433" s="210">
        <f>SUM(AG433:AI433)</f>
        <v>0</v>
      </c>
      <c r="AK433" s="221">
        <f>U433*$AF433</f>
        <v>0</v>
      </c>
      <c r="AL433" s="187"/>
      <c r="AM433" s="221">
        <f>AL433*R433</f>
        <v>0</v>
      </c>
      <c r="AN433" s="221">
        <f>AL433*S433</f>
        <v>0</v>
      </c>
      <c r="AO433" s="221">
        <f>AL433*T433</f>
        <v>0</v>
      </c>
      <c r="AP433" s="210">
        <f>SUM(AM433:AO433)</f>
        <v>0</v>
      </c>
      <c r="AQ433" s="222">
        <f>AL433*U433</f>
        <v>0</v>
      </c>
      <c r="AS433" s="717"/>
      <c r="AT433" s="718"/>
      <c r="AU433" s="718"/>
      <c r="AV433" s="718"/>
      <c r="AW433" s="718"/>
      <c r="AX433" s="718"/>
      <c r="AY433" s="718"/>
      <c r="AZ433" s="718"/>
      <c r="BA433" s="718"/>
      <c r="BB433" s="718"/>
      <c r="BC433" s="718"/>
      <c r="BD433" s="718"/>
      <c r="BE433" s="719">
        <f t="shared" si="165"/>
        <v>0</v>
      </c>
      <c r="BF433" s="719">
        <f t="shared" si="165"/>
        <v>0</v>
      </c>
      <c r="BG433" s="720">
        <f t="shared" si="165"/>
        <v>0</v>
      </c>
      <c r="BH433" s="717"/>
      <c r="BI433" s="718"/>
      <c r="BJ433" s="721"/>
    </row>
    <row r="434" spans="2:62" ht="12.75" customHeight="1" outlineLevel="1" x14ac:dyDescent="0.2">
      <c r="B434" s="200" t="s">
        <v>1241</v>
      </c>
      <c r="C434" s="201"/>
      <c r="D434" s="262">
        <f>SUM(R434:T434)</f>
        <v>0</v>
      </c>
      <c r="E434" s="265">
        <f>D434*12/44</f>
        <v>0</v>
      </c>
      <c r="F434" s="442"/>
      <c r="G434" s="493">
        <f>VLOOKUP($B434,'Emissions factors'!$B$1171:$K$1216,2,FALSE)</f>
        <v>0.10999999999999999</v>
      </c>
      <c r="H434" s="493">
        <f>VLOOKUP($B434,'Emissions factors'!$B$1171:$K$1216,3,FALSE)</f>
        <v>8.6923197162574253E-2</v>
      </c>
      <c r="I434" s="493">
        <f>VLOOKUP($B434,'Emissions factors'!$B$1171:$K$1216,4,FALSE)</f>
        <v>0.82407274465869496</v>
      </c>
      <c r="J434" s="493">
        <f>VLOOKUP($B434,'Emissions factors'!$B$1171:$K$1216,5,FALSE)</f>
        <v>0.12508460079492392</v>
      </c>
      <c r="K434" s="493">
        <f>VLOOKUP($B434,'Emissions factors'!$B$1171:$K$1216,6,FALSE)</f>
        <v>1.1858607788990974</v>
      </c>
      <c r="L434" s="496">
        <f>VLOOKUP($B434,'Emissions factors'!$B$1171:$K$1216,7,FALSE)</f>
        <v>0.21091797527003817</v>
      </c>
      <c r="M434" s="496">
        <f>VLOOKUP($B434,'Emissions factors'!$B$1171:$K$1216,8,FALSE)</f>
        <v>0.57249634491029433</v>
      </c>
      <c r="N434" s="495">
        <f>VLOOKUP($B434,'Emissions factors'!$B$1171:$K$1216,9,FALSE)</f>
        <v>25</v>
      </c>
      <c r="O434" s="185"/>
      <c r="P434" s="272">
        <f>H434+(J434-H434)*(1-L434)*M434</f>
        <v>0.1041624805503876</v>
      </c>
      <c r="Q434" s="272">
        <f>I434+(K434-I434)*(1-L434)*M434</f>
        <v>0.98750925000000001</v>
      </c>
      <c r="R434" s="465">
        <f>G434*O434</f>
        <v>0</v>
      </c>
      <c r="S434" s="465">
        <f>O434*P434</f>
        <v>0</v>
      </c>
      <c r="T434" s="210">
        <f>O434*Q434</f>
        <v>0</v>
      </c>
      <c r="U434" s="222">
        <f>IF(OR(F434='Info utili'!$G$532,F434='Info utili'!$G$537),T434,0)</f>
        <v>0</v>
      </c>
      <c r="W434" s="324"/>
      <c r="X434" s="282">
        <f>VLOOKUP($B434,'Emissions factors'!$B$1171:$K$1216,10,FALSE)</f>
        <v>0.10950044274342019</v>
      </c>
      <c r="Y434" s="186"/>
      <c r="Z434" s="221">
        <f>R434*SQRT(X434^2+Y434^2)</f>
        <v>0</v>
      </c>
      <c r="AA434" s="221">
        <f>S434*SQRT(X434^2+Y434^2)</f>
        <v>0</v>
      </c>
      <c r="AB434" s="221">
        <f>T434*SQRT(X434^2+Y434^2)</f>
        <v>0</v>
      </c>
      <c r="AC434" s="210">
        <f>SQRT(SUMSQ(Z434:AB434))</f>
        <v>0</v>
      </c>
      <c r="AD434" s="222">
        <f>U434*SQRT(X434^2+Y434^2)</f>
        <v>0</v>
      </c>
      <c r="AE434" s="42"/>
      <c r="AF434" s="187"/>
      <c r="AG434" s="221">
        <f t="shared" si="164"/>
        <v>0</v>
      </c>
      <c r="AH434" s="221">
        <f t="shared" si="164"/>
        <v>0</v>
      </c>
      <c r="AI434" s="221">
        <f t="shared" si="164"/>
        <v>0</v>
      </c>
      <c r="AJ434" s="210">
        <f>SUM(AG434:AI434)</f>
        <v>0</v>
      </c>
      <c r="AK434" s="221">
        <f>U434*$AF434</f>
        <v>0</v>
      </c>
      <c r="AL434" s="187"/>
      <c r="AM434" s="221">
        <f>AL434*R434</f>
        <v>0</v>
      </c>
      <c r="AN434" s="221">
        <f>AL434*S434</f>
        <v>0</v>
      </c>
      <c r="AO434" s="221">
        <f>AL434*T434</f>
        <v>0</v>
      </c>
      <c r="AP434" s="210">
        <f>SUM(AM434:AO434)</f>
        <v>0</v>
      </c>
      <c r="AQ434" s="222">
        <f>AL434*U434</f>
        <v>0</v>
      </c>
      <c r="AS434" s="717"/>
      <c r="AT434" s="718"/>
      <c r="AU434" s="718"/>
      <c r="AV434" s="718"/>
      <c r="AW434" s="718"/>
      <c r="AX434" s="718"/>
      <c r="AY434" s="718"/>
      <c r="AZ434" s="718"/>
      <c r="BA434" s="718"/>
      <c r="BB434" s="718"/>
      <c r="BC434" s="718"/>
      <c r="BD434" s="718"/>
      <c r="BE434" s="719">
        <f t="shared" si="165"/>
        <v>0</v>
      </c>
      <c r="BF434" s="719">
        <f t="shared" si="165"/>
        <v>0</v>
      </c>
      <c r="BG434" s="720">
        <f t="shared" si="165"/>
        <v>0</v>
      </c>
      <c r="BH434" s="717"/>
      <c r="BI434" s="718"/>
      <c r="BJ434" s="721"/>
    </row>
    <row r="435" spans="2:62" ht="12.75" customHeight="1" outlineLevel="1" x14ac:dyDescent="0.2">
      <c r="B435" s="200" t="s">
        <v>1234</v>
      </c>
      <c r="C435" s="201"/>
      <c r="D435" s="262">
        <f>SUM(R435:T435)</f>
        <v>0</v>
      </c>
      <c r="E435" s="265">
        <f>D435*12/44</f>
        <v>0</v>
      </c>
      <c r="F435" s="442"/>
      <c r="G435" s="493">
        <f>VLOOKUP($B435,'Emissions factors'!$B$1171:$K$1216,2,FALSE)</f>
        <v>3.7400000000000003E-2</v>
      </c>
      <c r="H435" s="493">
        <f>VLOOKUP($B435,'Emissions factors'!$B$1171:$K$1216,3,FALSE)</f>
        <v>3.0322231534883722E-2</v>
      </c>
      <c r="I435" s="493">
        <f>VLOOKUP($B435,'Emissions factors'!$B$1171:$K$1216,4,FALSE)</f>
        <v>0.28746900000000003</v>
      </c>
      <c r="J435" s="493">
        <f>VLOOKUP($B435,'Emissions factors'!$B$1171:$K$1216,5,FALSE)</f>
        <v>3.0322231534883722E-2</v>
      </c>
      <c r="K435" s="493">
        <f>VLOOKUP($B435,'Emissions factors'!$B$1171:$K$1216,6,FALSE)</f>
        <v>0.28746900000000003</v>
      </c>
      <c r="L435" s="496">
        <f>VLOOKUP($B435,'Emissions factors'!$B$1171:$K$1216,7,FALSE)</f>
        <v>0.2</v>
      </c>
      <c r="M435" s="496">
        <f>VLOOKUP($B435,'Emissions factors'!$B$1171:$K$1216,8,FALSE)</f>
        <v>0.29041032669715572</v>
      </c>
      <c r="N435" s="495">
        <f>VLOOKUP($B435,'Emissions factors'!$B$1171:$K$1216,9,FALSE)</f>
        <v>1.2396253400982309</v>
      </c>
      <c r="O435" s="185"/>
      <c r="P435" s="272">
        <f>H435+(J435-H435)*(1-L435)*M435</f>
        <v>3.0322231534883722E-2</v>
      </c>
      <c r="Q435" s="272">
        <f>I435+(K435-I435)*(1-L435)*M435</f>
        <v>0.28746900000000003</v>
      </c>
      <c r="R435" s="465">
        <f>G435*O435</f>
        <v>0</v>
      </c>
      <c r="S435" s="465">
        <f>O435*P435</f>
        <v>0</v>
      </c>
      <c r="T435" s="210">
        <f>O435*Q435</f>
        <v>0</v>
      </c>
      <c r="U435" s="222">
        <f>IF(OR(F435='Info utili'!$G$532,F435='Info utili'!$G$537),T435,0)</f>
        <v>0</v>
      </c>
      <c r="W435" s="324"/>
      <c r="X435" s="282">
        <f>VLOOKUP($B435,'Emissions factors'!$B$1171:$K$1216,10,FALSE)</f>
        <v>0.11844200487424614</v>
      </c>
      <c r="Y435" s="186"/>
      <c r="Z435" s="221">
        <f>R435*SQRT(X435^2+Y435^2)</f>
        <v>0</v>
      </c>
      <c r="AA435" s="221">
        <f>S435*SQRT(X435^2+Y435^2)</f>
        <v>0</v>
      </c>
      <c r="AB435" s="221">
        <f>T435*SQRT(X435^2+Y435^2)</f>
        <v>0</v>
      </c>
      <c r="AC435" s="210">
        <f>SQRT(SUMSQ(Z435:AB435))</f>
        <v>0</v>
      </c>
      <c r="AD435" s="222">
        <f>U435*SQRT(X435^2+Y435^2)</f>
        <v>0</v>
      </c>
      <c r="AE435" s="42"/>
      <c r="AF435" s="187"/>
      <c r="AG435" s="221">
        <f t="shared" si="164"/>
        <v>0</v>
      </c>
      <c r="AH435" s="221">
        <f t="shared" si="164"/>
        <v>0</v>
      </c>
      <c r="AI435" s="221">
        <f t="shared" si="164"/>
        <v>0</v>
      </c>
      <c r="AJ435" s="210">
        <f>SUM(AG435:AI435)</f>
        <v>0</v>
      </c>
      <c r="AK435" s="221">
        <f>U435*$AF435</f>
        <v>0</v>
      </c>
      <c r="AL435" s="187"/>
      <c r="AM435" s="221">
        <f>AL435*R435</f>
        <v>0</v>
      </c>
      <c r="AN435" s="221">
        <f>AL435*S435</f>
        <v>0</v>
      </c>
      <c r="AO435" s="221">
        <f>AL435*T435</f>
        <v>0</v>
      </c>
      <c r="AP435" s="210">
        <f>SUM(AM435:AO435)</f>
        <v>0</v>
      </c>
      <c r="AQ435" s="222">
        <f>AL435*U435</f>
        <v>0</v>
      </c>
      <c r="AS435" s="717"/>
      <c r="AT435" s="718"/>
      <c r="AU435" s="718"/>
      <c r="AV435" s="718"/>
      <c r="AW435" s="718"/>
      <c r="AX435" s="718"/>
      <c r="AY435" s="718"/>
      <c r="AZ435" s="718"/>
      <c r="BA435" s="718"/>
      <c r="BB435" s="718"/>
      <c r="BC435" s="718"/>
      <c r="BD435" s="718"/>
      <c r="BE435" s="719">
        <f t="shared" si="165"/>
        <v>0</v>
      </c>
      <c r="BF435" s="719">
        <f t="shared" si="165"/>
        <v>0</v>
      </c>
      <c r="BG435" s="720">
        <f t="shared" si="165"/>
        <v>0</v>
      </c>
      <c r="BH435" s="717"/>
      <c r="BI435" s="718"/>
      <c r="BJ435" s="721"/>
    </row>
    <row r="436" spans="2:62" ht="12.75" customHeight="1" outlineLevel="1" x14ac:dyDescent="0.2">
      <c r="B436" s="200" t="s">
        <v>1235</v>
      </c>
      <c r="C436" s="201"/>
      <c r="D436" s="262">
        <f>SUM(R436:T436)</f>
        <v>0</v>
      </c>
      <c r="E436" s="265">
        <f>D436*12/44</f>
        <v>0</v>
      </c>
      <c r="F436" s="443"/>
      <c r="G436" s="493">
        <f>VLOOKUP($B436,'Emissions factors'!$B$1171:$K$1216,2,FALSE)</f>
        <v>3.85E-2</v>
      </c>
      <c r="H436" s="493">
        <f>VLOOKUP($B436,'Emissions factors'!$B$1171:$K$1216,3,FALSE)</f>
        <v>3.4814413984496119E-2</v>
      </c>
      <c r="I436" s="493">
        <f>VLOOKUP($B436,'Emissions factors'!$B$1171:$K$1216,4,FALSE)</f>
        <v>0.33005699999999999</v>
      </c>
      <c r="J436" s="493">
        <f>VLOOKUP($B436,'Emissions factors'!$B$1171:$K$1216,5,FALSE)</f>
        <v>3.4814413984496119E-2</v>
      </c>
      <c r="K436" s="493">
        <f>VLOOKUP($B436,'Emissions factors'!$B$1171:$K$1216,6,FALSE)</f>
        <v>0.33005699999999999</v>
      </c>
      <c r="L436" s="497">
        <f>VLOOKUP($B436,'Emissions factors'!$B$1171:$K$1216,7,FALSE)</f>
        <v>0.2</v>
      </c>
      <c r="M436" s="497">
        <f>VLOOKUP($B436,'Emissions factors'!$B$1171:$K$1216,8,FALSE)</f>
        <v>0.3</v>
      </c>
      <c r="N436" s="495">
        <f>VLOOKUP($B436,'Emissions factors'!$B$1171:$K$1216,9,FALSE)</f>
        <v>1.4</v>
      </c>
      <c r="O436" s="188"/>
      <c r="P436" s="272">
        <f>H436+(J436-H436)*(1-L436)*M436</f>
        <v>3.4814413984496119E-2</v>
      </c>
      <c r="Q436" s="272">
        <f>I436+(K436-I436)*(1-L436)*M436</f>
        <v>0.33005699999999999</v>
      </c>
      <c r="R436" s="465">
        <f>G436*O436</f>
        <v>0</v>
      </c>
      <c r="S436" s="465">
        <f>O436*P436</f>
        <v>0</v>
      </c>
      <c r="T436" s="210">
        <f>O436*Q436</f>
        <v>0</v>
      </c>
      <c r="U436" s="222">
        <f>IF(OR(F436='Info utili'!$G$532,F436='Info utili'!$G$537),T436,0)</f>
        <v>0</v>
      </c>
      <c r="W436" s="324"/>
      <c r="X436" s="282">
        <f>VLOOKUP($B436,'Emissions factors'!$B$1171:$K$1216,10,FALSE)</f>
        <v>0.1120395970869712</v>
      </c>
      <c r="Y436" s="190"/>
      <c r="Z436" s="221">
        <f>R436*SQRT(X436^2+Y436^2)</f>
        <v>0</v>
      </c>
      <c r="AA436" s="221">
        <f>S436*SQRT(X436^2+Y436^2)</f>
        <v>0</v>
      </c>
      <c r="AB436" s="221">
        <f>T436*SQRT(X436^2+Y436^2)</f>
        <v>0</v>
      </c>
      <c r="AC436" s="210">
        <f>SQRT(SUMSQ(Z436:AB436))</f>
        <v>0</v>
      </c>
      <c r="AD436" s="222">
        <f>U436*SQRT(X436^2+Y436^2)</f>
        <v>0</v>
      </c>
      <c r="AE436" s="42"/>
      <c r="AF436" s="190"/>
      <c r="AG436" s="221">
        <f t="shared" si="164"/>
        <v>0</v>
      </c>
      <c r="AH436" s="221">
        <f t="shared" si="164"/>
        <v>0</v>
      </c>
      <c r="AI436" s="221">
        <f t="shared" si="164"/>
        <v>0</v>
      </c>
      <c r="AJ436" s="210">
        <f>SUM(AG436:AI436)</f>
        <v>0</v>
      </c>
      <c r="AK436" s="221">
        <f>U436*$AF436</f>
        <v>0</v>
      </c>
      <c r="AL436" s="190"/>
      <c r="AM436" s="221">
        <f>AL436*R436</f>
        <v>0</v>
      </c>
      <c r="AN436" s="221">
        <f>AL436*S436</f>
        <v>0</v>
      </c>
      <c r="AO436" s="221">
        <f>AL436*T436</f>
        <v>0</v>
      </c>
      <c r="AP436" s="210">
        <f>SUM(AM436:AO436)</f>
        <v>0</v>
      </c>
      <c r="AQ436" s="222">
        <f>AL436*U436</f>
        <v>0</v>
      </c>
      <c r="AS436" s="717"/>
      <c r="AT436" s="718"/>
      <c r="AU436" s="718"/>
      <c r="AV436" s="718"/>
      <c r="AW436" s="718"/>
      <c r="AX436" s="718"/>
      <c r="AY436" s="718"/>
      <c r="AZ436" s="718"/>
      <c r="BA436" s="718"/>
      <c r="BB436" s="718"/>
      <c r="BC436" s="718"/>
      <c r="BD436" s="718"/>
      <c r="BE436" s="719">
        <f t="shared" si="165"/>
        <v>0</v>
      </c>
      <c r="BF436" s="719">
        <f t="shared" si="165"/>
        <v>0</v>
      </c>
      <c r="BG436" s="720">
        <f t="shared" si="165"/>
        <v>0</v>
      </c>
      <c r="BH436" s="717"/>
      <c r="BI436" s="718"/>
      <c r="BJ436" s="721"/>
    </row>
    <row r="437" spans="2:62" ht="12.75" customHeight="1" outlineLevel="1" x14ac:dyDescent="0.2">
      <c r="B437" s="200"/>
      <c r="C437" s="201"/>
      <c r="D437" s="262"/>
      <c r="E437" s="265"/>
      <c r="F437" s="493"/>
      <c r="G437" s="493"/>
      <c r="H437" s="493"/>
      <c r="I437" s="493"/>
      <c r="J437" s="493"/>
      <c r="K437" s="493"/>
      <c r="L437" s="495"/>
      <c r="M437" s="221"/>
      <c r="N437" s="495"/>
      <c r="O437" s="221"/>
      <c r="P437" s="272"/>
      <c r="Q437" s="272"/>
      <c r="R437" s="465"/>
      <c r="S437" s="465"/>
      <c r="T437" s="210"/>
      <c r="U437" s="222"/>
      <c r="W437" s="324"/>
      <c r="X437" s="282"/>
      <c r="Y437" s="221"/>
      <c r="Z437" s="221"/>
      <c r="AA437" s="221"/>
      <c r="AB437" s="221"/>
      <c r="AC437" s="210"/>
      <c r="AD437" s="222"/>
      <c r="AE437" s="42"/>
      <c r="AF437" s="1203"/>
      <c r="AG437" s="221"/>
      <c r="AH437" s="221"/>
      <c r="AI437" s="221"/>
      <c r="AJ437" s="210"/>
      <c r="AK437" s="221"/>
      <c r="AL437" s="221"/>
      <c r="AM437" s="221"/>
      <c r="AN437" s="221"/>
      <c r="AO437" s="221"/>
      <c r="AP437" s="210"/>
      <c r="AQ437" s="222"/>
      <c r="AS437" s="717"/>
      <c r="AT437" s="718"/>
      <c r="AU437" s="718"/>
      <c r="AV437" s="718"/>
      <c r="AW437" s="718"/>
      <c r="AX437" s="718"/>
      <c r="AY437" s="718"/>
      <c r="AZ437" s="718"/>
      <c r="BA437" s="718"/>
      <c r="BB437" s="718"/>
      <c r="BC437" s="718"/>
      <c r="BD437" s="718"/>
      <c r="BE437" s="719"/>
      <c r="BF437" s="719"/>
      <c r="BG437" s="720"/>
      <c r="BH437" s="717"/>
      <c r="BI437" s="718"/>
      <c r="BJ437" s="721"/>
    </row>
    <row r="438" spans="2:62" ht="12.75" customHeight="1" outlineLevel="1" x14ac:dyDescent="0.2">
      <c r="B438" s="704" t="s">
        <v>2782</v>
      </c>
      <c r="C438" s="201"/>
      <c r="D438" s="262"/>
      <c r="E438" s="265"/>
      <c r="F438" s="493"/>
      <c r="G438" s="493"/>
      <c r="H438" s="493"/>
      <c r="I438" s="493"/>
      <c r="J438" s="493"/>
      <c r="K438" s="493"/>
      <c r="L438" s="495"/>
      <c r="M438" s="221"/>
      <c r="N438" s="495"/>
      <c r="O438" s="221"/>
      <c r="P438" s="272"/>
      <c r="Q438" s="272"/>
      <c r="R438" s="465"/>
      <c r="S438" s="465"/>
      <c r="T438" s="210"/>
      <c r="U438" s="222"/>
      <c r="W438" s="324"/>
      <c r="X438" s="282"/>
      <c r="Y438" s="221"/>
      <c r="Z438" s="221"/>
      <c r="AA438" s="221"/>
      <c r="AB438" s="221"/>
      <c r="AC438" s="210"/>
      <c r="AD438" s="222"/>
      <c r="AE438" s="42"/>
      <c r="AF438" s="1225"/>
      <c r="AG438" s="221"/>
      <c r="AH438" s="221"/>
      <c r="AI438" s="221"/>
      <c r="AJ438" s="210"/>
      <c r="AK438" s="221"/>
      <c r="AL438" s="221"/>
      <c r="AM438" s="221"/>
      <c r="AN438" s="221"/>
      <c r="AO438" s="221"/>
      <c r="AP438" s="210"/>
      <c r="AQ438" s="222"/>
      <c r="AS438" s="717"/>
      <c r="AT438" s="718"/>
      <c r="AU438" s="718"/>
      <c r="AV438" s="718"/>
      <c r="AW438" s="718"/>
      <c r="AX438" s="718"/>
      <c r="AY438" s="718"/>
      <c r="AZ438" s="718"/>
      <c r="BA438" s="718"/>
      <c r="BB438" s="718"/>
      <c r="BC438" s="718"/>
      <c r="BD438" s="718"/>
      <c r="BE438" s="719"/>
      <c r="BF438" s="719"/>
      <c r="BG438" s="720"/>
      <c r="BH438" s="717"/>
      <c r="BI438" s="718"/>
      <c r="BJ438" s="721"/>
    </row>
    <row r="439" spans="2:62" ht="12.75" customHeight="1" outlineLevel="1" x14ac:dyDescent="0.2">
      <c r="B439" s="200" t="s">
        <v>1284</v>
      </c>
      <c r="C439" s="201"/>
      <c r="D439" s="262">
        <f>SUM(R439:T439)</f>
        <v>0</v>
      </c>
      <c r="E439" s="265">
        <f>D439*12/44</f>
        <v>0</v>
      </c>
      <c r="F439" s="559"/>
      <c r="G439" s="493">
        <f>VLOOKUP($B439,'Emissions factors'!$B$1221:$AG$1245,17,FALSE)</f>
        <v>0.04</v>
      </c>
      <c r="H439" s="493"/>
      <c r="I439" s="493"/>
      <c r="J439" s="493"/>
      <c r="K439" s="493"/>
      <c r="L439" s="695"/>
      <c r="M439" s="695"/>
      <c r="N439" s="495"/>
      <c r="O439" s="1221"/>
      <c r="P439" s="272">
        <f>VLOOKUP($B439,'Emissions factors'!$B$1221:$AG$1245,18,FALSE)</f>
        <v>0.10489999999999999</v>
      </c>
      <c r="Q439" s="272">
        <f>VLOOKUP($B439,'Emissions factors'!$B$1221:$AG$1245,19,FALSE)</f>
        <v>0.40239000000000003</v>
      </c>
      <c r="R439" s="465">
        <f>G439*O439</f>
        <v>0</v>
      </c>
      <c r="S439" s="465">
        <f>O439*P439</f>
        <v>0</v>
      </c>
      <c r="T439" s="210">
        <f>O439*Q439</f>
        <v>0</v>
      </c>
      <c r="U439" s="222">
        <f>IF(OR(F439='Info utili'!$G$532,F439='Info utili'!$G$537),T439,0)</f>
        <v>0</v>
      </c>
      <c r="W439" s="324"/>
      <c r="X439" s="282">
        <f>VLOOKUP($B439,'Emissions factors'!$B$1221:$AG$1245,32,FALSE)</f>
        <v>0.7</v>
      </c>
      <c r="Y439" s="184"/>
      <c r="Z439" s="221">
        <f>R439*SQRT(X439^2+Y439^2)</f>
        <v>0</v>
      </c>
      <c r="AA439" s="221">
        <f>S439*SQRT(X439^2+Y439^2)</f>
        <v>0</v>
      </c>
      <c r="AB439" s="221">
        <f>T439*SQRT(X439^2+Y439^2)</f>
        <v>0</v>
      </c>
      <c r="AC439" s="210">
        <f>SQRT(SUMSQ(Z439:AB439))</f>
        <v>0</v>
      </c>
      <c r="AD439" s="222">
        <f>U439*SQRT(X439^2+Y439^2)</f>
        <v>0</v>
      </c>
      <c r="AE439" s="42"/>
      <c r="AF439" s="184"/>
      <c r="AG439" s="221">
        <f t="shared" ref="AG439:AI443" si="166">R439*$AF439</f>
        <v>0</v>
      </c>
      <c r="AH439" s="221">
        <f t="shared" si="166"/>
        <v>0</v>
      </c>
      <c r="AI439" s="221">
        <f t="shared" si="166"/>
        <v>0</v>
      </c>
      <c r="AJ439" s="210">
        <f>SUM(AG439:AI439)</f>
        <v>0</v>
      </c>
      <c r="AK439" s="221">
        <f>U439*$AF439</f>
        <v>0</v>
      </c>
      <c r="AL439" s="184"/>
      <c r="AM439" s="221">
        <f>AL439*R439</f>
        <v>0</v>
      </c>
      <c r="AN439" s="221">
        <f>AL439*S439</f>
        <v>0</v>
      </c>
      <c r="AO439" s="221">
        <f>AL439*T439</f>
        <v>0</v>
      </c>
      <c r="AP439" s="210">
        <f>SUM(AM439:AO439)</f>
        <v>0</v>
      </c>
      <c r="AQ439" s="222">
        <f>AL439*U439</f>
        <v>0</v>
      </c>
      <c r="AS439" s="717">
        <f>O439*VLOOKUP($B439,'Emissions factors'!$B$1221:$AG$1245,20,FALSE)</f>
        <v>0</v>
      </c>
      <c r="AT439" s="718">
        <f>O439*VLOOKUP($B439,'Emissions factors'!$B$1221:$AG$1245,21,FALSE)</f>
        <v>0</v>
      </c>
      <c r="AU439" s="718">
        <f>O439*VLOOKUP($B439,'Emissions factors'!$B$1221:$AG$1245,22,FALSE)</f>
        <v>0</v>
      </c>
      <c r="AV439" s="718">
        <f>O439*VLOOKUP($B439,'Emissions factors'!$B$1221:$AG$1245,23,FALSE)</f>
        <v>0</v>
      </c>
      <c r="AW439" s="718">
        <f>O439*VLOOKUP($B439,'Emissions factors'!$B$1221:$AG$1245,24,FALSE)</f>
        <v>0</v>
      </c>
      <c r="AX439" s="718">
        <f>O439*VLOOKUP($B439,'Emissions factors'!$B$1221:$AG$1245,25,FALSE)</f>
        <v>0</v>
      </c>
      <c r="AY439" s="718">
        <f>O439*VLOOKUP($B439,'Emissions factors'!$B$1221:$AG$1245,26,FALSE)</f>
        <v>0</v>
      </c>
      <c r="AZ439" s="718">
        <f>O439*VLOOKUP($B439,'Emissions factors'!$B$1221:$AG$1245,27,FALSE)</f>
        <v>0</v>
      </c>
      <c r="BA439" s="718">
        <f>O439*VLOOKUP($B439,'Emissions factors'!$B$1221:$AG$1245,28,FALSE)</f>
        <v>0</v>
      </c>
      <c r="BB439" s="718">
        <v>0</v>
      </c>
      <c r="BC439" s="718">
        <v>0</v>
      </c>
      <c r="BD439" s="718">
        <v>0</v>
      </c>
      <c r="BE439" s="719">
        <f t="shared" ref="BE439:BG443" si="167">R439</f>
        <v>0</v>
      </c>
      <c r="BF439" s="719">
        <f t="shared" si="167"/>
        <v>0</v>
      </c>
      <c r="BG439" s="720">
        <f t="shared" si="167"/>
        <v>0</v>
      </c>
      <c r="BH439" s="717">
        <f>O439*VLOOKUP($B439,'Emissions factors'!$B$1221:$AG$1245,29,FALSE)</f>
        <v>0</v>
      </c>
      <c r="BI439" s="718">
        <f>O439*VLOOKUP($B439,'Emissions factors'!$B$1221:$AG$1245,30,FALSE)</f>
        <v>0</v>
      </c>
      <c r="BJ439" s="721">
        <f>O439*VLOOKUP($B439,'Emissions factors'!$B$1221:$AG$1245,31,FALSE)</f>
        <v>0</v>
      </c>
    </row>
    <row r="440" spans="2:62" ht="12.75" customHeight="1" outlineLevel="1" x14ac:dyDescent="0.2">
      <c r="B440" s="200" t="s">
        <v>1293</v>
      </c>
      <c r="C440" s="201"/>
      <c r="D440" s="262">
        <f>SUM(R440:T440)</f>
        <v>0</v>
      </c>
      <c r="E440" s="265">
        <f>D440*12/44</f>
        <v>0</v>
      </c>
      <c r="F440" s="692"/>
      <c r="G440" s="493">
        <f>VLOOKUP($B440,'Emissions factors'!$B$1221:$AG$1245,17,FALSE)</f>
        <v>0.11</v>
      </c>
      <c r="H440" s="493"/>
      <c r="I440" s="493"/>
      <c r="J440" s="493"/>
      <c r="K440" s="493"/>
      <c r="L440" s="696"/>
      <c r="M440" s="696"/>
      <c r="N440" s="495"/>
      <c r="O440" s="1222"/>
      <c r="P440" s="272">
        <f>VLOOKUP($B440,'Emissions factors'!$B$1221:$AG$1245,18,FALSE)</f>
        <v>0.24809999999999999</v>
      </c>
      <c r="Q440" s="272">
        <f>VLOOKUP($B440,'Emissions factors'!$B$1221:$AG$1245,19,FALSE)</f>
        <v>0.95301599999999997</v>
      </c>
      <c r="R440" s="465">
        <f>G440*O440</f>
        <v>0</v>
      </c>
      <c r="S440" s="465">
        <f>O440*P440</f>
        <v>0</v>
      </c>
      <c r="T440" s="210">
        <f>O440*Q440</f>
        <v>0</v>
      </c>
      <c r="U440" s="222">
        <f>IF(OR(F440='Info utili'!$G$532,F440='Info utili'!$G$537),T440,0)</f>
        <v>0</v>
      </c>
      <c r="W440" s="324"/>
      <c r="X440" s="282">
        <f>VLOOKUP($B440,'Emissions factors'!$B$1221:$AG$1245,32,FALSE)</f>
        <v>0.7</v>
      </c>
      <c r="Y440" s="186"/>
      <c r="Z440" s="221">
        <f>R440*SQRT(X440^2+Y440^2)</f>
        <v>0</v>
      </c>
      <c r="AA440" s="221">
        <f>S440*SQRT(X440^2+Y440^2)</f>
        <v>0</v>
      </c>
      <c r="AB440" s="221">
        <f>T440*SQRT(X440^2+Y440^2)</f>
        <v>0</v>
      </c>
      <c r="AC440" s="210">
        <f>SQRT(SUMSQ(Z440:AB440))</f>
        <v>0</v>
      </c>
      <c r="AD440" s="222">
        <f>U440*SQRT(X440^2+Y440^2)</f>
        <v>0</v>
      </c>
      <c r="AE440" s="42"/>
      <c r="AF440" s="187"/>
      <c r="AG440" s="221">
        <f t="shared" si="166"/>
        <v>0</v>
      </c>
      <c r="AH440" s="221">
        <f t="shared" si="166"/>
        <v>0</v>
      </c>
      <c r="AI440" s="221">
        <f t="shared" si="166"/>
        <v>0</v>
      </c>
      <c r="AJ440" s="210">
        <f>SUM(AG440:AI440)</f>
        <v>0</v>
      </c>
      <c r="AK440" s="221">
        <f>U440*$AF440</f>
        <v>0</v>
      </c>
      <c r="AL440" s="187"/>
      <c r="AM440" s="221">
        <f>AL440*R440</f>
        <v>0</v>
      </c>
      <c r="AN440" s="221">
        <f>AL440*S440</f>
        <v>0</v>
      </c>
      <c r="AO440" s="221">
        <f>AL440*T440</f>
        <v>0</v>
      </c>
      <c r="AP440" s="210">
        <f>SUM(AM440:AO440)</f>
        <v>0</v>
      </c>
      <c r="AQ440" s="222">
        <f>AL440*U440</f>
        <v>0</v>
      </c>
      <c r="AS440" s="717">
        <f>O440*VLOOKUP($B440,'Emissions factors'!$B$1221:$AG$1245,20,FALSE)</f>
        <v>0</v>
      </c>
      <c r="AT440" s="718">
        <f>O440*VLOOKUP($B440,'Emissions factors'!$B$1221:$AG$1245,21,FALSE)</f>
        <v>0</v>
      </c>
      <c r="AU440" s="718">
        <f>O440*VLOOKUP($B440,'Emissions factors'!$B$1221:$AG$1245,22,FALSE)</f>
        <v>0</v>
      </c>
      <c r="AV440" s="718">
        <f>O440*VLOOKUP($B440,'Emissions factors'!$B$1221:$AG$1245,23,FALSE)</f>
        <v>0</v>
      </c>
      <c r="AW440" s="718">
        <f>O440*VLOOKUP($B440,'Emissions factors'!$B$1221:$AG$1245,24,FALSE)</f>
        <v>0</v>
      </c>
      <c r="AX440" s="718">
        <f>O440*VLOOKUP($B440,'Emissions factors'!$B$1221:$AG$1245,25,FALSE)</f>
        <v>0</v>
      </c>
      <c r="AY440" s="718">
        <f>O440*VLOOKUP($B440,'Emissions factors'!$B$1221:$AG$1245,26,FALSE)</f>
        <v>0</v>
      </c>
      <c r="AZ440" s="718">
        <f>O440*VLOOKUP($B440,'Emissions factors'!$B$1221:$AG$1245,27,FALSE)</f>
        <v>0</v>
      </c>
      <c r="BA440" s="718">
        <f>O440*VLOOKUP($B440,'Emissions factors'!$B$1221:$AG$1245,28,FALSE)</f>
        <v>0</v>
      </c>
      <c r="BB440" s="718">
        <v>0</v>
      </c>
      <c r="BC440" s="718">
        <v>0</v>
      </c>
      <c r="BD440" s="718">
        <v>0</v>
      </c>
      <c r="BE440" s="719">
        <f t="shared" si="167"/>
        <v>0</v>
      </c>
      <c r="BF440" s="719">
        <f t="shared" si="167"/>
        <v>0</v>
      </c>
      <c r="BG440" s="720">
        <f t="shared" si="167"/>
        <v>0</v>
      </c>
      <c r="BH440" s="717">
        <f>O440*VLOOKUP($B440,'Emissions factors'!$B$1221:$AG$1245,29,FALSE)</f>
        <v>0</v>
      </c>
      <c r="BI440" s="718">
        <f>O440*VLOOKUP($B440,'Emissions factors'!$B$1221:$AG$1245,30,FALSE)</f>
        <v>0</v>
      </c>
      <c r="BJ440" s="721">
        <f>O440*VLOOKUP($B440,'Emissions factors'!$B$1221:$AG$1245,31,FALSE)</f>
        <v>0</v>
      </c>
    </row>
    <row r="441" spans="2:62" ht="12.75" customHeight="1" outlineLevel="1" x14ac:dyDescent="0.2">
      <c r="B441" s="200" t="s">
        <v>1304</v>
      </c>
      <c r="C441" s="201"/>
      <c r="D441" s="262">
        <f>SUM(R441:T441)</f>
        <v>0</v>
      </c>
      <c r="E441" s="265">
        <f>D441*12/44</f>
        <v>0</v>
      </c>
      <c r="F441" s="692"/>
      <c r="G441" s="493">
        <f>VLOOKUP($B441,'Emissions factors'!$B$1221:$AG$1245,17,FALSE)</f>
        <v>6.5000000000000002E-2</v>
      </c>
      <c r="H441" s="493"/>
      <c r="I441" s="493"/>
      <c r="J441" s="493"/>
      <c r="K441" s="493"/>
      <c r="L441" s="696"/>
      <c r="M441" s="696"/>
      <c r="N441" s="495"/>
      <c r="O441" s="1213"/>
      <c r="P441" s="272">
        <f>VLOOKUP($B441,'Emissions factors'!$B$1221:$AG$1245,18,FALSE)</f>
        <v>0.14441999999999999</v>
      </c>
      <c r="Q441" s="272">
        <f>VLOOKUP($B441,'Emissions factors'!$B$1221:$AG$1245,19,FALSE)</f>
        <v>0.55365800000000009</v>
      </c>
      <c r="R441" s="465">
        <f>G441*O441</f>
        <v>0</v>
      </c>
      <c r="S441" s="465">
        <f>O441*P441</f>
        <v>0</v>
      </c>
      <c r="T441" s="210">
        <f>O441*Q441</f>
        <v>0</v>
      </c>
      <c r="U441" s="222">
        <f>IF(OR(F441='Info utili'!$G$532,F441='Info utili'!$G$537),T441,0)</f>
        <v>0</v>
      </c>
      <c r="W441" s="324"/>
      <c r="X441" s="282">
        <f>VLOOKUP($B441,'Emissions factors'!$B$1221:$AG$1245,32,FALSE)</f>
        <v>0.7</v>
      </c>
      <c r="Y441" s="186"/>
      <c r="Z441" s="221">
        <f>R441*SQRT(X441^2+Y441^2)</f>
        <v>0</v>
      </c>
      <c r="AA441" s="221">
        <f>S441*SQRT(X441^2+Y441^2)</f>
        <v>0</v>
      </c>
      <c r="AB441" s="221">
        <f>T441*SQRT(X441^2+Y441^2)</f>
        <v>0</v>
      </c>
      <c r="AC441" s="210">
        <f>SQRT(SUMSQ(Z441:AB441))</f>
        <v>0</v>
      </c>
      <c r="AD441" s="222">
        <f>U441*SQRT(X441^2+Y441^2)</f>
        <v>0</v>
      </c>
      <c r="AE441" s="42"/>
      <c r="AF441" s="187"/>
      <c r="AG441" s="221">
        <f t="shared" si="166"/>
        <v>0</v>
      </c>
      <c r="AH441" s="221">
        <f t="shared" si="166"/>
        <v>0</v>
      </c>
      <c r="AI441" s="221">
        <f t="shared" si="166"/>
        <v>0</v>
      </c>
      <c r="AJ441" s="210">
        <f>SUM(AG441:AI441)</f>
        <v>0</v>
      </c>
      <c r="AK441" s="221">
        <f>U441*$AF441</f>
        <v>0</v>
      </c>
      <c r="AL441" s="187"/>
      <c r="AM441" s="221">
        <f>AL441*R441</f>
        <v>0</v>
      </c>
      <c r="AN441" s="221">
        <f>AL441*S441</f>
        <v>0</v>
      </c>
      <c r="AO441" s="221">
        <f>AL441*T441</f>
        <v>0</v>
      </c>
      <c r="AP441" s="210">
        <f>SUM(AM441:AO441)</f>
        <v>0</v>
      </c>
      <c r="AQ441" s="222">
        <f>AL441*U441</f>
        <v>0</v>
      </c>
      <c r="AS441" s="717">
        <f>O441*VLOOKUP($B441,'Emissions factors'!$B$1221:$AG$1245,20,FALSE)</f>
        <v>0</v>
      </c>
      <c r="AT441" s="718">
        <f>O441*VLOOKUP($B441,'Emissions factors'!$B$1221:$AG$1245,21,FALSE)</f>
        <v>0</v>
      </c>
      <c r="AU441" s="718">
        <f>O441*VLOOKUP($B441,'Emissions factors'!$B$1221:$AG$1245,22,FALSE)</f>
        <v>0</v>
      </c>
      <c r="AV441" s="718">
        <f>O441*VLOOKUP($B441,'Emissions factors'!$B$1221:$AG$1245,23,FALSE)</f>
        <v>0</v>
      </c>
      <c r="AW441" s="718">
        <f>O441*VLOOKUP($B441,'Emissions factors'!$B$1221:$AG$1245,24,FALSE)</f>
        <v>0</v>
      </c>
      <c r="AX441" s="718">
        <f>O441*VLOOKUP($B441,'Emissions factors'!$B$1221:$AG$1245,25,FALSE)</f>
        <v>0</v>
      </c>
      <c r="AY441" s="718">
        <f>O441*VLOOKUP($B441,'Emissions factors'!$B$1221:$AG$1245,26,FALSE)</f>
        <v>0</v>
      </c>
      <c r="AZ441" s="718">
        <f>O441*VLOOKUP($B441,'Emissions factors'!$B$1221:$AG$1245,27,FALSE)</f>
        <v>0</v>
      </c>
      <c r="BA441" s="718">
        <f>O441*VLOOKUP($B441,'Emissions factors'!$B$1221:$AG$1245,28,FALSE)</f>
        <v>0</v>
      </c>
      <c r="BB441" s="718">
        <v>0</v>
      </c>
      <c r="BC441" s="718">
        <v>0</v>
      </c>
      <c r="BD441" s="718">
        <v>0</v>
      </c>
      <c r="BE441" s="719">
        <f t="shared" si="167"/>
        <v>0</v>
      </c>
      <c r="BF441" s="719">
        <f t="shared" si="167"/>
        <v>0</v>
      </c>
      <c r="BG441" s="720">
        <f t="shared" si="167"/>
        <v>0</v>
      </c>
      <c r="BH441" s="717">
        <f>O441*VLOOKUP($B441,'Emissions factors'!$B$1221:$AG$1245,29,FALSE)</f>
        <v>0</v>
      </c>
      <c r="BI441" s="718">
        <f>O441*VLOOKUP($B441,'Emissions factors'!$B$1221:$AG$1245,30,FALSE)</f>
        <v>0</v>
      </c>
      <c r="BJ441" s="721">
        <f>O441*VLOOKUP($B441,'Emissions factors'!$B$1221:$AG$1245,31,FALSE)</f>
        <v>0</v>
      </c>
    </row>
    <row r="442" spans="2:62" ht="12.75" customHeight="1" outlineLevel="1" x14ac:dyDescent="0.2">
      <c r="B442" s="200" t="s">
        <v>1287</v>
      </c>
      <c r="C442" s="201"/>
      <c r="D442" s="262">
        <f>SUM(R442:T442)</f>
        <v>0</v>
      </c>
      <c r="E442" s="265">
        <f>D442*12/44</f>
        <v>0</v>
      </c>
      <c r="F442" s="692"/>
      <c r="G442" s="493">
        <f>VLOOKUP($B442,'Emissions factors'!$B$1221:$AG$1245,17,FALSE)</f>
        <v>0.11</v>
      </c>
      <c r="H442" s="493"/>
      <c r="I442" s="493"/>
      <c r="J442" s="493"/>
      <c r="K442" s="493"/>
      <c r="L442" s="696"/>
      <c r="M442" s="696"/>
      <c r="N442" s="495"/>
      <c r="O442" s="1213"/>
      <c r="P442" s="272">
        <f>VLOOKUP($B442,'Emissions factors'!$B$1221:$AG$1245,18,FALSE)</f>
        <v>0.22181000000000001</v>
      </c>
      <c r="Q442" s="272">
        <f>VLOOKUP($B442,'Emissions factors'!$B$1221:$AG$1245,19,FALSE)</f>
        <v>0.85015000000000007</v>
      </c>
      <c r="R442" s="465">
        <f>G442*O442</f>
        <v>0</v>
      </c>
      <c r="S442" s="465">
        <f>O442*P442</f>
        <v>0</v>
      </c>
      <c r="T442" s="210">
        <f>O442*Q442</f>
        <v>0</v>
      </c>
      <c r="U442" s="222">
        <f>IF(OR(F442='Info utili'!$G$532,F442='Info utili'!$G$537),T442,0)</f>
        <v>0</v>
      </c>
      <c r="W442" s="324"/>
      <c r="X442" s="282">
        <f>VLOOKUP($B442,'Emissions factors'!$B$1221:$AG$1245,32,FALSE)</f>
        <v>0.7</v>
      </c>
      <c r="Y442" s="186"/>
      <c r="Z442" s="221">
        <f>R442*SQRT(X442^2+Y442^2)</f>
        <v>0</v>
      </c>
      <c r="AA442" s="221">
        <f>S442*SQRT(X442^2+Y442^2)</f>
        <v>0</v>
      </c>
      <c r="AB442" s="221">
        <f>T442*SQRT(X442^2+Y442^2)</f>
        <v>0</v>
      </c>
      <c r="AC442" s="210">
        <f>SQRT(SUMSQ(Z442:AB442))</f>
        <v>0</v>
      </c>
      <c r="AD442" s="222">
        <f>U442*SQRT(X442^2+Y442^2)</f>
        <v>0</v>
      </c>
      <c r="AE442" s="42"/>
      <c r="AF442" s="187"/>
      <c r="AG442" s="221">
        <f t="shared" si="166"/>
        <v>0</v>
      </c>
      <c r="AH442" s="221">
        <f t="shared" si="166"/>
        <v>0</v>
      </c>
      <c r="AI442" s="221">
        <f t="shared" si="166"/>
        <v>0</v>
      </c>
      <c r="AJ442" s="210">
        <f>SUM(AG442:AI442)</f>
        <v>0</v>
      </c>
      <c r="AK442" s="221">
        <f>U442*$AF442</f>
        <v>0</v>
      </c>
      <c r="AL442" s="187"/>
      <c r="AM442" s="221">
        <f>AL442*R442</f>
        <v>0</v>
      </c>
      <c r="AN442" s="221">
        <f>AL442*S442</f>
        <v>0</v>
      </c>
      <c r="AO442" s="221">
        <f>AL442*T442</f>
        <v>0</v>
      </c>
      <c r="AP442" s="210">
        <f>SUM(AM442:AO442)</f>
        <v>0</v>
      </c>
      <c r="AQ442" s="222">
        <f>AL442*U442</f>
        <v>0</v>
      </c>
      <c r="AS442" s="717">
        <f>O442*VLOOKUP($B442,'Emissions factors'!$B$1221:$AG$1245,20,FALSE)</f>
        <v>0</v>
      </c>
      <c r="AT442" s="718">
        <f>O442*VLOOKUP($B442,'Emissions factors'!$B$1221:$AG$1245,21,FALSE)</f>
        <v>0</v>
      </c>
      <c r="AU442" s="718">
        <f>O442*VLOOKUP($B442,'Emissions factors'!$B$1221:$AG$1245,22,FALSE)</f>
        <v>0</v>
      </c>
      <c r="AV442" s="718">
        <f>O442*VLOOKUP($B442,'Emissions factors'!$B$1221:$AG$1245,23,FALSE)</f>
        <v>0</v>
      </c>
      <c r="AW442" s="718">
        <f>O442*VLOOKUP($B442,'Emissions factors'!$B$1221:$AG$1245,24,FALSE)</f>
        <v>0</v>
      </c>
      <c r="AX442" s="718">
        <f>O442*VLOOKUP($B442,'Emissions factors'!$B$1221:$AG$1245,25,FALSE)</f>
        <v>0</v>
      </c>
      <c r="AY442" s="718">
        <f>O442*VLOOKUP($B442,'Emissions factors'!$B$1221:$AG$1245,26,FALSE)</f>
        <v>0</v>
      </c>
      <c r="AZ442" s="718">
        <f>O442*VLOOKUP($B442,'Emissions factors'!$B$1221:$AG$1245,27,FALSE)</f>
        <v>0</v>
      </c>
      <c r="BA442" s="718">
        <f>O442*VLOOKUP($B442,'Emissions factors'!$B$1221:$AG$1245,28,FALSE)</f>
        <v>0</v>
      </c>
      <c r="BB442" s="718">
        <v>0</v>
      </c>
      <c r="BC442" s="718">
        <v>0</v>
      </c>
      <c r="BD442" s="718">
        <v>0</v>
      </c>
      <c r="BE442" s="719">
        <f t="shared" si="167"/>
        <v>0</v>
      </c>
      <c r="BF442" s="719">
        <f t="shared" si="167"/>
        <v>0</v>
      </c>
      <c r="BG442" s="720">
        <f t="shared" si="167"/>
        <v>0</v>
      </c>
      <c r="BH442" s="717">
        <f>O442*VLOOKUP($B442,'Emissions factors'!$B$1221:$AG$1245,29,FALSE)</f>
        <v>0</v>
      </c>
      <c r="BI442" s="718">
        <f>O442*VLOOKUP($B442,'Emissions factors'!$B$1221:$AG$1245,30,FALSE)</f>
        <v>0</v>
      </c>
      <c r="BJ442" s="721">
        <f>O442*VLOOKUP($B442,'Emissions factors'!$B$1221:$AG$1245,31,FALSE)</f>
        <v>0</v>
      </c>
    </row>
    <row r="443" spans="2:62" ht="12.75" customHeight="1" outlineLevel="1" x14ac:dyDescent="0.2">
      <c r="B443" s="200" t="s">
        <v>1290</v>
      </c>
      <c r="C443" s="201"/>
      <c r="D443" s="262">
        <f>SUM(R443:T443)</f>
        <v>0</v>
      </c>
      <c r="E443" s="265">
        <f>D443*12/44</f>
        <v>0</v>
      </c>
      <c r="F443" s="443"/>
      <c r="G443" s="493">
        <f>VLOOKUP($B443,'Emissions factors'!$B$1221:$AG$1245,17,FALSE)</f>
        <v>0.105</v>
      </c>
      <c r="H443" s="493"/>
      <c r="I443" s="493"/>
      <c r="J443" s="493"/>
      <c r="K443" s="493"/>
      <c r="L443" s="697"/>
      <c r="M443" s="697"/>
      <c r="N443" s="495"/>
      <c r="O443" s="1223"/>
      <c r="P443" s="272">
        <f>VLOOKUP($B443,'Emissions factors'!$B$1221:$AG$1245,18,FALSE)</f>
        <v>0.17745999999999998</v>
      </c>
      <c r="Q443" s="272">
        <f>VLOOKUP($B443,'Emissions factors'!$B$1221:$AG$1245,19,FALSE)</f>
        <v>0.67971400000000004</v>
      </c>
      <c r="R443" s="465">
        <f>G443*O443</f>
        <v>0</v>
      </c>
      <c r="S443" s="465">
        <f>O443*P443</f>
        <v>0</v>
      </c>
      <c r="T443" s="210">
        <f>O443*Q443</f>
        <v>0</v>
      </c>
      <c r="U443" s="222">
        <f>IF(OR(F443='Info utili'!$G$532,F443='Info utili'!$G$537),T443,0)</f>
        <v>0</v>
      </c>
      <c r="W443" s="42"/>
      <c r="X443" s="282">
        <f>VLOOKUP($B443,'Emissions factors'!$B$1221:$AG$1245,32,FALSE)</f>
        <v>0.7</v>
      </c>
      <c r="Y443" s="189"/>
      <c r="Z443" s="221">
        <f>R443*SQRT(X443^2+Y443^2)</f>
        <v>0</v>
      </c>
      <c r="AA443" s="221">
        <f>S443*SQRT(X443^2+Y443^2)</f>
        <v>0</v>
      </c>
      <c r="AB443" s="221">
        <f>T443*SQRT(X443^2+Y443^2)</f>
        <v>0</v>
      </c>
      <c r="AC443" s="210">
        <f>SQRT(SUMSQ(Z443:AB443))</f>
        <v>0</v>
      </c>
      <c r="AD443" s="222">
        <f>U443*SQRT(X443^2+Y443^2)</f>
        <v>0</v>
      </c>
      <c r="AE443" s="42"/>
      <c r="AF443" s="190"/>
      <c r="AG443" s="221">
        <f t="shared" si="166"/>
        <v>0</v>
      </c>
      <c r="AH443" s="221">
        <f t="shared" si="166"/>
        <v>0</v>
      </c>
      <c r="AI443" s="221">
        <f t="shared" si="166"/>
        <v>0</v>
      </c>
      <c r="AJ443" s="210">
        <f>SUM(AG443:AI443)</f>
        <v>0</v>
      </c>
      <c r="AK443" s="221">
        <f>U443*$AF443</f>
        <v>0</v>
      </c>
      <c r="AL443" s="190"/>
      <c r="AM443" s="221">
        <f>AL443*R443</f>
        <v>0</v>
      </c>
      <c r="AN443" s="221">
        <f>AL443*S443</f>
        <v>0</v>
      </c>
      <c r="AO443" s="221">
        <f>AL443*T443</f>
        <v>0</v>
      </c>
      <c r="AP443" s="210">
        <f>SUM(AM443:AO443)</f>
        <v>0</v>
      </c>
      <c r="AQ443" s="222">
        <f>AL443*U443</f>
        <v>0</v>
      </c>
      <c r="AS443" s="717">
        <f>O443*VLOOKUP($B443,'Emissions factors'!$B$1221:$AG$1245,20,FALSE)</f>
        <v>0</v>
      </c>
      <c r="AT443" s="718">
        <f>O443*VLOOKUP($B443,'Emissions factors'!$B$1221:$AG$1245,21,FALSE)</f>
        <v>0</v>
      </c>
      <c r="AU443" s="718">
        <f>O443*VLOOKUP($B443,'Emissions factors'!$B$1221:$AG$1245,22,FALSE)</f>
        <v>0</v>
      </c>
      <c r="AV443" s="718">
        <f>O443*VLOOKUP($B443,'Emissions factors'!$B$1221:$AG$1245,23,FALSE)</f>
        <v>0</v>
      </c>
      <c r="AW443" s="718">
        <f>O443*VLOOKUP($B443,'Emissions factors'!$B$1221:$AG$1245,24,FALSE)</f>
        <v>0</v>
      </c>
      <c r="AX443" s="718">
        <f>O443*VLOOKUP($B443,'Emissions factors'!$B$1221:$AG$1245,25,FALSE)</f>
        <v>0</v>
      </c>
      <c r="AY443" s="718">
        <f>O443*VLOOKUP($B443,'Emissions factors'!$B$1221:$AG$1245,26,FALSE)</f>
        <v>0</v>
      </c>
      <c r="AZ443" s="718">
        <f>O443*VLOOKUP($B443,'Emissions factors'!$B$1221:$AG$1245,27,FALSE)</f>
        <v>0</v>
      </c>
      <c r="BA443" s="718">
        <f>O443*VLOOKUP($B443,'Emissions factors'!$B$1221:$AG$1245,28,FALSE)</f>
        <v>0</v>
      </c>
      <c r="BB443" s="718">
        <v>0</v>
      </c>
      <c r="BC443" s="718">
        <v>0</v>
      </c>
      <c r="BD443" s="718">
        <v>0</v>
      </c>
      <c r="BE443" s="719">
        <f t="shared" si="167"/>
        <v>0</v>
      </c>
      <c r="BF443" s="719">
        <f t="shared" si="167"/>
        <v>0</v>
      </c>
      <c r="BG443" s="720">
        <f t="shared" si="167"/>
        <v>0</v>
      </c>
      <c r="BH443" s="717">
        <f>O443*VLOOKUP($B443,'Emissions factors'!$B$1221:$AG$1245,29,FALSE)</f>
        <v>0</v>
      </c>
      <c r="BI443" s="718">
        <f>O443*VLOOKUP($B443,'Emissions factors'!$B$1221:$AG$1245,30,FALSE)</f>
        <v>0</v>
      </c>
      <c r="BJ443" s="721">
        <f>O443*VLOOKUP($B443,'Emissions factors'!$B$1221:$AG$1245,31,FALSE)</f>
        <v>0</v>
      </c>
    </row>
    <row r="444" spans="2:62" ht="12.75" customHeight="1" outlineLevel="1" x14ac:dyDescent="0.2">
      <c r="B444" s="200"/>
      <c r="C444" s="201"/>
      <c r="D444" s="263"/>
      <c r="E444" s="266"/>
      <c r="F444" s="201"/>
      <c r="G444" s="201"/>
      <c r="H444" s="201"/>
      <c r="I444" s="201"/>
      <c r="J444" s="201"/>
      <c r="K444" s="201"/>
      <c r="L444" s="201"/>
      <c r="M444" s="201"/>
      <c r="N444" s="201"/>
      <c r="O444" s="201"/>
      <c r="P444" s="201"/>
      <c r="Q444" s="201"/>
      <c r="R444" s="201"/>
      <c r="S444" s="201"/>
      <c r="T444" s="221"/>
      <c r="U444" s="203"/>
      <c r="W444" s="42"/>
      <c r="X444" s="200"/>
      <c r="Y444" s="201"/>
      <c r="Z444" s="201"/>
      <c r="AA444" s="201"/>
      <c r="AB444" s="221"/>
      <c r="AC444" s="221"/>
      <c r="AD444" s="222"/>
      <c r="AE444" s="42"/>
      <c r="AF444" s="200"/>
      <c r="AG444" s="1370"/>
      <c r="AH444" s="1370"/>
      <c r="AI444" s="1370"/>
      <c r="AJ444" s="221"/>
      <c r="AK444" s="1370"/>
      <c r="AL444" s="201"/>
      <c r="AM444" s="1370"/>
      <c r="AN444" s="1370"/>
      <c r="AO444" s="221"/>
      <c r="AP444" s="221"/>
      <c r="AQ444" s="203"/>
      <c r="AS444" s="717"/>
      <c r="AT444" s="718"/>
      <c r="AU444" s="718"/>
      <c r="AV444" s="718"/>
      <c r="AW444" s="718"/>
      <c r="AX444" s="718"/>
      <c r="AY444" s="718"/>
      <c r="AZ444" s="718"/>
      <c r="BA444" s="718"/>
      <c r="BB444" s="718"/>
      <c r="BC444" s="718"/>
      <c r="BD444" s="718"/>
      <c r="BE444" s="719"/>
      <c r="BF444" s="719"/>
      <c r="BG444" s="720"/>
      <c r="BH444" s="722"/>
      <c r="BI444" s="786"/>
      <c r="BJ444" s="723"/>
    </row>
    <row r="445" spans="2:62" ht="12.75" customHeight="1" outlineLevel="1" x14ac:dyDescent="0.2">
      <c r="B445" s="253" t="s">
        <v>2828</v>
      </c>
      <c r="C445" s="254"/>
      <c r="D445" s="264">
        <f>SUM(D432:D444)</f>
        <v>0</v>
      </c>
      <c r="E445" s="267">
        <f>SUM(E432:E444)</f>
        <v>0</v>
      </c>
      <c r="F445" s="254"/>
      <c r="G445" s="254"/>
      <c r="H445" s="254"/>
      <c r="I445" s="254"/>
      <c r="J445" s="254"/>
      <c r="K445" s="254"/>
      <c r="L445" s="254"/>
      <c r="M445" s="254"/>
      <c r="N445" s="254"/>
      <c r="O445" s="254"/>
      <c r="P445" s="254"/>
      <c r="Q445" s="254"/>
      <c r="R445" s="259">
        <f>SUM(R432:R444)</f>
        <v>0</v>
      </c>
      <c r="S445" s="259">
        <f>SUM(S432:S444)</f>
        <v>0</v>
      </c>
      <c r="T445" s="259">
        <f>SUM(T432:T444)</f>
        <v>0</v>
      </c>
      <c r="U445" s="428">
        <f>SUM(U432:U444)</f>
        <v>0</v>
      </c>
      <c r="W445" s="42"/>
      <c r="X445" s="258"/>
      <c r="Y445" s="256"/>
      <c r="Z445" s="260">
        <f>SQRT(SUMSQ(Z432:Z444))</f>
        <v>0</v>
      </c>
      <c r="AA445" s="260">
        <f>SQRT(SUMSQ(AA432:AA444))</f>
        <v>0</v>
      </c>
      <c r="AB445" s="260">
        <f>SQRT(SUMSQ(AB432:AB444))</f>
        <v>0</v>
      </c>
      <c r="AC445" s="259">
        <f>SQRT(SUMSQ(AC432:AC444))</f>
        <v>0</v>
      </c>
      <c r="AD445" s="428">
        <f>SQRT(SUMSQ(AD432:AD444))</f>
        <v>0</v>
      </c>
      <c r="AE445" s="42"/>
      <c r="AF445" s="258"/>
      <c r="AG445" s="260">
        <f>SUM(AG432:AG444)</f>
        <v>0</v>
      </c>
      <c r="AH445" s="260">
        <f>SUM(AH432:AH444)</f>
        <v>0</v>
      </c>
      <c r="AI445" s="260">
        <f>SUM(AI432:AI444)</f>
        <v>0</v>
      </c>
      <c r="AJ445" s="259">
        <f>SUM(AJ432:AJ444)</f>
        <v>0</v>
      </c>
      <c r="AK445" s="260">
        <f>SUM(AK432:AK444)</f>
        <v>0</v>
      </c>
      <c r="AL445" s="256"/>
      <c r="AM445" s="260">
        <f>SUM(AM432:AM444)</f>
        <v>0</v>
      </c>
      <c r="AN445" s="260">
        <f>SUM(AN432:AN444)</f>
        <v>0</v>
      </c>
      <c r="AO445" s="260">
        <f>SUM(AO432:AO444)</f>
        <v>0</v>
      </c>
      <c r="AP445" s="259">
        <f>SUM(AP432:AP444)</f>
        <v>0</v>
      </c>
      <c r="AQ445" s="428">
        <f>SUM(AQ432:AQ444)</f>
        <v>0</v>
      </c>
      <c r="AS445" s="724">
        <f t="shared" ref="AS445:BJ445" si="168">SUM(AS432:AS444)</f>
        <v>0</v>
      </c>
      <c r="AT445" s="725">
        <f t="shared" si="168"/>
        <v>0</v>
      </c>
      <c r="AU445" s="725">
        <f t="shared" si="168"/>
        <v>0</v>
      </c>
      <c r="AV445" s="725">
        <f t="shared" si="168"/>
        <v>0</v>
      </c>
      <c r="AW445" s="725">
        <f t="shared" si="168"/>
        <v>0</v>
      </c>
      <c r="AX445" s="725">
        <f t="shared" si="168"/>
        <v>0</v>
      </c>
      <c r="AY445" s="725">
        <f t="shared" si="168"/>
        <v>0</v>
      </c>
      <c r="AZ445" s="725">
        <f t="shared" si="168"/>
        <v>0</v>
      </c>
      <c r="BA445" s="725">
        <f t="shared" si="168"/>
        <v>0</v>
      </c>
      <c r="BB445" s="725">
        <f t="shared" si="168"/>
        <v>0</v>
      </c>
      <c r="BC445" s="725">
        <f t="shared" si="168"/>
        <v>0</v>
      </c>
      <c r="BD445" s="725">
        <f t="shared" si="168"/>
        <v>0</v>
      </c>
      <c r="BE445" s="726">
        <f t="shared" si="168"/>
        <v>0</v>
      </c>
      <c r="BF445" s="726">
        <f t="shared" si="168"/>
        <v>0</v>
      </c>
      <c r="BG445" s="727">
        <f t="shared" si="168"/>
        <v>0</v>
      </c>
      <c r="BH445" s="724">
        <f t="shared" si="168"/>
        <v>0</v>
      </c>
      <c r="BI445" s="725">
        <f t="shared" si="168"/>
        <v>0</v>
      </c>
      <c r="BJ445" s="728">
        <f t="shared" si="168"/>
        <v>0</v>
      </c>
    </row>
    <row r="446" spans="2:62" ht="12.75" customHeight="1" outlineLevel="1" x14ac:dyDescent="0.2"/>
    <row r="447" spans="2:62" ht="12.75" customHeight="1" outlineLevel="1" x14ac:dyDescent="0.2">
      <c r="B447" s="195" t="s">
        <v>2895</v>
      </c>
      <c r="C447" s="196"/>
      <c r="D447" s="1364"/>
      <c r="E447" s="1364"/>
      <c r="F447" s="196"/>
      <c r="G447" s="196"/>
      <c r="H447" s="196"/>
      <c r="I447" s="196"/>
      <c r="J447" s="196"/>
      <c r="K447" s="196"/>
      <c r="L447" s="196"/>
      <c r="M447" s="196"/>
      <c r="N447" s="196"/>
      <c r="O447" s="198"/>
      <c r="P447" s="198"/>
      <c r="Q447" s="198"/>
      <c r="R447" s="198"/>
      <c r="S447" s="198"/>
      <c r="T447" s="198"/>
      <c r="U447" s="198"/>
      <c r="V447" s="199"/>
      <c r="W447" s="316"/>
      <c r="X447" s="1746" t="s">
        <v>723</v>
      </c>
      <c r="Y447" s="1747"/>
      <c r="Z447" s="1747"/>
      <c r="AA447" s="1747"/>
      <c r="AB447" s="1747"/>
      <c r="AC447" s="1747"/>
      <c r="AD447" s="1748"/>
      <c r="AE447" s="316"/>
      <c r="AF447" s="1746" t="s">
        <v>2066</v>
      </c>
      <c r="AG447" s="1747"/>
      <c r="AH447" s="1747"/>
      <c r="AI447" s="1747"/>
      <c r="AJ447" s="1747"/>
      <c r="AK447" s="1747"/>
      <c r="AL447" s="1747"/>
      <c r="AM447" s="1747"/>
      <c r="AN447" s="1747"/>
      <c r="AO447" s="1747"/>
      <c r="AP447" s="1747"/>
      <c r="AQ447" s="1748"/>
      <c r="AS447" s="1755" t="s">
        <v>2073</v>
      </c>
      <c r="AT447" s="1756"/>
      <c r="AU447" s="1756"/>
      <c r="AV447" s="1756"/>
      <c r="AW447" s="1756"/>
      <c r="AX447" s="1756"/>
      <c r="AY447" s="1756"/>
      <c r="AZ447" s="1756"/>
      <c r="BA447" s="1756"/>
      <c r="BB447" s="1756"/>
      <c r="BC447" s="1756"/>
      <c r="BD447" s="1756"/>
      <c r="BE447" s="1756"/>
      <c r="BF447" s="1756"/>
      <c r="BG447" s="1756"/>
      <c r="BH447" s="1756"/>
      <c r="BI447" s="1756"/>
      <c r="BJ447" s="1757"/>
    </row>
    <row r="448" spans="2:62" ht="12.75" customHeight="1" outlineLevel="1" x14ac:dyDescent="0.2">
      <c r="B448" s="417"/>
      <c r="C448" s="225"/>
      <c r="D448" s="705"/>
      <c r="E448" s="705"/>
      <c r="F448" s="201"/>
      <c r="G448" s="1370" t="s">
        <v>61</v>
      </c>
      <c r="H448" s="1745" t="s">
        <v>1249</v>
      </c>
      <c r="I448" s="1745"/>
      <c r="J448" s="1745" t="s">
        <v>1249</v>
      </c>
      <c r="K448" s="1745"/>
      <c r="L448" s="225"/>
      <c r="M448" s="225"/>
      <c r="N448" s="225"/>
      <c r="O448" s="201"/>
      <c r="P448" s="201"/>
      <c r="Q448" s="201"/>
      <c r="R448" s="201"/>
      <c r="S448" s="201"/>
      <c r="T448" s="1745" t="s">
        <v>2646</v>
      </c>
      <c r="U448" s="1745"/>
      <c r="V448" s="1378" t="s">
        <v>2639</v>
      </c>
      <c r="W448" s="316"/>
      <c r="X448" s="1369"/>
      <c r="Y448" s="1370"/>
      <c r="Z448" s="1370"/>
      <c r="AA448" s="1370"/>
      <c r="AB448" s="1370"/>
      <c r="AC448" s="1370"/>
      <c r="AD448" s="1378" t="s">
        <v>2639</v>
      </c>
      <c r="AE448" s="316"/>
      <c r="AF448" s="216"/>
      <c r="AG448" s="705"/>
      <c r="AH448" s="705"/>
      <c r="AI448" s="705"/>
      <c r="AJ448" s="1370"/>
      <c r="AK448" s="1370" t="s">
        <v>2639</v>
      </c>
      <c r="AL448" s="217"/>
      <c r="AM448" s="705"/>
      <c r="AN448" s="705"/>
      <c r="AO448" s="705"/>
      <c r="AP448" s="1370"/>
      <c r="AQ448" s="1378" t="s">
        <v>2639</v>
      </c>
      <c r="AS448" s="1758" t="s">
        <v>61</v>
      </c>
      <c r="AT448" s="1759"/>
      <c r="AU448" s="1759"/>
      <c r="AV448" s="1759"/>
      <c r="AW448" s="1759"/>
      <c r="AX448" s="1759"/>
      <c r="AY448" s="1759"/>
      <c r="AZ448" s="1759"/>
      <c r="BA448" s="1759"/>
      <c r="BB448" s="1759"/>
      <c r="BC448" s="1759"/>
      <c r="BD448" s="1759"/>
      <c r="BE448" s="1759" t="s">
        <v>61</v>
      </c>
      <c r="BF448" s="1759"/>
      <c r="BG448" s="1760"/>
      <c r="BH448" s="730"/>
      <c r="BI448" s="785"/>
      <c r="BJ448" s="731"/>
    </row>
    <row r="449" spans="2:62" ht="12.75" customHeight="1" outlineLevel="1" x14ac:dyDescent="0.2">
      <c r="B449" s="1369"/>
      <c r="C449" s="705"/>
      <c r="D449" s="1370" t="s">
        <v>56</v>
      </c>
      <c r="E449" s="1370" t="s">
        <v>56</v>
      </c>
      <c r="F449" s="205" t="s">
        <v>2634</v>
      </c>
      <c r="G449" s="1370" t="s">
        <v>2537</v>
      </c>
      <c r="H449" s="1745" t="s">
        <v>2640</v>
      </c>
      <c r="I449" s="1745"/>
      <c r="J449" s="1745" t="s">
        <v>2641</v>
      </c>
      <c r="K449" s="1835"/>
      <c r="L449" s="205" t="s">
        <v>2642</v>
      </c>
      <c r="M449" s="205" t="s">
        <v>2643</v>
      </c>
      <c r="N449" s="1652" t="s">
        <v>2637</v>
      </c>
      <c r="O449" s="205"/>
      <c r="P449" s="1744" t="s">
        <v>1308</v>
      </c>
      <c r="Q449" s="1745"/>
      <c r="R449" s="1745"/>
      <c r="S449" s="705" t="s">
        <v>61</v>
      </c>
      <c r="T449" s="705" t="s">
        <v>61</v>
      </c>
      <c r="U449" s="705" t="s">
        <v>61</v>
      </c>
      <c r="V449" s="1378" t="s">
        <v>30</v>
      </c>
      <c r="W449" s="316"/>
      <c r="X449" s="1629" t="s">
        <v>2605</v>
      </c>
      <c r="Y449" s="1370" t="s">
        <v>2110</v>
      </c>
      <c r="Z449" s="1370" t="s">
        <v>61</v>
      </c>
      <c r="AA449" s="1370" t="s">
        <v>61</v>
      </c>
      <c r="AB449" s="1370" t="s">
        <v>61</v>
      </c>
      <c r="AC449" s="705" t="s">
        <v>61</v>
      </c>
      <c r="AD449" s="1378" t="s">
        <v>30</v>
      </c>
      <c r="AE449" s="316"/>
      <c r="AF449" s="1369" t="s">
        <v>2065</v>
      </c>
      <c r="AG449" s="1370" t="s">
        <v>61</v>
      </c>
      <c r="AH449" s="1370" t="s">
        <v>61</v>
      </c>
      <c r="AI449" s="1370" t="s">
        <v>61</v>
      </c>
      <c r="AJ449" s="705" t="s">
        <v>61</v>
      </c>
      <c r="AK449" s="1370" t="s">
        <v>30</v>
      </c>
      <c r="AL449" s="1370" t="s">
        <v>2558</v>
      </c>
      <c r="AM449" s="1370" t="s">
        <v>61</v>
      </c>
      <c r="AN449" s="1370" t="s">
        <v>61</v>
      </c>
      <c r="AO449" s="1370" t="s">
        <v>61</v>
      </c>
      <c r="AP449" s="705" t="s">
        <v>61</v>
      </c>
      <c r="AQ449" s="1378" t="s">
        <v>30</v>
      </c>
      <c r="AS449" s="1764" t="s">
        <v>14</v>
      </c>
      <c r="AT449" s="1761"/>
      <c r="AU449" s="1761"/>
      <c r="AV449" s="1761" t="s">
        <v>60</v>
      </c>
      <c r="AW449" s="1761"/>
      <c r="AX449" s="1761"/>
      <c r="AY449" s="1761" t="s">
        <v>27</v>
      </c>
      <c r="AZ449" s="1761"/>
      <c r="BA449" s="1761"/>
      <c r="BB449" s="1761" t="s">
        <v>2074</v>
      </c>
      <c r="BC449" s="1761"/>
      <c r="BD449" s="1761"/>
      <c r="BE449" s="1762" t="s">
        <v>41</v>
      </c>
      <c r="BF449" s="1762"/>
      <c r="BG449" s="1763"/>
      <c r="BH449" s="1764" t="s">
        <v>85</v>
      </c>
      <c r="BI449" s="1761"/>
      <c r="BJ449" s="1765"/>
    </row>
    <row r="450" spans="2:62" ht="12.75" customHeight="1" outlineLevel="1" x14ac:dyDescent="0.2">
      <c r="B450" s="704" t="s">
        <v>2638</v>
      </c>
      <c r="C450" s="201"/>
      <c r="D450" s="1370" t="s">
        <v>61</v>
      </c>
      <c r="E450" s="1370" t="s">
        <v>63</v>
      </c>
      <c r="F450" s="1623" t="s">
        <v>2054</v>
      </c>
      <c r="G450" s="1377" t="s">
        <v>1279</v>
      </c>
      <c r="H450" s="1377" t="s">
        <v>768</v>
      </c>
      <c r="I450" s="1377" t="s">
        <v>24</v>
      </c>
      <c r="J450" s="1377" t="s">
        <v>768</v>
      </c>
      <c r="K450" s="1377" t="s">
        <v>24</v>
      </c>
      <c r="L450" s="212" t="s">
        <v>2644</v>
      </c>
      <c r="M450" s="212" t="s">
        <v>2645</v>
      </c>
      <c r="N450" s="1652" t="s">
        <v>34</v>
      </c>
      <c r="O450" s="208" t="s">
        <v>57</v>
      </c>
      <c r="P450" s="1377" t="s">
        <v>1279</v>
      </c>
      <c r="Q450" s="1377" t="s">
        <v>768</v>
      </c>
      <c r="R450" s="1377" t="s">
        <v>24</v>
      </c>
      <c r="S450" s="1376" t="s">
        <v>1279</v>
      </c>
      <c r="T450" s="1376" t="s">
        <v>768</v>
      </c>
      <c r="U450" s="1376" t="s">
        <v>24</v>
      </c>
      <c r="V450" s="1378" t="s">
        <v>61</v>
      </c>
      <c r="W450" s="316"/>
      <c r="X450" s="1629" t="s">
        <v>2109</v>
      </c>
      <c r="Y450" s="1370"/>
      <c r="Z450" s="1377" t="s">
        <v>1279</v>
      </c>
      <c r="AA450" s="1377" t="s">
        <v>768</v>
      </c>
      <c r="AB450" s="1377" t="s">
        <v>24</v>
      </c>
      <c r="AC450" s="223" t="s">
        <v>41</v>
      </c>
      <c r="AD450" s="1378" t="s">
        <v>61</v>
      </c>
      <c r="AE450" s="316"/>
      <c r="AF450" s="1369"/>
      <c r="AG450" s="1377" t="s">
        <v>1279</v>
      </c>
      <c r="AH450" s="1377" t="s">
        <v>768</v>
      </c>
      <c r="AI450" s="1377" t="s">
        <v>24</v>
      </c>
      <c r="AJ450" s="223" t="s">
        <v>41</v>
      </c>
      <c r="AK450" s="1370" t="s">
        <v>61</v>
      </c>
      <c r="AL450" s="1370"/>
      <c r="AM450" s="1377" t="s">
        <v>1279</v>
      </c>
      <c r="AN450" s="1377" t="s">
        <v>768</v>
      </c>
      <c r="AO450" s="1377" t="s">
        <v>24</v>
      </c>
      <c r="AP450" s="223" t="s">
        <v>41</v>
      </c>
      <c r="AQ450" s="1378" t="s">
        <v>61</v>
      </c>
      <c r="AS450" s="732" t="s">
        <v>1279</v>
      </c>
      <c r="AT450" s="733" t="s">
        <v>768</v>
      </c>
      <c r="AU450" s="733" t="s">
        <v>24</v>
      </c>
      <c r="AV450" s="733" t="s">
        <v>1279</v>
      </c>
      <c r="AW450" s="733" t="s">
        <v>768</v>
      </c>
      <c r="AX450" s="733" t="s">
        <v>24</v>
      </c>
      <c r="AY450" s="733" t="s">
        <v>1279</v>
      </c>
      <c r="AZ450" s="733" t="s">
        <v>768</v>
      </c>
      <c r="BA450" s="733" t="s">
        <v>24</v>
      </c>
      <c r="BB450" s="733" t="s">
        <v>1279</v>
      </c>
      <c r="BC450" s="733" t="s">
        <v>768</v>
      </c>
      <c r="BD450" s="733" t="s">
        <v>24</v>
      </c>
      <c r="BE450" s="734" t="s">
        <v>1279</v>
      </c>
      <c r="BF450" s="734" t="s">
        <v>768</v>
      </c>
      <c r="BG450" s="735" t="s">
        <v>24</v>
      </c>
      <c r="BH450" s="732" t="s">
        <v>1279</v>
      </c>
      <c r="BI450" s="733" t="s">
        <v>768</v>
      </c>
      <c r="BJ450" s="736" t="s">
        <v>24</v>
      </c>
    </row>
    <row r="451" spans="2:62" ht="12.75" customHeight="1" outlineLevel="1" x14ac:dyDescent="0.2">
      <c r="B451" s="200" t="str">
        <f>'Emissions factors'!$B$1171</f>
        <v>&lt; 1.5 t petrol V6.1 [1]</v>
      </c>
      <c r="C451" s="201"/>
      <c r="D451" s="262">
        <f t="shared" ref="D451:D463" si="169">SUM(S451:U451)</f>
        <v>0</v>
      </c>
      <c r="E451" s="265">
        <f t="shared" ref="E451:E464" si="170">D451*12/44</f>
        <v>0</v>
      </c>
      <c r="F451" s="559"/>
      <c r="G451" s="493">
        <f>VLOOKUP($B451,'Emissions factors'!$B$1171:$K$1216,2,FALSE)</f>
        <v>3.2999999999999995E-2</v>
      </c>
      <c r="H451" s="493">
        <f>VLOOKUP($B451,'Emissions factors'!$B$1171:$K$1216,3,FALSE)</f>
        <v>3.4326837023255813E-2</v>
      </c>
      <c r="I451" s="493">
        <f>VLOOKUP($B451,'Emissions factors'!$B$1171:$K$1216,4,FALSE)</f>
        <v>0.20370504</v>
      </c>
      <c r="J451" s="493">
        <f>VLOOKUP($B451,'Emissions factors'!$B$1171:$K$1216,5,FALSE)</f>
        <v>3.4326837023255813E-2</v>
      </c>
      <c r="K451" s="493">
        <f>VLOOKUP($B451,'Emissions factors'!$B$1171:$K$1216,6,FALSE)</f>
        <v>0.20370504</v>
      </c>
      <c r="L451" s="494">
        <f>VLOOKUP($B451,'Emissions factors'!$B$1171:$K$1216,7,FALSE)</f>
        <v>0.2</v>
      </c>
      <c r="M451" s="494">
        <f>VLOOKUP($B451,'Emissions factors'!$B$1171:$K$1216,8,FALSE)</f>
        <v>0.26058444187301394</v>
      </c>
      <c r="N451" s="495">
        <f>VLOOKUP($B451,'Emissions factors'!$B$1171:$K$1216,9,FALSE)</f>
        <v>0.46050331760971941</v>
      </c>
      <c r="O451" s="182"/>
      <c r="P451" s="272">
        <f>G451/(M451*(1-L451)*N451)</f>
        <v>0.34374999999999989</v>
      </c>
      <c r="Q451" s="272">
        <f>(H451+(J451-H451)*(1-L451)*M451)/(M451*N451*(1-L451))</f>
        <v>0.35757121899224797</v>
      </c>
      <c r="R451" s="272">
        <f>(I451+(K451-I451)*(1-L451)*M451)/(M451*N451*(1-L451))</f>
        <v>2.1219274999999995</v>
      </c>
      <c r="S451" s="465">
        <f>O451*P451</f>
        <v>0</v>
      </c>
      <c r="T451" s="465">
        <f>O451*Q451</f>
        <v>0</v>
      </c>
      <c r="U451" s="210">
        <f>O451*R451</f>
        <v>0</v>
      </c>
      <c r="V451" s="222">
        <f>IF(OR(F451='Info utili'!$G$532,F451='Info utili'!$G$537),U451,0)</f>
        <v>0</v>
      </c>
      <c r="W451" s="316"/>
      <c r="X451" s="282">
        <f>VLOOKUP($B451,'Emissions factors'!$B$1171:$K$1216,10,FALSE)</f>
        <v>9.2614913518120803E-2</v>
      </c>
      <c r="Y451" s="183"/>
      <c r="Z451" s="221">
        <f>S451*SQRT(X451^2+Y451^2)</f>
        <v>0</v>
      </c>
      <c r="AA451" s="221">
        <f>T451*SQRT(X451^2+Y451^2)</f>
        <v>0</v>
      </c>
      <c r="AB451" s="221">
        <f>U451*SQRT(X451^2+Y451^2)</f>
        <v>0</v>
      </c>
      <c r="AC451" s="210">
        <f>SQRT(SUMSQ(Z451:AB451))</f>
        <v>0</v>
      </c>
      <c r="AD451" s="222">
        <f>V451*SQRT(X451^2+Y451^2)</f>
        <v>0</v>
      </c>
      <c r="AE451" s="316"/>
      <c r="AF451" s="184"/>
      <c r="AG451" s="221">
        <f t="shared" ref="AG451:AG464" si="171">$AF451*S451</f>
        <v>0</v>
      </c>
      <c r="AH451" s="221">
        <f t="shared" ref="AH451:AH464" si="172">$AF451*T451</f>
        <v>0</v>
      </c>
      <c r="AI451" s="221">
        <f t="shared" ref="AI451:AI464" si="173">$AF451*U451</f>
        <v>0</v>
      </c>
      <c r="AJ451" s="210">
        <f>SUM(AG451:AI451)</f>
        <v>0</v>
      </c>
      <c r="AK451" s="221">
        <f t="shared" ref="AK451:AK464" si="174">$AF451*V451</f>
        <v>0</v>
      </c>
      <c r="AL451" s="184"/>
      <c r="AM451" s="221">
        <f t="shared" ref="AM451:AM464" si="175">$AL451*S451</f>
        <v>0</v>
      </c>
      <c r="AN451" s="221">
        <f t="shared" ref="AN451:AN464" si="176">$AL451*T451</f>
        <v>0</v>
      </c>
      <c r="AO451" s="221">
        <f t="shared" ref="AO451:AO464" si="177">$AL451*U451</f>
        <v>0</v>
      </c>
      <c r="AP451" s="210">
        <f t="shared" ref="AP451:AP464" si="178">SUM(AM451:AO451)</f>
        <v>0</v>
      </c>
      <c r="AQ451" s="222">
        <f t="shared" ref="AQ451:AQ464" si="179">$AL451*V451</f>
        <v>0</v>
      </c>
      <c r="AS451" s="717"/>
      <c r="AT451" s="718"/>
      <c r="AU451" s="718"/>
      <c r="AV451" s="718"/>
      <c r="AW451" s="718"/>
      <c r="AX451" s="718"/>
      <c r="AY451" s="718"/>
      <c r="AZ451" s="718"/>
      <c r="BA451" s="718"/>
      <c r="BB451" s="718"/>
      <c r="BC451" s="718"/>
      <c r="BD451" s="718"/>
      <c r="BE451" s="719">
        <f>S451</f>
        <v>0</v>
      </c>
      <c r="BF451" s="719">
        <f>T451</f>
        <v>0</v>
      </c>
      <c r="BG451" s="720">
        <f>U451</f>
        <v>0</v>
      </c>
      <c r="BH451" s="717"/>
      <c r="BI451" s="718"/>
      <c r="BJ451" s="721"/>
    </row>
    <row r="452" spans="2:62" ht="12.75" customHeight="1" outlineLevel="1" x14ac:dyDescent="0.2">
      <c r="B452" s="200" t="str">
        <f>'Emissions factors'!$B$1172</f>
        <v>&lt; 1.5 t diesel V6.1 [1]</v>
      </c>
      <c r="C452" s="201"/>
      <c r="D452" s="262">
        <f t="shared" si="169"/>
        <v>0</v>
      </c>
      <c r="E452" s="265">
        <f t="shared" si="170"/>
        <v>0</v>
      </c>
      <c r="F452" s="442"/>
      <c r="G452" s="493">
        <f>VLOOKUP($B452,'Emissions factors'!$B$1171:$K$1216,2,FALSE)</f>
        <v>2.4749999999999998E-2</v>
      </c>
      <c r="H452" s="493">
        <f>VLOOKUP($B452,'Emissions factors'!$B$1171:$K$1216,3,FALSE)</f>
        <v>2.0214821023255811E-2</v>
      </c>
      <c r="I452" s="493">
        <f>VLOOKUP($B452,'Emissions factors'!$B$1171:$K$1216,4,FALSE)</f>
        <v>0.19164599999999998</v>
      </c>
      <c r="J452" s="493">
        <f>VLOOKUP($B452,'Emissions factors'!$B$1171:$K$1216,5,FALSE)</f>
        <v>2.0214821023255811E-2</v>
      </c>
      <c r="K452" s="493">
        <f>VLOOKUP($B452,'Emissions factors'!$B$1171:$K$1216,6,FALSE)</f>
        <v>0.19164599999999998</v>
      </c>
      <c r="L452" s="496">
        <f>VLOOKUP($B452,'Emissions factors'!$B$1171:$K$1216,7,FALSE)</f>
        <v>0.2</v>
      </c>
      <c r="M452" s="496">
        <f>VLOOKUP($B452,'Emissions factors'!$B$1171:$K$1216,8,FALSE)</f>
        <v>0.26058444187301394</v>
      </c>
      <c r="N452" s="495">
        <f>VLOOKUP($B452,'Emissions factors'!$B$1171:$K$1216,9,FALSE)</f>
        <v>0.46050331760971941</v>
      </c>
      <c r="O452" s="185"/>
      <c r="P452" s="272">
        <f t="shared" ref="P452:P463" si="180">G452/(M452*(1-L452)*N452)</f>
        <v>0.25781249999999994</v>
      </c>
      <c r="Q452" s="272">
        <f t="shared" ref="Q452:Q463" si="181">(H452+(J452-H452)*(1-L452)*M452)/(M452*N452*(1-L452))</f>
        <v>0.21057105232558132</v>
      </c>
      <c r="R452" s="272">
        <f t="shared" ref="R452:R463" si="182">(I452+(K452-I452)*(1-L452)*M452)/(M452*N452*(1-L452))</f>
        <v>1.9963124999999995</v>
      </c>
      <c r="S452" s="465">
        <f t="shared" ref="S452:S464" si="183">O452*P452</f>
        <v>0</v>
      </c>
      <c r="T452" s="465">
        <f t="shared" ref="T452:T464" si="184">O452*Q452</f>
        <v>0</v>
      </c>
      <c r="U452" s="210">
        <f t="shared" ref="U452:U464" si="185">O452*R452</f>
        <v>0</v>
      </c>
      <c r="V452" s="222">
        <f>IF(OR(F452='Info utili'!$G$532,F452='Info utili'!$G$537),U452,0)</f>
        <v>0</v>
      </c>
      <c r="W452" s="316"/>
      <c r="X452" s="282">
        <f>VLOOKUP($B452,'Emissions factors'!$B$1171:$K$1216,10,FALSE)</f>
        <v>8.661075162385995E-2</v>
      </c>
      <c r="Y452" s="186"/>
      <c r="Z452" s="221">
        <f>S452*SQRT(X452^2+Y452^2)</f>
        <v>0</v>
      </c>
      <c r="AA452" s="221">
        <f t="shared" ref="AA452:AA464" si="186">T452*SQRT(X452^2+Y452^2)</f>
        <v>0</v>
      </c>
      <c r="AB452" s="221">
        <f>U452*SQRT(X452^2+Y452^2)</f>
        <v>0</v>
      </c>
      <c r="AC452" s="210">
        <f>SQRT(SUMSQ(Z452:AB452))</f>
        <v>0</v>
      </c>
      <c r="AD452" s="222">
        <f>V452*SQRT(X452^2+Y452^2)</f>
        <v>0</v>
      </c>
      <c r="AE452" s="316"/>
      <c r="AF452" s="187"/>
      <c r="AG452" s="221">
        <f t="shared" si="171"/>
        <v>0</v>
      </c>
      <c r="AH452" s="221">
        <f t="shared" si="172"/>
        <v>0</v>
      </c>
      <c r="AI452" s="221">
        <f t="shared" si="173"/>
        <v>0</v>
      </c>
      <c r="AJ452" s="210">
        <f>SUM(AG452:AI452)</f>
        <v>0</v>
      </c>
      <c r="AK452" s="221">
        <f t="shared" si="174"/>
        <v>0</v>
      </c>
      <c r="AL452" s="187"/>
      <c r="AM452" s="221">
        <f t="shared" si="175"/>
        <v>0</v>
      </c>
      <c r="AN452" s="221">
        <f t="shared" si="176"/>
        <v>0</v>
      </c>
      <c r="AO452" s="221">
        <f t="shared" si="177"/>
        <v>0</v>
      </c>
      <c r="AP452" s="210">
        <f t="shared" si="178"/>
        <v>0</v>
      </c>
      <c r="AQ452" s="222">
        <f t="shared" si="179"/>
        <v>0</v>
      </c>
      <c r="AS452" s="717"/>
      <c r="AT452" s="718"/>
      <c r="AU452" s="718"/>
      <c r="AV452" s="718"/>
      <c r="AW452" s="718"/>
      <c r="AX452" s="718"/>
      <c r="AY452" s="718"/>
      <c r="AZ452" s="718"/>
      <c r="BA452" s="718"/>
      <c r="BB452" s="718"/>
      <c r="BC452" s="718"/>
      <c r="BD452" s="718"/>
      <c r="BE452" s="719">
        <f t="shared" ref="BE452:BE464" si="187">S452</f>
        <v>0</v>
      </c>
      <c r="BF452" s="719">
        <f t="shared" ref="BF452:BF464" si="188">T452</f>
        <v>0</v>
      </c>
      <c r="BG452" s="720">
        <f t="shared" ref="BG452:BG464" si="189">U452</f>
        <v>0</v>
      </c>
      <c r="BH452" s="717"/>
      <c r="BI452" s="718"/>
      <c r="BJ452" s="721"/>
    </row>
    <row r="453" spans="2:62" ht="12.75" customHeight="1" outlineLevel="1" x14ac:dyDescent="0.2">
      <c r="B453" s="200" t="str">
        <f>'Emissions factors'!$B$1173</f>
        <v>1.5 to 2.5 tonnes petrol V6.1 [1]</v>
      </c>
      <c r="C453" s="201"/>
      <c r="D453" s="262">
        <f t="shared" si="169"/>
        <v>0</v>
      </c>
      <c r="E453" s="265">
        <f t="shared" si="170"/>
        <v>0</v>
      </c>
      <c r="F453" s="442"/>
      <c r="G453" s="493">
        <f>VLOOKUP($B453,'Emissions factors'!$B$1171:$K$1216,2,FALSE)</f>
        <v>4.0333333333333332E-2</v>
      </c>
      <c r="H453" s="493">
        <f>VLOOKUP($B453,'Emissions factors'!$B$1171:$K$1216,3,FALSE)</f>
        <v>3.8822018062015497E-2</v>
      </c>
      <c r="I453" s="493">
        <f>VLOOKUP($B453,'Emissions factors'!$B$1171:$K$1216,4,FALSE)</f>
        <v>0.23038069999999999</v>
      </c>
      <c r="J453" s="493">
        <f>VLOOKUP($B453,'Emissions factors'!$B$1171:$K$1216,5,FALSE)</f>
        <v>3.8822018062015497E-2</v>
      </c>
      <c r="K453" s="493">
        <f>VLOOKUP($B453,'Emissions factors'!$B$1171:$K$1216,6,FALSE)</f>
        <v>0.23038069999999999</v>
      </c>
      <c r="L453" s="496">
        <f>VLOOKUP($B453,'Emissions factors'!$B$1171:$K$1216,7,FALSE)</f>
        <v>0.2</v>
      </c>
      <c r="M453" s="496">
        <f>VLOOKUP($B453,'Emissions factors'!$B$1171:$K$1216,8,FALSE)</f>
        <v>0.30134917135427164</v>
      </c>
      <c r="N453" s="495">
        <f>VLOOKUP($B453,'Emissions factors'!$B$1171:$K$1216,9,FALSE)</f>
        <v>0.69686602772542594</v>
      </c>
      <c r="O453" s="185"/>
      <c r="P453" s="272">
        <f t="shared" si="180"/>
        <v>0.24007936507936506</v>
      </c>
      <c r="Q453" s="272">
        <f t="shared" si="181"/>
        <v>0.23108344084533033</v>
      </c>
      <c r="R453" s="272">
        <f t="shared" si="182"/>
        <v>1.3713136904761904</v>
      </c>
      <c r="S453" s="465">
        <f t="shared" si="183"/>
        <v>0</v>
      </c>
      <c r="T453" s="465">
        <f t="shared" si="184"/>
        <v>0</v>
      </c>
      <c r="U453" s="210">
        <f t="shared" si="185"/>
        <v>0</v>
      </c>
      <c r="V453" s="222">
        <f>IF(OR(F453='Info utili'!$G$532,F453='Info utili'!$G$537),U453,0)</f>
        <v>0</v>
      </c>
      <c r="W453" s="316"/>
      <c r="X453" s="282">
        <f>VLOOKUP($B453,'Emissions factors'!$B$1171:$K$1216,10,FALSE)</f>
        <v>0.10863614244021699</v>
      </c>
      <c r="Y453" s="186"/>
      <c r="Z453" s="221">
        <f>S453*SQRT(X453^2+Y453^2)</f>
        <v>0</v>
      </c>
      <c r="AA453" s="221">
        <f t="shared" si="186"/>
        <v>0</v>
      </c>
      <c r="AB453" s="221">
        <f>U453*SQRT(X453^2+Y453^2)</f>
        <v>0</v>
      </c>
      <c r="AC453" s="210">
        <f>SQRT(SUMSQ(Z453:AB453))</f>
        <v>0</v>
      </c>
      <c r="AD453" s="222">
        <f>V453*SQRT(X453^2+Y453^2)</f>
        <v>0</v>
      </c>
      <c r="AE453" s="316"/>
      <c r="AF453" s="187"/>
      <c r="AG453" s="221">
        <f t="shared" si="171"/>
        <v>0</v>
      </c>
      <c r="AH453" s="221">
        <f t="shared" si="172"/>
        <v>0</v>
      </c>
      <c r="AI453" s="221">
        <f t="shared" si="173"/>
        <v>0</v>
      </c>
      <c r="AJ453" s="210">
        <f>SUM(AG453:AI453)</f>
        <v>0</v>
      </c>
      <c r="AK453" s="221">
        <f t="shared" si="174"/>
        <v>0</v>
      </c>
      <c r="AL453" s="187"/>
      <c r="AM453" s="221">
        <f t="shared" si="175"/>
        <v>0</v>
      </c>
      <c r="AN453" s="221">
        <f t="shared" si="176"/>
        <v>0</v>
      </c>
      <c r="AO453" s="221">
        <f t="shared" si="177"/>
        <v>0</v>
      </c>
      <c r="AP453" s="210">
        <f t="shared" si="178"/>
        <v>0</v>
      </c>
      <c r="AQ453" s="222">
        <f t="shared" si="179"/>
        <v>0</v>
      </c>
      <c r="AS453" s="717"/>
      <c r="AT453" s="718"/>
      <c r="AU453" s="718"/>
      <c r="AV453" s="718"/>
      <c r="AW453" s="718"/>
      <c r="AX453" s="718"/>
      <c r="AY453" s="718"/>
      <c r="AZ453" s="718"/>
      <c r="BA453" s="718"/>
      <c r="BB453" s="718"/>
      <c r="BC453" s="718"/>
      <c r="BD453" s="718"/>
      <c r="BE453" s="719">
        <f t="shared" si="187"/>
        <v>0</v>
      </c>
      <c r="BF453" s="719">
        <f t="shared" si="188"/>
        <v>0</v>
      </c>
      <c r="BG453" s="720">
        <f t="shared" si="189"/>
        <v>0</v>
      </c>
      <c r="BH453" s="717"/>
      <c r="BI453" s="718"/>
      <c r="BJ453" s="721"/>
    </row>
    <row r="454" spans="2:62" ht="12.75" customHeight="1" outlineLevel="1" x14ac:dyDescent="0.2">
      <c r="B454" s="200" t="str">
        <f>'Emissions factors'!$B$1174</f>
        <v>1.5 to 2.5 tonnes diesel, V6.1 [1]</v>
      </c>
      <c r="C454" s="201"/>
      <c r="D454" s="262">
        <f t="shared" si="169"/>
        <v>0</v>
      </c>
      <c r="E454" s="265">
        <f t="shared" si="170"/>
        <v>0</v>
      </c>
      <c r="F454" s="442"/>
      <c r="G454" s="493">
        <f>VLOOKUP($B454,'Emissions factors'!$B$1171:$K$1216,2,FALSE)</f>
        <v>3.0249999999999999E-2</v>
      </c>
      <c r="H454" s="493">
        <f>VLOOKUP($B454,'Emissions factors'!$B$1171:$K$1216,3,FALSE)</f>
        <v>2.3583957860465115E-2</v>
      </c>
      <c r="I454" s="493">
        <f>VLOOKUP($B454,'Emissions factors'!$B$1171:$K$1216,4,FALSE)</f>
        <v>0.22358700000000001</v>
      </c>
      <c r="J454" s="493">
        <f>VLOOKUP($B454,'Emissions factors'!$B$1171:$K$1216,5,FALSE)</f>
        <v>2.3583957860465115E-2</v>
      </c>
      <c r="K454" s="493">
        <f>VLOOKUP($B454,'Emissions factors'!$B$1171:$K$1216,6,FALSE)</f>
        <v>0.22358700000000001</v>
      </c>
      <c r="L454" s="496">
        <f>VLOOKUP($B454,'Emissions factors'!$B$1171:$K$1216,7,FALSE)</f>
        <v>0.2</v>
      </c>
      <c r="M454" s="496">
        <f>VLOOKUP($B454,'Emissions factors'!$B$1171:$K$1216,8,FALSE)</f>
        <v>0.30134917135427164</v>
      </c>
      <c r="N454" s="495">
        <f>VLOOKUP($B454,'Emissions factors'!$B$1171:$K$1216,9,FALSE)</f>
        <v>0.69686602772542594</v>
      </c>
      <c r="O454" s="185"/>
      <c r="P454" s="272">
        <f t="shared" si="180"/>
        <v>0.18005952380952378</v>
      </c>
      <c r="Q454" s="272">
        <f t="shared" si="181"/>
        <v>0.14038070155038759</v>
      </c>
      <c r="R454" s="272">
        <f t="shared" si="182"/>
        <v>1.330875</v>
      </c>
      <c r="S454" s="465">
        <f t="shared" si="183"/>
        <v>0</v>
      </c>
      <c r="T454" s="465">
        <f t="shared" si="184"/>
        <v>0</v>
      </c>
      <c r="U454" s="210">
        <f t="shared" si="185"/>
        <v>0</v>
      </c>
      <c r="V454" s="222">
        <f>IF(OR(F454='Info utili'!$G$532,F454='Info utili'!$G$537),U454,0)</f>
        <v>0</v>
      </c>
      <c r="W454" s="316"/>
      <c r="X454" s="282">
        <f>VLOOKUP($B454,'Emissions factors'!$B$1171:$K$1216,10,FALSE)</f>
        <v>9.906803042200836E-2</v>
      </c>
      <c r="Y454" s="186"/>
      <c r="Z454" s="221">
        <f t="shared" ref="Z454:Z464" si="190">S454*SQRT(X454^2+Y454^2)</f>
        <v>0</v>
      </c>
      <c r="AA454" s="221">
        <f t="shared" si="186"/>
        <v>0</v>
      </c>
      <c r="AB454" s="221">
        <f t="shared" ref="AB454:AB464" si="191">U454*SQRT(X454^2+Y454^2)</f>
        <v>0</v>
      </c>
      <c r="AC454" s="210">
        <f t="shared" ref="AC454:AC464" si="192">SQRT(SUMSQ(Z454:AB454))</f>
        <v>0</v>
      </c>
      <c r="AD454" s="222">
        <f t="shared" ref="AD454:AD464" si="193">V454*SQRT(X454^2+Y454^2)</f>
        <v>0</v>
      </c>
      <c r="AE454" s="316"/>
      <c r="AF454" s="187"/>
      <c r="AG454" s="221">
        <f t="shared" si="171"/>
        <v>0</v>
      </c>
      <c r="AH454" s="221">
        <f t="shared" si="172"/>
        <v>0</v>
      </c>
      <c r="AI454" s="221">
        <f t="shared" si="173"/>
        <v>0</v>
      </c>
      <c r="AJ454" s="210">
        <f>SUM(AG454:AI454)</f>
        <v>0</v>
      </c>
      <c r="AK454" s="221">
        <f t="shared" si="174"/>
        <v>0</v>
      </c>
      <c r="AL454" s="187"/>
      <c r="AM454" s="221">
        <f t="shared" si="175"/>
        <v>0</v>
      </c>
      <c r="AN454" s="221">
        <f t="shared" si="176"/>
        <v>0</v>
      </c>
      <c r="AO454" s="221">
        <f t="shared" si="177"/>
        <v>0</v>
      </c>
      <c r="AP454" s="210">
        <f t="shared" si="178"/>
        <v>0</v>
      </c>
      <c r="AQ454" s="222">
        <f t="shared" si="179"/>
        <v>0</v>
      </c>
      <c r="AS454" s="717"/>
      <c r="AT454" s="718"/>
      <c r="AU454" s="718"/>
      <c r="AV454" s="718"/>
      <c r="AW454" s="718"/>
      <c r="AX454" s="718"/>
      <c r="AY454" s="718"/>
      <c r="AZ454" s="718"/>
      <c r="BA454" s="718"/>
      <c r="BB454" s="718"/>
      <c r="BC454" s="718"/>
      <c r="BD454" s="718"/>
      <c r="BE454" s="719">
        <f t="shared" si="187"/>
        <v>0</v>
      </c>
      <c r="BF454" s="719">
        <f t="shared" si="188"/>
        <v>0</v>
      </c>
      <c r="BG454" s="720">
        <f t="shared" si="189"/>
        <v>0</v>
      </c>
      <c r="BH454" s="717"/>
      <c r="BI454" s="718"/>
      <c r="BJ454" s="721"/>
    </row>
    <row r="455" spans="2:62" ht="12.75" customHeight="1" outlineLevel="1" x14ac:dyDescent="0.2">
      <c r="B455" s="200" t="str">
        <f>'Emissions factors'!$B$1175</f>
        <v>2.6 to 3.5 tonnes petrol V6.1 [1]</v>
      </c>
      <c r="C455" s="201"/>
      <c r="D455" s="262">
        <f t="shared" si="169"/>
        <v>0</v>
      </c>
      <c r="E455" s="265">
        <f t="shared" si="170"/>
        <v>0</v>
      </c>
      <c r="F455" s="442"/>
      <c r="G455" s="493">
        <f>VLOOKUP($B455,'Emissions factors'!$B$1171:$K$1216,2,FALSE)</f>
        <v>4.6749999999999993E-2</v>
      </c>
      <c r="H455" s="493">
        <f>VLOOKUP($B455,'Emissions factors'!$B$1171:$K$1216,3,FALSE)</f>
        <v>6.8245021224806177E-2</v>
      </c>
      <c r="I455" s="493">
        <f>VLOOKUP($B455,'Emissions factors'!$B$1171:$K$1216,4,FALSE)</f>
        <v>0.40498501999999997</v>
      </c>
      <c r="J455" s="493">
        <f>VLOOKUP($B455,'Emissions factors'!$B$1171:$K$1216,5,FALSE)</f>
        <v>6.8245021224806177E-2</v>
      </c>
      <c r="K455" s="493">
        <f>VLOOKUP($B455,'Emissions factors'!$B$1171:$K$1216,6,FALSE)</f>
        <v>0.40498501999999997</v>
      </c>
      <c r="L455" s="496">
        <f>VLOOKUP($B455,'Emissions factors'!$B$1171:$K$1216,7,FALSE)</f>
        <v>0.2</v>
      </c>
      <c r="M455" s="496">
        <f>VLOOKUP($B455,'Emissions factors'!$B$1171:$K$1216,8,FALSE)</f>
        <v>0.29041032669715572</v>
      </c>
      <c r="N455" s="495">
        <f>VLOOKUP($B455,'Emissions factors'!$B$1171:$K$1216,9,FALSE)</f>
        <v>1.2396253400982309</v>
      </c>
      <c r="O455" s="185"/>
      <c r="P455" s="272">
        <f t="shared" si="180"/>
        <v>0.16232638888888887</v>
      </c>
      <c r="Q455" s="272">
        <f t="shared" si="181"/>
        <v>0.23696187925279924</v>
      </c>
      <c r="R455" s="272">
        <f t="shared" si="182"/>
        <v>1.4061979861111111</v>
      </c>
      <c r="S455" s="465">
        <f t="shared" si="183"/>
        <v>0</v>
      </c>
      <c r="T455" s="465">
        <f t="shared" si="184"/>
        <v>0</v>
      </c>
      <c r="U455" s="210">
        <f t="shared" si="185"/>
        <v>0</v>
      </c>
      <c r="V455" s="222">
        <f>IF(OR(F455='Info utili'!$G$532,F455='Info utili'!$G$537),U455,0)</f>
        <v>0</v>
      </c>
      <c r="W455" s="316"/>
      <c r="X455" s="282">
        <f>VLOOKUP($B455,'Emissions factors'!$B$1171:$K$1216,10,FALSE)</f>
        <v>0.10843974304941136</v>
      </c>
      <c r="Y455" s="186"/>
      <c r="Z455" s="221">
        <f t="shared" si="190"/>
        <v>0</v>
      </c>
      <c r="AA455" s="221">
        <f t="shared" si="186"/>
        <v>0</v>
      </c>
      <c r="AB455" s="221">
        <f t="shared" si="191"/>
        <v>0</v>
      </c>
      <c r="AC455" s="210">
        <f t="shared" si="192"/>
        <v>0</v>
      </c>
      <c r="AD455" s="222">
        <f t="shared" si="193"/>
        <v>0</v>
      </c>
      <c r="AE455" s="316"/>
      <c r="AF455" s="187"/>
      <c r="AG455" s="221">
        <f t="shared" si="171"/>
        <v>0</v>
      </c>
      <c r="AH455" s="221">
        <f t="shared" si="172"/>
        <v>0</v>
      </c>
      <c r="AI455" s="221">
        <f t="shared" si="173"/>
        <v>0</v>
      </c>
      <c r="AJ455" s="210">
        <f t="shared" ref="AJ455:AJ464" si="194">SUM(AG455:AI455)</f>
        <v>0</v>
      </c>
      <c r="AK455" s="221">
        <f t="shared" si="174"/>
        <v>0</v>
      </c>
      <c r="AL455" s="187"/>
      <c r="AM455" s="221">
        <f t="shared" si="175"/>
        <v>0</v>
      </c>
      <c r="AN455" s="221">
        <f t="shared" si="176"/>
        <v>0</v>
      </c>
      <c r="AO455" s="221">
        <f t="shared" si="177"/>
        <v>0</v>
      </c>
      <c r="AP455" s="210">
        <f t="shared" si="178"/>
        <v>0</v>
      </c>
      <c r="AQ455" s="222">
        <f t="shared" si="179"/>
        <v>0</v>
      </c>
      <c r="AS455" s="717"/>
      <c r="AT455" s="718"/>
      <c r="AU455" s="718"/>
      <c r="AV455" s="718"/>
      <c r="AW455" s="718"/>
      <c r="AX455" s="718"/>
      <c r="AY455" s="718"/>
      <c r="AZ455" s="718"/>
      <c r="BA455" s="718"/>
      <c r="BB455" s="718"/>
      <c r="BC455" s="718"/>
      <c r="BD455" s="718"/>
      <c r="BE455" s="719">
        <f t="shared" si="187"/>
        <v>0</v>
      </c>
      <c r="BF455" s="719">
        <f t="shared" si="188"/>
        <v>0</v>
      </c>
      <c r="BG455" s="720">
        <f t="shared" si="189"/>
        <v>0</v>
      </c>
      <c r="BH455" s="717"/>
      <c r="BI455" s="718"/>
      <c r="BJ455" s="721"/>
    </row>
    <row r="456" spans="2:62" ht="12.75" customHeight="1" outlineLevel="1" x14ac:dyDescent="0.2">
      <c r="B456" s="200" t="str">
        <f>'Emissions factors'!$B$1176</f>
        <v>2.6 to 3.5 tonnes diesel V6.1 [1]</v>
      </c>
      <c r="C456" s="201"/>
      <c r="D456" s="262">
        <f t="shared" si="169"/>
        <v>0</v>
      </c>
      <c r="E456" s="265">
        <f t="shared" si="170"/>
        <v>0</v>
      </c>
      <c r="F456" s="442"/>
      <c r="G456" s="493">
        <f>VLOOKUP($B456,'Emissions factors'!$B$1171:$K$1216,2,FALSE)</f>
        <v>3.7400000000000003E-2</v>
      </c>
      <c r="H456" s="493">
        <f>VLOOKUP($B456,'Emissions factors'!$B$1171:$K$1216,3,FALSE)</f>
        <v>3.0322231534883722E-2</v>
      </c>
      <c r="I456" s="493">
        <f>VLOOKUP($B456,'Emissions factors'!$B$1171:$K$1216,4,FALSE)</f>
        <v>0.28746900000000003</v>
      </c>
      <c r="J456" s="493">
        <f>VLOOKUP($B456,'Emissions factors'!$B$1171:$K$1216,5,FALSE)</f>
        <v>3.0322231534883722E-2</v>
      </c>
      <c r="K456" s="493">
        <f>VLOOKUP($B456,'Emissions factors'!$B$1171:$K$1216,6,FALSE)</f>
        <v>0.28746900000000003</v>
      </c>
      <c r="L456" s="496">
        <f>VLOOKUP($B456,'Emissions factors'!$B$1171:$K$1216,7,FALSE)</f>
        <v>0.2</v>
      </c>
      <c r="M456" s="496">
        <f>VLOOKUP($B456,'Emissions factors'!$B$1171:$K$1216,8,FALSE)</f>
        <v>0.29041032669715572</v>
      </c>
      <c r="N456" s="495">
        <f>VLOOKUP($B456,'Emissions factors'!$B$1171:$K$1216,9,FALSE)</f>
        <v>1.2396253400982309</v>
      </c>
      <c r="O456" s="185"/>
      <c r="P456" s="272">
        <f t="shared" si="180"/>
        <v>0.12986111111111112</v>
      </c>
      <c r="Q456" s="272">
        <f t="shared" si="181"/>
        <v>0.10528552616279072</v>
      </c>
      <c r="R456" s="272">
        <f t="shared" si="182"/>
        <v>0.99815625000000019</v>
      </c>
      <c r="S456" s="465">
        <f t="shared" si="183"/>
        <v>0</v>
      </c>
      <c r="T456" s="465">
        <f t="shared" si="184"/>
        <v>0</v>
      </c>
      <c r="U456" s="210">
        <f t="shared" si="185"/>
        <v>0</v>
      </c>
      <c r="V456" s="222">
        <f>IF(OR(F456='Info utili'!$G$532,F456='Info utili'!$G$537),U456,0)</f>
        <v>0</v>
      </c>
      <c r="W456" s="316"/>
      <c r="X456" s="282">
        <f>VLOOKUP($B456,'Emissions factors'!$B$1171:$K$1216,10,FALSE)</f>
        <v>0.11844200487424614</v>
      </c>
      <c r="Y456" s="186"/>
      <c r="Z456" s="221">
        <f t="shared" si="190"/>
        <v>0</v>
      </c>
      <c r="AA456" s="221">
        <f t="shared" si="186"/>
        <v>0</v>
      </c>
      <c r="AB456" s="221">
        <f t="shared" si="191"/>
        <v>0</v>
      </c>
      <c r="AC456" s="210">
        <f t="shared" si="192"/>
        <v>0</v>
      </c>
      <c r="AD456" s="222">
        <f t="shared" si="193"/>
        <v>0</v>
      </c>
      <c r="AE456" s="316"/>
      <c r="AF456" s="187"/>
      <c r="AG456" s="221">
        <f t="shared" si="171"/>
        <v>0</v>
      </c>
      <c r="AH456" s="221">
        <f t="shared" si="172"/>
        <v>0</v>
      </c>
      <c r="AI456" s="221">
        <f t="shared" si="173"/>
        <v>0</v>
      </c>
      <c r="AJ456" s="210">
        <f t="shared" si="194"/>
        <v>0</v>
      </c>
      <c r="AK456" s="221">
        <f t="shared" si="174"/>
        <v>0</v>
      </c>
      <c r="AL456" s="187"/>
      <c r="AM456" s="221">
        <f t="shared" si="175"/>
        <v>0</v>
      </c>
      <c r="AN456" s="221">
        <f t="shared" si="176"/>
        <v>0</v>
      </c>
      <c r="AO456" s="221">
        <f t="shared" si="177"/>
        <v>0</v>
      </c>
      <c r="AP456" s="210">
        <f t="shared" si="178"/>
        <v>0</v>
      </c>
      <c r="AQ456" s="222">
        <f t="shared" si="179"/>
        <v>0</v>
      </c>
      <c r="AS456" s="717"/>
      <c r="AT456" s="718"/>
      <c r="AU456" s="718"/>
      <c r="AV456" s="718"/>
      <c r="AW456" s="718"/>
      <c r="AX456" s="718"/>
      <c r="AY456" s="718"/>
      <c r="AZ456" s="718"/>
      <c r="BA456" s="718"/>
      <c r="BB456" s="718"/>
      <c r="BC456" s="718"/>
      <c r="BD456" s="718"/>
      <c r="BE456" s="719">
        <f t="shared" si="187"/>
        <v>0</v>
      </c>
      <c r="BF456" s="719">
        <f t="shared" si="188"/>
        <v>0</v>
      </c>
      <c r="BG456" s="720">
        <f t="shared" si="189"/>
        <v>0</v>
      </c>
      <c r="BH456" s="717"/>
      <c r="BI456" s="718"/>
      <c r="BJ456" s="721"/>
    </row>
    <row r="457" spans="2:62" ht="12.75" customHeight="1" outlineLevel="1" x14ac:dyDescent="0.2">
      <c r="B457" s="200" t="str">
        <f>'Emissions factors'!$B$1177</f>
        <v>3.5 tonnes, V6.1 [1]</v>
      </c>
      <c r="C457" s="201"/>
      <c r="D457" s="262">
        <f t="shared" si="169"/>
        <v>0</v>
      </c>
      <c r="E457" s="265">
        <f t="shared" si="170"/>
        <v>0</v>
      </c>
      <c r="F457" s="442"/>
      <c r="G457" s="493">
        <f>VLOOKUP($B457,'Emissions factors'!$B$1171:$K$1216,2,FALSE)</f>
        <v>3.85E-2</v>
      </c>
      <c r="H457" s="493">
        <f>VLOOKUP($B457,'Emissions factors'!$B$1171:$K$1216,3,FALSE)</f>
        <v>3.4814413984496119E-2</v>
      </c>
      <c r="I457" s="493">
        <f>VLOOKUP($B457,'Emissions factors'!$B$1171:$K$1216,4,FALSE)</f>
        <v>0.33005699999999999</v>
      </c>
      <c r="J457" s="493">
        <f>VLOOKUP($B457,'Emissions factors'!$B$1171:$K$1216,5,FALSE)</f>
        <v>3.4814413984496119E-2</v>
      </c>
      <c r="K457" s="493">
        <f>VLOOKUP($B457,'Emissions factors'!$B$1171:$K$1216,6,FALSE)</f>
        <v>0.33005699999999999</v>
      </c>
      <c r="L457" s="496">
        <f>VLOOKUP($B457,'Emissions factors'!$B$1171:$K$1216,7,FALSE)</f>
        <v>0.2</v>
      </c>
      <c r="M457" s="496">
        <f>VLOOKUP($B457,'Emissions factors'!$B$1171:$K$1216,8,FALSE)</f>
        <v>0.3</v>
      </c>
      <c r="N457" s="495">
        <f>VLOOKUP($B457,'Emissions factors'!$B$1171:$K$1216,9,FALSE)</f>
        <v>1.4</v>
      </c>
      <c r="O457" s="185"/>
      <c r="P457" s="272">
        <f t="shared" si="180"/>
        <v>0.11458333333333334</v>
      </c>
      <c r="Q457" s="272">
        <f t="shared" si="181"/>
        <v>0.10361432733480987</v>
      </c>
      <c r="R457" s="272">
        <f t="shared" si="182"/>
        <v>0.98231249999999992</v>
      </c>
      <c r="S457" s="465">
        <f t="shared" si="183"/>
        <v>0</v>
      </c>
      <c r="T457" s="465">
        <f t="shared" si="184"/>
        <v>0</v>
      </c>
      <c r="U457" s="210">
        <f t="shared" si="185"/>
        <v>0</v>
      </c>
      <c r="V457" s="222">
        <f>IF(OR(F457='Info utili'!$G$532,F457='Info utili'!$G$537),U457,0)</f>
        <v>0</v>
      </c>
      <c r="W457" s="316"/>
      <c r="X457" s="282">
        <f>VLOOKUP($B457,'Emissions factors'!$B$1171:$K$1216,10,FALSE)</f>
        <v>0.1120395970869712</v>
      </c>
      <c r="Y457" s="186"/>
      <c r="Z457" s="221">
        <f t="shared" si="190"/>
        <v>0</v>
      </c>
      <c r="AA457" s="221">
        <f t="shared" si="186"/>
        <v>0</v>
      </c>
      <c r="AB457" s="221">
        <f t="shared" si="191"/>
        <v>0</v>
      </c>
      <c r="AC457" s="210">
        <f t="shared" si="192"/>
        <v>0</v>
      </c>
      <c r="AD457" s="222">
        <f t="shared" si="193"/>
        <v>0</v>
      </c>
      <c r="AE457" s="316"/>
      <c r="AF457" s="187"/>
      <c r="AG457" s="221">
        <f t="shared" si="171"/>
        <v>0</v>
      </c>
      <c r="AH457" s="221">
        <f t="shared" si="172"/>
        <v>0</v>
      </c>
      <c r="AI457" s="221">
        <f t="shared" si="173"/>
        <v>0</v>
      </c>
      <c r="AJ457" s="210">
        <f t="shared" si="194"/>
        <v>0</v>
      </c>
      <c r="AK457" s="221">
        <f t="shared" si="174"/>
        <v>0</v>
      </c>
      <c r="AL457" s="187"/>
      <c r="AM457" s="221">
        <f t="shared" si="175"/>
        <v>0</v>
      </c>
      <c r="AN457" s="221">
        <f t="shared" si="176"/>
        <v>0</v>
      </c>
      <c r="AO457" s="221">
        <f t="shared" si="177"/>
        <v>0</v>
      </c>
      <c r="AP457" s="210">
        <f t="shared" si="178"/>
        <v>0</v>
      </c>
      <c r="AQ457" s="222">
        <f t="shared" si="179"/>
        <v>0</v>
      </c>
      <c r="AS457" s="717"/>
      <c r="AT457" s="718"/>
      <c r="AU457" s="718"/>
      <c r="AV457" s="718"/>
      <c r="AW457" s="718"/>
      <c r="AX457" s="718"/>
      <c r="AY457" s="718"/>
      <c r="AZ457" s="718"/>
      <c r="BA457" s="718"/>
      <c r="BB457" s="718"/>
      <c r="BC457" s="718"/>
      <c r="BD457" s="718"/>
      <c r="BE457" s="719">
        <f t="shared" si="187"/>
        <v>0</v>
      </c>
      <c r="BF457" s="719">
        <f t="shared" si="188"/>
        <v>0</v>
      </c>
      <c r="BG457" s="720">
        <f t="shared" si="189"/>
        <v>0</v>
      </c>
      <c r="BH457" s="717"/>
      <c r="BI457" s="718"/>
      <c r="BJ457" s="721"/>
    </row>
    <row r="458" spans="2:62" ht="12.75" customHeight="1" outlineLevel="1" x14ac:dyDescent="0.2">
      <c r="B458" s="200" t="str">
        <f>'Emissions factors'!$B$1178</f>
        <v>3,6 to 5 tonnes, V6.1 [1]</v>
      </c>
      <c r="C458" s="201"/>
      <c r="D458" s="262">
        <f t="shared" si="169"/>
        <v>0</v>
      </c>
      <c r="E458" s="265">
        <f t="shared" si="170"/>
        <v>0</v>
      </c>
      <c r="F458" s="442"/>
      <c r="G458" s="493">
        <f>VLOOKUP($B458,'Emissions factors'!$B$1171:$K$1216,2,FALSE)</f>
        <v>4.3477449095827986E-2</v>
      </c>
      <c r="H458" s="493">
        <f>VLOOKUP($B458,'Emissions factors'!$B$1171:$K$1216,3,FALSE)</f>
        <v>4.6989744980568841E-2</v>
      </c>
      <c r="I458" s="493">
        <f>VLOOKUP($B458,'Emissions factors'!$B$1171:$K$1216,4,FALSE)</f>
        <v>0.44548485767872908</v>
      </c>
      <c r="J458" s="493">
        <f>VLOOKUP($B458,'Emissions factors'!$B$1171:$K$1216,5,FALSE)</f>
        <v>6.7619389118379544E-2</v>
      </c>
      <c r="K458" s="493">
        <f>VLOOKUP($B458,'Emissions factors'!$B$1171:$K$1216,6,FALSE)</f>
        <v>0.64106357568402461</v>
      </c>
      <c r="L458" s="496">
        <f>VLOOKUP($B458,'Emissions factors'!$B$1171:$K$1216,7,FALSE)</f>
        <v>0.2</v>
      </c>
      <c r="M458" s="496">
        <f>VLOOKUP($B458,'Emissions factors'!$B$1171:$K$1216,8,FALSE)</f>
        <v>0.3</v>
      </c>
      <c r="N458" s="495">
        <f>VLOOKUP($B458,'Emissions factors'!$B$1171:$K$1216,9,FALSE)</f>
        <v>2.3714972234087996</v>
      </c>
      <c r="O458" s="185"/>
      <c r="P458" s="272">
        <f t="shared" si="180"/>
        <v>7.6388888888888881E-2</v>
      </c>
      <c r="Q458" s="272">
        <f t="shared" si="181"/>
        <v>9.1258908544042436E-2</v>
      </c>
      <c r="R458" s="272">
        <f t="shared" si="182"/>
        <v>0.86517732542430892</v>
      </c>
      <c r="S458" s="465">
        <f t="shared" si="183"/>
        <v>0</v>
      </c>
      <c r="T458" s="465">
        <f t="shared" si="184"/>
        <v>0</v>
      </c>
      <c r="U458" s="210">
        <f t="shared" si="185"/>
        <v>0</v>
      </c>
      <c r="V458" s="222">
        <f>IF(OR(F458='Info utili'!$G$532,F458='Info utili'!$G$537),U458,0)</f>
        <v>0</v>
      </c>
      <c r="W458" s="316"/>
      <c r="X458" s="282">
        <f>VLOOKUP($B458,'Emissions factors'!$B$1171:$K$1216,10,FALSE)</f>
        <v>9.8074719213274708E-2</v>
      </c>
      <c r="Y458" s="186"/>
      <c r="Z458" s="221">
        <f t="shared" si="190"/>
        <v>0</v>
      </c>
      <c r="AA458" s="221">
        <f t="shared" si="186"/>
        <v>0</v>
      </c>
      <c r="AB458" s="221">
        <f t="shared" si="191"/>
        <v>0</v>
      </c>
      <c r="AC458" s="210">
        <f t="shared" si="192"/>
        <v>0</v>
      </c>
      <c r="AD458" s="222">
        <f t="shared" si="193"/>
        <v>0</v>
      </c>
      <c r="AE458" s="316"/>
      <c r="AF458" s="187"/>
      <c r="AG458" s="221">
        <f t="shared" si="171"/>
        <v>0</v>
      </c>
      <c r="AH458" s="221">
        <f t="shared" si="172"/>
        <v>0</v>
      </c>
      <c r="AI458" s="221">
        <f t="shared" si="173"/>
        <v>0</v>
      </c>
      <c r="AJ458" s="210">
        <f t="shared" si="194"/>
        <v>0</v>
      </c>
      <c r="AK458" s="221">
        <f t="shared" si="174"/>
        <v>0</v>
      </c>
      <c r="AL458" s="187"/>
      <c r="AM458" s="221">
        <f t="shared" si="175"/>
        <v>0</v>
      </c>
      <c r="AN458" s="221">
        <f t="shared" si="176"/>
        <v>0</v>
      </c>
      <c r="AO458" s="221">
        <f t="shared" si="177"/>
        <v>0</v>
      </c>
      <c r="AP458" s="210">
        <f t="shared" si="178"/>
        <v>0</v>
      </c>
      <c r="AQ458" s="222">
        <f t="shared" si="179"/>
        <v>0</v>
      </c>
      <c r="AS458" s="717"/>
      <c r="AT458" s="718"/>
      <c r="AU458" s="718"/>
      <c r="AV458" s="718"/>
      <c r="AW458" s="718"/>
      <c r="AX458" s="718"/>
      <c r="AY458" s="718"/>
      <c r="AZ458" s="718"/>
      <c r="BA458" s="718"/>
      <c r="BB458" s="718"/>
      <c r="BC458" s="718"/>
      <c r="BD458" s="718"/>
      <c r="BE458" s="719">
        <f t="shared" si="187"/>
        <v>0</v>
      </c>
      <c r="BF458" s="719">
        <f t="shared" si="188"/>
        <v>0</v>
      </c>
      <c r="BG458" s="720">
        <f t="shared" si="189"/>
        <v>0</v>
      </c>
      <c r="BH458" s="717"/>
      <c r="BI458" s="718"/>
      <c r="BJ458" s="721"/>
    </row>
    <row r="459" spans="2:62" ht="12.75" customHeight="1" outlineLevel="1" x14ac:dyDescent="0.2">
      <c r="B459" s="200" t="str">
        <f>'Emissions factors'!$B$1179</f>
        <v>5.1 to 6 tonnes, V6.1 [1]</v>
      </c>
      <c r="C459" s="201"/>
      <c r="D459" s="262">
        <f t="shared" si="169"/>
        <v>0</v>
      </c>
      <c r="E459" s="265">
        <f t="shared" si="170"/>
        <v>0</v>
      </c>
      <c r="F459" s="442"/>
      <c r="G459" s="493">
        <f>VLOOKUP($B459,'Emissions factors'!$B$1171:$K$1216,2,FALSE)</f>
        <v>5.2000138335546703E-2</v>
      </c>
      <c r="H459" s="493">
        <f>VLOOKUP($B459,'Emissions factors'!$B$1171:$K$1216,3,FALSE)</f>
        <v>3.6829800119905311E-2</v>
      </c>
      <c r="I459" s="493">
        <f>VLOOKUP($B459,'Emissions factors'!$B$1171:$K$1216,4,FALSE)</f>
        <v>0.34916380736981473</v>
      </c>
      <c r="J459" s="493">
        <f>VLOOKUP($B459,'Emissions factors'!$B$1171:$K$1216,5,FALSE)</f>
        <v>5.2998980660351531E-2</v>
      </c>
      <c r="K459" s="493">
        <f>VLOOKUP($B459,'Emissions factors'!$B$1171:$K$1216,6,FALSE)</f>
        <v>0.50245523499558697</v>
      </c>
      <c r="L459" s="496">
        <f>VLOOKUP($B459,'Emissions factors'!$B$1171:$K$1216,7,FALSE)</f>
        <v>0.2</v>
      </c>
      <c r="M459" s="496">
        <f>VLOOKUP($B459,'Emissions factors'!$B$1171:$K$1216,8,FALSE)</f>
        <v>0.3</v>
      </c>
      <c r="N459" s="495">
        <f>VLOOKUP($B459,'Emissions factors'!$B$1171:$K$1216,9,FALSE)</f>
        <v>2.8363711819389108</v>
      </c>
      <c r="O459" s="185"/>
      <c r="P459" s="272">
        <f t="shared" si="180"/>
        <v>7.6388888888888895E-2</v>
      </c>
      <c r="Q459" s="272">
        <f t="shared" si="181"/>
        <v>5.9804119474975354E-2</v>
      </c>
      <c r="R459" s="272">
        <f t="shared" si="182"/>
        <v>0.56697114793723646</v>
      </c>
      <c r="S459" s="465">
        <f t="shared" si="183"/>
        <v>0</v>
      </c>
      <c r="T459" s="465">
        <f t="shared" si="184"/>
        <v>0</v>
      </c>
      <c r="U459" s="210">
        <f t="shared" si="185"/>
        <v>0</v>
      </c>
      <c r="V459" s="222">
        <f>IF(OR(F459='Info utili'!$G$532,F459='Info utili'!$G$537),U459,0)</f>
        <v>0</v>
      </c>
      <c r="W459" s="316"/>
      <c r="X459" s="282">
        <f>VLOOKUP($B459,'Emissions factors'!$B$1171:$K$1216,10,FALSE)</f>
        <v>0.12061335156639592</v>
      </c>
      <c r="Y459" s="186"/>
      <c r="Z459" s="221">
        <f t="shared" si="190"/>
        <v>0</v>
      </c>
      <c r="AA459" s="221">
        <f t="shared" si="186"/>
        <v>0</v>
      </c>
      <c r="AB459" s="221">
        <f t="shared" si="191"/>
        <v>0</v>
      </c>
      <c r="AC459" s="210">
        <f t="shared" si="192"/>
        <v>0</v>
      </c>
      <c r="AD459" s="222">
        <f t="shared" si="193"/>
        <v>0</v>
      </c>
      <c r="AE459" s="316"/>
      <c r="AF459" s="187"/>
      <c r="AG459" s="221">
        <f t="shared" si="171"/>
        <v>0</v>
      </c>
      <c r="AH459" s="221">
        <f t="shared" si="172"/>
        <v>0</v>
      </c>
      <c r="AI459" s="221">
        <f t="shared" si="173"/>
        <v>0</v>
      </c>
      <c r="AJ459" s="210">
        <f t="shared" si="194"/>
        <v>0</v>
      </c>
      <c r="AK459" s="221">
        <f t="shared" si="174"/>
        <v>0</v>
      </c>
      <c r="AL459" s="187"/>
      <c r="AM459" s="221">
        <f t="shared" si="175"/>
        <v>0</v>
      </c>
      <c r="AN459" s="221">
        <f t="shared" si="176"/>
        <v>0</v>
      </c>
      <c r="AO459" s="221">
        <f t="shared" si="177"/>
        <v>0</v>
      </c>
      <c r="AP459" s="210">
        <f t="shared" si="178"/>
        <v>0</v>
      </c>
      <c r="AQ459" s="222">
        <f t="shared" si="179"/>
        <v>0</v>
      </c>
      <c r="AS459" s="717"/>
      <c r="AT459" s="718"/>
      <c r="AU459" s="718"/>
      <c r="AV459" s="718"/>
      <c r="AW459" s="718"/>
      <c r="AX459" s="718"/>
      <c r="AY459" s="718"/>
      <c r="AZ459" s="718"/>
      <c r="BA459" s="718"/>
      <c r="BB459" s="718"/>
      <c r="BC459" s="718"/>
      <c r="BD459" s="718"/>
      <c r="BE459" s="719">
        <f t="shared" si="187"/>
        <v>0</v>
      </c>
      <c r="BF459" s="719">
        <f t="shared" si="188"/>
        <v>0</v>
      </c>
      <c r="BG459" s="720">
        <f t="shared" si="189"/>
        <v>0</v>
      </c>
      <c r="BH459" s="717"/>
      <c r="BI459" s="718"/>
      <c r="BJ459" s="721"/>
    </row>
    <row r="460" spans="2:62" ht="12.75" customHeight="1" outlineLevel="1" x14ac:dyDescent="0.2">
      <c r="B460" s="200" t="str">
        <f>'Emissions factors'!$B$1180</f>
        <v>6.1 to 10.9 tonnes, V6.1 [1]</v>
      </c>
      <c r="C460" s="201"/>
      <c r="D460" s="262">
        <f t="shared" si="169"/>
        <v>0</v>
      </c>
      <c r="E460" s="265">
        <f t="shared" si="170"/>
        <v>0</v>
      </c>
      <c r="F460" s="442"/>
      <c r="G460" s="493">
        <f>VLOOKUP($B460,'Emissions factors'!$B$1171:$K$1216,2,FALSE)</f>
        <v>5.9457783482842363E-2</v>
      </c>
      <c r="H460" s="493">
        <f>VLOOKUP($B460,'Emissions factors'!$B$1171:$K$1216,3,FALSE)</f>
        <v>5.4640146955834516E-2</v>
      </c>
      <c r="I460" s="493">
        <f>VLOOKUP($B460,'Emissions factors'!$B$1171:$K$1216,4,FALSE)</f>
        <v>0.51801426247855564</v>
      </c>
      <c r="J460" s="493">
        <f>VLOOKUP($B460,'Emissions factors'!$B$1171:$K$1216,5,FALSE)</f>
        <v>7.8628504155956971E-2</v>
      </c>
      <c r="K460" s="493">
        <f>VLOOKUP($B460,'Emissions factors'!$B$1171:$K$1216,6,FALSE)</f>
        <v>0.74543515820084838</v>
      </c>
      <c r="L460" s="496">
        <f>VLOOKUP($B460,'Emissions factors'!$B$1171:$K$1216,7,FALSE)</f>
        <v>0.19024681226320964</v>
      </c>
      <c r="M460" s="496">
        <f>VLOOKUP($B460,'Emissions factors'!$B$1171:$K$1216,8,FALSE)</f>
        <v>0.35246971129152921</v>
      </c>
      <c r="N460" s="495">
        <f>VLOOKUP($B460,'Emissions factors'!$B$1171:$K$1216,9,FALSE)</f>
        <v>4.6948483581257348</v>
      </c>
      <c r="O460" s="185"/>
      <c r="P460" s="272">
        <f t="shared" si="180"/>
        <v>4.4372375214804111E-2</v>
      </c>
      <c r="Q460" s="272">
        <f t="shared" si="181"/>
        <v>4.5886557843045447E-2</v>
      </c>
      <c r="R460" s="272">
        <f t="shared" si="182"/>
        <v>0.43502612534988083</v>
      </c>
      <c r="S460" s="465">
        <f t="shared" si="183"/>
        <v>0</v>
      </c>
      <c r="T460" s="465">
        <f t="shared" si="184"/>
        <v>0</v>
      </c>
      <c r="U460" s="210">
        <f t="shared" si="185"/>
        <v>0</v>
      </c>
      <c r="V460" s="222">
        <f>IF(OR(F460='Info utili'!$G$532,F460='Info utili'!$G$537),U460,0)</f>
        <v>0</v>
      </c>
      <c r="W460" s="316"/>
      <c r="X460" s="282">
        <f>VLOOKUP($B460,'Emissions factors'!$B$1171:$K$1216,10,FALSE)</f>
        <v>0.10490741346622363</v>
      </c>
      <c r="Y460" s="186"/>
      <c r="Z460" s="221">
        <f t="shared" si="190"/>
        <v>0</v>
      </c>
      <c r="AA460" s="221">
        <f t="shared" si="186"/>
        <v>0</v>
      </c>
      <c r="AB460" s="221">
        <f t="shared" si="191"/>
        <v>0</v>
      </c>
      <c r="AC460" s="210">
        <f t="shared" si="192"/>
        <v>0</v>
      </c>
      <c r="AD460" s="222">
        <f t="shared" si="193"/>
        <v>0</v>
      </c>
      <c r="AE460" s="316"/>
      <c r="AF460" s="187"/>
      <c r="AG460" s="221">
        <f t="shared" si="171"/>
        <v>0</v>
      </c>
      <c r="AH460" s="221">
        <f t="shared" si="172"/>
        <v>0</v>
      </c>
      <c r="AI460" s="221">
        <f t="shared" si="173"/>
        <v>0</v>
      </c>
      <c r="AJ460" s="210">
        <f t="shared" si="194"/>
        <v>0</v>
      </c>
      <c r="AK460" s="221">
        <f t="shared" si="174"/>
        <v>0</v>
      </c>
      <c r="AL460" s="187"/>
      <c r="AM460" s="221">
        <f t="shared" si="175"/>
        <v>0</v>
      </c>
      <c r="AN460" s="221">
        <f t="shared" si="176"/>
        <v>0</v>
      </c>
      <c r="AO460" s="221">
        <f t="shared" si="177"/>
        <v>0</v>
      </c>
      <c r="AP460" s="210">
        <f t="shared" si="178"/>
        <v>0</v>
      </c>
      <c r="AQ460" s="222">
        <f t="shared" si="179"/>
        <v>0</v>
      </c>
      <c r="AS460" s="717"/>
      <c r="AT460" s="718"/>
      <c r="AU460" s="718"/>
      <c r="AV460" s="718"/>
      <c r="AW460" s="718"/>
      <c r="AX460" s="718"/>
      <c r="AY460" s="718"/>
      <c r="AZ460" s="718"/>
      <c r="BA460" s="718"/>
      <c r="BB460" s="718"/>
      <c r="BC460" s="718"/>
      <c r="BD460" s="718"/>
      <c r="BE460" s="719">
        <f t="shared" si="187"/>
        <v>0</v>
      </c>
      <c r="BF460" s="719">
        <f t="shared" si="188"/>
        <v>0</v>
      </c>
      <c r="BG460" s="720">
        <f t="shared" si="189"/>
        <v>0</v>
      </c>
      <c r="BH460" s="717"/>
      <c r="BI460" s="718"/>
      <c r="BJ460" s="721"/>
    </row>
    <row r="461" spans="2:62" ht="12.75" customHeight="1" outlineLevel="1" x14ac:dyDescent="0.2">
      <c r="B461" s="200" t="str">
        <f>'Emissions factors'!$B$1181</f>
        <v>11 to 19 tonnes, V6.1 [1]</v>
      </c>
      <c r="C461" s="201"/>
      <c r="D461" s="262">
        <f t="shared" si="169"/>
        <v>0</v>
      </c>
      <c r="E461" s="265">
        <f t="shared" si="170"/>
        <v>0</v>
      </c>
      <c r="F461" s="442"/>
      <c r="G461" s="493">
        <f>VLOOKUP($B461,'Emissions factors'!$B$1171:$K$1216,2,FALSE)</f>
        <v>7.479177736456262E-2</v>
      </c>
      <c r="H461" s="493">
        <f>VLOOKUP($B461,'Emissions factors'!$B$1171:$K$1216,3,FALSE)</f>
        <v>7.1865176377148066E-2</v>
      </c>
      <c r="I461" s="493">
        <f>VLOOKUP($B461,'Emissions factors'!$B$1171:$K$1216,4,FALSE)</f>
        <v>0.68131563352108671</v>
      </c>
      <c r="J461" s="493">
        <f>VLOOKUP($B461,'Emissions factors'!$B$1171:$K$1216,5,FALSE)</f>
        <v>0.10341574161589596</v>
      </c>
      <c r="K461" s="493">
        <f>VLOOKUP($B461,'Emissions factors'!$B$1171:$K$1216,6,FALSE)</f>
        <v>0.98042981409131968</v>
      </c>
      <c r="L461" s="496">
        <f>VLOOKUP($B461,'Emissions factors'!$B$1171:$K$1216,7,FALSE)</f>
        <v>0.17752736029736885</v>
      </c>
      <c r="M461" s="496">
        <f>VLOOKUP($B461,'Emissions factors'!$B$1171:$K$1216,8,FALSE)</f>
        <v>0.43315705673044191</v>
      </c>
      <c r="N461" s="495">
        <f>VLOOKUP($B461,'Emissions factors'!$B$1171:$K$1216,9,FALSE)</f>
        <v>9.7909235822700165</v>
      </c>
      <c r="O461" s="185"/>
      <c r="P461" s="272">
        <f t="shared" si="180"/>
        <v>2.1441903609743834E-2</v>
      </c>
      <c r="Q461" s="272">
        <f t="shared" si="181"/>
        <v>2.3825312217553882E-2</v>
      </c>
      <c r="R461" s="272">
        <f t="shared" si="182"/>
        <v>0.2258751526908114</v>
      </c>
      <c r="S461" s="465">
        <f t="shared" si="183"/>
        <v>0</v>
      </c>
      <c r="T461" s="465">
        <f t="shared" si="184"/>
        <v>0</v>
      </c>
      <c r="U461" s="210">
        <f t="shared" si="185"/>
        <v>0</v>
      </c>
      <c r="V461" s="222">
        <f>IF(OR(F461='Info utili'!$G$532,F461='Info utili'!$G$537),U461,0)</f>
        <v>0</v>
      </c>
      <c r="W461" s="316"/>
      <c r="X461" s="282">
        <f>VLOOKUP($B461,'Emissions factors'!$B$1171:$K$1216,10,FALSE)</f>
        <v>0.10140191635304184</v>
      </c>
      <c r="Y461" s="186"/>
      <c r="Z461" s="221">
        <f t="shared" si="190"/>
        <v>0</v>
      </c>
      <c r="AA461" s="221">
        <f t="shared" si="186"/>
        <v>0</v>
      </c>
      <c r="AB461" s="221">
        <f t="shared" si="191"/>
        <v>0</v>
      </c>
      <c r="AC461" s="210">
        <f t="shared" si="192"/>
        <v>0</v>
      </c>
      <c r="AD461" s="222">
        <f t="shared" si="193"/>
        <v>0</v>
      </c>
      <c r="AE461" s="316"/>
      <c r="AF461" s="187"/>
      <c r="AG461" s="221">
        <f t="shared" si="171"/>
        <v>0</v>
      </c>
      <c r="AH461" s="221">
        <f t="shared" si="172"/>
        <v>0</v>
      </c>
      <c r="AI461" s="221">
        <f t="shared" si="173"/>
        <v>0</v>
      </c>
      <c r="AJ461" s="210">
        <f t="shared" si="194"/>
        <v>0</v>
      </c>
      <c r="AK461" s="221">
        <f t="shared" si="174"/>
        <v>0</v>
      </c>
      <c r="AL461" s="187"/>
      <c r="AM461" s="221">
        <f t="shared" si="175"/>
        <v>0</v>
      </c>
      <c r="AN461" s="221">
        <f t="shared" si="176"/>
        <v>0</v>
      </c>
      <c r="AO461" s="221">
        <f t="shared" si="177"/>
        <v>0</v>
      </c>
      <c r="AP461" s="210">
        <f t="shared" si="178"/>
        <v>0</v>
      </c>
      <c r="AQ461" s="222">
        <f t="shared" si="179"/>
        <v>0</v>
      </c>
      <c r="AS461" s="717"/>
      <c r="AT461" s="718"/>
      <c r="AU461" s="718"/>
      <c r="AV461" s="718"/>
      <c r="AW461" s="718"/>
      <c r="AX461" s="718"/>
      <c r="AY461" s="718"/>
      <c r="AZ461" s="718"/>
      <c r="BA461" s="718"/>
      <c r="BB461" s="718"/>
      <c r="BC461" s="718"/>
      <c r="BD461" s="718"/>
      <c r="BE461" s="719">
        <f t="shared" si="187"/>
        <v>0</v>
      </c>
      <c r="BF461" s="719">
        <f t="shared" si="188"/>
        <v>0</v>
      </c>
      <c r="BG461" s="720">
        <f t="shared" si="189"/>
        <v>0</v>
      </c>
      <c r="BH461" s="717"/>
      <c r="BI461" s="718"/>
      <c r="BJ461" s="721"/>
    </row>
    <row r="462" spans="2:62" ht="12.75" customHeight="1" outlineLevel="1" x14ac:dyDescent="0.2">
      <c r="B462" s="200" t="str">
        <f>'Emissions factors'!$B$1182</f>
        <v>19.1 to 21 tonnes, V6.1 [1]</v>
      </c>
      <c r="C462" s="201"/>
      <c r="D462" s="262">
        <f t="shared" si="169"/>
        <v>0</v>
      </c>
      <c r="E462" s="265">
        <f t="shared" si="170"/>
        <v>0</v>
      </c>
      <c r="F462" s="442"/>
      <c r="G462" s="493">
        <f>VLOOKUP($B462,'Emissions factors'!$B$1171:$K$1216,2,FALSE)</f>
        <v>7.7475799086758002E-2</v>
      </c>
      <c r="H462" s="493">
        <f>VLOOKUP($B462,'Emissions factors'!$B$1171:$K$1216,3,FALSE)</f>
        <v>8.2893044645934402E-2</v>
      </c>
      <c r="I462" s="493">
        <f>VLOOKUP($B462,'Emissions factors'!$B$1171:$K$1216,4,FALSE)</f>
        <v>0.78586500547983185</v>
      </c>
      <c r="J462" s="493">
        <f>VLOOKUP($B462,'Emissions factors'!$B$1171:$K$1216,5,FALSE)</f>
        <v>0.11928511302707633</v>
      </c>
      <c r="K462" s="493">
        <f>VLOOKUP($B462,'Emissions factors'!$B$1171:$K$1216,6,FALSE)</f>
        <v>1.1308789103246357</v>
      </c>
      <c r="L462" s="496">
        <f>VLOOKUP($B462,'Emissions factors'!$B$1171:$K$1216,7,FALSE)</f>
        <v>0.14978943133299677</v>
      </c>
      <c r="M462" s="496">
        <f>VLOOKUP($B462,'Emissions factors'!$B$1171:$K$1216,8,FALSE)</f>
        <v>0.42427163527195022</v>
      </c>
      <c r="N462" s="495">
        <f>VLOOKUP($B462,'Emissions factors'!$B$1171:$K$1216,9,FALSE)</f>
        <v>11.621369863013697</v>
      </c>
      <c r="O462" s="185"/>
      <c r="P462" s="272">
        <f t="shared" si="180"/>
        <v>1.8481543711033513E-2</v>
      </c>
      <c r="Q462" s="272">
        <f t="shared" si="181"/>
        <v>2.2905284464183263E-2</v>
      </c>
      <c r="R462" s="272">
        <f t="shared" si="182"/>
        <v>0.2171528573699861</v>
      </c>
      <c r="S462" s="465">
        <f t="shared" si="183"/>
        <v>0</v>
      </c>
      <c r="T462" s="465">
        <f t="shared" si="184"/>
        <v>0</v>
      </c>
      <c r="U462" s="210">
        <f t="shared" si="185"/>
        <v>0</v>
      </c>
      <c r="V462" s="222">
        <f>IF(OR(F462='Info utili'!$G$532,F462='Info utili'!$G$537),U462,0)</f>
        <v>0</v>
      </c>
      <c r="W462" s="316"/>
      <c r="X462" s="282">
        <f>VLOOKUP($B462,'Emissions factors'!$B$1171:$K$1216,10,FALSE)</f>
        <v>9.646483338462726E-2</v>
      </c>
      <c r="Y462" s="186"/>
      <c r="Z462" s="221">
        <f t="shared" si="190"/>
        <v>0</v>
      </c>
      <c r="AA462" s="221">
        <f t="shared" si="186"/>
        <v>0</v>
      </c>
      <c r="AB462" s="221">
        <f t="shared" si="191"/>
        <v>0</v>
      </c>
      <c r="AC462" s="210">
        <f t="shared" si="192"/>
        <v>0</v>
      </c>
      <c r="AD462" s="222">
        <f t="shared" si="193"/>
        <v>0</v>
      </c>
      <c r="AE462" s="316"/>
      <c r="AF462" s="187"/>
      <c r="AG462" s="221">
        <f t="shared" si="171"/>
        <v>0</v>
      </c>
      <c r="AH462" s="221">
        <f t="shared" si="172"/>
        <v>0</v>
      </c>
      <c r="AI462" s="221">
        <f t="shared" si="173"/>
        <v>0</v>
      </c>
      <c r="AJ462" s="210">
        <f t="shared" si="194"/>
        <v>0</v>
      </c>
      <c r="AK462" s="221">
        <f t="shared" si="174"/>
        <v>0</v>
      </c>
      <c r="AL462" s="187"/>
      <c r="AM462" s="221">
        <f t="shared" si="175"/>
        <v>0</v>
      </c>
      <c r="AN462" s="221">
        <f t="shared" si="176"/>
        <v>0</v>
      </c>
      <c r="AO462" s="221">
        <f t="shared" si="177"/>
        <v>0</v>
      </c>
      <c r="AP462" s="210">
        <f t="shared" si="178"/>
        <v>0</v>
      </c>
      <c r="AQ462" s="222">
        <f t="shared" si="179"/>
        <v>0</v>
      </c>
      <c r="AS462" s="717"/>
      <c r="AT462" s="718"/>
      <c r="AU462" s="718"/>
      <c r="AV462" s="718"/>
      <c r="AW462" s="718"/>
      <c r="AX462" s="718"/>
      <c r="AY462" s="718"/>
      <c r="AZ462" s="718"/>
      <c r="BA462" s="718"/>
      <c r="BB462" s="718"/>
      <c r="BC462" s="718"/>
      <c r="BD462" s="718"/>
      <c r="BE462" s="719">
        <f t="shared" si="187"/>
        <v>0</v>
      </c>
      <c r="BF462" s="719">
        <f t="shared" si="188"/>
        <v>0</v>
      </c>
      <c r="BG462" s="720">
        <f t="shared" si="189"/>
        <v>0</v>
      </c>
      <c r="BH462" s="717"/>
      <c r="BI462" s="718"/>
      <c r="BJ462" s="721"/>
    </row>
    <row r="463" spans="2:62" ht="12.75" customHeight="1" outlineLevel="1" x14ac:dyDescent="0.2">
      <c r="B463" s="200" t="str">
        <f>'Emissions factors'!$B$1183</f>
        <v>&gt; 21 tonnes, V6.1 [1]</v>
      </c>
      <c r="C463" s="201"/>
      <c r="D463" s="262">
        <f t="shared" si="169"/>
        <v>0</v>
      </c>
      <c r="E463" s="265">
        <f t="shared" si="170"/>
        <v>0</v>
      </c>
      <c r="F463" s="442"/>
      <c r="G463" s="493">
        <f>VLOOKUP($B463,'Emissions factors'!$B$1171:$K$1216,2,FALSE)</f>
        <v>8.6396543947465376E-2</v>
      </c>
      <c r="H463" s="493">
        <f>VLOOKUP($B463,'Emissions factors'!$B$1171:$K$1216,3,FALSE)</f>
        <v>0.10423755116522328</v>
      </c>
      <c r="I463" s="493">
        <f>VLOOKUP($B463,'Emissions factors'!$B$1171:$K$1216,4,FALSE)</f>
        <v>0.98822095469598759</v>
      </c>
      <c r="J463" s="493">
        <f>VLOOKUP($B463,'Emissions factors'!$B$1171:$K$1216,5,FALSE)</f>
        <v>0.15000037850605299</v>
      </c>
      <c r="K463" s="493">
        <f>VLOOKUP($B463,'Emissions factors'!$B$1171:$K$1216,6,FALSE)</f>
        <v>1.4220740567576404</v>
      </c>
      <c r="L463" s="496">
        <f>VLOOKUP($B463,'Emissions factors'!$B$1171:$K$1216,7,FALSE)</f>
        <v>0.29927749338549114</v>
      </c>
      <c r="M463" s="496">
        <f>VLOOKUP($B463,'Emissions factors'!$B$1171:$K$1216,8,FALSE)</f>
        <v>0.49671961708996965</v>
      </c>
      <c r="N463" s="495">
        <f>VLOOKUP($B463,'Emissions factors'!$B$1171:$K$1216,9,FALSE)</f>
        <v>16.659237899917965</v>
      </c>
      <c r="O463" s="185"/>
      <c r="P463" s="272">
        <f t="shared" si="180"/>
        <v>1.4899917406531141E-2</v>
      </c>
      <c r="Q463" s="272">
        <f t="shared" si="181"/>
        <v>2.0723765247207895E-2</v>
      </c>
      <c r="R463" s="272">
        <f t="shared" si="182"/>
        <v>0.19647103033943808</v>
      </c>
      <c r="S463" s="465">
        <f t="shared" si="183"/>
        <v>0</v>
      </c>
      <c r="T463" s="465">
        <f t="shared" si="184"/>
        <v>0</v>
      </c>
      <c r="U463" s="210">
        <f t="shared" si="185"/>
        <v>0</v>
      </c>
      <c r="V463" s="222">
        <f>IF(OR(F463='Info utili'!$G$532,F463='Info utili'!$G$537),U463,0)</f>
        <v>0</v>
      </c>
      <c r="W463" s="316"/>
      <c r="X463" s="282">
        <f>VLOOKUP($B463,'Emissions factors'!$B$1171:$K$1216,10,FALSE)</f>
        <v>9.1728422803538628E-2</v>
      </c>
      <c r="Y463" s="186"/>
      <c r="Z463" s="221">
        <f t="shared" si="190"/>
        <v>0</v>
      </c>
      <c r="AA463" s="221">
        <f t="shared" si="186"/>
        <v>0</v>
      </c>
      <c r="AB463" s="221">
        <f t="shared" si="191"/>
        <v>0</v>
      </c>
      <c r="AC463" s="210">
        <f t="shared" si="192"/>
        <v>0</v>
      </c>
      <c r="AD463" s="222">
        <f t="shared" si="193"/>
        <v>0</v>
      </c>
      <c r="AE463" s="316"/>
      <c r="AF463" s="187"/>
      <c r="AG463" s="221">
        <f t="shared" si="171"/>
        <v>0</v>
      </c>
      <c r="AH463" s="221">
        <f t="shared" si="172"/>
        <v>0</v>
      </c>
      <c r="AI463" s="221">
        <f t="shared" si="173"/>
        <v>0</v>
      </c>
      <c r="AJ463" s="210">
        <f t="shared" si="194"/>
        <v>0</v>
      </c>
      <c r="AK463" s="221">
        <f t="shared" si="174"/>
        <v>0</v>
      </c>
      <c r="AL463" s="187"/>
      <c r="AM463" s="221">
        <f t="shared" si="175"/>
        <v>0</v>
      </c>
      <c r="AN463" s="221">
        <f t="shared" si="176"/>
        <v>0</v>
      </c>
      <c r="AO463" s="221">
        <f t="shared" si="177"/>
        <v>0</v>
      </c>
      <c r="AP463" s="210">
        <f t="shared" si="178"/>
        <v>0</v>
      </c>
      <c r="AQ463" s="222">
        <f t="shared" si="179"/>
        <v>0</v>
      </c>
      <c r="AS463" s="717"/>
      <c r="AT463" s="718"/>
      <c r="AU463" s="718"/>
      <c r="AV463" s="718"/>
      <c r="AW463" s="718"/>
      <c r="AX463" s="718"/>
      <c r="AY463" s="718"/>
      <c r="AZ463" s="718"/>
      <c r="BA463" s="718"/>
      <c r="BB463" s="718"/>
      <c r="BC463" s="718"/>
      <c r="BD463" s="718"/>
      <c r="BE463" s="719">
        <f t="shared" si="187"/>
        <v>0</v>
      </c>
      <c r="BF463" s="719">
        <f t="shared" si="188"/>
        <v>0</v>
      </c>
      <c r="BG463" s="720">
        <f t="shared" si="189"/>
        <v>0</v>
      </c>
      <c r="BH463" s="717"/>
      <c r="BI463" s="718"/>
      <c r="BJ463" s="721"/>
    </row>
    <row r="464" spans="2:62" ht="12.75" customHeight="1" outlineLevel="1" x14ac:dyDescent="0.2">
      <c r="B464" s="200" t="str">
        <f>'Emissions factors'!$B$1184</f>
        <v>Articulated (tractor-trailer), V6.1 [1]</v>
      </c>
      <c r="C464" s="201"/>
      <c r="D464" s="262">
        <f>SUM(S464:U464)</f>
        <v>0</v>
      </c>
      <c r="E464" s="265">
        <f t="shared" si="170"/>
        <v>0</v>
      </c>
      <c r="F464" s="443"/>
      <c r="G464" s="493">
        <f>VLOOKUP($B464,'Emissions factors'!$B$1171:$K$1216,2,FALSE)</f>
        <v>0.10999999999999999</v>
      </c>
      <c r="H464" s="493">
        <f>VLOOKUP($B464,'Emissions factors'!$B$1171:$K$1216,3,FALSE)</f>
        <v>8.6923197162574253E-2</v>
      </c>
      <c r="I464" s="493">
        <f>VLOOKUP($B464,'Emissions factors'!$B$1171:$K$1216,4,FALSE)</f>
        <v>0.82407274465869496</v>
      </c>
      <c r="J464" s="493">
        <f>VLOOKUP($B464,'Emissions factors'!$B$1171:$K$1216,5,FALSE)</f>
        <v>0.12508460079492392</v>
      </c>
      <c r="K464" s="493">
        <f>VLOOKUP($B464,'Emissions factors'!$B$1171:$K$1216,6,FALSE)</f>
        <v>1.1858607788990974</v>
      </c>
      <c r="L464" s="497">
        <f>VLOOKUP($B464,'Emissions factors'!$B$1171:$K$1216,7,FALSE)</f>
        <v>0.21091797527003817</v>
      </c>
      <c r="M464" s="497">
        <f>VLOOKUP($B464,'Emissions factors'!$B$1171:$K$1216,8,FALSE)</f>
        <v>0.57249634491029433</v>
      </c>
      <c r="N464" s="495">
        <f>VLOOKUP($B464,'Emissions factors'!$B$1171:$K$1216,9,FALSE)</f>
        <v>25</v>
      </c>
      <c r="O464" s="188"/>
      <c r="P464" s="272">
        <f>G464/(M464*(1-L464)*N464)</f>
        <v>9.739974232399716E-3</v>
      </c>
      <c r="Q464" s="272">
        <f>(H464+(J464-H464)*(1-L464)*M464)/(M464*N464*(1-L464))</f>
        <v>9.2230897867601087E-3</v>
      </c>
      <c r="R464" s="272">
        <f>(I464+(K464-I464)*(1-L464)*M464)/(M464*N464*(1-L464))</f>
        <v>8.7439224084148823E-2</v>
      </c>
      <c r="S464" s="465">
        <f t="shared" si="183"/>
        <v>0</v>
      </c>
      <c r="T464" s="465">
        <f t="shared" si="184"/>
        <v>0</v>
      </c>
      <c r="U464" s="210">
        <f t="shared" si="185"/>
        <v>0</v>
      </c>
      <c r="V464" s="222">
        <f>IF(OR(F464='Info utili'!$G$532,F464='Info utili'!$G$537),U464,0)</f>
        <v>0</v>
      </c>
      <c r="W464" s="316"/>
      <c r="X464" s="282">
        <f>VLOOKUP($B464,'Emissions factors'!$B$1171:$K$1216,10,FALSE)</f>
        <v>0.10950044274342019</v>
      </c>
      <c r="Y464" s="189"/>
      <c r="Z464" s="221">
        <f t="shared" si="190"/>
        <v>0</v>
      </c>
      <c r="AA464" s="221">
        <f t="shared" si="186"/>
        <v>0</v>
      </c>
      <c r="AB464" s="221">
        <f t="shared" si="191"/>
        <v>0</v>
      </c>
      <c r="AC464" s="210">
        <f t="shared" si="192"/>
        <v>0</v>
      </c>
      <c r="AD464" s="222">
        <f t="shared" si="193"/>
        <v>0</v>
      </c>
      <c r="AE464" s="316"/>
      <c r="AF464" s="190"/>
      <c r="AG464" s="221">
        <f t="shared" si="171"/>
        <v>0</v>
      </c>
      <c r="AH464" s="221">
        <f t="shared" si="172"/>
        <v>0</v>
      </c>
      <c r="AI464" s="221">
        <f t="shared" si="173"/>
        <v>0</v>
      </c>
      <c r="AJ464" s="210">
        <f t="shared" si="194"/>
        <v>0</v>
      </c>
      <c r="AK464" s="221">
        <f t="shared" si="174"/>
        <v>0</v>
      </c>
      <c r="AL464" s="190"/>
      <c r="AM464" s="221">
        <f t="shared" si="175"/>
        <v>0</v>
      </c>
      <c r="AN464" s="221">
        <f t="shared" si="176"/>
        <v>0</v>
      </c>
      <c r="AO464" s="221">
        <f t="shared" si="177"/>
        <v>0</v>
      </c>
      <c r="AP464" s="210">
        <f t="shared" si="178"/>
        <v>0</v>
      </c>
      <c r="AQ464" s="222">
        <f t="shared" si="179"/>
        <v>0</v>
      </c>
      <c r="AS464" s="717"/>
      <c r="AT464" s="718"/>
      <c r="AU464" s="718"/>
      <c r="AV464" s="718"/>
      <c r="AW464" s="718"/>
      <c r="AX464" s="718"/>
      <c r="AY464" s="718"/>
      <c r="AZ464" s="718"/>
      <c r="BA464" s="718"/>
      <c r="BB464" s="718"/>
      <c r="BC464" s="718"/>
      <c r="BD464" s="718"/>
      <c r="BE464" s="719">
        <f t="shared" si="187"/>
        <v>0</v>
      </c>
      <c r="BF464" s="719">
        <f t="shared" si="188"/>
        <v>0</v>
      </c>
      <c r="BG464" s="720">
        <f t="shared" si="189"/>
        <v>0</v>
      </c>
      <c r="BH464" s="717"/>
      <c r="BI464" s="718"/>
      <c r="BJ464" s="721"/>
    </row>
    <row r="465" spans="2:62" ht="12.75" customHeight="1" outlineLevel="1" x14ac:dyDescent="0.2">
      <c r="B465" s="200"/>
      <c r="C465" s="201"/>
      <c r="D465" s="262"/>
      <c r="E465" s="265"/>
      <c r="F465" s="493"/>
      <c r="G465" s="493"/>
      <c r="H465" s="493"/>
      <c r="I465" s="493"/>
      <c r="J465" s="493"/>
      <c r="K465" s="493"/>
      <c r="L465" s="272"/>
      <c r="M465" s="272"/>
      <c r="N465" s="495"/>
      <c r="O465" s="272"/>
      <c r="P465" s="272"/>
      <c r="Q465" s="272"/>
      <c r="R465" s="272"/>
      <c r="S465" s="465"/>
      <c r="T465" s="465"/>
      <c r="U465" s="210"/>
      <c r="V465" s="222"/>
      <c r="W465" s="316"/>
      <c r="X465" s="282"/>
      <c r="Y465" s="272"/>
      <c r="Z465" s="221"/>
      <c r="AA465" s="221"/>
      <c r="AB465" s="221"/>
      <c r="AC465" s="210"/>
      <c r="AD465" s="222"/>
      <c r="AE465" s="316"/>
      <c r="AF465" s="1203"/>
      <c r="AG465" s="221"/>
      <c r="AH465" s="221"/>
      <c r="AI465" s="221"/>
      <c r="AJ465" s="210"/>
      <c r="AK465" s="221"/>
      <c r="AL465" s="221"/>
      <c r="AM465" s="221"/>
      <c r="AN465" s="221"/>
      <c r="AO465" s="221"/>
      <c r="AP465" s="210"/>
      <c r="AQ465" s="222"/>
      <c r="AS465" s="717"/>
      <c r="AT465" s="718"/>
      <c r="AU465" s="718"/>
      <c r="AV465" s="718"/>
      <c r="AW465" s="718"/>
      <c r="AX465" s="718"/>
      <c r="AY465" s="718"/>
      <c r="AZ465" s="718"/>
      <c r="BA465" s="718"/>
      <c r="BB465" s="718"/>
      <c r="BC465" s="718"/>
      <c r="BD465" s="718"/>
      <c r="BE465" s="719"/>
      <c r="BF465" s="719"/>
      <c r="BG465" s="720"/>
      <c r="BH465" s="717"/>
      <c r="BI465" s="718"/>
      <c r="BJ465" s="721"/>
    </row>
    <row r="466" spans="2:62" ht="12.75" customHeight="1" outlineLevel="1" x14ac:dyDescent="0.2">
      <c r="B466" s="704" t="s">
        <v>2782</v>
      </c>
      <c r="C466" s="201"/>
      <c r="D466" s="262"/>
      <c r="E466" s="265"/>
      <c r="F466" s="493"/>
      <c r="G466" s="493"/>
      <c r="H466" s="493"/>
      <c r="I466" s="493"/>
      <c r="J466" s="493"/>
      <c r="K466" s="493"/>
      <c r="L466" s="272"/>
      <c r="M466" s="272"/>
      <c r="N466" s="495"/>
      <c r="O466" s="272"/>
      <c r="P466" s="272"/>
      <c r="Q466" s="272"/>
      <c r="R466" s="272"/>
      <c r="S466" s="465"/>
      <c r="T466" s="465"/>
      <c r="U466" s="210"/>
      <c r="V466" s="222"/>
      <c r="W466" s="316"/>
      <c r="X466" s="282"/>
      <c r="Y466" s="272"/>
      <c r="Z466" s="221"/>
      <c r="AA466" s="221"/>
      <c r="AB466" s="221"/>
      <c r="AC466" s="210"/>
      <c r="AD466" s="222"/>
      <c r="AE466" s="316"/>
      <c r="AF466" s="1225"/>
      <c r="AG466" s="221"/>
      <c r="AH466" s="221"/>
      <c r="AI466" s="221"/>
      <c r="AJ466" s="210"/>
      <c r="AK466" s="221"/>
      <c r="AL466" s="221"/>
      <c r="AM466" s="221"/>
      <c r="AN466" s="221"/>
      <c r="AO466" s="221"/>
      <c r="AP466" s="210"/>
      <c r="AQ466" s="222"/>
      <c r="AS466" s="717"/>
      <c r="AT466" s="718"/>
      <c r="AU466" s="718"/>
      <c r="AV466" s="718"/>
      <c r="AW466" s="718"/>
      <c r="AX466" s="718"/>
      <c r="AY466" s="718"/>
      <c r="AZ466" s="718"/>
      <c r="BA466" s="718"/>
      <c r="BB466" s="718"/>
      <c r="BC466" s="718"/>
      <c r="BD466" s="718"/>
      <c r="BE466" s="719"/>
      <c r="BF466" s="719"/>
      <c r="BG466" s="720"/>
      <c r="BH466" s="717"/>
      <c r="BI466" s="718"/>
      <c r="BJ466" s="721"/>
    </row>
    <row r="467" spans="2:62" ht="12.75" customHeight="1" outlineLevel="1" x14ac:dyDescent="0.2">
      <c r="B467" s="200" t="s">
        <v>1284</v>
      </c>
      <c r="C467" s="201"/>
      <c r="D467" s="262">
        <f>SUM(S467:U467)</f>
        <v>0</v>
      </c>
      <c r="E467" s="265">
        <f>D467*12/44</f>
        <v>0</v>
      </c>
      <c r="F467" s="559"/>
      <c r="G467" s="493"/>
      <c r="H467" s="493"/>
      <c r="I467" s="493"/>
      <c r="J467" s="493"/>
      <c r="K467" s="493"/>
      <c r="L467" s="695"/>
      <c r="M467" s="695"/>
      <c r="N467" s="703" t="str">
        <f>IF(RIGHT(B467,12)="déménagement","m3.km :","tonnes.km :")</f>
        <v>tonnes.km :</v>
      </c>
      <c r="O467" s="182"/>
      <c r="P467" s="272">
        <f>VLOOKUP($B467,'Emissions factors'!$B$1221:$AG$1245,2,FALSE)</f>
        <v>8.8599999999999998E-2</v>
      </c>
      <c r="Q467" s="272">
        <f>VLOOKUP($B467,'Emissions factors'!$B$1221:$AG$1245,3,FALSE)</f>
        <v>0.23090000000000002</v>
      </c>
      <c r="R467" s="272">
        <f>VLOOKUP($B467,'Emissions factors'!$B$1221:$AG$1245,4,FALSE)</f>
        <v>0.88444599999999995</v>
      </c>
      <c r="S467" s="465">
        <f>O467*P467</f>
        <v>0</v>
      </c>
      <c r="T467" s="465">
        <f>O467*Q467</f>
        <v>0</v>
      </c>
      <c r="U467" s="210">
        <f>O467*R467</f>
        <v>0</v>
      </c>
      <c r="V467" s="222">
        <f>IF(OR(F467='Info utili'!$G$532,F467='Info utili'!$G$537),U467,0)</f>
        <v>0</v>
      </c>
      <c r="W467" s="316"/>
      <c r="X467" s="282">
        <f>VLOOKUP($B467,'Emissions factors'!$B$1221:$AG$1245,32,FALSE)</f>
        <v>0.7</v>
      </c>
      <c r="Y467" s="183"/>
      <c r="Z467" s="221">
        <f>S467*SQRT(X467^2+Y467^2)</f>
        <v>0</v>
      </c>
      <c r="AA467" s="221">
        <f>T467*SQRT(X467^2+Y467^2)</f>
        <v>0</v>
      </c>
      <c r="AB467" s="221">
        <f>U467*SQRT(X467^2+Y467^2)</f>
        <v>0</v>
      </c>
      <c r="AC467" s="210">
        <f>SQRT(SUMSQ(Z467:AB467))</f>
        <v>0</v>
      </c>
      <c r="AD467" s="222">
        <f>V467*SQRT(X467^2+Y467^2)</f>
        <v>0</v>
      </c>
      <c r="AE467" s="316"/>
      <c r="AF467" s="184"/>
      <c r="AG467" s="221">
        <f t="shared" ref="AG467:AI471" si="195">$AF467*S467</f>
        <v>0</v>
      </c>
      <c r="AH467" s="221">
        <f t="shared" si="195"/>
        <v>0</v>
      </c>
      <c r="AI467" s="221">
        <f t="shared" si="195"/>
        <v>0</v>
      </c>
      <c r="AJ467" s="210">
        <f>SUM(AG467:AI467)</f>
        <v>0</v>
      </c>
      <c r="AK467" s="221">
        <f>$AF467*V467</f>
        <v>0</v>
      </c>
      <c r="AL467" s="184"/>
      <c r="AM467" s="221">
        <f t="shared" ref="AM467:AO471" si="196">$AL467*S467</f>
        <v>0</v>
      </c>
      <c r="AN467" s="221">
        <f t="shared" si="196"/>
        <v>0</v>
      </c>
      <c r="AO467" s="221">
        <f t="shared" si="196"/>
        <v>0</v>
      </c>
      <c r="AP467" s="210">
        <f>SUM(AM467:AO467)</f>
        <v>0</v>
      </c>
      <c r="AQ467" s="222">
        <f>$AL467*V467</f>
        <v>0</v>
      </c>
      <c r="AS467" s="717">
        <f>O467*VLOOKUP($B467,'Emissions factors'!$B$1221:$AG$1245,5,FALSE)</f>
        <v>0</v>
      </c>
      <c r="AT467" s="718">
        <f>O467*VLOOKUP($B467,'Emissions factors'!$B$1221:$AG$1245,6,FALSE)</f>
        <v>0</v>
      </c>
      <c r="AU467" s="718">
        <f>O467*VLOOKUP($B467,'Emissions factors'!$B$1221:$AG$1245,7,FALSE)</f>
        <v>0</v>
      </c>
      <c r="AV467" s="718">
        <f>O467*VLOOKUP($B467,'Emissions factors'!$B$1221:$AG$1245,8,FALSE)</f>
        <v>0</v>
      </c>
      <c r="AW467" s="718">
        <f>O467*VLOOKUP($B467,'Emissions factors'!$B$1221:$AG$1245,9,FALSE)</f>
        <v>0</v>
      </c>
      <c r="AX467" s="718">
        <f>O467*VLOOKUP($B467,'Emissions factors'!$B$1221:$AG$1245,10,FALSE)</f>
        <v>0</v>
      </c>
      <c r="AY467" s="718">
        <f>O467*VLOOKUP($B467,'Emissions factors'!$B$1221:$AG$1245,11,FALSE)</f>
        <v>0</v>
      </c>
      <c r="AZ467" s="718">
        <f>O467*VLOOKUP($B467,'Emissions factors'!$B$1221:$AG$1245,12,FALSE)</f>
        <v>0</v>
      </c>
      <c r="BA467" s="718">
        <f>O467*VLOOKUP($B467,'Emissions factors'!$B$1221:$AG$1245,13,FALSE)</f>
        <v>0</v>
      </c>
      <c r="BB467" s="718">
        <v>0</v>
      </c>
      <c r="BC467" s="718">
        <v>0</v>
      </c>
      <c r="BD467" s="718">
        <v>0</v>
      </c>
      <c r="BE467" s="719">
        <f t="shared" ref="BE467:BG471" si="197">S467</f>
        <v>0</v>
      </c>
      <c r="BF467" s="719">
        <f t="shared" si="197"/>
        <v>0</v>
      </c>
      <c r="BG467" s="720">
        <f t="shared" si="197"/>
        <v>0</v>
      </c>
      <c r="BH467" s="717">
        <f>O467*VLOOKUP($B467,'Emissions factors'!$B$1221:$AG$1245,29,FALSE)</f>
        <v>0</v>
      </c>
      <c r="BI467" s="718">
        <f>O467*VLOOKUP($B467,'Emissions factors'!$B$1221:$AG$1245,30,FALSE)</f>
        <v>0</v>
      </c>
      <c r="BJ467" s="721">
        <f>O467*VLOOKUP($B467,'Emissions factors'!$B$1221:$AG$1245,31,FALSE)</f>
        <v>0</v>
      </c>
    </row>
    <row r="468" spans="2:62" ht="12.75" customHeight="1" outlineLevel="1" x14ac:dyDescent="0.2">
      <c r="B468" s="200" t="s">
        <v>1292</v>
      </c>
      <c r="C468" s="201"/>
      <c r="D468" s="262">
        <f>SUM(S468:U468)</f>
        <v>0</v>
      </c>
      <c r="E468" s="265">
        <f>D468*12/44</f>
        <v>0</v>
      </c>
      <c r="F468" s="692"/>
      <c r="G468" s="493"/>
      <c r="H468" s="493"/>
      <c r="I468" s="493"/>
      <c r="J468" s="493"/>
      <c r="K468" s="493"/>
      <c r="L468" s="696"/>
      <c r="M468" s="696"/>
      <c r="N468" s="703" t="str">
        <f>IF(RIGHT(B468,12)="déménagement","m3.km :","tonnes.km :")</f>
        <v>tonnes.km :</v>
      </c>
      <c r="O468" s="535"/>
      <c r="P468" s="272">
        <f>VLOOKUP($B468,'Emissions factors'!$B$1221:$AG$1245,2,FALSE)</f>
        <v>1.72E-2</v>
      </c>
      <c r="Q468" s="272">
        <f>VLOOKUP($B468,'Emissions factors'!$B$1221:$AG$1245,3,FALSE)</f>
        <v>3.3330000000000005E-2</v>
      </c>
      <c r="R468" s="272">
        <f>VLOOKUP($B468,'Emissions factors'!$B$1221:$AG$1245,4,FALSE)</f>
        <v>0.1280772</v>
      </c>
      <c r="S468" s="465">
        <f>O468*P468</f>
        <v>0</v>
      </c>
      <c r="T468" s="465">
        <f>O468*Q468</f>
        <v>0</v>
      </c>
      <c r="U468" s="210">
        <f>O468*R468</f>
        <v>0</v>
      </c>
      <c r="V468" s="222">
        <f>IF(OR(F468='Info utili'!$G$532,F468='Info utili'!$G$537),U468,0)</f>
        <v>0</v>
      </c>
      <c r="W468" s="316"/>
      <c r="X468" s="282">
        <f>VLOOKUP($B468,'Emissions factors'!$B$1221:$AG$1245,32,FALSE)</f>
        <v>0.7</v>
      </c>
      <c r="Y468" s="533"/>
      <c r="Z468" s="221">
        <f>S468*SQRT(X468^2+Y468^2)</f>
        <v>0</v>
      </c>
      <c r="AA468" s="221">
        <f>T468*SQRT(X468^2+Y468^2)</f>
        <v>0</v>
      </c>
      <c r="AB468" s="221">
        <f>U468*SQRT(X468^2+Y468^2)</f>
        <v>0</v>
      </c>
      <c r="AC468" s="210">
        <f>SQRT(SUMSQ(Z468:AB468))</f>
        <v>0</v>
      </c>
      <c r="AD468" s="222">
        <f>V468*SQRT(X468^2+Y468^2)</f>
        <v>0</v>
      </c>
      <c r="AE468" s="316"/>
      <c r="AF468" s="531"/>
      <c r="AG468" s="221">
        <f t="shared" si="195"/>
        <v>0</v>
      </c>
      <c r="AH468" s="221">
        <f t="shared" si="195"/>
        <v>0</v>
      </c>
      <c r="AI468" s="221">
        <f t="shared" si="195"/>
        <v>0</v>
      </c>
      <c r="AJ468" s="210">
        <f>SUM(AG468:AI468)</f>
        <v>0</v>
      </c>
      <c r="AK468" s="221">
        <f>$AF468*V468</f>
        <v>0</v>
      </c>
      <c r="AL468" s="187"/>
      <c r="AM468" s="221">
        <f t="shared" si="196"/>
        <v>0</v>
      </c>
      <c r="AN468" s="221">
        <f t="shared" si="196"/>
        <v>0</v>
      </c>
      <c r="AO468" s="221">
        <f t="shared" si="196"/>
        <v>0</v>
      </c>
      <c r="AP468" s="210">
        <f>SUM(AM468:AO468)</f>
        <v>0</v>
      </c>
      <c r="AQ468" s="222">
        <f>$AL468*V468</f>
        <v>0</v>
      </c>
      <c r="AS468" s="717">
        <f>O468*VLOOKUP($B468,'Emissions factors'!$B$1221:$AG$1245,5,FALSE)</f>
        <v>0</v>
      </c>
      <c r="AT468" s="718">
        <f>O468*VLOOKUP($B468,'Emissions factors'!$B$1221:$AG$1245,6,FALSE)</f>
        <v>0</v>
      </c>
      <c r="AU468" s="718">
        <f>O468*VLOOKUP($B468,'Emissions factors'!$B$1221:$AG$1245,7,FALSE)</f>
        <v>0</v>
      </c>
      <c r="AV468" s="718">
        <f>O468*VLOOKUP($B468,'Emissions factors'!$B$1221:$AG$1245,8,FALSE)</f>
        <v>0</v>
      </c>
      <c r="AW468" s="718">
        <f>O468*VLOOKUP($B468,'Emissions factors'!$B$1221:$AG$1245,9,FALSE)</f>
        <v>0</v>
      </c>
      <c r="AX468" s="718">
        <f>O468*VLOOKUP($B468,'Emissions factors'!$B$1221:$AG$1245,10,FALSE)</f>
        <v>0</v>
      </c>
      <c r="AY468" s="718">
        <f>O468*VLOOKUP($B468,'Emissions factors'!$B$1221:$AG$1245,11,FALSE)</f>
        <v>0</v>
      </c>
      <c r="AZ468" s="718">
        <f>O468*VLOOKUP($B468,'Emissions factors'!$B$1221:$AG$1245,12,FALSE)</f>
        <v>0</v>
      </c>
      <c r="BA468" s="718">
        <f>O468*VLOOKUP($B468,'Emissions factors'!$B$1221:$AG$1245,13,FALSE)</f>
        <v>0</v>
      </c>
      <c r="BB468" s="718">
        <v>0</v>
      </c>
      <c r="BC468" s="718">
        <v>0</v>
      </c>
      <c r="BD468" s="718">
        <v>0</v>
      </c>
      <c r="BE468" s="719">
        <f t="shared" si="197"/>
        <v>0</v>
      </c>
      <c r="BF468" s="719">
        <f t="shared" si="197"/>
        <v>0</v>
      </c>
      <c r="BG468" s="720">
        <f t="shared" si="197"/>
        <v>0</v>
      </c>
      <c r="BH468" s="717">
        <f>O468*VLOOKUP($B468,'Emissions factors'!$B$1221:$AG$1245,29,FALSE)</f>
        <v>0</v>
      </c>
      <c r="BI468" s="718">
        <f>O468*VLOOKUP($B468,'Emissions factors'!$B$1221:$AG$1245,30,FALSE)</f>
        <v>0</v>
      </c>
      <c r="BJ468" s="721">
        <f>O468*VLOOKUP($B468,'Emissions factors'!$B$1221:$AG$1245,31,FALSE)</f>
        <v>0</v>
      </c>
    </row>
    <row r="469" spans="2:62" ht="12.75" customHeight="1" outlineLevel="1" x14ac:dyDescent="0.2">
      <c r="B469" s="200" t="s">
        <v>1295</v>
      </c>
      <c r="C469" s="201"/>
      <c r="D469" s="262">
        <f>SUM(S469:U469)</f>
        <v>0</v>
      </c>
      <c r="E469" s="265">
        <f>D469*12/44</f>
        <v>0</v>
      </c>
      <c r="F469" s="692"/>
      <c r="G469" s="493"/>
      <c r="H469" s="493"/>
      <c r="I469" s="493"/>
      <c r="J469" s="493"/>
      <c r="K469" s="493"/>
      <c r="L469" s="696"/>
      <c r="M469" s="696"/>
      <c r="N469" s="703" t="str">
        <f>IF(RIGHT(B469,12)="déménagement","m3.km :","tonnes.km :")</f>
        <v>tonnes.km :</v>
      </c>
      <c r="O469" s="535"/>
      <c r="P469" s="272">
        <f>VLOOKUP($B469,'Emissions factors'!$B$1221:$AG$1245,2,FALSE)</f>
        <v>3.5999999999999997E-2</v>
      </c>
      <c r="Q469" s="272">
        <f>VLOOKUP($B469,'Emissions factors'!$B$1221:$AG$1245,3,FALSE)</f>
        <v>7.077E-2</v>
      </c>
      <c r="R469" s="272">
        <f>VLOOKUP($B469,'Emissions factors'!$B$1221:$AG$1245,4,FALSE)</f>
        <v>0.27128200000000002</v>
      </c>
      <c r="S469" s="465">
        <f>O469*P469</f>
        <v>0</v>
      </c>
      <c r="T469" s="465">
        <f>O469*Q469</f>
        <v>0</v>
      </c>
      <c r="U469" s="210">
        <f>O469*R469</f>
        <v>0</v>
      </c>
      <c r="V469" s="222">
        <f>IF(OR(F469='Info utili'!$G$532,F469='Info utili'!$G$537),U469,0)</f>
        <v>0</v>
      </c>
      <c r="W469" s="316"/>
      <c r="X469" s="282">
        <f>VLOOKUP($B469,'Emissions factors'!$B$1221:$AG$1245,32,FALSE)</f>
        <v>0.7</v>
      </c>
      <c r="Y469" s="533"/>
      <c r="Z469" s="221">
        <f>S469*SQRT(X469^2+Y469^2)</f>
        <v>0</v>
      </c>
      <c r="AA469" s="221">
        <f>T469*SQRT(X469^2+Y469^2)</f>
        <v>0</v>
      </c>
      <c r="AB469" s="221">
        <f>U469*SQRT(X469^2+Y469^2)</f>
        <v>0</v>
      </c>
      <c r="AC469" s="210">
        <f>SQRT(SUMSQ(Z469:AB469))</f>
        <v>0</v>
      </c>
      <c r="AD469" s="222">
        <f>V469*SQRT(X469^2+Y469^2)</f>
        <v>0</v>
      </c>
      <c r="AE469" s="316"/>
      <c r="AF469" s="531"/>
      <c r="AG469" s="221">
        <f t="shared" si="195"/>
        <v>0</v>
      </c>
      <c r="AH469" s="221">
        <f t="shared" si="195"/>
        <v>0</v>
      </c>
      <c r="AI469" s="221">
        <f t="shared" si="195"/>
        <v>0</v>
      </c>
      <c r="AJ469" s="210">
        <f>SUM(AG469:AI469)</f>
        <v>0</v>
      </c>
      <c r="AK469" s="221">
        <f>$AF469*V469</f>
        <v>0</v>
      </c>
      <c r="AL469" s="187"/>
      <c r="AM469" s="221">
        <f t="shared" si="196"/>
        <v>0</v>
      </c>
      <c r="AN469" s="221">
        <f t="shared" si="196"/>
        <v>0</v>
      </c>
      <c r="AO469" s="221">
        <f t="shared" si="196"/>
        <v>0</v>
      </c>
      <c r="AP469" s="210">
        <f>SUM(AM469:AO469)</f>
        <v>0</v>
      </c>
      <c r="AQ469" s="222">
        <f>$AL469*V469</f>
        <v>0</v>
      </c>
      <c r="AS469" s="717">
        <f>O469*VLOOKUP($B469,'Emissions factors'!$B$1221:$AG$1245,5,FALSE)</f>
        <v>0</v>
      </c>
      <c r="AT469" s="718">
        <f>O469*VLOOKUP($B469,'Emissions factors'!$B$1221:$AG$1245,6,FALSE)</f>
        <v>0</v>
      </c>
      <c r="AU469" s="718">
        <f>O469*VLOOKUP($B469,'Emissions factors'!$B$1221:$AG$1245,7,FALSE)</f>
        <v>0</v>
      </c>
      <c r="AV469" s="718">
        <f>O469*VLOOKUP($B469,'Emissions factors'!$B$1221:$AG$1245,8,FALSE)</f>
        <v>0</v>
      </c>
      <c r="AW469" s="718">
        <f>O469*VLOOKUP($B469,'Emissions factors'!$B$1221:$AG$1245,9,FALSE)</f>
        <v>0</v>
      </c>
      <c r="AX469" s="718">
        <f>O469*VLOOKUP($B469,'Emissions factors'!$B$1221:$AG$1245,10,FALSE)</f>
        <v>0</v>
      </c>
      <c r="AY469" s="718">
        <f>O469*VLOOKUP($B469,'Emissions factors'!$B$1221:$AG$1245,11,FALSE)</f>
        <v>0</v>
      </c>
      <c r="AZ469" s="718">
        <f>O469*VLOOKUP($B469,'Emissions factors'!$B$1221:$AG$1245,12,FALSE)</f>
        <v>0</v>
      </c>
      <c r="BA469" s="718">
        <f>O469*VLOOKUP($B469,'Emissions factors'!$B$1221:$AG$1245,13,FALSE)</f>
        <v>0</v>
      </c>
      <c r="BB469" s="718">
        <v>0</v>
      </c>
      <c r="BC469" s="718">
        <v>0</v>
      </c>
      <c r="BD469" s="718">
        <v>0</v>
      </c>
      <c r="BE469" s="719">
        <f t="shared" si="197"/>
        <v>0</v>
      </c>
      <c r="BF469" s="719">
        <f t="shared" si="197"/>
        <v>0</v>
      </c>
      <c r="BG469" s="720">
        <f t="shared" si="197"/>
        <v>0</v>
      </c>
      <c r="BH469" s="717">
        <f>O469*VLOOKUP($B469,'Emissions factors'!$B$1221:$AG$1245,29,FALSE)</f>
        <v>0</v>
      </c>
      <c r="BI469" s="718">
        <f>O469*VLOOKUP($B469,'Emissions factors'!$B$1221:$AG$1245,30,FALSE)</f>
        <v>0</v>
      </c>
      <c r="BJ469" s="721">
        <f>O469*VLOOKUP($B469,'Emissions factors'!$B$1221:$AG$1245,31,FALSE)</f>
        <v>0</v>
      </c>
    </row>
    <row r="470" spans="2:62" ht="12.75" customHeight="1" outlineLevel="1" x14ac:dyDescent="0.2">
      <c r="B470" s="200" t="s">
        <v>1290</v>
      </c>
      <c r="C470" s="201"/>
      <c r="D470" s="262">
        <f>SUM(S470:U470)</f>
        <v>0</v>
      </c>
      <c r="E470" s="265">
        <f>D470*12/44</f>
        <v>0</v>
      </c>
      <c r="F470" s="692"/>
      <c r="G470" s="493"/>
      <c r="H470" s="493"/>
      <c r="I470" s="493"/>
      <c r="J470" s="493"/>
      <c r="K470" s="493"/>
      <c r="L470" s="696"/>
      <c r="M470" s="696"/>
      <c r="N470" s="703" t="str">
        <f>IF(RIGHT(B470,12)="déménagement","m3.km :","tonnes.km :")</f>
        <v>tonnes.km :</v>
      </c>
      <c r="O470" s="535"/>
      <c r="P470" s="272">
        <f>VLOOKUP($B470,'Emissions factors'!$B$1221:$AG$1245,2,FALSE)</f>
        <v>6.6499999999999997E-3</v>
      </c>
      <c r="Q470" s="272">
        <f>VLOOKUP($B470,'Emissions factors'!$B$1221:$AG$1245,3,FALSE)</f>
        <v>1.1205999999999999E-2</v>
      </c>
      <c r="R470" s="272">
        <f>VLOOKUP($B470,'Emissions factors'!$B$1221:$AG$1245,4,FALSE)</f>
        <v>4.2961199999999998E-2</v>
      </c>
      <c r="S470" s="465">
        <f>O470*P470</f>
        <v>0</v>
      </c>
      <c r="T470" s="465">
        <f>O470*Q470</f>
        <v>0</v>
      </c>
      <c r="U470" s="210">
        <f>O470*R470</f>
        <v>0</v>
      </c>
      <c r="V470" s="222">
        <f>IF(OR(F470='Info utili'!$G$532,F470='Info utili'!$G$537),U470,0)</f>
        <v>0</v>
      </c>
      <c r="W470" s="316"/>
      <c r="X470" s="282">
        <f>VLOOKUP($B470,'Emissions factors'!$B$1221:$AG$1245,32,FALSE)</f>
        <v>0.7</v>
      </c>
      <c r="Y470" s="533"/>
      <c r="Z470" s="221">
        <f>S470*SQRT(X470^2+Y470^2)</f>
        <v>0</v>
      </c>
      <c r="AA470" s="221">
        <f>T470*SQRT(X470^2+Y470^2)</f>
        <v>0</v>
      </c>
      <c r="AB470" s="221">
        <f>U470*SQRT(X470^2+Y470^2)</f>
        <v>0</v>
      </c>
      <c r="AC470" s="210">
        <f>SQRT(SUMSQ(Z470:AB470))</f>
        <v>0</v>
      </c>
      <c r="AD470" s="222">
        <f>V470*SQRT(X470^2+Y470^2)</f>
        <v>0</v>
      </c>
      <c r="AE470" s="316"/>
      <c r="AF470" s="531"/>
      <c r="AG470" s="221">
        <f t="shared" si="195"/>
        <v>0</v>
      </c>
      <c r="AH470" s="221">
        <f t="shared" si="195"/>
        <v>0</v>
      </c>
      <c r="AI470" s="221">
        <f t="shared" si="195"/>
        <v>0</v>
      </c>
      <c r="AJ470" s="210">
        <f>SUM(AG470:AI470)</f>
        <v>0</v>
      </c>
      <c r="AK470" s="221">
        <f>$AF470*V470</f>
        <v>0</v>
      </c>
      <c r="AL470" s="187"/>
      <c r="AM470" s="221">
        <f t="shared" si="196"/>
        <v>0</v>
      </c>
      <c r="AN470" s="221">
        <f t="shared" si="196"/>
        <v>0</v>
      </c>
      <c r="AO470" s="221">
        <f t="shared" si="196"/>
        <v>0</v>
      </c>
      <c r="AP470" s="210">
        <f>SUM(AM470:AO470)</f>
        <v>0</v>
      </c>
      <c r="AQ470" s="222">
        <f>$AL470*V470</f>
        <v>0</v>
      </c>
      <c r="AS470" s="717">
        <f>O470*VLOOKUP($B470,'Emissions factors'!$B$1221:$AG$1245,5,FALSE)</f>
        <v>0</v>
      </c>
      <c r="AT470" s="718">
        <f>O470*VLOOKUP($B470,'Emissions factors'!$B$1221:$AG$1245,6,FALSE)</f>
        <v>0</v>
      </c>
      <c r="AU470" s="718">
        <f>O470*VLOOKUP($B470,'Emissions factors'!$B$1221:$AG$1245,7,FALSE)</f>
        <v>0</v>
      </c>
      <c r="AV470" s="718">
        <f>O470*VLOOKUP($B470,'Emissions factors'!$B$1221:$AG$1245,8,FALSE)</f>
        <v>0</v>
      </c>
      <c r="AW470" s="718">
        <f>O470*VLOOKUP($B470,'Emissions factors'!$B$1221:$AG$1245,9,FALSE)</f>
        <v>0</v>
      </c>
      <c r="AX470" s="718">
        <f>O470*VLOOKUP($B470,'Emissions factors'!$B$1221:$AG$1245,10,FALSE)</f>
        <v>0</v>
      </c>
      <c r="AY470" s="718">
        <f>O470*VLOOKUP($B470,'Emissions factors'!$B$1221:$AG$1245,11,FALSE)</f>
        <v>0</v>
      </c>
      <c r="AZ470" s="718">
        <f>O470*VLOOKUP($B470,'Emissions factors'!$B$1221:$AG$1245,12,FALSE)</f>
        <v>0</v>
      </c>
      <c r="BA470" s="718">
        <f>O470*VLOOKUP($B470,'Emissions factors'!$B$1221:$AG$1245,13,FALSE)</f>
        <v>0</v>
      </c>
      <c r="BB470" s="718">
        <v>0</v>
      </c>
      <c r="BC470" s="718">
        <v>0</v>
      </c>
      <c r="BD470" s="718">
        <v>0</v>
      </c>
      <c r="BE470" s="719">
        <f t="shared" si="197"/>
        <v>0</v>
      </c>
      <c r="BF470" s="719">
        <f t="shared" si="197"/>
        <v>0</v>
      </c>
      <c r="BG470" s="720">
        <f t="shared" si="197"/>
        <v>0</v>
      </c>
      <c r="BH470" s="717">
        <f>O470*VLOOKUP($B470,'Emissions factors'!$B$1221:$AG$1245,29,FALSE)</f>
        <v>0</v>
      </c>
      <c r="BI470" s="718">
        <f>O470*VLOOKUP($B470,'Emissions factors'!$B$1221:$AG$1245,30,FALSE)</f>
        <v>0</v>
      </c>
      <c r="BJ470" s="721">
        <f>O470*VLOOKUP($B470,'Emissions factors'!$B$1221:$AG$1245,31,FALSE)</f>
        <v>0</v>
      </c>
    </row>
    <row r="471" spans="2:62" ht="12.75" customHeight="1" outlineLevel="1" x14ac:dyDescent="0.2">
      <c r="B471" s="200" t="s">
        <v>1304</v>
      </c>
      <c r="C471" s="201"/>
      <c r="D471" s="262">
        <f>SUM(S471:U471)</f>
        <v>0</v>
      </c>
      <c r="E471" s="265">
        <f>D471*12/44</f>
        <v>0</v>
      </c>
      <c r="F471" s="443"/>
      <c r="G471" s="493"/>
      <c r="H471" s="493"/>
      <c r="I471" s="493"/>
      <c r="J471" s="493"/>
      <c r="K471" s="493"/>
      <c r="L471" s="697"/>
      <c r="M471" s="697"/>
      <c r="N471" s="703" t="str">
        <f>IF(RIGHT(B471,12)="déménagement","m3.km :","tonnes.km :")</f>
        <v>tonnes.km :</v>
      </c>
      <c r="O471" s="188"/>
      <c r="P471" s="272">
        <f>VLOOKUP($B471,'Emissions factors'!$B$1221:$AG$1245,2,FALSE)</f>
        <v>7.22E-2</v>
      </c>
      <c r="Q471" s="272">
        <f>VLOOKUP($B471,'Emissions factors'!$B$1221:$AG$1245,3,FALSE)</f>
        <v>0.16041999999999998</v>
      </c>
      <c r="R471" s="272">
        <f>VLOOKUP($B471,'Emissions factors'!$B$1221:$AG$1245,4,FALSE)</f>
        <v>0.61517500000000003</v>
      </c>
      <c r="S471" s="465">
        <f>O471*P471</f>
        <v>0</v>
      </c>
      <c r="T471" s="465">
        <f>O471*Q471</f>
        <v>0</v>
      </c>
      <c r="U471" s="210">
        <f>O471*R471</f>
        <v>0</v>
      </c>
      <c r="V471" s="222">
        <f>IF(OR(F471='Info utili'!$G$532,F471='Info utili'!$G$537),U471,0)</f>
        <v>0</v>
      </c>
      <c r="W471" s="316"/>
      <c r="X471" s="282">
        <f>VLOOKUP($B471,'Emissions factors'!$B$1221:$AG$1245,32,FALSE)</f>
        <v>0.7</v>
      </c>
      <c r="Y471" s="189"/>
      <c r="Z471" s="221">
        <f>S471*SQRT(X471^2+Y471^2)</f>
        <v>0</v>
      </c>
      <c r="AA471" s="221">
        <f>T471*SQRT(X471^2+Y471^2)</f>
        <v>0</v>
      </c>
      <c r="AB471" s="221">
        <f>U471*SQRT(X471^2+Y471^2)</f>
        <v>0</v>
      </c>
      <c r="AC471" s="210">
        <f>SQRT(SUMSQ(Z471:AB471))</f>
        <v>0</v>
      </c>
      <c r="AD471" s="222">
        <f>V471*SQRT(X471^2+Y471^2)</f>
        <v>0</v>
      </c>
      <c r="AE471" s="316"/>
      <c r="AF471" s="190"/>
      <c r="AG471" s="221">
        <f t="shared" si="195"/>
        <v>0</v>
      </c>
      <c r="AH471" s="221">
        <f t="shared" si="195"/>
        <v>0</v>
      </c>
      <c r="AI471" s="221">
        <f t="shared" si="195"/>
        <v>0</v>
      </c>
      <c r="AJ471" s="210">
        <f>SUM(AG471:AI471)</f>
        <v>0</v>
      </c>
      <c r="AK471" s="221">
        <f>$AF471*V471</f>
        <v>0</v>
      </c>
      <c r="AL471" s="190"/>
      <c r="AM471" s="221">
        <f t="shared" si="196"/>
        <v>0</v>
      </c>
      <c r="AN471" s="221">
        <f t="shared" si="196"/>
        <v>0</v>
      </c>
      <c r="AO471" s="221">
        <f t="shared" si="196"/>
        <v>0</v>
      </c>
      <c r="AP471" s="210">
        <f>SUM(AM471:AO471)</f>
        <v>0</v>
      </c>
      <c r="AQ471" s="222">
        <f>$AL471*V471</f>
        <v>0</v>
      </c>
      <c r="AS471" s="717">
        <f>O471*VLOOKUP($B471,'Emissions factors'!$B$1221:$AG$1245,5,FALSE)</f>
        <v>0</v>
      </c>
      <c r="AT471" s="718">
        <f>O471*VLOOKUP($B471,'Emissions factors'!$B$1221:$AG$1245,6,FALSE)</f>
        <v>0</v>
      </c>
      <c r="AU471" s="718">
        <f>O471*VLOOKUP($B471,'Emissions factors'!$B$1221:$AG$1245,7,FALSE)</f>
        <v>0</v>
      </c>
      <c r="AV471" s="718">
        <f>O471*VLOOKUP($B471,'Emissions factors'!$B$1221:$AG$1245,8,FALSE)</f>
        <v>0</v>
      </c>
      <c r="AW471" s="718">
        <f>O471*VLOOKUP($B471,'Emissions factors'!$B$1221:$AG$1245,9,FALSE)</f>
        <v>0</v>
      </c>
      <c r="AX471" s="718">
        <f>O471*VLOOKUP($B471,'Emissions factors'!$B$1221:$AG$1245,10,FALSE)</f>
        <v>0</v>
      </c>
      <c r="AY471" s="718">
        <f>O471*VLOOKUP($B471,'Emissions factors'!$B$1221:$AG$1245,11,FALSE)</f>
        <v>0</v>
      </c>
      <c r="AZ471" s="718">
        <f>O471*VLOOKUP($B471,'Emissions factors'!$B$1221:$AG$1245,12,FALSE)</f>
        <v>0</v>
      </c>
      <c r="BA471" s="718">
        <f>O471*VLOOKUP($B471,'Emissions factors'!$B$1221:$AG$1245,13,FALSE)</f>
        <v>0</v>
      </c>
      <c r="BB471" s="718">
        <v>0</v>
      </c>
      <c r="BC471" s="718">
        <v>0</v>
      </c>
      <c r="BD471" s="718">
        <v>0</v>
      </c>
      <c r="BE471" s="719">
        <f t="shared" si="197"/>
        <v>0</v>
      </c>
      <c r="BF471" s="719">
        <f t="shared" si="197"/>
        <v>0</v>
      </c>
      <c r="BG471" s="720">
        <f t="shared" si="197"/>
        <v>0</v>
      </c>
      <c r="BH471" s="717">
        <f>O471*VLOOKUP($B471,'Emissions factors'!$B$1221:$AG$1245,29,FALSE)</f>
        <v>0</v>
      </c>
      <c r="BI471" s="718">
        <f>O471*VLOOKUP($B471,'Emissions factors'!$B$1221:$AG$1245,30,FALSE)</f>
        <v>0</v>
      </c>
      <c r="BJ471" s="721">
        <f>O471*VLOOKUP($B471,'Emissions factors'!$B$1221:$AG$1245,31,FALSE)</f>
        <v>0</v>
      </c>
    </row>
    <row r="472" spans="2:62" ht="12" customHeight="1" outlineLevel="1" x14ac:dyDescent="0.2">
      <c r="B472" s="213"/>
      <c r="C472" s="214"/>
      <c r="D472" s="275"/>
      <c r="E472" s="268"/>
      <c r="F472" s="214"/>
      <c r="G472" s="214"/>
      <c r="H472" s="214"/>
      <c r="I472" s="214"/>
      <c r="J472" s="214"/>
      <c r="K472" s="214"/>
      <c r="L472" s="214"/>
      <c r="M472" s="214"/>
      <c r="N472" s="214"/>
      <c r="O472" s="214"/>
      <c r="P472" s="214"/>
      <c r="Q472" s="214"/>
      <c r="R472" s="214"/>
      <c r="S472" s="214"/>
      <c r="T472" s="214"/>
      <c r="U472" s="227"/>
      <c r="V472" s="466"/>
      <c r="W472" s="316"/>
      <c r="X472" s="200"/>
      <c r="Y472" s="201"/>
      <c r="Z472" s="201"/>
      <c r="AA472" s="201"/>
      <c r="AB472" s="221"/>
      <c r="AC472" s="221"/>
      <c r="AD472" s="222"/>
      <c r="AE472" s="316"/>
      <c r="AF472" s="200"/>
      <c r="AG472" s="1370"/>
      <c r="AH472" s="1370"/>
      <c r="AI472" s="1370"/>
      <c r="AJ472" s="221"/>
      <c r="AK472" s="1370"/>
      <c r="AL472" s="201"/>
      <c r="AM472" s="1370"/>
      <c r="AN472" s="1370"/>
      <c r="AO472" s="221"/>
      <c r="AP472" s="221"/>
      <c r="AQ472" s="203"/>
      <c r="AS472" s="717"/>
      <c r="AT472" s="718"/>
      <c r="AU472" s="718"/>
      <c r="AV472" s="718"/>
      <c r="AW472" s="718"/>
      <c r="AX472" s="718"/>
      <c r="AY472" s="718"/>
      <c r="AZ472" s="718"/>
      <c r="BA472" s="718"/>
      <c r="BB472" s="718"/>
      <c r="BC472" s="718"/>
      <c r="BD472" s="718"/>
      <c r="BE472" s="719"/>
      <c r="BF472" s="719"/>
      <c r="BG472" s="720"/>
      <c r="BH472" s="722"/>
      <c r="BI472" s="786"/>
      <c r="BJ472" s="723"/>
    </row>
    <row r="473" spans="2:62" ht="12.75" customHeight="1" outlineLevel="1" x14ac:dyDescent="0.2">
      <c r="B473" s="253" t="s">
        <v>2828</v>
      </c>
      <c r="C473" s="254"/>
      <c r="D473" s="264">
        <f>SUM(D451:D472)</f>
        <v>0</v>
      </c>
      <c r="E473" s="267">
        <f>SUM(E451:E472)</f>
        <v>0</v>
      </c>
      <c r="F473" s="254"/>
      <c r="G473" s="254"/>
      <c r="H473" s="254"/>
      <c r="I473" s="254"/>
      <c r="J473" s="254"/>
      <c r="K473" s="254"/>
      <c r="L473" s="254"/>
      <c r="M473" s="254"/>
      <c r="N473" s="254"/>
      <c r="O473" s="254"/>
      <c r="P473" s="254"/>
      <c r="Q473" s="254"/>
      <c r="R473" s="254"/>
      <c r="S473" s="259">
        <f>SUM(S451:S472)</f>
        <v>0</v>
      </c>
      <c r="T473" s="259">
        <f>SUM(T451:T472)</f>
        <v>0</v>
      </c>
      <c r="U473" s="259">
        <f>SUM(U451:U472)</f>
        <v>0</v>
      </c>
      <c r="V473" s="428">
        <f>SUM(V451:V472)</f>
        <v>0</v>
      </c>
      <c r="W473" s="316"/>
      <c r="X473" s="258"/>
      <c r="Y473" s="256"/>
      <c r="Z473" s="260">
        <f>SQRT(SUMSQ(Z451:Z472))</f>
        <v>0</v>
      </c>
      <c r="AA473" s="260">
        <f>SQRT(SUMSQ(AA451:AA472))</f>
        <v>0</v>
      </c>
      <c r="AB473" s="260">
        <f>SQRT(SUMSQ(AB451:AB472))</f>
        <v>0</v>
      </c>
      <c r="AC473" s="259">
        <f>SQRT(SUMSQ(AC451:AC472))</f>
        <v>0</v>
      </c>
      <c r="AD473" s="428">
        <f>SQRT(SUMSQ(AD451:AD472))</f>
        <v>0</v>
      </c>
      <c r="AE473" s="316"/>
      <c r="AF473" s="258"/>
      <c r="AG473" s="260">
        <f>SUM(AG451:AG472)</f>
        <v>0</v>
      </c>
      <c r="AH473" s="260">
        <f>SUM(AH451:AH472)</f>
        <v>0</v>
      </c>
      <c r="AI473" s="260">
        <f>SUM(AI451:AI472)</f>
        <v>0</v>
      </c>
      <c r="AJ473" s="259">
        <f>SUM(AJ451:AJ472)</f>
        <v>0</v>
      </c>
      <c r="AK473" s="260">
        <f>SUM(AK451:AK472)</f>
        <v>0</v>
      </c>
      <c r="AL473" s="256"/>
      <c r="AM473" s="260">
        <f>SUM(AM451:AM472)</f>
        <v>0</v>
      </c>
      <c r="AN473" s="260">
        <f>SUM(AN451:AN472)</f>
        <v>0</v>
      </c>
      <c r="AO473" s="260">
        <f>SUM(AO451:AO472)</f>
        <v>0</v>
      </c>
      <c r="AP473" s="259">
        <f>SUM(AP451:AP472)</f>
        <v>0</v>
      </c>
      <c r="AQ473" s="428">
        <f>SUM(AQ451:AQ472)</f>
        <v>0</v>
      </c>
      <c r="AS473" s="724">
        <f t="shared" ref="AS473:BJ473" si="198">SUM(AS451:AS472)</f>
        <v>0</v>
      </c>
      <c r="AT473" s="725">
        <f t="shared" si="198"/>
        <v>0</v>
      </c>
      <c r="AU473" s="725">
        <f t="shared" si="198"/>
        <v>0</v>
      </c>
      <c r="AV473" s="725">
        <f t="shared" si="198"/>
        <v>0</v>
      </c>
      <c r="AW473" s="725">
        <f t="shared" si="198"/>
        <v>0</v>
      </c>
      <c r="AX473" s="725">
        <f t="shared" si="198"/>
        <v>0</v>
      </c>
      <c r="AY473" s="725">
        <f t="shared" si="198"/>
        <v>0</v>
      </c>
      <c r="AZ473" s="725">
        <f t="shared" si="198"/>
        <v>0</v>
      </c>
      <c r="BA473" s="725">
        <f t="shared" si="198"/>
        <v>0</v>
      </c>
      <c r="BB473" s="725">
        <f t="shared" si="198"/>
        <v>0</v>
      </c>
      <c r="BC473" s="725">
        <f t="shared" si="198"/>
        <v>0</v>
      </c>
      <c r="BD473" s="725">
        <f t="shared" si="198"/>
        <v>0</v>
      </c>
      <c r="BE473" s="726">
        <f t="shared" si="198"/>
        <v>0</v>
      </c>
      <c r="BF473" s="726">
        <f t="shared" si="198"/>
        <v>0</v>
      </c>
      <c r="BG473" s="727">
        <f t="shared" si="198"/>
        <v>0</v>
      </c>
      <c r="BH473" s="724">
        <f t="shared" si="198"/>
        <v>0</v>
      </c>
      <c r="BI473" s="725">
        <f t="shared" si="198"/>
        <v>0</v>
      </c>
      <c r="BJ473" s="728">
        <f t="shared" si="198"/>
        <v>0</v>
      </c>
    </row>
    <row r="474" spans="2:62" ht="12.75" customHeight="1" outlineLevel="1" x14ac:dyDescent="0.2">
      <c r="D474" s="316"/>
      <c r="E474" s="316"/>
      <c r="F474" s="316"/>
      <c r="G474" s="316"/>
      <c r="H474" s="316"/>
      <c r="I474" s="316"/>
      <c r="J474" s="316"/>
      <c r="K474" s="42"/>
      <c r="BE474" s="1226"/>
      <c r="BF474" s="1226"/>
      <c r="BG474" s="1226"/>
    </row>
    <row r="475" spans="2:62" ht="12.75" customHeight="1" outlineLevel="1" x14ac:dyDescent="0.2">
      <c r="B475" s="195" t="s">
        <v>2896</v>
      </c>
      <c r="C475" s="196"/>
      <c r="D475" s="196"/>
      <c r="E475" s="196"/>
      <c r="F475" s="196"/>
      <c r="G475" s="198"/>
      <c r="H475" s="196"/>
      <c r="I475" s="196"/>
      <c r="J475" s="196"/>
      <c r="K475" s="198"/>
      <c r="L475" s="196"/>
      <c r="M475" s="196"/>
      <c r="N475" s="196"/>
      <c r="O475" s="198"/>
      <c r="P475" s="198"/>
      <c r="Q475" s="198"/>
      <c r="R475" s="199"/>
      <c r="X475" s="1746" t="s">
        <v>723</v>
      </c>
      <c r="Y475" s="1747"/>
      <c r="Z475" s="1747"/>
      <c r="AA475" s="1747"/>
      <c r="AB475" s="1747"/>
      <c r="AC475" s="1747"/>
      <c r="AD475" s="1748"/>
      <c r="AF475" s="1746" t="s">
        <v>2066</v>
      </c>
      <c r="AG475" s="1747"/>
      <c r="AH475" s="1747"/>
      <c r="AI475" s="1747"/>
      <c r="AJ475" s="1747"/>
      <c r="AK475" s="1747"/>
      <c r="AL475" s="1747"/>
      <c r="AM475" s="1747"/>
      <c r="AN475" s="1747"/>
      <c r="AO475" s="1747"/>
      <c r="AP475" s="1747"/>
      <c r="AQ475" s="1748"/>
      <c r="AS475" s="1755" t="s">
        <v>2073</v>
      </c>
      <c r="AT475" s="1756"/>
      <c r="AU475" s="1756"/>
      <c r="AV475" s="1756"/>
      <c r="AW475" s="1756"/>
      <c r="AX475" s="1756"/>
      <c r="AY475" s="1756"/>
      <c r="AZ475" s="1756"/>
      <c r="BA475" s="1756"/>
      <c r="BB475" s="1756"/>
      <c r="BC475" s="1756"/>
      <c r="BD475" s="1756"/>
      <c r="BE475" s="1756"/>
      <c r="BF475" s="1756"/>
      <c r="BG475" s="1756"/>
      <c r="BH475" s="1756"/>
      <c r="BI475" s="1756"/>
      <c r="BJ475" s="1757"/>
    </row>
    <row r="476" spans="2:62" ht="12.75" customHeight="1" outlineLevel="1" x14ac:dyDescent="0.2">
      <c r="B476" s="417"/>
      <c r="C476" s="225"/>
      <c r="D476" s="705"/>
      <c r="E476" s="705"/>
      <c r="F476" s="201"/>
      <c r="G476" s="201"/>
      <c r="H476" s="225"/>
      <c r="I476" s="225"/>
      <c r="J476" s="225"/>
      <c r="K476" s="201"/>
      <c r="L476" s="225"/>
      <c r="M476" s="225"/>
      <c r="N476" s="225"/>
      <c r="O476" s="201"/>
      <c r="P476" s="1745" t="s">
        <v>2646</v>
      </c>
      <c r="Q476" s="1745"/>
      <c r="R476" s="1378" t="s">
        <v>2639</v>
      </c>
      <c r="X476" s="1369"/>
      <c r="Y476" s="1370"/>
      <c r="Z476" s="1370"/>
      <c r="AA476" s="1370"/>
      <c r="AB476" s="1370"/>
      <c r="AC476" s="1370"/>
      <c r="AD476" s="1378" t="s">
        <v>2639</v>
      </c>
      <c r="AF476" s="216"/>
      <c r="AG476" s="705"/>
      <c r="AH476" s="705"/>
      <c r="AI476" s="705"/>
      <c r="AJ476" s="1370"/>
      <c r="AK476" s="1370" t="s">
        <v>2639</v>
      </c>
      <c r="AL476" s="217"/>
      <c r="AM476" s="705"/>
      <c r="AN476" s="705"/>
      <c r="AO476" s="705"/>
      <c r="AP476" s="1370"/>
      <c r="AQ476" s="1378" t="s">
        <v>2639</v>
      </c>
      <c r="AS476" s="1758" t="s">
        <v>61</v>
      </c>
      <c r="AT476" s="1759"/>
      <c r="AU476" s="1759"/>
      <c r="AV476" s="1759"/>
      <c r="AW476" s="1759"/>
      <c r="AX476" s="1759"/>
      <c r="AY476" s="1759"/>
      <c r="AZ476" s="1759"/>
      <c r="BA476" s="1759"/>
      <c r="BB476" s="1759"/>
      <c r="BC476" s="1759"/>
      <c r="BD476" s="1759"/>
      <c r="BE476" s="1759" t="s">
        <v>61</v>
      </c>
      <c r="BF476" s="1759"/>
      <c r="BG476" s="1760"/>
      <c r="BH476" s="730"/>
      <c r="BI476" s="785"/>
      <c r="BJ476" s="731"/>
    </row>
    <row r="477" spans="2:62" ht="12.75" customHeight="1" outlineLevel="1" x14ac:dyDescent="0.2">
      <c r="B477" s="200"/>
      <c r="C477" s="201"/>
      <c r="D477" s="1370" t="s">
        <v>56</v>
      </c>
      <c r="E477" s="1370" t="s">
        <v>56</v>
      </c>
      <c r="F477" s="205" t="s">
        <v>2634</v>
      </c>
      <c r="G477" s="205"/>
      <c r="H477" s="1744" t="s">
        <v>2538</v>
      </c>
      <c r="I477" s="1745"/>
      <c r="J477" s="1835"/>
      <c r="K477" s="205"/>
      <c r="L477" s="1744" t="s">
        <v>2539</v>
      </c>
      <c r="M477" s="1745"/>
      <c r="N477" s="1745"/>
      <c r="O477" s="705" t="s">
        <v>61</v>
      </c>
      <c r="P477" s="705" t="s">
        <v>61</v>
      </c>
      <c r="Q477" s="705" t="s">
        <v>61</v>
      </c>
      <c r="R477" s="1378" t="s">
        <v>30</v>
      </c>
      <c r="X477" s="1629" t="s">
        <v>2605</v>
      </c>
      <c r="Y477" s="1370" t="s">
        <v>2110</v>
      </c>
      <c r="Z477" s="1370" t="s">
        <v>61</v>
      </c>
      <c r="AA477" s="1370" t="s">
        <v>61</v>
      </c>
      <c r="AB477" s="1370" t="s">
        <v>61</v>
      </c>
      <c r="AC477" s="705" t="s">
        <v>61</v>
      </c>
      <c r="AD477" s="1378" t="s">
        <v>30</v>
      </c>
      <c r="AF477" s="1369" t="s">
        <v>2065</v>
      </c>
      <c r="AG477" s="1370" t="s">
        <v>61</v>
      </c>
      <c r="AH477" s="1370" t="s">
        <v>61</v>
      </c>
      <c r="AI477" s="1370" t="s">
        <v>61</v>
      </c>
      <c r="AJ477" s="705" t="s">
        <v>61</v>
      </c>
      <c r="AK477" s="1370" t="s">
        <v>30</v>
      </c>
      <c r="AL477" s="1370" t="s">
        <v>2558</v>
      </c>
      <c r="AM477" s="1370" t="s">
        <v>61</v>
      </c>
      <c r="AN477" s="1370" t="s">
        <v>61</v>
      </c>
      <c r="AO477" s="1370" t="s">
        <v>61</v>
      </c>
      <c r="AP477" s="705" t="s">
        <v>61</v>
      </c>
      <c r="AQ477" s="1378" t="s">
        <v>30</v>
      </c>
      <c r="AS477" s="1764" t="s">
        <v>14</v>
      </c>
      <c r="AT477" s="1761"/>
      <c r="AU477" s="1761"/>
      <c r="AV477" s="1761" t="s">
        <v>60</v>
      </c>
      <c r="AW477" s="1761"/>
      <c r="AX477" s="1761"/>
      <c r="AY477" s="1761" t="s">
        <v>27</v>
      </c>
      <c r="AZ477" s="1761"/>
      <c r="BA477" s="1761"/>
      <c r="BB477" s="1761" t="s">
        <v>2074</v>
      </c>
      <c r="BC477" s="1761"/>
      <c r="BD477" s="1761"/>
      <c r="BE477" s="1762" t="s">
        <v>41</v>
      </c>
      <c r="BF477" s="1762"/>
      <c r="BG477" s="1763"/>
      <c r="BH477" s="1764" t="s">
        <v>85</v>
      </c>
      <c r="BI477" s="1761"/>
      <c r="BJ477" s="1765"/>
    </row>
    <row r="478" spans="2:62" ht="12.75" customHeight="1" outlineLevel="1" x14ac:dyDescent="0.2">
      <c r="B478" s="200"/>
      <c r="C478" s="201"/>
      <c r="D478" s="1370" t="s">
        <v>61</v>
      </c>
      <c r="E478" s="1370" t="s">
        <v>63</v>
      </c>
      <c r="F478" s="1623" t="s">
        <v>2054</v>
      </c>
      <c r="G478" s="208" t="s">
        <v>88</v>
      </c>
      <c r="H478" s="1377" t="s">
        <v>1279</v>
      </c>
      <c r="I478" s="1377" t="s">
        <v>768</v>
      </c>
      <c r="J478" s="1377" t="s">
        <v>24</v>
      </c>
      <c r="K478" s="208" t="s">
        <v>89</v>
      </c>
      <c r="L478" s="1377" t="s">
        <v>1279</v>
      </c>
      <c r="M478" s="1377" t="s">
        <v>768</v>
      </c>
      <c r="N478" s="1377" t="s">
        <v>24</v>
      </c>
      <c r="O478" s="1376" t="s">
        <v>1279</v>
      </c>
      <c r="P478" s="1376" t="s">
        <v>768</v>
      </c>
      <c r="Q478" s="1376" t="s">
        <v>24</v>
      </c>
      <c r="R478" s="1378" t="s">
        <v>61</v>
      </c>
      <c r="X478" s="1629" t="s">
        <v>2109</v>
      </c>
      <c r="Y478" s="1370"/>
      <c r="Z478" s="1377" t="s">
        <v>1279</v>
      </c>
      <c r="AA478" s="1377" t="s">
        <v>768</v>
      </c>
      <c r="AB478" s="1377" t="s">
        <v>24</v>
      </c>
      <c r="AC478" s="223" t="s">
        <v>41</v>
      </c>
      <c r="AD478" s="1378" t="s">
        <v>61</v>
      </c>
      <c r="AF478" s="1369"/>
      <c r="AG478" s="1377" t="s">
        <v>1279</v>
      </c>
      <c r="AH478" s="1377" t="s">
        <v>768</v>
      </c>
      <c r="AI478" s="1377" t="s">
        <v>24</v>
      </c>
      <c r="AJ478" s="223" t="s">
        <v>41</v>
      </c>
      <c r="AK478" s="1370" t="s">
        <v>61</v>
      </c>
      <c r="AL478" s="1370"/>
      <c r="AM478" s="1377" t="s">
        <v>1279</v>
      </c>
      <c r="AN478" s="1377" t="s">
        <v>768</v>
      </c>
      <c r="AO478" s="1377" t="s">
        <v>24</v>
      </c>
      <c r="AP478" s="223" t="s">
        <v>41</v>
      </c>
      <c r="AQ478" s="1378" t="s">
        <v>61</v>
      </c>
      <c r="AS478" s="732" t="s">
        <v>1279</v>
      </c>
      <c r="AT478" s="733" t="s">
        <v>768</v>
      </c>
      <c r="AU478" s="733" t="s">
        <v>24</v>
      </c>
      <c r="AV478" s="733" t="s">
        <v>1279</v>
      </c>
      <c r="AW478" s="733" t="s">
        <v>768</v>
      </c>
      <c r="AX478" s="733" t="s">
        <v>24</v>
      </c>
      <c r="AY478" s="733" t="s">
        <v>1279</v>
      </c>
      <c r="AZ478" s="733" t="s">
        <v>768</v>
      </c>
      <c r="BA478" s="733" t="s">
        <v>24</v>
      </c>
      <c r="BB478" s="733" t="s">
        <v>1279</v>
      </c>
      <c r="BC478" s="733" t="s">
        <v>768</v>
      </c>
      <c r="BD478" s="733" t="s">
        <v>24</v>
      </c>
      <c r="BE478" s="734" t="s">
        <v>1279</v>
      </c>
      <c r="BF478" s="734" t="s">
        <v>768</v>
      </c>
      <c r="BG478" s="735" t="s">
        <v>24</v>
      </c>
      <c r="BH478" s="732" t="s">
        <v>1279</v>
      </c>
      <c r="BI478" s="733" t="s">
        <v>768</v>
      </c>
      <c r="BJ478" s="736" t="s">
        <v>24</v>
      </c>
    </row>
    <row r="479" spans="2:62" ht="12.75" customHeight="1" outlineLevel="1" x14ac:dyDescent="0.2">
      <c r="B479" s="467" t="s">
        <v>1463</v>
      </c>
      <c r="C479" s="468"/>
      <c r="D479" s="262">
        <f>SUM(O479:Q479)</f>
        <v>0</v>
      </c>
      <c r="E479" s="265">
        <f>D479*12/44</f>
        <v>0</v>
      </c>
      <c r="F479" s="559"/>
      <c r="G479" s="182"/>
      <c r="H479" s="493">
        <f>VLOOKUP($B479,'Emissions factors'!$B$1566:$AG$1580,2,FALSE)</f>
        <v>3.6700000000000003E-2</v>
      </c>
      <c r="I479" s="493">
        <f>VLOOKUP($B479,'Emissions factors'!$B$1566:$AG$1580,3,FALSE)</f>
        <v>3.1981000000000002E-2</v>
      </c>
      <c r="J479" s="493">
        <f>VLOOKUP($B479,'Emissions factors'!$B$1566:$AG$1580,4,FALSE)</f>
        <v>0.13542399999999999</v>
      </c>
      <c r="K479" s="182"/>
      <c r="L479" s="493">
        <f>VLOOKUP($B479,'Emissions factors'!$B$1566:$AG$1580,17,FALSE)</f>
        <v>7.3499999999999996E-2</v>
      </c>
      <c r="M479" s="493">
        <f>VLOOKUP($B479,'Emissions factors'!$B$1566:$AG$1580,18,FALSE)</f>
        <v>6.4049999999999996E-2</v>
      </c>
      <c r="N479" s="493">
        <f>VLOOKUP($B479,'Emissions factors'!$B$1566:$AG$1580,19,FALSE)</f>
        <v>0.27084799999999998</v>
      </c>
      <c r="O479" s="465">
        <f>H479*G479+K479*L479</f>
        <v>0</v>
      </c>
      <c r="P479" s="465">
        <f>I479*G479+K479*M479</f>
        <v>0</v>
      </c>
      <c r="Q479" s="210">
        <f>G479*J479+K479*N479</f>
        <v>0</v>
      </c>
      <c r="R479" s="222">
        <f>IF(OR(F479='Info utili'!$G$532,F479='Info utili'!$G$537),Q479,0)</f>
        <v>0</v>
      </c>
      <c r="X479" s="282">
        <f>VLOOKUP($B479,'Emissions factors'!$B$1566:$AG$1580,32,FALSE)</f>
        <v>0.6</v>
      </c>
      <c r="Y479" s="184"/>
      <c r="Z479" s="221">
        <f>O479*SQRT(X479^2+Y479^2)</f>
        <v>0</v>
      </c>
      <c r="AA479" s="221">
        <f>P479*SQRT(X479^2+Y479^2)</f>
        <v>0</v>
      </c>
      <c r="AB479" s="221">
        <f>Q479*SQRT(X479^2+Y479^2)</f>
        <v>0</v>
      </c>
      <c r="AC479" s="210">
        <f>SQRT(SUMSQ(Z479:AB479))</f>
        <v>0</v>
      </c>
      <c r="AD479" s="222">
        <f>R479*SQRT(X479^2+Y479^2)</f>
        <v>0</v>
      </c>
      <c r="AF479" s="184"/>
      <c r="AG479" s="221">
        <f t="shared" ref="AG479:AI481" si="199">O479*$AF479</f>
        <v>0</v>
      </c>
      <c r="AH479" s="221">
        <f t="shared" si="199"/>
        <v>0</v>
      </c>
      <c r="AI479" s="221">
        <f t="shared" si="199"/>
        <v>0</v>
      </c>
      <c r="AJ479" s="210">
        <f>SUM(AG479:AI479)</f>
        <v>0</v>
      </c>
      <c r="AK479" s="221">
        <f>R479*$AF479</f>
        <v>0</v>
      </c>
      <c r="AL479" s="184"/>
      <c r="AM479" s="221">
        <f>AL479*O479</f>
        <v>0</v>
      </c>
      <c r="AN479" s="221">
        <f>AL479*P479</f>
        <v>0</v>
      </c>
      <c r="AO479" s="221">
        <f>AL479*Q479</f>
        <v>0</v>
      </c>
      <c r="AP479" s="210">
        <f>SUM(AM479:AO479)</f>
        <v>0</v>
      </c>
      <c r="AQ479" s="222">
        <f>AL479*R479</f>
        <v>0</v>
      </c>
      <c r="AS479" s="717">
        <f>G479*VLOOKUP($B479,'Emissions factors'!$B$1566:$AG$1580,5,FALSE)+K479*VLOOKUP($B479,'Emissions factors'!$B$1566:$AG$1580,20,FALSE)</f>
        <v>0</v>
      </c>
      <c r="AT479" s="718">
        <f>G479*VLOOKUP($B479,'Emissions factors'!$B$1566:$AG$1580,6,FALSE)+K479*VLOOKUP($B479,'Emissions factors'!$B$1566:$AG$1580,21,FALSE)</f>
        <v>0</v>
      </c>
      <c r="AU479" s="718">
        <f>G479*VLOOKUP($B479,'Emissions factors'!$B$1566:$AG$1580,7,FALSE)+K479*VLOOKUP($B479,'Emissions factors'!$B$1566:$AG$1580,22,FALSE)</f>
        <v>0</v>
      </c>
      <c r="AV479" s="718">
        <f>G479*VLOOKUP($B479,'Emissions factors'!$B$1566:$AG$1580,8,FALSE)+K479*VLOOKUP($B479,'Emissions factors'!$B$1566:$AG$1580,23,FALSE)</f>
        <v>0</v>
      </c>
      <c r="AW479" s="718">
        <f>G479*VLOOKUP($B479,'Emissions factors'!$B$1566:$AG$1580,9,FALSE)+K479*VLOOKUP($B479,'Emissions factors'!$B$1566:$AG$1580,24,FALSE)</f>
        <v>0</v>
      </c>
      <c r="AX479" s="718">
        <f>G479*VLOOKUP($B479,'Emissions factors'!$B$1566:$AG$1580,10,FALSE)+K479*VLOOKUP($B479,'Emissions factors'!$B$1566:$AG$1580,25,FALSE)</f>
        <v>0</v>
      </c>
      <c r="AY479" s="718">
        <f>G479*VLOOKUP($B479,'Emissions factors'!$B$1566:$AG$1580,11,FALSE)+K479*VLOOKUP($B479,'Emissions factors'!$B$1566:$AG$1580,26,FALSE)</f>
        <v>0</v>
      </c>
      <c r="AZ479" s="718">
        <f>G479*VLOOKUP($B479,'Emissions factors'!$B$1566:$AG$1580,12,FALSE)+K479*VLOOKUP($B479,'Emissions factors'!$B$1566:$AG$1580,27,FALSE)</f>
        <v>0</v>
      </c>
      <c r="BA479" s="718">
        <f>G479*VLOOKUP($B479,'Emissions factors'!$B$1566:$AG$1580,13,FALSE)+K479*VLOOKUP($B479,'Emissions factors'!$B$1566:$AG$1580,28,FALSE)</f>
        <v>0</v>
      </c>
      <c r="BB479" s="718">
        <v>0</v>
      </c>
      <c r="BC479" s="718">
        <v>0</v>
      </c>
      <c r="BD479" s="718">
        <v>0</v>
      </c>
      <c r="BE479" s="719">
        <f t="shared" ref="BE479:BG481" si="200">O479</f>
        <v>0</v>
      </c>
      <c r="BF479" s="719">
        <f t="shared" si="200"/>
        <v>0</v>
      </c>
      <c r="BG479" s="720">
        <f t="shared" si="200"/>
        <v>0</v>
      </c>
      <c r="BH479" s="717">
        <f>G479*VLOOKUP($B479,'Emissions factors'!$B$1566:$AG$1580,14,FALSE)+K479*VLOOKUP($B479,'Emissions factors'!$B$1566:$AG$1580,29,FALSE)</f>
        <v>0</v>
      </c>
      <c r="BI479" s="718">
        <f>G479*VLOOKUP($B479,'Emissions factors'!$B$1566:$AG$1580,15,FALSE)+K479*VLOOKUP($B479,'Emissions factors'!$B$1566:$AG$1580,30,FALSE)</f>
        <v>0</v>
      </c>
      <c r="BJ479" s="721">
        <f>G479*VLOOKUP($B479,'Emissions factors'!$B$1566:$AG$1580,16,FALSE)+K479*VLOOKUP($B479,'Emissions factors'!$B$1566:$AG$1580,31,FALSE)</f>
        <v>0</v>
      </c>
    </row>
    <row r="480" spans="2:62" ht="12.75" customHeight="1" outlineLevel="1" x14ac:dyDescent="0.2">
      <c r="B480" s="467" t="s">
        <v>1464</v>
      </c>
      <c r="C480" s="468"/>
      <c r="D480" s="262">
        <f>SUM(O480:Q480)</f>
        <v>0</v>
      </c>
      <c r="E480" s="265">
        <f>D480*12/44</f>
        <v>0</v>
      </c>
      <c r="F480" s="442"/>
      <c r="G480" s="185"/>
      <c r="H480" s="493">
        <f>VLOOKUP($B480,'Emissions factors'!$B$1566:$AG$1580,2,FALSE)</f>
        <v>3.6700000000000003E-2</v>
      </c>
      <c r="I480" s="493">
        <f>VLOOKUP($B480,'Emissions factors'!$B$1566:$AG$1580,3,FALSE)</f>
        <v>3.841E-2</v>
      </c>
      <c r="J480" s="493">
        <f>VLOOKUP($B480,'Emissions factors'!$B$1566:$AG$1580,4,FALSE)</f>
        <v>0.16270899999999999</v>
      </c>
      <c r="K480" s="185"/>
      <c r="L480" s="493">
        <f>VLOOKUP($B480,'Emissions factors'!$B$1566:$AG$1580,17,FALSE)</f>
        <v>7.3499999999999996E-2</v>
      </c>
      <c r="M480" s="493">
        <f>VLOOKUP($B480,'Emissions factors'!$B$1566:$AG$1580,18,FALSE)</f>
        <v>7.6830000000000009E-2</v>
      </c>
      <c r="N480" s="493">
        <f>VLOOKUP($B480,'Emissions factors'!$B$1566:$AG$1580,19,FALSE)</f>
        <v>0.32541799999999999</v>
      </c>
      <c r="O480" s="465">
        <f>H480*G480+K480*L480</f>
        <v>0</v>
      </c>
      <c r="P480" s="465">
        <f>I480*G480+K480*M480</f>
        <v>0</v>
      </c>
      <c r="Q480" s="210">
        <f>G480*J480+K480*N480</f>
        <v>0</v>
      </c>
      <c r="R480" s="222">
        <f>IF(OR(F480='Info utili'!$G$532,F480='Info utili'!$G$537),Q480,0)</f>
        <v>0</v>
      </c>
      <c r="X480" s="282">
        <f>VLOOKUP($B480,'Emissions factors'!$B$1566:$AG$1580,32,FALSE)</f>
        <v>0.6</v>
      </c>
      <c r="Y480" s="187"/>
      <c r="Z480" s="221">
        <f>O480*SQRT(X480^2+Y480^2)</f>
        <v>0</v>
      </c>
      <c r="AA480" s="221">
        <f>P480*SQRT(X480^2+Y480^2)</f>
        <v>0</v>
      </c>
      <c r="AB480" s="221">
        <f>Q480*SQRT(X480^2+Y480^2)</f>
        <v>0</v>
      </c>
      <c r="AC480" s="210">
        <f>SQRT(SUMSQ(Z480:AB480))</f>
        <v>0</v>
      </c>
      <c r="AD480" s="222">
        <f>R480*SQRT(X480^2+Y480^2)</f>
        <v>0</v>
      </c>
      <c r="AF480" s="187"/>
      <c r="AG480" s="221">
        <f t="shared" si="199"/>
        <v>0</v>
      </c>
      <c r="AH480" s="221">
        <f t="shared" si="199"/>
        <v>0</v>
      </c>
      <c r="AI480" s="221">
        <f t="shared" si="199"/>
        <v>0</v>
      </c>
      <c r="AJ480" s="210">
        <f>SUM(AG480:AI480)</f>
        <v>0</v>
      </c>
      <c r="AK480" s="221">
        <f>R480*$AF480</f>
        <v>0</v>
      </c>
      <c r="AL480" s="187"/>
      <c r="AM480" s="221">
        <f>AL480*O480</f>
        <v>0</v>
      </c>
      <c r="AN480" s="221">
        <f>AL480*P480</f>
        <v>0</v>
      </c>
      <c r="AO480" s="221">
        <f>AL480*Q480</f>
        <v>0</v>
      </c>
      <c r="AP480" s="210">
        <f>SUM(AM480:AO480)</f>
        <v>0</v>
      </c>
      <c r="AQ480" s="222">
        <f>AL480*R480</f>
        <v>0</v>
      </c>
      <c r="AS480" s="717">
        <f>G480*VLOOKUP($B480,'Emissions factors'!$B$1566:$AG$1580,5,FALSE)+K480*VLOOKUP($B480,'Emissions factors'!$B$1566:$AG$1580,20,FALSE)</f>
        <v>0</v>
      </c>
      <c r="AT480" s="718">
        <f>G480*VLOOKUP($B480,'Emissions factors'!$B$1566:$AG$1580,6,FALSE)+K480*VLOOKUP($B480,'Emissions factors'!$B$1566:$AG$1580,21,FALSE)</f>
        <v>0</v>
      </c>
      <c r="AU480" s="718">
        <f>G480*VLOOKUP($B480,'Emissions factors'!$B$1566:$AG$1580,7,FALSE)+K480*VLOOKUP($B480,'Emissions factors'!$B$1566:$AG$1580,22,FALSE)</f>
        <v>0</v>
      </c>
      <c r="AV480" s="718">
        <f>G480*VLOOKUP($B480,'Emissions factors'!$B$1566:$AG$1580,8,FALSE)+K480*VLOOKUP($B480,'Emissions factors'!$B$1566:$AG$1580,23,FALSE)</f>
        <v>0</v>
      </c>
      <c r="AW480" s="718">
        <f>G480*VLOOKUP($B480,'Emissions factors'!$B$1566:$AG$1580,9,FALSE)+K480*VLOOKUP($B480,'Emissions factors'!$B$1566:$AG$1580,24,FALSE)</f>
        <v>0</v>
      </c>
      <c r="AX480" s="718">
        <f>G480*VLOOKUP($B480,'Emissions factors'!$B$1566:$AG$1580,10,FALSE)+K480*VLOOKUP($B480,'Emissions factors'!$B$1566:$AG$1580,25,FALSE)</f>
        <v>0</v>
      </c>
      <c r="AY480" s="718">
        <f>G480*VLOOKUP($B480,'Emissions factors'!$B$1566:$AG$1580,11,FALSE)+K480*VLOOKUP($B480,'Emissions factors'!$B$1566:$AG$1580,26,FALSE)</f>
        <v>0</v>
      </c>
      <c r="AZ480" s="718">
        <f>G480*VLOOKUP($B480,'Emissions factors'!$B$1566:$AG$1580,12,FALSE)+K480*VLOOKUP($B480,'Emissions factors'!$B$1566:$AG$1580,27,FALSE)</f>
        <v>0</v>
      </c>
      <c r="BA480" s="718">
        <f>G480*VLOOKUP($B480,'Emissions factors'!$B$1566:$AG$1580,13,FALSE)+K480*VLOOKUP($B480,'Emissions factors'!$B$1566:$AG$1580,28,FALSE)</f>
        <v>0</v>
      </c>
      <c r="BB480" s="718">
        <v>0</v>
      </c>
      <c r="BC480" s="718">
        <v>0</v>
      </c>
      <c r="BD480" s="718">
        <v>0</v>
      </c>
      <c r="BE480" s="719">
        <f t="shared" si="200"/>
        <v>0</v>
      </c>
      <c r="BF480" s="719">
        <f t="shared" si="200"/>
        <v>0</v>
      </c>
      <c r="BG480" s="720">
        <f t="shared" si="200"/>
        <v>0</v>
      </c>
      <c r="BH480" s="717">
        <f>G480*VLOOKUP($B480,'Emissions factors'!$B$1566:$AG$1580,14,FALSE)+K480*VLOOKUP($B480,'Emissions factors'!$B$1566:$AG$1580,29,FALSE)</f>
        <v>0</v>
      </c>
      <c r="BI480" s="718">
        <f>G480*VLOOKUP($B480,'Emissions factors'!$B$1566:$AG$1580,15,FALSE)+K480*VLOOKUP($B480,'Emissions factors'!$B$1566:$AG$1580,30,FALSE)</f>
        <v>0</v>
      </c>
      <c r="BJ480" s="721">
        <f>G480*VLOOKUP($B480,'Emissions factors'!$B$1566:$AG$1580,16,FALSE)+K480*VLOOKUP($B480,'Emissions factors'!$B$1566:$AG$1580,31,FALSE)</f>
        <v>0</v>
      </c>
    </row>
    <row r="481" spans="1:63" ht="12.75" customHeight="1" outlineLevel="1" x14ac:dyDescent="0.2">
      <c r="B481" s="467" t="s">
        <v>1464</v>
      </c>
      <c r="C481" s="468"/>
      <c r="D481" s="262">
        <f>SUM(O481:Q481)</f>
        <v>0</v>
      </c>
      <c r="E481" s="265">
        <f>D481*12/44</f>
        <v>0</v>
      </c>
      <c r="F481" s="443"/>
      <c r="G481" s="188"/>
      <c r="H481" s="493">
        <f>VLOOKUP($B481,'Emissions factors'!$B$1566:$AG$1580,2,FALSE)</f>
        <v>3.6700000000000003E-2</v>
      </c>
      <c r="I481" s="493">
        <f>VLOOKUP($B481,'Emissions factors'!$B$1566:$AG$1580,3,FALSE)</f>
        <v>3.841E-2</v>
      </c>
      <c r="J481" s="493">
        <f>VLOOKUP($B481,'Emissions factors'!$B$1566:$AG$1580,4,FALSE)</f>
        <v>0.16270899999999999</v>
      </c>
      <c r="K481" s="188"/>
      <c r="L481" s="493">
        <f>VLOOKUP($B481,'Emissions factors'!$B$1566:$AG$1580,17,FALSE)</f>
        <v>7.3499999999999996E-2</v>
      </c>
      <c r="M481" s="493">
        <f>VLOOKUP($B481,'Emissions factors'!$B$1566:$AG$1580,18,FALSE)</f>
        <v>7.6830000000000009E-2</v>
      </c>
      <c r="N481" s="493">
        <f>VLOOKUP($B481,'Emissions factors'!$B$1566:$AG$1580,19,FALSE)</f>
        <v>0.32541799999999999</v>
      </c>
      <c r="O481" s="465">
        <f>H481*G481+K481*L481</f>
        <v>0</v>
      </c>
      <c r="P481" s="465">
        <f>I481*G481+K481*M481</f>
        <v>0</v>
      </c>
      <c r="Q481" s="210">
        <f>G481*J481+K481*N481</f>
        <v>0</v>
      </c>
      <c r="R481" s="222">
        <f>IF(OR(F481='Info utili'!$G$532,F481='Info utili'!$G$537),Q481,0)</f>
        <v>0</v>
      </c>
      <c r="X481" s="282">
        <f>VLOOKUP($B481,'Emissions factors'!$B$1566:$AG$1580,32,FALSE)</f>
        <v>0.6</v>
      </c>
      <c r="Y481" s="190"/>
      <c r="Z481" s="221">
        <f>O481*SQRT(X481^2+Y481^2)</f>
        <v>0</v>
      </c>
      <c r="AA481" s="221">
        <f>P481*SQRT(X481^2+Y481^2)</f>
        <v>0</v>
      </c>
      <c r="AB481" s="221">
        <f>Q481*SQRT(X481^2+Y481^2)</f>
        <v>0</v>
      </c>
      <c r="AC481" s="210">
        <f>SQRT(SUMSQ(Z481:AB481))</f>
        <v>0</v>
      </c>
      <c r="AD481" s="222">
        <f>R481*SQRT(X481^2+Y481^2)</f>
        <v>0</v>
      </c>
      <c r="AF481" s="190"/>
      <c r="AG481" s="221">
        <f t="shared" si="199"/>
        <v>0</v>
      </c>
      <c r="AH481" s="221">
        <f t="shared" si="199"/>
        <v>0</v>
      </c>
      <c r="AI481" s="221">
        <f t="shared" si="199"/>
        <v>0</v>
      </c>
      <c r="AJ481" s="210">
        <f>SUM(AG481:AI481)</f>
        <v>0</v>
      </c>
      <c r="AK481" s="221">
        <f>R481*$AF481</f>
        <v>0</v>
      </c>
      <c r="AL481" s="190"/>
      <c r="AM481" s="221">
        <f>AL481*O481</f>
        <v>0</v>
      </c>
      <c r="AN481" s="221">
        <f>AL481*P481</f>
        <v>0</v>
      </c>
      <c r="AO481" s="221">
        <f>AL481*Q481</f>
        <v>0</v>
      </c>
      <c r="AP481" s="210">
        <f>SUM(AM481:AO481)</f>
        <v>0</v>
      </c>
      <c r="AQ481" s="222">
        <f>AL481*R481</f>
        <v>0</v>
      </c>
      <c r="AS481" s="717">
        <f>G481*VLOOKUP($B481,'Emissions factors'!$B$1566:$AG$1580,5,FALSE)+K481*VLOOKUP($B481,'Emissions factors'!$B$1566:$AG$1580,20,FALSE)</f>
        <v>0</v>
      </c>
      <c r="AT481" s="718">
        <f>G481*VLOOKUP($B481,'Emissions factors'!$B$1566:$AG$1580,6,FALSE)+K481*VLOOKUP($B481,'Emissions factors'!$B$1566:$AG$1580,21,FALSE)</f>
        <v>0</v>
      </c>
      <c r="AU481" s="718">
        <f>G481*VLOOKUP($B481,'Emissions factors'!$B$1566:$AG$1580,7,FALSE)+K481*VLOOKUP($B481,'Emissions factors'!$B$1566:$AG$1580,22,FALSE)</f>
        <v>0</v>
      </c>
      <c r="AV481" s="718">
        <f>G481*VLOOKUP($B481,'Emissions factors'!$B$1566:$AG$1580,8,FALSE)+K481*VLOOKUP($B481,'Emissions factors'!$B$1566:$AG$1580,23,FALSE)</f>
        <v>0</v>
      </c>
      <c r="AW481" s="718">
        <f>G481*VLOOKUP($B481,'Emissions factors'!$B$1566:$AG$1580,9,FALSE)+K481*VLOOKUP($B481,'Emissions factors'!$B$1566:$AG$1580,24,FALSE)</f>
        <v>0</v>
      </c>
      <c r="AX481" s="718">
        <f>G481*VLOOKUP($B481,'Emissions factors'!$B$1566:$AG$1580,10,FALSE)+K481*VLOOKUP($B481,'Emissions factors'!$B$1566:$AG$1580,25,FALSE)</f>
        <v>0</v>
      </c>
      <c r="AY481" s="718">
        <f>G481*VLOOKUP($B481,'Emissions factors'!$B$1566:$AG$1580,11,FALSE)+K481*VLOOKUP($B481,'Emissions factors'!$B$1566:$AG$1580,26,FALSE)</f>
        <v>0</v>
      </c>
      <c r="AZ481" s="718">
        <f>G481*VLOOKUP($B481,'Emissions factors'!$B$1566:$AG$1580,12,FALSE)+K481*VLOOKUP($B481,'Emissions factors'!$B$1566:$AG$1580,27,FALSE)</f>
        <v>0</v>
      </c>
      <c r="BA481" s="718">
        <f>G481*VLOOKUP($B481,'Emissions factors'!$B$1566:$AG$1580,13,FALSE)+K481*VLOOKUP($B481,'Emissions factors'!$B$1566:$AG$1580,28,FALSE)</f>
        <v>0</v>
      </c>
      <c r="BB481" s="718">
        <v>0</v>
      </c>
      <c r="BC481" s="718">
        <v>0</v>
      </c>
      <c r="BD481" s="718">
        <v>0</v>
      </c>
      <c r="BE481" s="719">
        <f t="shared" si="200"/>
        <v>0</v>
      </c>
      <c r="BF481" s="719">
        <f t="shared" si="200"/>
        <v>0</v>
      </c>
      <c r="BG481" s="720">
        <f t="shared" si="200"/>
        <v>0</v>
      </c>
      <c r="BH481" s="717">
        <f>G481*VLOOKUP($B481,'Emissions factors'!$B$1566:$AG$1580,14,FALSE)+K481*VLOOKUP($B481,'Emissions factors'!$B$1566:$AG$1580,29,FALSE)</f>
        <v>0</v>
      </c>
      <c r="BI481" s="718">
        <f>G481*VLOOKUP($B481,'Emissions factors'!$B$1566:$AG$1580,15,FALSE)+K481*VLOOKUP($B481,'Emissions factors'!$B$1566:$AG$1580,30,FALSE)</f>
        <v>0</v>
      </c>
      <c r="BJ481" s="721">
        <f>G481*VLOOKUP($B481,'Emissions factors'!$B$1566:$AG$1580,16,FALSE)+K481*VLOOKUP($B481,'Emissions factors'!$B$1566:$AG$1580,31,FALSE)</f>
        <v>0</v>
      </c>
    </row>
    <row r="482" spans="1:63" ht="15" customHeight="1" outlineLevel="1" x14ac:dyDescent="0.2">
      <c r="B482" s="200"/>
      <c r="C482" s="201"/>
      <c r="D482" s="263"/>
      <c r="E482" s="266"/>
      <c r="F482" s="201"/>
      <c r="G482" s="201"/>
      <c r="H482" s="201"/>
      <c r="I482" s="201"/>
      <c r="J482" s="201"/>
      <c r="K482" s="201"/>
      <c r="L482" s="201"/>
      <c r="M482" s="201"/>
      <c r="N482" s="201"/>
      <c r="O482" s="201"/>
      <c r="P482" s="201"/>
      <c r="Q482" s="221"/>
      <c r="R482" s="466"/>
      <c r="S482" s="191"/>
      <c r="T482" s="191"/>
      <c r="U482" s="191"/>
      <c r="V482" s="191"/>
      <c r="X482" s="200"/>
      <c r="Y482" s="221"/>
      <c r="Z482" s="221"/>
      <c r="AA482" s="221"/>
      <c r="AB482" s="221"/>
      <c r="AC482" s="214"/>
      <c r="AD482" s="222"/>
      <c r="AF482" s="480"/>
      <c r="AG482" s="221"/>
      <c r="AH482" s="221"/>
      <c r="AI482" s="221"/>
      <c r="AJ482" s="413"/>
      <c r="AK482" s="221"/>
      <c r="AL482" s="221"/>
      <c r="AM482" s="221"/>
      <c r="AN482" s="221"/>
      <c r="AO482" s="221">
        <f>AL482*Q482</f>
        <v>0</v>
      </c>
      <c r="AP482" s="413"/>
      <c r="AQ482" s="222">
        <f>AL482*R482</f>
        <v>0</v>
      </c>
      <c r="AS482" s="717"/>
      <c r="AT482" s="718"/>
      <c r="AU482" s="718"/>
      <c r="AV482" s="718"/>
      <c r="AW482" s="718"/>
      <c r="AX482" s="718"/>
      <c r="AY482" s="718"/>
      <c r="AZ482" s="718"/>
      <c r="BA482" s="718"/>
      <c r="BB482" s="718"/>
      <c r="BC482" s="718"/>
      <c r="BD482" s="718"/>
      <c r="BE482" s="719"/>
      <c r="BF482" s="719"/>
      <c r="BG482" s="720"/>
      <c r="BH482" s="722"/>
      <c r="BI482" s="786"/>
      <c r="BJ482" s="723"/>
      <c r="BK482" s="191"/>
    </row>
    <row r="483" spans="1:63" ht="12.75" customHeight="1" outlineLevel="1" x14ac:dyDescent="0.2">
      <c r="B483" s="253" t="s">
        <v>2828</v>
      </c>
      <c r="C483" s="254"/>
      <c r="D483" s="264">
        <f>SUM(D479:D482)</f>
        <v>0</v>
      </c>
      <c r="E483" s="267">
        <f>SUM(E479:E482)</f>
        <v>0</v>
      </c>
      <c r="F483" s="254"/>
      <c r="G483" s="254"/>
      <c r="H483" s="254"/>
      <c r="I483" s="254"/>
      <c r="J483" s="254"/>
      <c r="K483" s="254"/>
      <c r="L483" s="254"/>
      <c r="M483" s="254"/>
      <c r="N483" s="254"/>
      <c r="O483" s="259">
        <f>SUM(O479:O482)</f>
        <v>0</v>
      </c>
      <c r="P483" s="259">
        <f>SUM(P479:P482)</f>
        <v>0</v>
      </c>
      <c r="Q483" s="259">
        <f>SUM(Q479:Q482)</f>
        <v>0</v>
      </c>
      <c r="R483" s="428">
        <f>SUM(R479:R482)</f>
        <v>0</v>
      </c>
      <c r="X483" s="258"/>
      <c r="Y483" s="260"/>
      <c r="Z483" s="260">
        <f>SQRT(SUMSQ(Z479:Z482))</f>
        <v>0</v>
      </c>
      <c r="AA483" s="260">
        <f>SQRT(SUMSQ(AA479:AA482))</f>
        <v>0</v>
      </c>
      <c r="AB483" s="260">
        <f>SQRT(SUMSQ(AB479:AB482))</f>
        <v>0</v>
      </c>
      <c r="AC483" s="259">
        <f>SQRT(SUMSQ(AC479:AC482))</f>
        <v>0</v>
      </c>
      <c r="AD483" s="428">
        <f>SQRT(SUMSQ(AD479:AD482))</f>
        <v>0</v>
      </c>
      <c r="AF483" s="489"/>
      <c r="AG483" s="260">
        <f>SUM(AG479:AG482)</f>
        <v>0</v>
      </c>
      <c r="AH483" s="260">
        <f>SUM(AH479:AH482)</f>
        <v>0</v>
      </c>
      <c r="AI483" s="260">
        <f>SUM(AI479:AI482)</f>
        <v>0</v>
      </c>
      <c r="AJ483" s="259">
        <f>SUM(AJ479:AJ482)</f>
        <v>0</v>
      </c>
      <c r="AK483" s="260">
        <f>SUM(AK479:AK482)</f>
        <v>0</v>
      </c>
      <c r="AL483" s="259"/>
      <c r="AM483" s="260">
        <f>SUM(AM479:AM482)</f>
        <v>0</v>
      </c>
      <c r="AN483" s="260">
        <f>SUM(AN479:AN482)</f>
        <v>0</v>
      </c>
      <c r="AO483" s="260">
        <f>SUM(AO479:AO482)</f>
        <v>0</v>
      </c>
      <c r="AP483" s="259">
        <f>SUM(AP479:AP482)</f>
        <v>0</v>
      </c>
      <c r="AQ483" s="428">
        <f>SUM(AQ479:AQ482)</f>
        <v>0</v>
      </c>
      <c r="AS483" s="724">
        <f t="shared" ref="AS483:BJ483" si="201">SUM(AS479:AS482)</f>
        <v>0</v>
      </c>
      <c r="AT483" s="725">
        <f t="shared" si="201"/>
        <v>0</v>
      </c>
      <c r="AU483" s="725">
        <f t="shared" si="201"/>
        <v>0</v>
      </c>
      <c r="AV483" s="725">
        <f t="shared" si="201"/>
        <v>0</v>
      </c>
      <c r="AW483" s="725">
        <f t="shared" si="201"/>
        <v>0</v>
      </c>
      <c r="AX483" s="725">
        <f t="shared" si="201"/>
        <v>0</v>
      </c>
      <c r="AY483" s="725">
        <f t="shared" si="201"/>
        <v>0</v>
      </c>
      <c r="AZ483" s="725">
        <f t="shared" si="201"/>
        <v>0</v>
      </c>
      <c r="BA483" s="725">
        <f t="shared" si="201"/>
        <v>0</v>
      </c>
      <c r="BB483" s="725">
        <f t="shared" si="201"/>
        <v>0</v>
      </c>
      <c r="BC483" s="725">
        <f t="shared" si="201"/>
        <v>0</v>
      </c>
      <c r="BD483" s="725">
        <f t="shared" si="201"/>
        <v>0</v>
      </c>
      <c r="BE483" s="726">
        <f t="shared" si="201"/>
        <v>0</v>
      </c>
      <c r="BF483" s="726">
        <f t="shared" si="201"/>
        <v>0</v>
      </c>
      <c r="BG483" s="727">
        <f t="shared" si="201"/>
        <v>0</v>
      </c>
      <c r="BH483" s="724">
        <f t="shared" si="201"/>
        <v>0</v>
      </c>
      <c r="BI483" s="725">
        <f t="shared" si="201"/>
        <v>0</v>
      </c>
      <c r="BJ483" s="728">
        <f t="shared" si="201"/>
        <v>0</v>
      </c>
    </row>
    <row r="484" spans="1:63" s="191" customFormat="1" ht="15" customHeight="1" outlineLevel="1" x14ac:dyDescent="0.2">
      <c r="A484" s="40"/>
      <c r="B484" s="316"/>
      <c r="C484" s="316"/>
      <c r="D484" s="316"/>
      <c r="E484" s="316"/>
      <c r="F484" s="316"/>
      <c r="G484" s="316"/>
      <c r="H484" s="316"/>
      <c r="I484" s="316"/>
      <c r="J484" s="316"/>
      <c r="K484" s="316"/>
      <c r="L484" s="42"/>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40"/>
      <c r="AO484" s="40"/>
      <c r="AP484" s="40"/>
      <c r="AQ484" s="40"/>
      <c r="AR484" s="40"/>
      <c r="AS484" s="602"/>
      <c r="AT484" s="602"/>
      <c r="AU484" s="602"/>
      <c r="AV484" s="602"/>
      <c r="AW484" s="602"/>
      <c r="AX484" s="602"/>
      <c r="AY484" s="602"/>
      <c r="AZ484" s="602"/>
      <c r="BA484" s="602"/>
      <c r="BB484" s="743"/>
      <c r="BC484" s="743"/>
      <c r="BD484" s="743"/>
      <c r="BE484" s="743"/>
      <c r="BF484" s="743"/>
      <c r="BG484" s="743"/>
      <c r="BH484" s="602"/>
      <c r="BI484" s="602"/>
      <c r="BJ484" s="602"/>
      <c r="BK484" s="40"/>
    </row>
    <row r="485" spans="1:63" ht="16" x14ac:dyDescent="0.2">
      <c r="AR485" s="191"/>
      <c r="BB485" s="743"/>
      <c r="BC485" s="743"/>
      <c r="BD485" s="743"/>
      <c r="BE485" s="743"/>
      <c r="BF485" s="743"/>
      <c r="BG485" s="743"/>
    </row>
    <row r="486" spans="1:63" s="32" customFormat="1" ht="15.75" customHeight="1" collapsed="1" x14ac:dyDescent="0.2">
      <c r="A486" s="40"/>
      <c r="B486" s="1795" t="s">
        <v>2899</v>
      </c>
      <c r="C486" s="1795"/>
      <c r="D486" s="1795"/>
      <c r="E486" s="1795"/>
      <c r="F486" s="1795"/>
      <c r="G486" s="1795"/>
      <c r="H486" s="1795"/>
      <c r="I486" s="1795"/>
      <c r="J486" s="1795"/>
      <c r="K486" s="1795"/>
      <c r="L486" s="1795"/>
      <c r="M486" s="1795"/>
      <c r="N486" s="1795"/>
      <c r="O486" s="1795"/>
      <c r="P486" s="191"/>
      <c r="Q486" s="191"/>
      <c r="R486" s="191"/>
      <c r="S486" s="191"/>
      <c r="T486" s="191"/>
      <c r="U486" s="191"/>
      <c r="V486" s="191"/>
      <c r="W486" s="191"/>
      <c r="X486" s="191"/>
      <c r="Y486" s="191"/>
      <c r="Z486" s="191"/>
      <c r="AA486" s="191"/>
      <c r="AB486" s="191"/>
      <c r="AC486" s="191"/>
      <c r="AD486" s="191"/>
      <c r="AE486" s="191"/>
      <c r="AF486" s="191"/>
      <c r="AG486" s="191"/>
      <c r="AH486" s="191"/>
      <c r="AI486" s="191"/>
      <c r="AJ486" s="191"/>
      <c r="AK486" s="191"/>
      <c r="AL486" s="191"/>
      <c r="AM486" s="191"/>
      <c r="AN486" s="191"/>
      <c r="AO486" s="191"/>
      <c r="AP486" s="191"/>
      <c r="AQ486" s="191"/>
      <c r="AR486" s="40"/>
      <c r="AS486" s="602"/>
      <c r="AT486" s="602"/>
      <c r="AU486" s="602"/>
      <c r="AV486" s="602"/>
      <c r="AW486" s="602"/>
      <c r="AX486" s="602"/>
      <c r="AY486" s="602"/>
      <c r="AZ486" s="602"/>
      <c r="BA486" s="602"/>
      <c r="BB486" s="743"/>
      <c r="BC486" s="743"/>
      <c r="BD486" s="743"/>
      <c r="BE486" s="743"/>
      <c r="BF486" s="743"/>
      <c r="BG486" s="743"/>
      <c r="BH486" s="602"/>
      <c r="BI486" s="602"/>
      <c r="BJ486" s="602"/>
    </row>
    <row r="487" spans="1:63" s="32" customFormat="1" ht="12.75" hidden="1" customHeight="1" outlineLevel="1" x14ac:dyDescent="0.2">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40"/>
      <c r="AO487" s="40"/>
      <c r="AP487" s="40"/>
      <c r="AQ487" s="40"/>
      <c r="AR487" s="40"/>
      <c r="AS487" s="602"/>
      <c r="AT487" s="602"/>
      <c r="AU487" s="602"/>
      <c r="AV487" s="602"/>
      <c r="AW487" s="602"/>
      <c r="AX487" s="602"/>
      <c r="AY487" s="602"/>
      <c r="AZ487" s="602"/>
      <c r="BA487" s="602"/>
      <c r="BB487" s="743"/>
      <c r="BC487" s="743"/>
      <c r="BD487" s="743"/>
      <c r="BE487" s="743"/>
      <c r="BF487" s="743"/>
      <c r="BG487" s="743"/>
      <c r="BH487" s="602"/>
      <c r="BI487" s="602"/>
      <c r="BJ487" s="602"/>
    </row>
    <row r="488" spans="1:63" ht="12.75" hidden="1" customHeight="1" outlineLevel="1" x14ac:dyDescent="0.2">
      <c r="B488" s="195" t="s">
        <v>2898</v>
      </c>
      <c r="C488" s="196"/>
      <c r="D488" s="1364"/>
      <c r="E488" s="1364"/>
      <c r="F488" s="1364"/>
      <c r="G488" s="198"/>
      <c r="H488" s="198"/>
      <c r="I488" s="198"/>
      <c r="J488" s="198"/>
      <c r="K488" s="198"/>
      <c r="L488" s="198"/>
      <c r="M488" s="198"/>
      <c r="N488" s="198"/>
      <c r="O488" s="198"/>
      <c r="P488" s="198"/>
      <c r="Q488" s="198"/>
      <c r="R488" s="198"/>
      <c r="S488" s="1364"/>
      <c r="T488" s="1364"/>
      <c r="U488" s="199"/>
      <c r="V488" s="42"/>
      <c r="X488" s="1746" t="s">
        <v>723</v>
      </c>
      <c r="Y488" s="1747"/>
      <c r="Z488" s="1747"/>
      <c r="AA488" s="1747"/>
      <c r="AB488" s="1747"/>
      <c r="AC488" s="1748"/>
      <c r="AF488" s="1746" t="s">
        <v>2066</v>
      </c>
      <c r="AG488" s="1747"/>
      <c r="AH488" s="1747"/>
      <c r="AI488" s="1747"/>
      <c r="AJ488" s="1747"/>
      <c r="AK488" s="1747"/>
      <c r="AL488" s="1747"/>
      <c r="AM488" s="1747"/>
      <c r="AN488" s="1747"/>
      <c r="AO488" s="1748"/>
      <c r="AS488" s="1755" t="s">
        <v>2073</v>
      </c>
      <c r="AT488" s="1756"/>
      <c r="AU488" s="1756"/>
      <c r="AV488" s="1756"/>
      <c r="AW488" s="1756"/>
      <c r="AX488" s="1756"/>
      <c r="AY488" s="1756"/>
      <c r="AZ488" s="1756"/>
      <c r="BA488" s="1756"/>
      <c r="BB488" s="1756"/>
      <c r="BC488" s="1756"/>
      <c r="BD488" s="1756"/>
      <c r="BE488" s="1756"/>
      <c r="BF488" s="1756"/>
      <c r="BG488" s="1756"/>
      <c r="BH488" s="1756"/>
      <c r="BI488" s="1756"/>
      <c r="BJ488" s="1757"/>
    </row>
    <row r="489" spans="1:63" ht="12.75" hidden="1" customHeight="1" outlineLevel="1" x14ac:dyDescent="0.2">
      <c r="B489" s="417"/>
      <c r="C489" s="225"/>
      <c r="D489" s="705"/>
      <c r="E489" s="705"/>
      <c r="F489" s="214"/>
      <c r="G489" s="201"/>
      <c r="H489" s="201"/>
      <c r="I489" s="201"/>
      <c r="J489" s="201"/>
      <c r="K489" s="201"/>
      <c r="L489" s="201"/>
      <c r="M489" s="201"/>
      <c r="N489" s="201"/>
      <c r="O489" s="201"/>
      <c r="P489" s="201"/>
      <c r="Q489" s="201"/>
      <c r="R489" s="201"/>
      <c r="S489" s="705"/>
      <c r="T489" s="705"/>
      <c r="U489" s="711"/>
      <c r="V489" s="42"/>
      <c r="X489" s="1363"/>
      <c r="Y489" s="1364"/>
      <c r="Z489" s="1364"/>
      <c r="AA489" s="1364"/>
      <c r="AB489" s="1364"/>
      <c r="AC489" s="1365"/>
      <c r="AF489" s="704"/>
      <c r="AG489" s="705"/>
      <c r="AH489" s="705"/>
      <c r="AI489" s="705"/>
      <c r="AJ489" s="1370"/>
      <c r="AK489" s="705"/>
      <c r="AL489" s="705"/>
      <c r="AM489" s="705"/>
      <c r="AN489" s="705"/>
      <c r="AO489" s="218"/>
      <c r="AR489" s="32"/>
      <c r="AS489" s="1758" t="s">
        <v>61</v>
      </c>
      <c r="AT489" s="1759"/>
      <c r="AU489" s="1759"/>
      <c r="AV489" s="1759"/>
      <c r="AW489" s="1759"/>
      <c r="AX489" s="1759"/>
      <c r="AY489" s="1759"/>
      <c r="AZ489" s="1759"/>
      <c r="BA489" s="1759"/>
      <c r="BB489" s="1759"/>
      <c r="BC489" s="1759"/>
      <c r="BD489" s="1759"/>
      <c r="BE489" s="1759" t="s">
        <v>61</v>
      </c>
      <c r="BF489" s="1759"/>
      <c r="BG489" s="1760"/>
      <c r="BH489" s="730"/>
      <c r="BI489" s="785"/>
      <c r="BJ489" s="731"/>
    </row>
    <row r="490" spans="1:63" ht="12.75" hidden="1" customHeight="1" outlineLevel="1" x14ac:dyDescent="0.2">
      <c r="B490" s="1369" t="s">
        <v>766</v>
      </c>
      <c r="C490" s="1370"/>
      <c r="D490" s="1370" t="s">
        <v>56</v>
      </c>
      <c r="E490" s="1370" t="s">
        <v>56</v>
      </c>
      <c r="F490" s="205" t="s">
        <v>2634</v>
      </c>
      <c r="G490" s="205" t="s">
        <v>2053</v>
      </c>
      <c r="H490" s="1745" t="s">
        <v>767</v>
      </c>
      <c r="I490" s="1745"/>
      <c r="J490" s="205" t="s">
        <v>2053</v>
      </c>
      <c r="K490" s="1745" t="s">
        <v>769</v>
      </c>
      <c r="L490" s="1745"/>
      <c r="M490" s="205" t="s">
        <v>2053</v>
      </c>
      <c r="N490" s="1745" t="s">
        <v>771</v>
      </c>
      <c r="O490" s="1745"/>
      <c r="P490" s="205" t="s">
        <v>2053</v>
      </c>
      <c r="Q490" s="1744" t="s">
        <v>770</v>
      </c>
      <c r="R490" s="1745"/>
      <c r="S490" s="705" t="s">
        <v>61</v>
      </c>
      <c r="T490" s="705" t="s">
        <v>61</v>
      </c>
      <c r="U490" s="711" t="s">
        <v>61</v>
      </c>
      <c r="V490" s="42"/>
      <c r="W490" s="32"/>
      <c r="X490" s="1630" t="s">
        <v>2605</v>
      </c>
      <c r="Y490" s="1370" t="s">
        <v>2110</v>
      </c>
      <c r="Z490" s="1370" t="s">
        <v>61</v>
      </c>
      <c r="AA490" s="1370" t="s">
        <v>61</v>
      </c>
      <c r="AB490" s="1370" t="s">
        <v>61</v>
      </c>
      <c r="AC490" s="711" t="s">
        <v>61</v>
      </c>
      <c r="AD490" s="32"/>
      <c r="AE490" s="32"/>
      <c r="AF490" s="1369" t="s">
        <v>2065</v>
      </c>
      <c r="AG490" s="1370" t="s">
        <v>61</v>
      </c>
      <c r="AH490" s="1370" t="s">
        <v>61</v>
      </c>
      <c r="AI490" s="1370" t="s">
        <v>61</v>
      </c>
      <c r="AJ490" s="705" t="s">
        <v>61</v>
      </c>
      <c r="AK490" s="1370" t="s">
        <v>2558</v>
      </c>
      <c r="AL490" s="1370" t="s">
        <v>61</v>
      </c>
      <c r="AM490" s="1370" t="s">
        <v>61</v>
      </c>
      <c r="AN490" s="1370" t="s">
        <v>61</v>
      </c>
      <c r="AO490" s="711" t="s">
        <v>61</v>
      </c>
      <c r="AP490" s="32"/>
      <c r="AQ490" s="32"/>
      <c r="AR490" s="32"/>
      <c r="AS490" s="1764" t="s">
        <v>14</v>
      </c>
      <c r="AT490" s="1761"/>
      <c r="AU490" s="1761"/>
      <c r="AV490" s="1761" t="s">
        <v>60</v>
      </c>
      <c r="AW490" s="1761"/>
      <c r="AX490" s="1761"/>
      <c r="AY490" s="1761" t="s">
        <v>27</v>
      </c>
      <c r="AZ490" s="1761"/>
      <c r="BA490" s="1761"/>
      <c r="BB490" s="1761" t="s">
        <v>2074</v>
      </c>
      <c r="BC490" s="1761"/>
      <c r="BD490" s="1761"/>
      <c r="BE490" s="1762" t="s">
        <v>41</v>
      </c>
      <c r="BF490" s="1762"/>
      <c r="BG490" s="1763"/>
      <c r="BH490" s="1764" t="s">
        <v>85</v>
      </c>
      <c r="BI490" s="1761"/>
      <c r="BJ490" s="1765"/>
    </row>
    <row r="491" spans="1:63" s="42" customFormat="1" ht="12.75" hidden="1" customHeight="1" outlineLevel="1" x14ac:dyDescent="0.2">
      <c r="A491" s="40"/>
      <c r="B491" s="1369"/>
      <c r="C491" s="1370"/>
      <c r="D491" s="1370" t="s">
        <v>61</v>
      </c>
      <c r="E491" s="1370" t="s">
        <v>63</v>
      </c>
      <c r="F491" s="1623" t="s">
        <v>2054</v>
      </c>
      <c r="G491" s="212" t="s">
        <v>34</v>
      </c>
      <c r="H491" s="1377" t="s">
        <v>768</v>
      </c>
      <c r="I491" s="1377" t="s">
        <v>24</v>
      </c>
      <c r="J491" s="208" t="s">
        <v>2061</v>
      </c>
      <c r="K491" s="1377" t="s">
        <v>768</v>
      </c>
      <c r="L491" s="1377" t="s">
        <v>24</v>
      </c>
      <c r="M491" s="212" t="s">
        <v>2059</v>
      </c>
      <c r="N491" s="1377" t="s">
        <v>768</v>
      </c>
      <c r="O491" s="1377" t="s">
        <v>24</v>
      </c>
      <c r="P491" s="212" t="s">
        <v>15</v>
      </c>
      <c r="Q491" s="1377" t="s">
        <v>768</v>
      </c>
      <c r="R491" s="1377" t="s">
        <v>24</v>
      </c>
      <c r="S491" s="1376" t="s">
        <v>768</v>
      </c>
      <c r="T491" s="1376" t="s">
        <v>24</v>
      </c>
      <c r="U491" s="274" t="s">
        <v>59</v>
      </c>
      <c r="W491" s="32"/>
      <c r="X491" s="1630" t="s">
        <v>2109</v>
      </c>
      <c r="Y491" s="1370"/>
      <c r="Z491" s="1377" t="s">
        <v>768</v>
      </c>
      <c r="AA491" s="1377" t="s">
        <v>24</v>
      </c>
      <c r="AB491" s="1377" t="s">
        <v>59</v>
      </c>
      <c r="AC491" s="711" t="s">
        <v>41</v>
      </c>
      <c r="AD491" s="32"/>
      <c r="AE491" s="32"/>
      <c r="AF491" s="1369"/>
      <c r="AG491" s="1377" t="s">
        <v>768</v>
      </c>
      <c r="AH491" s="1377" t="s">
        <v>24</v>
      </c>
      <c r="AI491" s="1377" t="s">
        <v>59</v>
      </c>
      <c r="AJ491" s="223" t="s">
        <v>41</v>
      </c>
      <c r="AK491" s="1370"/>
      <c r="AL491" s="1377" t="s">
        <v>768</v>
      </c>
      <c r="AM491" s="1377" t="s">
        <v>24</v>
      </c>
      <c r="AN491" s="1377" t="s">
        <v>59</v>
      </c>
      <c r="AO491" s="219" t="s">
        <v>41</v>
      </c>
      <c r="AP491" s="32"/>
      <c r="AQ491" s="32"/>
      <c r="AR491" s="40"/>
      <c r="AS491" s="732" t="s">
        <v>768</v>
      </c>
      <c r="AT491" s="733" t="s">
        <v>24</v>
      </c>
      <c r="AU491" s="733" t="s">
        <v>59</v>
      </c>
      <c r="AV491" s="733" t="s">
        <v>768</v>
      </c>
      <c r="AW491" s="733" t="s">
        <v>24</v>
      </c>
      <c r="AX491" s="733" t="s">
        <v>59</v>
      </c>
      <c r="AY491" s="733" t="s">
        <v>768</v>
      </c>
      <c r="AZ491" s="733" t="s">
        <v>24</v>
      </c>
      <c r="BA491" s="733" t="s">
        <v>59</v>
      </c>
      <c r="BB491" s="733" t="s">
        <v>768</v>
      </c>
      <c r="BC491" s="733" t="s">
        <v>24</v>
      </c>
      <c r="BD491" s="733" t="s">
        <v>59</v>
      </c>
      <c r="BE491" s="734" t="s">
        <v>768</v>
      </c>
      <c r="BF491" s="734" t="s">
        <v>24</v>
      </c>
      <c r="BG491" s="735" t="s">
        <v>59</v>
      </c>
      <c r="BH491" s="732" t="s">
        <v>768</v>
      </c>
      <c r="BI491" s="733" t="s">
        <v>24</v>
      </c>
      <c r="BJ491" s="736" t="s">
        <v>59</v>
      </c>
    </row>
    <row r="492" spans="1:63" ht="12.75" hidden="1" customHeight="1" outlineLevel="1" x14ac:dyDescent="0.2">
      <c r="B492" s="200" t="s">
        <v>812</v>
      </c>
      <c r="C492" s="201"/>
      <c r="D492" s="262">
        <f>SUM(S492:U492)</f>
        <v>0</v>
      </c>
      <c r="E492" s="265">
        <f>D492*12/44</f>
        <v>0</v>
      </c>
      <c r="F492" s="559"/>
      <c r="G492" s="182"/>
      <c r="H492" s="271">
        <f>VLOOKUP($B492,'Emissions factors'!$B$84:$K$147,2,FALSE)</f>
        <v>665.2</v>
      </c>
      <c r="I492" s="271">
        <f>VLOOKUP($B492,'Emissions factors'!$B$84:$K$147,3,FALSE)</f>
        <v>3160.98</v>
      </c>
      <c r="J492" s="182"/>
      <c r="K492" s="277">
        <f>VLOOKUP($B492,'Emissions factors'!$B$84:$K$147,4,FALSE)</f>
        <v>5.5E-2</v>
      </c>
      <c r="L492" s="277">
        <f>VLOOKUP($B492,'Emissions factors'!$B$84:$K$147,5,FALSE)</f>
        <v>0.257913</v>
      </c>
      <c r="M492" s="182"/>
      <c r="N492" s="271">
        <f>VLOOKUP($B492,'Emissions factors'!$B$84:$K$147,6,FALSE)</f>
        <v>634.20000000000005</v>
      </c>
      <c r="O492" s="271">
        <f>VLOOKUP($B492,'Emissions factors'!$B$84:$K$147,7,FALSE)</f>
        <v>3010.46</v>
      </c>
      <c r="P492" s="182"/>
      <c r="Q492" s="277">
        <f>VLOOKUP($B492,'Emissions factors'!$B$84:$K$147,8,FALSE)</f>
        <v>0.5323</v>
      </c>
      <c r="R492" s="277">
        <f>VLOOKUP($B492,'Emissions factors'!$B$84:$K$147,9,FALSE)</f>
        <v>2.52</v>
      </c>
      <c r="S492" s="210">
        <f>G492*H492+J492*K492+M492*N492+P492*Q492</f>
        <v>0</v>
      </c>
      <c r="T492" s="210">
        <f>G492*I492+J492*L492+M492*O492+P492*R492</f>
        <v>0</v>
      </c>
      <c r="U492" s="211">
        <f>T492*'Emissions factors'!$C$1285</f>
        <v>0</v>
      </c>
      <c r="V492" s="42"/>
      <c r="X492" s="282">
        <f>VLOOKUP($B492,'Emissions factors'!$B$84:$K$147,10,FALSE)</f>
        <v>0.05</v>
      </c>
      <c r="Y492" s="183"/>
      <c r="Z492" s="221">
        <f>S492*SQRT(X492^2+Y492^2)</f>
        <v>0</v>
      </c>
      <c r="AA492" s="221">
        <f>T492*SQRT(X492^2+Y492^2)</f>
        <v>0</v>
      </c>
      <c r="AB492" s="221">
        <f>U492*SQRT(X492^2+Y492^2)</f>
        <v>0</v>
      </c>
      <c r="AC492" s="211">
        <f>SQRT(SUMSQ(Z492:AB492))</f>
        <v>0</v>
      </c>
      <c r="AF492" s="184"/>
      <c r="AG492" s="224">
        <f>S492*AF492</f>
        <v>0</v>
      </c>
      <c r="AH492" s="224">
        <f>T492*AF492</f>
        <v>0</v>
      </c>
      <c r="AI492" s="224">
        <f>U492*AF492</f>
        <v>0</v>
      </c>
      <c r="AJ492" s="210">
        <f>SUM(AG492:AI492)</f>
        <v>0</v>
      </c>
      <c r="AK492" s="184"/>
      <c r="AL492" s="435">
        <f>AK492*S492</f>
        <v>0</v>
      </c>
      <c r="AM492" s="435">
        <f>AK492*T492</f>
        <v>0</v>
      </c>
      <c r="AN492" s="224">
        <f>U492*AK492</f>
        <v>0</v>
      </c>
      <c r="AO492" s="211">
        <f>SUM(AL492:AN492)</f>
        <v>0</v>
      </c>
      <c r="AS492" s="717">
        <f>G492*VLOOKUP($B492,'Emissions factors'!$B$84:$AQ$147,11,FALSE)+J492*VLOOKUP($B492,'Emissions factors'!$B$84:$AQ$147,13,FALSE)+M492*VLOOKUP($B492,'Emissions factors'!$B$84:$AQ$147,15,FALSE)+P492*VLOOKUP($B492,'Emissions factors'!$B$84:$AQ$147,17,FALSE)</f>
        <v>0</v>
      </c>
      <c r="AT492" s="718">
        <f>G492*VLOOKUP($B492,'Emissions factors'!$B$84:$AQ$147,12,FALSE)+J492*VLOOKUP($B492,'Emissions factors'!$B$84:$AQ$147,14,FALSE)+M492*VLOOKUP($B492,'Emissions factors'!$B$84:$AQ$147,16,FALSE)+P492*VLOOKUP($B492,'Emissions factors'!$B$84:$AQ$147,18,FALSE)</f>
        <v>0</v>
      </c>
      <c r="AU492" s="718"/>
      <c r="AV492" s="718">
        <f>G492*VLOOKUP($B492,'Emissions factors'!$B$84:$AQ$147,19,FALSE)+J492*VLOOKUP($B492,'Emissions factors'!$B$84:$AQ$147,21,FALSE)+M492*VLOOKUP($B492,'Emissions factors'!$B$84:$AQ$147,23,FALSE)+P492*VLOOKUP($B492,'Emissions factors'!$B$84:$AQ$147,25,FALSE)</f>
        <v>0</v>
      </c>
      <c r="AW492" s="718">
        <f>G492*VLOOKUP($B492,'Emissions factors'!$B$84:$AQ$147,20,FALSE)+J492*VLOOKUP($B492,'Emissions factors'!$B$84:$AQ$147,22,FALSE)+M492*VLOOKUP($B492,'Emissions factors'!$B$84:$AQ$147,24,FALSE)+P492*VLOOKUP($B492,'Emissions factors'!$B$84:$AQ$147,26,FALSE)</f>
        <v>0</v>
      </c>
      <c r="AX492" s="718"/>
      <c r="AY492" s="718">
        <f>G492*VLOOKUP($B492,'Emissions factors'!$B$84:$AQ$147,27,FALSE)+J492*VLOOKUP($B492,'Emissions factors'!$B$84:$AQ$147,29,FALSE)+M492*VLOOKUP($B492,'Emissions factors'!$B$84:$AQ$147,31,FALSE)+P492*VLOOKUP($B492,'Emissions factors'!$B$84:$AQ$147,33,FALSE)</f>
        <v>0</v>
      </c>
      <c r="AZ492" s="718">
        <f>G492*VLOOKUP($B492,'Emissions factors'!$B$84:$AQ$147,28,FALSE)+J492*VLOOKUP($B492,'Emissions factors'!$B$84:$AQ$147,30,FALSE)+M492*VLOOKUP($B492,'Emissions factors'!$B$84:$AQ$147,32,FALSE)+P492*VLOOKUP($B492,'Emissions factors'!$B$84:$AQ$147,34,FALSE)</f>
        <v>0</v>
      </c>
      <c r="BA492" s="718"/>
      <c r="BB492" s="718"/>
      <c r="BC492" s="718"/>
      <c r="BD492" s="718">
        <f>U492</f>
        <v>0</v>
      </c>
      <c r="BE492" s="719">
        <f t="shared" ref="BE492:BG494" si="202">S492</f>
        <v>0</v>
      </c>
      <c r="BF492" s="719">
        <f t="shared" si="202"/>
        <v>0</v>
      </c>
      <c r="BG492" s="720">
        <f t="shared" si="202"/>
        <v>0</v>
      </c>
      <c r="BH492" s="717">
        <f>G492*VLOOKUP($B492,'Emissions factors'!$B$84:$AQ$147,35,FALSE)+J492*VLOOKUP($B492,'Emissions factors'!$B$84:$AQ$147,37,FALSE)+M492*VLOOKUP($B492,'Emissions factors'!$B$84:$AQ$147,39,FALSE)+P492*VLOOKUP($B492,'Emissions factors'!$B$84:$AQ$147,41,FALSE)</f>
        <v>0</v>
      </c>
      <c r="BI492" s="718">
        <f>G492*VLOOKUP($B492,'Emissions factors'!$B$84:$AQ$147,36,FALSE)+J492*VLOOKUP($B492,'Emissions factors'!$B$84:$AQ$147,38,FALSE)+M492*VLOOKUP($B492,'Emissions factors'!$B$84:$AQ$147,40,FALSE)+P492*VLOOKUP($B492,'Emissions factors'!$B$84:$AQ$147,42,FALSE)</f>
        <v>0</v>
      </c>
      <c r="BJ492" s="721"/>
    </row>
    <row r="493" spans="1:63" ht="12.75" hidden="1" customHeight="1" outlineLevel="1" x14ac:dyDescent="0.2">
      <c r="B493" s="200" t="s">
        <v>797</v>
      </c>
      <c r="C493" s="201"/>
      <c r="D493" s="262">
        <f>SUM(S493:U493)</f>
        <v>0</v>
      </c>
      <c r="E493" s="265">
        <f>D493*12/44</f>
        <v>0</v>
      </c>
      <c r="F493" s="442"/>
      <c r="G493" s="185"/>
      <c r="H493" s="271">
        <f>VLOOKUP($B493,'Emissions factors'!$B$84:$K$147,2,FALSE)</f>
        <v>668.5</v>
      </c>
      <c r="I493" s="271">
        <f>VLOOKUP($B493,'Emissions factors'!$B$84:$K$147,3,FALSE)</f>
        <v>3111.04</v>
      </c>
      <c r="J493" s="185"/>
      <c r="K493" s="277">
        <f>VLOOKUP($B493,'Emissions factors'!$B$84:$K$147,4,FALSE)</f>
        <v>5.5E-2</v>
      </c>
      <c r="L493" s="277">
        <f>VLOOKUP($B493,'Emissions factors'!$B$84:$K$147,5,FALSE)</f>
        <v>0.252913</v>
      </c>
      <c r="M493" s="185"/>
      <c r="N493" s="271">
        <f>VLOOKUP($B493,'Emissions factors'!$B$84:$K$147,6,FALSE)</f>
        <v>634.20000000000005</v>
      </c>
      <c r="O493" s="271">
        <f>VLOOKUP($B493,'Emissions factors'!$B$84:$K$147,7,FALSE)</f>
        <v>2950.46</v>
      </c>
      <c r="P493" s="185"/>
      <c r="Q493" s="277">
        <f>VLOOKUP($B493,'Emissions factors'!$B$84:$K$147,8,FALSE)</f>
        <v>0.53459999999999996</v>
      </c>
      <c r="R493" s="277">
        <f>VLOOKUP($B493,'Emissions factors'!$B$84:$K$147,9,FALSE)</f>
        <v>2.48</v>
      </c>
      <c r="S493" s="210">
        <f>G493*H493+J493*K493+M493*N493+P493*Q493</f>
        <v>0</v>
      </c>
      <c r="T493" s="210">
        <f>G493*I493+J493*L493+M493*O493+P493*R493</f>
        <v>0</v>
      </c>
      <c r="U493" s="211">
        <f>T493*'Emissions factors'!$C$1285</f>
        <v>0</v>
      </c>
      <c r="V493" s="42"/>
      <c r="X493" s="282">
        <f>VLOOKUP($B493,'Emissions factors'!$B$84:$K$147,10,FALSE)</f>
        <v>0.05</v>
      </c>
      <c r="Y493" s="186"/>
      <c r="Z493" s="221">
        <f>S493*SQRT(X493^2+Y493^2)</f>
        <v>0</v>
      </c>
      <c r="AA493" s="221">
        <f>T493*SQRT(X493^2+Y493^2)</f>
        <v>0</v>
      </c>
      <c r="AB493" s="221">
        <f>U493*SQRT(X493^2+Y493^2)</f>
        <v>0</v>
      </c>
      <c r="AC493" s="211">
        <f>SQRT(SUMSQ(Z493:AB493))</f>
        <v>0</v>
      </c>
      <c r="AF493" s="187"/>
      <c r="AG493" s="224">
        <f>S493*AF493</f>
        <v>0</v>
      </c>
      <c r="AH493" s="224">
        <f>T493*AF493</f>
        <v>0</v>
      </c>
      <c r="AI493" s="224">
        <f>U493*AF493</f>
        <v>0</v>
      </c>
      <c r="AJ493" s="210">
        <f>SUM(AG493:AI493)</f>
        <v>0</v>
      </c>
      <c r="AK493" s="187"/>
      <c r="AL493" s="435">
        <f>AK493*S493</f>
        <v>0</v>
      </c>
      <c r="AM493" s="435">
        <f>AK493*T493</f>
        <v>0</v>
      </c>
      <c r="AN493" s="224">
        <f>U493*AK493</f>
        <v>0</v>
      </c>
      <c r="AO493" s="211">
        <f>SUM(AL493:AN493)</f>
        <v>0</v>
      </c>
      <c r="AS493" s="717">
        <f>G493*VLOOKUP($B493,'Emissions factors'!$B$84:$AQ$147,11,FALSE)+J493*VLOOKUP($B493,'Emissions factors'!$B$84:$AQ$147,13,FALSE)+M493*VLOOKUP($B493,'Emissions factors'!$B$84:$AQ$147,15,FALSE)+P493*VLOOKUP($B493,'Emissions factors'!$B$84:$AQ$147,17,FALSE)</f>
        <v>0</v>
      </c>
      <c r="AT493" s="718">
        <f>G493*VLOOKUP($B493,'Emissions factors'!$B$84:$AQ$147,12,FALSE)+J493*VLOOKUP($B493,'Emissions factors'!$B$84:$AQ$147,14,FALSE)+M493*VLOOKUP($B493,'Emissions factors'!$B$84:$AQ$147,16,FALSE)+P493*VLOOKUP($B493,'Emissions factors'!$B$84:$AQ$147,18,FALSE)</f>
        <v>0</v>
      </c>
      <c r="AU493" s="718"/>
      <c r="AV493" s="718">
        <f>G493*VLOOKUP($B493,'Emissions factors'!$B$84:$AQ$147,19,FALSE)+J493*VLOOKUP($B493,'Emissions factors'!$B$84:$AQ$147,21,FALSE)+M493*VLOOKUP($B493,'Emissions factors'!$B$84:$AQ$147,23,FALSE)+P493*VLOOKUP($B493,'Emissions factors'!$B$84:$AQ$147,25,FALSE)</f>
        <v>0</v>
      </c>
      <c r="AW493" s="718">
        <f>G493*VLOOKUP($B493,'Emissions factors'!$B$84:$AQ$147,20,FALSE)+J493*VLOOKUP($B493,'Emissions factors'!$B$84:$AQ$147,22,FALSE)+M493*VLOOKUP($B493,'Emissions factors'!$B$84:$AQ$147,24,FALSE)+P493*VLOOKUP($B493,'Emissions factors'!$B$84:$AQ$147,26,FALSE)</f>
        <v>0</v>
      </c>
      <c r="AX493" s="718"/>
      <c r="AY493" s="718">
        <f>G493*VLOOKUP($B493,'Emissions factors'!$B$84:$AQ$147,27,FALSE)+J493*VLOOKUP($B493,'Emissions factors'!$B$84:$AQ$147,29,FALSE)+M493*VLOOKUP($B493,'Emissions factors'!$B$84:$AQ$147,31,FALSE)+P493*VLOOKUP($B493,'Emissions factors'!$B$84:$AQ$147,33,FALSE)</f>
        <v>0</v>
      </c>
      <c r="AZ493" s="718">
        <f>G493*VLOOKUP($B493,'Emissions factors'!$B$84:$AQ$147,28,FALSE)+J493*VLOOKUP($B493,'Emissions factors'!$B$84:$AQ$147,30,FALSE)+M493*VLOOKUP($B493,'Emissions factors'!$B$84:$AQ$147,32,FALSE)+P493*VLOOKUP($B493,'Emissions factors'!$B$84:$AQ$147,34,FALSE)</f>
        <v>0</v>
      </c>
      <c r="BA493" s="718"/>
      <c r="BB493" s="718"/>
      <c r="BC493" s="718"/>
      <c r="BD493" s="718">
        <f>U493</f>
        <v>0</v>
      </c>
      <c r="BE493" s="719">
        <f t="shared" si="202"/>
        <v>0</v>
      </c>
      <c r="BF493" s="719">
        <f t="shared" si="202"/>
        <v>0</v>
      </c>
      <c r="BG493" s="720">
        <f t="shared" si="202"/>
        <v>0</v>
      </c>
      <c r="BH493" s="717">
        <f>G493*VLOOKUP($B493,'Emissions factors'!$B$84:$AQ$147,35,FALSE)+J493*VLOOKUP($B493,'Emissions factors'!$B$84:$AQ$147,37,FALSE)+M493*VLOOKUP($B493,'Emissions factors'!$B$84:$AQ$147,39,FALSE)+P493*VLOOKUP($B493,'Emissions factors'!$B$84:$AQ$147,41,FALSE)</f>
        <v>0</v>
      </c>
      <c r="BI493" s="718">
        <f>G493*VLOOKUP($B493,'Emissions factors'!$B$84:$AQ$147,36,FALSE)+J493*VLOOKUP($B493,'Emissions factors'!$B$84:$AQ$147,38,FALSE)+M493*VLOOKUP($B493,'Emissions factors'!$B$84:$AQ$147,40,FALSE)+P493*VLOOKUP($B493,'Emissions factors'!$B$84:$AQ$147,42,FALSE)</f>
        <v>0</v>
      </c>
      <c r="BJ493" s="721"/>
    </row>
    <row r="494" spans="1:63" ht="12.75" hidden="1" customHeight="1" outlineLevel="1" x14ac:dyDescent="0.2">
      <c r="B494" s="200" t="s">
        <v>798</v>
      </c>
      <c r="C494" s="201"/>
      <c r="D494" s="262">
        <f>SUM(S494:U494)</f>
        <v>0</v>
      </c>
      <c r="E494" s="265">
        <f>D494*12/44</f>
        <v>0</v>
      </c>
      <c r="F494" s="188"/>
      <c r="G494" s="188"/>
      <c r="H494" s="271">
        <f>VLOOKUP($B494,'Emissions factors'!$B$84:$K$147,2,FALSE)</f>
        <v>634.20000000000005</v>
      </c>
      <c r="I494" s="271">
        <f>VLOOKUP($B494,'Emissions factors'!$B$84:$K$147,3,FALSE)</f>
        <v>3160.46</v>
      </c>
      <c r="J494" s="188"/>
      <c r="K494" s="277">
        <f>VLOOKUP($B494,'Emissions factors'!$B$84:$K$147,4,FALSE)</f>
        <v>5.4399999999999997E-2</v>
      </c>
      <c r="L494" s="277">
        <f>VLOOKUP($B494,'Emissions factors'!$B$84:$K$147,5,FALSE)</f>
        <v>0.258913</v>
      </c>
      <c r="M494" s="188"/>
      <c r="N494" s="271">
        <f>VLOOKUP($B494,'Emissions factors'!$B$84:$K$147,6,FALSE)</f>
        <v>634.20000000000005</v>
      </c>
      <c r="O494" s="271">
        <f>VLOOKUP($B494,'Emissions factors'!$B$84:$K$147,7,FALSE)</f>
        <v>3020.46</v>
      </c>
      <c r="P494" s="188"/>
      <c r="Q494" s="277">
        <f>VLOOKUP($B494,'Emissions factors'!$B$84:$K$147,8,FALSE)</f>
        <v>0.53129999999999999</v>
      </c>
      <c r="R494" s="277">
        <f>VLOOKUP($B494,'Emissions factors'!$B$84:$K$147,9,FALSE)</f>
        <v>2.48</v>
      </c>
      <c r="S494" s="210">
        <f>G494*H494+J494*K494+M494*N494+P494*Q494</f>
        <v>0</v>
      </c>
      <c r="T494" s="210">
        <f>G494*I494+J494*L494+M494*O494+P494*R494</f>
        <v>0</v>
      </c>
      <c r="U494" s="211">
        <f>T494*'Emissions factors'!$C$1285</f>
        <v>0</v>
      </c>
      <c r="V494" s="42"/>
      <c r="X494" s="282">
        <f>VLOOKUP($B494,'Emissions factors'!$B$84:$K$147,10,FALSE)</f>
        <v>0.05</v>
      </c>
      <c r="Y494" s="189"/>
      <c r="Z494" s="221">
        <f>S494*SQRT(X494^2+Y494^2)</f>
        <v>0</v>
      </c>
      <c r="AA494" s="221">
        <f>T494*SQRT(X494^2+Y494^2)</f>
        <v>0</v>
      </c>
      <c r="AB494" s="221">
        <f>U494*SQRT(X494^2+Y494^2)</f>
        <v>0</v>
      </c>
      <c r="AC494" s="211">
        <f>SQRT(SUMSQ(Z494:AB494))</f>
        <v>0</v>
      </c>
      <c r="AF494" s="190"/>
      <c r="AG494" s="224">
        <f>S494*AF494</f>
        <v>0</v>
      </c>
      <c r="AH494" s="224">
        <f>T494*AF494</f>
        <v>0</v>
      </c>
      <c r="AI494" s="224">
        <f>U494*AF494</f>
        <v>0</v>
      </c>
      <c r="AJ494" s="210">
        <f>SUM(AG494:AI494)</f>
        <v>0</v>
      </c>
      <c r="AK494" s="190"/>
      <c r="AL494" s="435">
        <f>AK494*S494</f>
        <v>0</v>
      </c>
      <c r="AM494" s="435">
        <f>AK494*T494</f>
        <v>0</v>
      </c>
      <c r="AN494" s="224">
        <f>U494*AK494</f>
        <v>0</v>
      </c>
      <c r="AO494" s="211">
        <f>SUM(AL494:AN494)</f>
        <v>0</v>
      </c>
      <c r="AR494" s="42"/>
      <c r="AS494" s="717">
        <f>G494*VLOOKUP($B494,'Emissions factors'!$B$84:$AQ$147,11,FALSE)+J494*VLOOKUP($B494,'Emissions factors'!$B$84:$AQ$147,13,FALSE)+M494*VLOOKUP($B494,'Emissions factors'!$B$84:$AQ$147,15,FALSE)+P494*VLOOKUP($B494,'Emissions factors'!$B$84:$AQ$147,17,FALSE)</f>
        <v>0</v>
      </c>
      <c r="AT494" s="718">
        <f>G494*VLOOKUP($B494,'Emissions factors'!$B$84:$AQ$147,12,FALSE)+J494*VLOOKUP($B494,'Emissions factors'!$B$84:$AQ$147,14,FALSE)+M494*VLOOKUP($B494,'Emissions factors'!$B$84:$AQ$147,16,FALSE)+P494*VLOOKUP($B494,'Emissions factors'!$B$84:$AQ$147,18,FALSE)</f>
        <v>0</v>
      </c>
      <c r="AU494" s="718"/>
      <c r="AV494" s="718">
        <f>G494*VLOOKUP($B494,'Emissions factors'!$B$84:$AQ$147,19,FALSE)+J494*VLOOKUP($B494,'Emissions factors'!$B$84:$AQ$147,21,FALSE)+M494*VLOOKUP($B494,'Emissions factors'!$B$84:$AQ$147,23,FALSE)+P494*VLOOKUP($B494,'Emissions factors'!$B$84:$AQ$147,25,FALSE)</f>
        <v>0</v>
      </c>
      <c r="AW494" s="718">
        <f>G494*VLOOKUP($B494,'Emissions factors'!$B$84:$AQ$147,20,FALSE)+J494*VLOOKUP($B494,'Emissions factors'!$B$84:$AQ$147,22,FALSE)+M494*VLOOKUP($B494,'Emissions factors'!$B$84:$AQ$147,24,FALSE)+P494*VLOOKUP($B494,'Emissions factors'!$B$84:$AQ$147,26,FALSE)</f>
        <v>0</v>
      </c>
      <c r="AX494" s="718"/>
      <c r="AY494" s="718">
        <f>G494*VLOOKUP($B494,'Emissions factors'!$B$84:$AQ$147,27,FALSE)+J494*VLOOKUP($B494,'Emissions factors'!$B$84:$AQ$147,29,FALSE)+M494*VLOOKUP($B494,'Emissions factors'!$B$84:$AQ$147,31,FALSE)+P494*VLOOKUP($B494,'Emissions factors'!$B$84:$AQ$147,33,FALSE)</f>
        <v>0</v>
      </c>
      <c r="AZ494" s="718">
        <f>G494*VLOOKUP($B494,'Emissions factors'!$B$84:$AQ$147,28,FALSE)+J494*VLOOKUP($B494,'Emissions factors'!$B$84:$AQ$147,30,FALSE)+M494*VLOOKUP($B494,'Emissions factors'!$B$84:$AQ$147,32,FALSE)+P494*VLOOKUP($B494,'Emissions factors'!$B$84:$AQ$147,34,FALSE)</f>
        <v>0</v>
      </c>
      <c r="BA494" s="718"/>
      <c r="BB494" s="718"/>
      <c r="BC494" s="718"/>
      <c r="BD494" s="718">
        <f>U494</f>
        <v>0</v>
      </c>
      <c r="BE494" s="719">
        <f t="shared" si="202"/>
        <v>0</v>
      </c>
      <c r="BF494" s="719">
        <f t="shared" si="202"/>
        <v>0</v>
      </c>
      <c r="BG494" s="720">
        <f t="shared" si="202"/>
        <v>0</v>
      </c>
      <c r="BH494" s="717">
        <f>G494*VLOOKUP($B494,'Emissions factors'!$B$84:$AQ$147,35,FALSE)+J494*VLOOKUP($B494,'Emissions factors'!$B$84:$AQ$147,37,FALSE)+M494*VLOOKUP($B494,'Emissions factors'!$B$84:$AQ$147,39,FALSE)+P494*VLOOKUP($B494,'Emissions factors'!$B$84:$AQ$147,41,FALSE)</f>
        <v>0</v>
      </c>
      <c r="BI494" s="718">
        <f>G494*VLOOKUP($B494,'Emissions factors'!$B$84:$AQ$147,36,FALSE)+J494*VLOOKUP($B494,'Emissions factors'!$B$84:$AQ$147,38,FALSE)+M494*VLOOKUP($B494,'Emissions factors'!$B$84:$AQ$147,40,FALSE)+P494*VLOOKUP($B494,'Emissions factors'!$B$84:$AQ$147,42,FALSE)</f>
        <v>0</v>
      </c>
      <c r="BJ494" s="721"/>
    </row>
    <row r="495" spans="1:63" ht="12.75" hidden="1" customHeight="1" outlineLevel="1" x14ac:dyDescent="0.2">
      <c r="B495" s="213"/>
      <c r="C495" s="214"/>
      <c r="D495" s="275"/>
      <c r="E495" s="268"/>
      <c r="F495" s="214"/>
      <c r="G495" s="469"/>
      <c r="H495" s="469"/>
      <c r="I495" s="469"/>
      <c r="J495" s="469"/>
      <c r="K495" s="469"/>
      <c r="L495" s="469"/>
      <c r="M495" s="469"/>
      <c r="N495" s="469"/>
      <c r="O495" s="469"/>
      <c r="P495" s="469"/>
      <c r="Q495" s="469"/>
      <c r="R495" s="470"/>
      <c r="S495" s="463"/>
      <c r="T495" s="463"/>
      <c r="U495" s="215"/>
      <c r="V495" s="42"/>
      <c r="W495" s="42"/>
      <c r="X495" s="477"/>
      <c r="Y495" s="227"/>
      <c r="Z495" s="227"/>
      <c r="AA495" s="227"/>
      <c r="AB495" s="227"/>
      <c r="AC495" s="478"/>
      <c r="AD495" s="42"/>
      <c r="AE495" s="42"/>
      <c r="AF495" s="1369"/>
      <c r="AG495" s="221"/>
      <c r="AH495" s="224"/>
      <c r="AI495" s="221"/>
      <c r="AJ495" s="201"/>
      <c r="AK495" s="221"/>
      <c r="AL495" s="435"/>
      <c r="AM495" s="435"/>
      <c r="AN495" s="224"/>
      <c r="AO495" s="203"/>
      <c r="AP495" s="42"/>
      <c r="AQ495" s="42"/>
      <c r="AS495" s="717"/>
      <c r="AT495" s="718"/>
      <c r="AU495" s="718"/>
      <c r="AV495" s="718"/>
      <c r="AW495" s="718"/>
      <c r="AX495" s="718"/>
      <c r="AY495" s="718"/>
      <c r="AZ495" s="718"/>
      <c r="BA495" s="718"/>
      <c r="BB495" s="718"/>
      <c r="BC495" s="718"/>
      <c r="BD495" s="718"/>
      <c r="BE495" s="719"/>
      <c r="BF495" s="719"/>
      <c r="BG495" s="720"/>
      <c r="BH495" s="722"/>
      <c r="BI495" s="786"/>
      <c r="BJ495" s="723"/>
    </row>
    <row r="496" spans="1:63" ht="12.75" hidden="1" customHeight="1" outlineLevel="1" x14ac:dyDescent="0.2">
      <c r="B496" s="253" t="s">
        <v>2828</v>
      </c>
      <c r="C496" s="254"/>
      <c r="D496" s="264">
        <f>SUM(D492:D495)</f>
        <v>0</v>
      </c>
      <c r="E496" s="267">
        <f>SUM(E492:E495)</f>
        <v>0</v>
      </c>
      <c r="F496" s="255"/>
      <c r="G496" s="256"/>
      <c r="H496" s="256"/>
      <c r="I496" s="256"/>
      <c r="J496" s="256"/>
      <c r="K496" s="256"/>
      <c r="L496" s="256"/>
      <c r="M496" s="256"/>
      <c r="N496" s="256"/>
      <c r="O496" s="256"/>
      <c r="P496" s="256"/>
      <c r="Q496" s="256"/>
      <c r="R496" s="256"/>
      <c r="S496" s="259">
        <f>SUM(S492:S495)</f>
        <v>0</v>
      </c>
      <c r="T496" s="259">
        <f>SUM(T492:T495)</f>
        <v>0</v>
      </c>
      <c r="U496" s="257">
        <f>SUM(U492:U495)</f>
        <v>0</v>
      </c>
      <c r="V496" s="42"/>
      <c r="X496" s="458"/>
      <c r="Y496" s="459"/>
      <c r="Z496" s="260">
        <f>SQRT(SUMSQ(Z492:Z495))</f>
        <v>0</v>
      </c>
      <c r="AA496" s="260">
        <f>SQRT(SUMSQ(AA492:AA495))</f>
        <v>0</v>
      </c>
      <c r="AB496" s="260">
        <f>SQRT(SUMSQ(AB492:AB495))</f>
        <v>0</v>
      </c>
      <c r="AC496" s="257">
        <f>SQRT(SUMSQ(AC492:AC495))</f>
        <v>0</v>
      </c>
      <c r="AF496" s="258"/>
      <c r="AG496" s="490">
        <f>SUM(AG492:AG495)</f>
        <v>0</v>
      </c>
      <c r="AH496" s="490">
        <f>SUM(AH492:AH495)</f>
        <v>0</v>
      </c>
      <c r="AI496" s="260">
        <f>SUM(AI492:AI495)</f>
        <v>0</v>
      </c>
      <c r="AJ496" s="259">
        <f>SUM(AJ492:AJ495)</f>
        <v>0</v>
      </c>
      <c r="AK496" s="254"/>
      <c r="AL496" s="260">
        <f>SUM(AL492:AL495)</f>
        <v>0</v>
      </c>
      <c r="AM496" s="260">
        <f>SUM(AM492:AM495)</f>
        <v>0</v>
      </c>
      <c r="AN496" s="260">
        <f>SUM(AN492:AN495)</f>
        <v>0</v>
      </c>
      <c r="AO496" s="257">
        <f>SUM(AO492:AO495)</f>
        <v>0</v>
      </c>
      <c r="AS496" s="724">
        <f t="shared" ref="AS496:BJ496" si="203">SUM(AS492:AS495)</f>
        <v>0</v>
      </c>
      <c r="AT496" s="725">
        <f t="shared" si="203"/>
        <v>0</v>
      </c>
      <c r="AU496" s="725">
        <f t="shared" si="203"/>
        <v>0</v>
      </c>
      <c r="AV496" s="725">
        <f t="shared" si="203"/>
        <v>0</v>
      </c>
      <c r="AW496" s="725">
        <f t="shared" si="203"/>
        <v>0</v>
      </c>
      <c r="AX496" s="725">
        <f t="shared" si="203"/>
        <v>0</v>
      </c>
      <c r="AY496" s="725">
        <f t="shared" si="203"/>
        <v>0</v>
      </c>
      <c r="AZ496" s="725">
        <f t="shared" si="203"/>
        <v>0</v>
      </c>
      <c r="BA496" s="725">
        <f t="shared" si="203"/>
        <v>0</v>
      </c>
      <c r="BB496" s="725">
        <f t="shared" si="203"/>
        <v>0</v>
      </c>
      <c r="BC496" s="725">
        <f t="shared" si="203"/>
        <v>0</v>
      </c>
      <c r="BD496" s="725">
        <f t="shared" si="203"/>
        <v>0</v>
      </c>
      <c r="BE496" s="726">
        <f t="shared" si="203"/>
        <v>0</v>
      </c>
      <c r="BF496" s="726">
        <f t="shared" si="203"/>
        <v>0</v>
      </c>
      <c r="BG496" s="727">
        <f t="shared" si="203"/>
        <v>0</v>
      </c>
      <c r="BH496" s="724">
        <f t="shared" si="203"/>
        <v>0</v>
      </c>
      <c r="BI496" s="725">
        <f t="shared" si="203"/>
        <v>0</v>
      </c>
      <c r="BJ496" s="728">
        <f t="shared" si="203"/>
        <v>0</v>
      </c>
    </row>
    <row r="497" spans="1:62" ht="15" hidden="1" customHeight="1" outlineLevel="1" x14ac:dyDescent="0.2">
      <c r="BA497" s="751"/>
    </row>
    <row r="498" spans="1:62" ht="12.75" hidden="1" customHeight="1" outlineLevel="1" x14ac:dyDescent="0.2">
      <c r="B498" s="195" t="s">
        <v>2900</v>
      </c>
      <c r="C498" s="196"/>
      <c r="D498" s="1364"/>
      <c r="E498" s="1364"/>
      <c r="F498" s="198"/>
      <c r="G498" s="198"/>
      <c r="H498" s="217"/>
      <c r="I498" s="217"/>
      <c r="J498" s="217"/>
      <c r="K498" s="1364"/>
      <c r="L498" s="1364"/>
      <c r="M498" s="1364"/>
      <c r="N498" s="218"/>
      <c r="X498" s="1746" t="s">
        <v>723</v>
      </c>
      <c r="Y498" s="1747"/>
      <c r="Z498" s="1747"/>
      <c r="AA498" s="1747"/>
      <c r="AB498" s="1747"/>
      <c r="AC498" s="1747"/>
      <c r="AD498" s="1748"/>
      <c r="AF498" s="1746" t="s">
        <v>2066</v>
      </c>
      <c r="AG498" s="1747"/>
      <c r="AH498" s="1747"/>
      <c r="AI498" s="1747"/>
      <c r="AJ498" s="1747"/>
      <c r="AK498" s="1747"/>
      <c r="AL498" s="1747"/>
      <c r="AM498" s="1747"/>
      <c r="AN498" s="1747"/>
      <c r="AO498" s="1747"/>
      <c r="AP498" s="1747"/>
      <c r="AQ498" s="1748"/>
      <c r="AS498" s="1755" t="s">
        <v>2073</v>
      </c>
      <c r="AT498" s="1756"/>
      <c r="AU498" s="1756"/>
      <c r="AV498" s="1756"/>
      <c r="AW498" s="1756"/>
      <c r="AX498" s="1756"/>
      <c r="AY498" s="1756"/>
      <c r="AZ498" s="1756"/>
      <c r="BA498" s="1756"/>
      <c r="BB498" s="1756"/>
      <c r="BC498" s="1756"/>
      <c r="BD498" s="1756"/>
      <c r="BE498" s="1756"/>
      <c r="BF498" s="1756"/>
      <c r="BG498" s="1756"/>
      <c r="BH498" s="1756"/>
      <c r="BI498" s="1756"/>
      <c r="BJ498" s="1757"/>
    </row>
    <row r="499" spans="1:62" ht="12.75" hidden="1" customHeight="1" outlineLevel="1" x14ac:dyDescent="0.2">
      <c r="B499" s="417"/>
      <c r="C499" s="225"/>
      <c r="D499" s="705"/>
      <c r="E499" s="705"/>
      <c r="F499" s="214"/>
      <c r="G499" s="201"/>
      <c r="H499" s="234"/>
      <c r="I499" s="234"/>
      <c r="J499" s="234"/>
      <c r="K499" s="705"/>
      <c r="L499" s="705"/>
      <c r="M499" s="705"/>
      <c r="N499" s="1378" t="s">
        <v>2639</v>
      </c>
      <c r="X499" s="1363"/>
      <c r="Y499" s="1364"/>
      <c r="Z499" s="705"/>
      <c r="AA499" s="705"/>
      <c r="AB499" s="705"/>
      <c r="AC499" s="705"/>
      <c r="AD499" s="1378" t="s">
        <v>2639</v>
      </c>
      <c r="AF499" s="704"/>
      <c r="AG499" s="705"/>
      <c r="AH499" s="705"/>
      <c r="AI499" s="705"/>
      <c r="AJ499" s="1370"/>
      <c r="AK499" s="705" t="s">
        <v>2639</v>
      </c>
      <c r="AL499" s="705"/>
      <c r="AM499" s="705"/>
      <c r="AN499" s="705"/>
      <c r="AO499" s="705"/>
      <c r="AP499" s="1370"/>
      <c r="AQ499" s="1378" t="s">
        <v>2639</v>
      </c>
      <c r="AS499" s="1758" t="s">
        <v>61</v>
      </c>
      <c r="AT499" s="1759"/>
      <c r="AU499" s="1759"/>
      <c r="AV499" s="1759"/>
      <c r="AW499" s="1759"/>
      <c r="AX499" s="1759"/>
      <c r="AY499" s="1759"/>
      <c r="AZ499" s="1759"/>
      <c r="BA499" s="1759"/>
      <c r="BB499" s="1759"/>
      <c r="BC499" s="1759"/>
      <c r="BD499" s="1759"/>
      <c r="BE499" s="1759" t="s">
        <v>61</v>
      </c>
      <c r="BF499" s="1759"/>
      <c r="BG499" s="1760"/>
      <c r="BH499" s="730"/>
      <c r="BI499" s="785"/>
      <c r="BJ499" s="731"/>
    </row>
    <row r="500" spans="1:62" ht="12.75" hidden="1" customHeight="1" outlineLevel="1" x14ac:dyDescent="0.2">
      <c r="B500" s="200"/>
      <c r="C500" s="201"/>
      <c r="D500" s="1370" t="s">
        <v>56</v>
      </c>
      <c r="E500" s="1370" t="s">
        <v>56</v>
      </c>
      <c r="F500" s="205" t="s">
        <v>2634</v>
      </c>
      <c r="G500" s="205"/>
      <c r="H500" s="1744" t="s">
        <v>1308</v>
      </c>
      <c r="I500" s="1745"/>
      <c r="J500" s="1745"/>
      <c r="K500" s="705" t="s">
        <v>61</v>
      </c>
      <c r="L500" s="705" t="s">
        <v>61</v>
      </c>
      <c r="M500" s="705" t="s">
        <v>61</v>
      </c>
      <c r="N500" s="1378" t="s">
        <v>30</v>
      </c>
      <c r="X500" s="1630" t="s">
        <v>2605</v>
      </c>
      <c r="Y500" s="1370" t="s">
        <v>2110</v>
      </c>
      <c r="Z500" s="1370" t="s">
        <v>61</v>
      </c>
      <c r="AA500" s="1370" t="s">
        <v>61</v>
      </c>
      <c r="AB500" s="1370" t="s">
        <v>61</v>
      </c>
      <c r="AC500" s="705" t="s">
        <v>61</v>
      </c>
      <c r="AD500" s="1378" t="s">
        <v>30</v>
      </c>
      <c r="AF500" s="1369" t="s">
        <v>2065</v>
      </c>
      <c r="AG500" s="1370" t="s">
        <v>61</v>
      </c>
      <c r="AH500" s="1370" t="s">
        <v>61</v>
      </c>
      <c r="AI500" s="1370" t="s">
        <v>61</v>
      </c>
      <c r="AJ500" s="705" t="s">
        <v>61</v>
      </c>
      <c r="AK500" s="1370" t="s">
        <v>30</v>
      </c>
      <c r="AL500" s="1370" t="s">
        <v>2558</v>
      </c>
      <c r="AM500" s="1370" t="s">
        <v>61</v>
      </c>
      <c r="AN500" s="1370" t="s">
        <v>61</v>
      </c>
      <c r="AO500" s="1370" t="s">
        <v>61</v>
      </c>
      <c r="AP500" s="705" t="s">
        <v>61</v>
      </c>
      <c r="AQ500" s="1378" t="s">
        <v>30</v>
      </c>
      <c r="AS500" s="1764" t="s">
        <v>14</v>
      </c>
      <c r="AT500" s="1761"/>
      <c r="AU500" s="1761"/>
      <c r="AV500" s="1761" t="s">
        <v>60</v>
      </c>
      <c r="AW500" s="1761"/>
      <c r="AX500" s="1761"/>
      <c r="AY500" s="1761" t="s">
        <v>27</v>
      </c>
      <c r="AZ500" s="1761"/>
      <c r="BA500" s="1761"/>
      <c r="BB500" s="1761" t="s">
        <v>2074</v>
      </c>
      <c r="BC500" s="1761"/>
      <c r="BD500" s="1761"/>
      <c r="BE500" s="1762" t="s">
        <v>41</v>
      </c>
      <c r="BF500" s="1762"/>
      <c r="BG500" s="1763"/>
      <c r="BH500" s="1764" t="s">
        <v>85</v>
      </c>
      <c r="BI500" s="1761"/>
      <c r="BJ500" s="1765"/>
    </row>
    <row r="501" spans="1:62" ht="12.75" hidden="1" customHeight="1" outlineLevel="1" x14ac:dyDescent="0.2">
      <c r="B501" s="200"/>
      <c r="C501" s="201"/>
      <c r="D501" s="1370" t="s">
        <v>61</v>
      </c>
      <c r="E501" s="1370" t="s">
        <v>63</v>
      </c>
      <c r="F501" s="1623" t="s">
        <v>2054</v>
      </c>
      <c r="G501" s="208" t="s">
        <v>57</v>
      </c>
      <c r="H501" s="1377" t="s">
        <v>768</v>
      </c>
      <c r="I501" s="1377" t="s">
        <v>24</v>
      </c>
      <c r="J501" s="1377" t="s">
        <v>59</v>
      </c>
      <c r="K501" s="1376" t="s">
        <v>768</v>
      </c>
      <c r="L501" s="1376" t="s">
        <v>24</v>
      </c>
      <c r="M501" s="1376" t="s">
        <v>59</v>
      </c>
      <c r="N501" s="1378" t="s">
        <v>61</v>
      </c>
      <c r="X501" s="1630" t="s">
        <v>2109</v>
      </c>
      <c r="Y501" s="1370"/>
      <c r="Z501" s="1377" t="s">
        <v>768</v>
      </c>
      <c r="AA501" s="1377" t="s">
        <v>24</v>
      </c>
      <c r="AB501" s="1377" t="s">
        <v>59</v>
      </c>
      <c r="AC501" s="705" t="s">
        <v>41</v>
      </c>
      <c r="AD501" s="1378" t="s">
        <v>61</v>
      </c>
      <c r="AF501" s="1369"/>
      <c r="AG501" s="1377" t="s">
        <v>768</v>
      </c>
      <c r="AH501" s="1377" t="s">
        <v>24</v>
      </c>
      <c r="AI501" s="1377" t="s">
        <v>59</v>
      </c>
      <c r="AJ501" s="223" t="s">
        <v>41</v>
      </c>
      <c r="AK501" s="1370" t="s">
        <v>61</v>
      </c>
      <c r="AL501" s="1370"/>
      <c r="AM501" s="1377" t="s">
        <v>768</v>
      </c>
      <c r="AN501" s="1377" t="s">
        <v>24</v>
      </c>
      <c r="AO501" s="1377" t="s">
        <v>59</v>
      </c>
      <c r="AP501" s="223" t="s">
        <v>41</v>
      </c>
      <c r="AQ501" s="1378" t="s">
        <v>61</v>
      </c>
      <c r="AS501" s="732" t="s">
        <v>768</v>
      </c>
      <c r="AT501" s="733" t="s">
        <v>24</v>
      </c>
      <c r="AU501" s="733" t="s">
        <v>59</v>
      </c>
      <c r="AV501" s="733" t="s">
        <v>768</v>
      </c>
      <c r="AW501" s="733" t="s">
        <v>24</v>
      </c>
      <c r="AX501" s="733" t="s">
        <v>59</v>
      </c>
      <c r="AY501" s="733" t="s">
        <v>768</v>
      </c>
      <c r="AZ501" s="733" t="s">
        <v>24</v>
      </c>
      <c r="BA501" s="733" t="s">
        <v>59</v>
      </c>
      <c r="BB501" s="733" t="s">
        <v>768</v>
      </c>
      <c r="BC501" s="733" t="s">
        <v>24</v>
      </c>
      <c r="BD501" s="733" t="s">
        <v>59</v>
      </c>
      <c r="BE501" s="734" t="s">
        <v>768</v>
      </c>
      <c r="BF501" s="734" t="s">
        <v>24</v>
      </c>
      <c r="BG501" s="735" t="s">
        <v>59</v>
      </c>
      <c r="BH501" s="732" t="s">
        <v>768</v>
      </c>
      <c r="BI501" s="733" t="s">
        <v>24</v>
      </c>
      <c r="BJ501" s="736" t="s">
        <v>59</v>
      </c>
    </row>
    <row r="502" spans="1:62" ht="12.75" hidden="1" customHeight="1" outlineLevel="1" x14ac:dyDescent="0.2">
      <c r="B502" s="200" t="s">
        <v>1358</v>
      </c>
      <c r="C502" s="201"/>
      <c r="D502" s="262">
        <f>SUM(K502:M502)</f>
        <v>0</v>
      </c>
      <c r="E502" s="265">
        <f>D502*12/44</f>
        <v>0</v>
      </c>
      <c r="F502" s="559"/>
      <c r="G502" s="182"/>
      <c r="H502" s="272">
        <f>VLOOKUP(B502,'Emissions factors'!$B$1290:$M$1328,2,FALSE)</f>
        <v>0.65079999999999993</v>
      </c>
      <c r="I502" s="272">
        <f>VLOOKUP(B502,'Emissions factors'!$B$1290:$M$1328,3,FALSE)</f>
        <v>3.09</v>
      </c>
      <c r="J502" s="272">
        <f>IF(LEFT(B502,8)="Régional",0,I502*'Emissions factors'!$C$1285)</f>
        <v>3.09</v>
      </c>
      <c r="K502" s="465">
        <f>G502*H502</f>
        <v>0</v>
      </c>
      <c r="L502" s="465">
        <f>G502*I502</f>
        <v>0</v>
      </c>
      <c r="M502" s="210">
        <f>G502*J502</f>
        <v>0</v>
      </c>
      <c r="N502" s="222">
        <f>IF(OR(F502='Info utili'!$G$532,F502='Info utili'!$G$537),L502,0)</f>
        <v>0</v>
      </c>
      <c r="X502" s="282">
        <f>VLOOKUP(B502,'Emissions factors'!$B$1290:$M$1328,12,FALSE)</f>
        <v>0.5</v>
      </c>
      <c r="Y502" s="183"/>
      <c r="Z502" s="432">
        <f>K502*SQRT(X502^2+Y502^2)</f>
        <v>0</v>
      </c>
      <c r="AA502" s="432">
        <f>L502*SQRT(X502^2+Y502^2)</f>
        <v>0</v>
      </c>
      <c r="AB502" s="221">
        <f>M502*SQRT(X502^2+Y502^2)</f>
        <v>0</v>
      </c>
      <c r="AC502" s="210">
        <f>SQRT(SUMSQ(Z502:AB502))</f>
        <v>0</v>
      </c>
      <c r="AD502" s="222">
        <f>N502*SQRT(X502^2+Y502^2)</f>
        <v>0</v>
      </c>
      <c r="AF502" s="183"/>
      <c r="AG502" s="221">
        <f>AF502*K502</f>
        <v>0</v>
      </c>
      <c r="AH502" s="221">
        <f>AF502*L502</f>
        <v>0</v>
      </c>
      <c r="AI502" s="221">
        <f>AF502*M502</f>
        <v>0</v>
      </c>
      <c r="AJ502" s="210">
        <f>SUM(AG502:AI502)</f>
        <v>0</v>
      </c>
      <c r="AK502" s="221">
        <f>AF502*N502</f>
        <v>0</v>
      </c>
      <c r="AL502" s="183"/>
      <c r="AM502" s="221">
        <f>AL502*K502</f>
        <v>0</v>
      </c>
      <c r="AN502" s="221">
        <f>AL502*L502</f>
        <v>0</v>
      </c>
      <c r="AO502" s="221">
        <f>AL502*M502</f>
        <v>0</v>
      </c>
      <c r="AP502" s="210">
        <f>SUM(AM502:AO502)</f>
        <v>0</v>
      </c>
      <c r="AQ502" s="222">
        <f>AL502*N502</f>
        <v>0</v>
      </c>
      <c r="AS502" s="717">
        <f>G502*VLOOKUP(B502,'Emissions factors'!$B$1290:$M$1328,4,FALSE)</f>
        <v>0</v>
      </c>
      <c r="AT502" s="718">
        <f>G502*VLOOKUP(B502,'Emissions factors'!$B$1290:$M$1328,5,FALSE)</f>
        <v>0</v>
      </c>
      <c r="AU502" s="718"/>
      <c r="AV502" s="718">
        <f>G502*VLOOKUP(B502,'Emissions factors'!$B$1290:$M$1328,6,FALSE)</f>
        <v>0</v>
      </c>
      <c r="AW502" s="718">
        <f>G502*VLOOKUP(B502,'Emissions factors'!$B$1290:$M$1328,7,FALSE)</f>
        <v>0</v>
      </c>
      <c r="AX502" s="718"/>
      <c r="AY502" s="718">
        <f>G502*VLOOKUP(B502,'Emissions factors'!$B$1290:$M$1328,8,FALSE)</f>
        <v>0</v>
      </c>
      <c r="AZ502" s="718">
        <f>G502*VLOOKUP(B502,'Emissions factors'!$B$1290:$M$1328,9,FALSE)</f>
        <v>0</v>
      </c>
      <c r="BA502" s="718"/>
      <c r="BB502" s="718"/>
      <c r="BC502" s="718"/>
      <c r="BD502" s="718">
        <f>M502</f>
        <v>0</v>
      </c>
      <c r="BE502" s="719">
        <f t="shared" ref="BE502:BG504" si="204">K502</f>
        <v>0</v>
      </c>
      <c r="BF502" s="719">
        <f t="shared" si="204"/>
        <v>0</v>
      </c>
      <c r="BG502" s="720">
        <f t="shared" si="204"/>
        <v>0</v>
      </c>
      <c r="BH502" s="717">
        <f>G502*VLOOKUP(B502,'Emissions factors'!$B$1290:$M$1328,10,FALSE)</f>
        <v>0</v>
      </c>
      <c r="BI502" s="718">
        <f>G502*VLOOKUP(B502,'Emissions factors'!$B$1290:$M$1328,11,FALSE)</f>
        <v>0</v>
      </c>
      <c r="BJ502" s="721"/>
    </row>
    <row r="503" spans="1:62" ht="12.75" hidden="1" customHeight="1" outlineLevel="1" x14ac:dyDescent="0.2">
      <c r="B503" s="200" t="s">
        <v>1338</v>
      </c>
      <c r="C503" s="201"/>
      <c r="D503" s="262">
        <f>SUM(K503:M503)</f>
        <v>0</v>
      </c>
      <c r="E503" s="265">
        <f>D503*12/44</f>
        <v>0</v>
      </c>
      <c r="F503" s="442"/>
      <c r="G503" s="185"/>
      <c r="H503" s="272">
        <f>VLOOKUP(B503,'Emissions factors'!$B$1290:$M$1328,2,FALSE)</f>
        <v>0.27229999999999999</v>
      </c>
      <c r="I503" s="272">
        <f>VLOOKUP(B503,'Emissions factors'!$B$1290:$M$1328,3,FALSE)</f>
        <v>1.29</v>
      </c>
      <c r="J503" s="272">
        <f>IF(LEFT(B503,8)="Régional",0,I503*'Emissions factors'!$C$1285)</f>
        <v>1.29</v>
      </c>
      <c r="K503" s="465">
        <f>G503*H503</f>
        <v>0</v>
      </c>
      <c r="L503" s="465">
        <f>G503*I503</f>
        <v>0</v>
      </c>
      <c r="M503" s="210">
        <f>G503*J503</f>
        <v>0</v>
      </c>
      <c r="N503" s="222">
        <f>IF(OR(F503='Info utili'!$G$532,F503='Info utili'!$G$537),L503,0)</f>
        <v>0</v>
      </c>
      <c r="X503" s="282">
        <f>VLOOKUP(B503,'Emissions factors'!$B$1290:$M$1328,12,FALSE)</f>
        <v>0.5</v>
      </c>
      <c r="Y503" s="186"/>
      <c r="Z503" s="432">
        <f>K503*SQRT(X503^2+Y503^2)</f>
        <v>0</v>
      </c>
      <c r="AA503" s="432">
        <f>L503*SQRT(X503^2+Y503^2)</f>
        <v>0</v>
      </c>
      <c r="AB503" s="221">
        <f>M503*SQRT(X503^2+Y503^2)</f>
        <v>0</v>
      </c>
      <c r="AC503" s="210">
        <f>SQRT(SUMSQ(Z503:AB503))</f>
        <v>0</v>
      </c>
      <c r="AD503" s="222">
        <f>N503*SQRT(X503^2+Y503^2)</f>
        <v>0</v>
      </c>
      <c r="AF503" s="186"/>
      <c r="AG503" s="221">
        <f>AF503*K503</f>
        <v>0</v>
      </c>
      <c r="AH503" s="221">
        <f>AF503*L503</f>
        <v>0</v>
      </c>
      <c r="AI503" s="221">
        <f>AF503*M503</f>
        <v>0</v>
      </c>
      <c r="AJ503" s="210">
        <f>SUM(AG503:AI503)</f>
        <v>0</v>
      </c>
      <c r="AK503" s="221">
        <f>AF503*N503</f>
        <v>0</v>
      </c>
      <c r="AL503" s="186"/>
      <c r="AM503" s="221">
        <f>AL503*K503</f>
        <v>0</v>
      </c>
      <c r="AN503" s="221">
        <f>AL503*L503</f>
        <v>0</v>
      </c>
      <c r="AO503" s="221">
        <f>AL503*M503</f>
        <v>0</v>
      </c>
      <c r="AP503" s="210">
        <f>SUM(AM503:AO503)</f>
        <v>0</v>
      </c>
      <c r="AQ503" s="222">
        <f>AL503*N503</f>
        <v>0</v>
      </c>
      <c r="AS503" s="717">
        <f>G503*VLOOKUP(B503,'Emissions factors'!$B$1290:$M$1328,4,FALSE)</f>
        <v>0</v>
      </c>
      <c r="AT503" s="718">
        <f>G503*VLOOKUP(B503,'Emissions factors'!$B$1290:$M$1328,5,FALSE)</f>
        <v>0</v>
      </c>
      <c r="AU503" s="718"/>
      <c r="AV503" s="718">
        <f>G503*VLOOKUP(B503,'Emissions factors'!$B$1290:$M$1328,6,FALSE)</f>
        <v>0</v>
      </c>
      <c r="AW503" s="718">
        <f>G503*VLOOKUP(B503,'Emissions factors'!$B$1290:$M$1328,7,FALSE)</f>
        <v>0</v>
      </c>
      <c r="AX503" s="718"/>
      <c r="AY503" s="718">
        <f>G503*VLOOKUP(B503,'Emissions factors'!$B$1290:$M$1328,8,FALSE)</f>
        <v>0</v>
      </c>
      <c r="AZ503" s="718">
        <f>G503*VLOOKUP(B503,'Emissions factors'!$B$1290:$M$1328,9,FALSE)</f>
        <v>0</v>
      </c>
      <c r="BA503" s="718"/>
      <c r="BB503" s="718"/>
      <c r="BC503" s="718"/>
      <c r="BD503" s="718">
        <f>M503</f>
        <v>0</v>
      </c>
      <c r="BE503" s="719">
        <f t="shared" si="204"/>
        <v>0</v>
      </c>
      <c r="BF503" s="719">
        <f t="shared" si="204"/>
        <v>0</v>
      </c>
      <c r="BG503" s="720">
        <f t="shared" si="204"/>
        <v>0</v>
      </c>
      <c r="BH503" s="717">
        <f>G503*VLOOKUP(B503,'Emissions factors'!$B$1290:$M$1328,10,FALSE)</f>
        <v>0</v>
      </c>
      <c r="BI503" s="718">
        <f>G503*VLOOKUP(B503,'Emissions factors'!$B$1290:$M$1328,11,FALSE)</f>
        <v>0</v>
      </c>
      <c r="BJ503" s="721"/>
    </row>
    <row r="504" spans="1:62" s="191" customFormat="1" ht="15" hidden="1" customHeight="1" outlineLevel="1" x14ac:dyDescent="0.2">
      <c r="A504" s="40"/>
      <c r="B504" s="200" t="s">
        <v>1345</v>
      </c>
      <c r="C504" s="201"/>
      <c r="D504" s="262">
        <f>SUM(K504:M504)</f>
        <v>0</v>
      </c>
      <c r="E504" s="265">
        <f>D504*12/44</f>
        <v>0</v>
      </c>
      <c r="F504" s="443"/>
      <c r="G504" s="188"/>
      <c r="H504" s="272">
        <f>VLOOKUP(B504,'Emissions factors'!$B$1290:$M$1328,2,FALSE)</f>
        <v>0.21249999999999999</v>
      </c>
      <c r="I504" s="272">
        <f>VLOOKUP(B504,'Emissions factors'!$B$1290:$M$1328,3,FALSE)</f>
        <v>1.01</v>
      </c>
      <c r="J504" s="272">
        <f>IF(LEFT(B504,8)="Régional",0,I504*'Emissions factors'!$C$1285)</f>
        <v>1.01</v>
      </c>
      <c r="K504" s="465">
        <f>G504*H504</f>
        <v>0</v>
      </c>
      <c r="L504" s="465">
        <f>G504*I504</f>
        <v>0</v>
      </c>
      <c r="M504" s="210">
        <f>G504*J504</f>
        <v>0</v>
      </c>
      <c r="N504" s="222">
        <f>IF(OR(F504='Info utili'!$G$532,F504='Info utili'!$G$537),L504,0)</f>
        <v>0</v>
      </c>
      <c r="O504" s="40"/>
      <c r="P504" s="40"/>
      <c r="Q504" s="40"/>
      <c r="R504" s="40"/>
      <c r="S504" s="40"/>
      <c r="T504" s="40"/>
      <c r="U504" s="40"/>
      <c r="V504" s="40"/>
      <c r="W504" s="40"/>
      <c r="X504" s="282">
        <f>VLOOKUP(B504,'Emissions factors'!$B$1290:$M$1328,12,FALSE)</f>
        <v>0.5</v>
      </c>
      <c r="Y504" s="189"/>
      <c r="Z504" s="432">
        <f>K504*SQRT(X504^2+Y504^2)</f>
        <v>0</v>
      </c>
      <c r="AA504" s="432">
        <f>L504*SQRT(X504^2+Y504^2)</f>
        <v>0</v>
      </c>
      <c r="AB504" s="221">
        <f>M504*SQRT(X504^2+Y504^2)</f>
        <v>0</v>
      </c>
      <c r="AC504" s="210">
        <f>SQRT(SUMSQ(Z504:AB504))</f>
        <v>0</v>
      </c>
      <c r="AD504" s="222">
        <f>N504*SQRT(X504^2+Y504^2)</f>
        <v>0</v>
      </c>
      <c r="AE504" s="40"/>
      <c r="AF504" s="189"/>
      <c r="AG504" s="221">
        <f>AF504*K504</f>
        <v>0</v>
      </c>
      <c r="AH504" s="221">
        <f>AF504*L504</f>
        <v>0</v>
      </c>
      <c r="AI504" s="221">
        <f>AF504*M504</f>
        <v>0</v>
      </c>
      <c r="AJ504" s="210">
        <f>SUM(AG504:AI504)</f>
        <v>0</v>
      </c>
      <c r="AK504" s="221">
        <f>AF504*N504</f>
        <v>0</v>
      </c>
      <c r="AL504" s="189"/>
      <c r="AM504" s="221">
        <f>AL504*K504</f>
        <v>0</v>
      </c>
      <c r="AN504" s="221">
        <f>AL504*L504</f>
        <v>0</v>
      </c>
      <c r="AO504" s="221">
        <f>AL504*M504</f>
        <v>0</v>
      </c>
      <c r="AP504" s="210">
        <f>SUM(AM504:AO504)</f>
        <v>0</v>
      </c>
      <c r="AQ504" s="222">
        <f>AL504*N504</f>
        <v>0</v>
      </c>
      <c r="AR504" s="40"/>
      <c r="AS504" s="717">
        <f>G504*VLOOKUP(B504,'Emissions factors'!$B$1290:$M$1328,4,FALSE)</f>
        <v>0</v>
      </c>
      <c r="AT504" s="718">
        <f>G504*VLOOKUP(B504,'Emissions factors'!$B$1290:$M$1328,5,FALSE)</f>
        <v>0</v>
      </c>
      <c r="AU504" s="718"/>
      <c r="AV504" s="718">
        <f>G504*VLOOKUP(B504,'Emissions factors'!$B$1290:$M$1328,6,FALSE)</f>
        <v>0</v>
      </c>
      <c r="AW504" s="718">
        <f>G504*VLOOKUP(B504,'Emissions factors'!$B$1290:$M$1328,7,FALSE)</f>
        <v>0</v>
      </c>
      <c r="AX504" s="718"/>
      <c r="AY504" s="718">
        <f>G504*VLOOKUP(B504,'Emissions factors'!$B$1290:$M$1328,8,FALSE)</f>
        <v>0</v>
      </c>
      <c r="AZ504" s="718">
        <f>G504*VLOOKUP(B504,'Emissions factors'!$B$1290:$M$1328,9,FALSE)</f>
        <v>0</v>
      </c>
      <c r="BA504" s="718"/>
      <c r="BB504" s="718"/>
      <c r="BC504" s="718"/>
      <c r="BD504" s="718">
        <f>M504</f>
        <v>0</v>
      </c>
      <c r="BE504" s="719">
        <f t="shared" si="204"/>
        <v>0</v>
      </c>
      <c r="BF504" s="719">
        <f t="shared" si="204"/>
        <v>0</v>
      </c>
      <c r="BG504" s="720">
        <f t="shared" si="204"/>
        <v>0</v>
      </c>
      <c r="BH504" s="717">
        <f>G504*VLOOKUP(B504,'Emissions factors'!$B$1290:$M$1328,10,FALSE)</f>
        <v>0</v>
      </c>
      <c r="BI504" s="718">
        <f>G504*VLOOKUP(B504,'Emissions factors'!$B$1290:$M$1328,11,FALSE)</f>
        <v>0</v>
      </c>
      <c r="BJ504" s="721"/>
    </row>
    <row r="505" spans="1:62" ht="12.75" hidden="1" customHeight="1" outlineLevel="1" x14ac:dyDescent="0.2">
      <c r="B505" s="213"/>
      <c r="C505" s="214"/>
      <c r="D505" s="275"/>
      <c r="E505" s="268"/>
      <c r="F505" s="214"/>
      <c r="G505" s="214"/>
      <c r="H505" s="214"/>
      <c r="I505" s="214"/>
      <c r="J505" s="214"/>
      <c r="K505" s="214"/>
      <c r="L505" s="214"/>
      <c r="M505" s="227"/>
      <c r="N505" s="466"/>
      <c r="X505" s="213"/>
      <c r="Y505" s="214"/>
      <c r="Z505" s="214"/>
      <c r="AA505" s="214"/>
      <c r="AB505" s="227"/>
      <c r="AC505" s="201"/>
      <c r="AD505" s="466"/>
      <c r="AF505" s="213"/>
      <c r="AG505" s="214"/>
      <c r="AH505" s="214"/>
      <c r="AI505" s="214"/>
      <c r="AJ505" s="201"/>
      <c r="AK505" s="413"/>
      <c r="AL505" s="214"/>
      <c r="AM505" s="214"/>
      <c r="AN505" s="214"/>
      <c r="AO505" s="214"/>
      <c r="AP505" s="201"/>
      <c r="AQ505" s="466"/>
      <c r="AS505" s="717"/>
      <c r="AT505" s="718"/>
      <c r="AU505" s="718"/>
      <c r="AV505" s="718"/>
      <c r="AW505" s="718"/>
      <c r="AX505" s="718"/>
      <c r="AY505" s="718"/>
      <c r="AZ505" s="718"/>
      <c r="BA505" s="718"/>
      <c r="BB505" s="718"/>
      <c r="BC505" s="718"/>
      <c r="BD505" s="718"/>
      <c r="BE505" s="719"/>
      <c r="BF505" s="719"/>
      <c r="BG505" s="720"/>
      <c r="BH505" s="722"/>
      <c r="BI505" s="786"/>
      <c r="BJ505" s="723"/>
    </row>
    <row r="506" spans="1:62" ht="12.75" hidden="1" customHeight="1" outlineLevel="1" x14ac:dyDescent="0.2">
      <c r="B506" s="484" t="s">
        <v>2828</v>
      </c>
      <c r="C506" s="485"/>
      <c r="D506" s="264">
        <f>SUM(D502:D505)</f>
        <v>0</v>
      </c>
      <c r="E506" s="267">
        <f>SUM(E502:E505)</f>
        <v>0</v>
      </c>
      <c r="F506" s="459"/>
      <c r="G506" s="459"/>
      <c r="H506" s="459"/>
      <c r="I506" s="459"/>
      <c r="J506" s="459"/>
      <c r="K506" s="460">
        <f>SUM(K502:K505)</f>
        <v>0</v>
      </c>
      <c r="L506" s="460">
        <f>SUM(L502:L505)</f>
        <v>0</v>
      </c>
      <c r="M506" s="460">
        <f>SUM(M502:M505)</f>
        <v>0</v>
      </c>
      <c r="N506" s="486">
        <f>SUM(N502:N505)</f>
        <v>0</v>
      </c>
      <c r="X506" s="258"/>
      <c r="Y506" s="256"/>
      <c r="Z506" s="260">
        <f>SQRT(SUMSQ(Z502:Z505))</f>
        <v>0</v>
      </c>
      <c r="AA506" s="260">
        <f>SQRT(SUMSQ(AA502:AA505))</f>
        <v>0</v>
      </c>
      <c r="AB506" s="260">
        <f>SQRT(SUMSQ(AB502:AB505))</f>
        <v>0</v>
      </c>
      <c r="AC506" s="259">
        <f>SQRT(SUMSQ(AC502:AC505))</f>
        <v>0</v>
      </c>
      <c r="AD506" s="428">
        <f>SQRT(SUMSQ(AD502:AD505))</f>
        <v>0</v>
      </c>
      <c r="AF506" s="258"/>
      <c r="AG506" s="260">
        <f>SUM(AG502:AG505)</f>
        <v>0</v>
      </c>
      <c r="AH506" s="260">
        <f>SUM(AH502:AH505)</f>
        <v>0</v>
      </c>
      <c r="AI506" s="260">
        <f>SUM(AI502:AI505)</f>
        <v>0</v>
      </c>
      <c r="AJ506" s="259">
        <f>SUM(AJ502:AJ505)</f>
        <v>0</v>
      </c>
      <c r="AK506" s="260">
        <f>SUM(AK502:AK505)</f>
        <v>0</v>
      </c>
      <c r="AL506" s="256"/>
      <c r="AM506" s="260">
        <f>SUM(AM502:AM505)</f>
        <v>0</v>
      </c>
      <c r="AN506" s="260">
        <f>SUM(AN502:AN505)</f>
        <v>0</v>
      </c>
      <c r="AO506" s="260">
        <f>SUM(AO502:AO505)</f>
        <v>0</v>
      </c>
      <c r="AP506" s="259">
        <f>SUM(AP502:AP505)</f>
        <v>0</v>
      </c>
      <c r="AQ506" s="428">
        <f>SUM(AQ502:AQ505)</f>
        <v>0</v>
      </c>
      <c r="AS506" s="724">
        <f t="shared" ref="AS506:BJ506" si="205">SUM(AS502:AS505)</f>
        <v>0</v>
      </c>
      <c r="AT506" s="725">
        <f t="shared" si="205"/>
        <v>0</v>
      </c>
      <c r="AU506" s="725">
        <f t="shared" si="205"/>
        <v>0</v>
      </c>
      <c r="AV506" s="725">
        <f t="shared" si="205"/>
        <v>0</v>
      </c>
      <c r="AW506" s="725">
        <f t="shared" si="205"/>
        <v>0</v>
      </c>
      <c r="AX506" s="725">
        <f t="shared" si="205"/>
        <v>0</v>
      </c>
      <c r="AY506" s="725">
        <f t="shared" si="205"/>
        <v>0</v>
      </c>
      <c r="AZ506" s="725">
        <f t="shared" si="205"/>
        <v>0</v>
      </c>
      <c r="BA506" s="725">
        <f t="shared" si="205"/>
        <v>0</v>
      </c>
      <c r="BB506" s="725">
        <f t="shared" si="205"/>
        <v>0</v>
      </c>
      <c r="BC506" s="725">
        <f t="shared" si="205"/>
        <v>0</v>
      </c>
      <c r="BD506" s="725">
        <f t="shared" si="205"/>
        <v>0</v>
      </c>
      <c r="BE506" s="726">
        <f t="shared" si="205"/>
        <v>0</v>
      </c>
      <c r="BF506" s="726">
        <f t="shared" si="205"/>
        <v>0</v>
      </c>
      <c r="BG506" s="727">
        <f t="shared" si="205"/>
        <v>0</v>
      </c>
      <c r="BH506" s="724">
        <f t="shared" si="205"/>
        <v>0</v>
      </c>
      <c r="BI506" s="725">
        <f t="shared" si="205"/>
        <v>0</v>
      </c>
      <c r="BJ506" s="728">
        <f t="shared" si="205"/>
        <v>0</v>
      </c>
    </row>
    <row r="507" spans="1:62" ht="12.75" hidden="1" customHeight="1" outlineLevel="1" x14ac:dyDescent="0.2">
      <c r="AR507" s="191"/>
    </row>
    <row r="508" spans="1:62" ht="12.75" customHeight="1" collapsed="1" x14ac:dyDescent="0.2">
      <c r="BC508" s="751"/>
    </row>
    <row r="509" spans="1:62" ht="15.75" customHeight="1" collapsed="1" x14ac:dyDescent="0.2">
      <c r="B509" s="1795" t="s">
        <v>2901</v>
      </c>
      <c r="C509" s="1795"/>
      <c r="D509" s="1795"/>
      <c r="E509" s="1795"/>
      <c r="F509" s="1795"/>
      <c r="G509" s="1795"/>
      <c r="H509" s="1795"/>
      <c r="I509" s="1795"/>
      <c r="J509" s="1795"/>
      <c r="K509" s="1795"/>
      <c r="L509" s="1795"/>
      <c r="M509" s="1795"/>
      <c r="N509" s="1795"/>
      <c r="O509" s="1795"/>
      <c r="P509" s="191"/>
      <c r="Q509" s="191"/>
      <c r="R509" s="191"/>
      <c r="S509" s="191"/>
      <c r="T509" s="191"/>
      <c r="U509" s="191"/>
      <c r="V509" s="191"/>
      <c r="W509" s="191"/>
      <c r="X509" s="191"/>
      <c r="Y509" s="191"/>
      <c r="Z509" s="191"/>
      <c r="AA509" s="191"/>
      <c r="AB509" s="191"/>
      <c r="AC509" s="191"/>
      <c r="AD509" s="191"/>
      <c r="AE509" s="191"/>
      <c r="AF509" s="191"/>
      <c r="AG509" s="191"/>
      <c r="AH509" s="191"/>
      <c r="AI509" s="191"/>
      <c r="AJ509" s="191"/>
      <c r="AK509" s="191"/>
      <c r="AL509" s="191"/>
      <c r="AM509" s="191"/>
      <c r="AN509" s="191"/>
      <c r="AO509" s="191"/>
      <c r="AP509" s="191"/>
      <c r="AQ509" s="191"/>
      <c r="BC509" s="751"/>
    </row>
    <row r="510" spans="1:62" ht="12.75" hidden="1" customHeight="1" outlineLevel="1" x14ac:dyDescent="0.2"/>
    <row r="511" spans="1:62" ht="12.75" hidden="1" customHeight="1" outlineLevel="1" x14ac:dyDescent="0.2">
      <c r="B511" s="195" t="s">
        <v>2902</v>
      </c>
      <c r="C511" s="196"/>
      <c r="D511" s="196"/>
      <c r="E511" s="196"/>
      <c r="F511" s="196"/>
      <c r="G511" s="198"/>
      <c r="H511" s="198"/>
      <c r="I511" s="199"/>
      <c r="K511" s="321"/>
      <c r="L511" s="321"/>
      <c r="M511" s="321"/>
      <c r="N511" s="321"/>
      <c r="O511" s="321"/>
      <c r="P511" s="321"/>
      <c r="Q511" s="321"/>
      <c r="R511" s="321"/>
      <c r="S511" s="321"/>
      <c r="X511" s="1746" t="s">
        <v>723</v>
      </c>
      <c r="Y511" s="1747"/>
      <c r="Z511" s="1748"/>
      <c r="AF511" s="1746" t="s">
        <v>2066</v>
      </c>
      <c r="AG511" s="1747"/>
      <c r="AH511" s="1747"/>
      <c r="AI511" s="1748"/>
      <c r="AS511" s="1755" t="s">
        <v>2073</v>
      </c>
      <c r="AT511" s="1756"/>
      <c r="AU511" s="1756"/>
      <c r="AV511" s="1756"/>
      <c r="AW511" s="1756"/>
      <c r="AX511" s="1757"/>
    </row>
    <row r="512" spans="1:62" ht="12.75" hidden="1" customHeight="1" outlineLevel="1" x14ac:dyDescent="0.2">
      <c r="B512" s="200"/>
      <c r="C512" s="201"/>
      <c r="D512" s="705"/>
      <c r="E512" s="705"/>
      <c r="F512" s="201"/>
      <c r="G512" s="201"/>
      <c r="H512" s="201"/>
      <c r="I512" s="203"/>
      <c r="K512" s="321"/>
      <c r="T512" s="321"/>
      <c r="X512" s="1369"/>
      <c r="Y512" s="1370"/>
      <c r="Z512" s="203"/>
      <c r="AA512" s="321"/>
      <c r="AF512" s="1369"/>
      <c r="AG512" s="1370"/>
      <c r="AH512" s="1370"/>
      <c r="AI512" s="203"/>
      <c r="AS512" s="1366"/>
      <c r="AT512" s="1367"/>
      <c r="AU512" s="1367"/>
      <c r="AV512" s="1367"/>
      <c r="AW512" s="1368"/>
      <c r="AX512" s="780"/>
      <c r="AY512" s="605"/>
      <c r="AZ512" s="605"/>
      <c r="BA512" s="605"/>
    </row>
    <row r="513" spans="1:62" ht="12.75" hidden="1" customHeight="1" outlineLevel="1" x14ac:dyDescent="0.2">
      <c r="B513" s="1369"/>
      <c r="C513" s="1370"/>
      <c r="D513" s="1370" t="s">
        <v>56</v>
      </c>
      <c r="E513" s="1370" t="s">
        <v>56</v>
      </c>
      <c r="F513" s="205" t="s">
        <v>2634</v>
      </c>
      <c r="G513" s="205" t="s">
        <v>2053</v>
      </c>
      <c r="H513" s="1370" t="s">
        <v>61</v>
      </c>
      <c r="I513" s="711" t="s">
        <v>61</v>
      </c>
      <c r="K513" s="321"/>
      <c r="T513" s="321"/>
      <c r="X513" s="1630" t="s">
        <v>2605</v>
      </c>
      <c r="Y513" s="1370" t="s">
        <v>2110</v>
      </c>
      <c r="Z513" s="711" t="s">
        <v>61</v>
      </c>
      <c r="AA513" s="321"/>
      <c r="AF513" s="1369" t="s">
        <v>2065</v>
      </c>
      <c r="AG513" s="705" t="s">
        <v>61</v>
      </c>
      <c r="AH513" s="1370" t="s">
        <v>2558</v>
      </c>
      <c r="AI513" s="711" t="s">
        <v>61</v>
      </c>
      <c r="AS513" s="1739" t="s">
        <v>61</v>
      </c>
      <c r="AT513" s="1740"/>
      <c r="AU513" s="1740"/>
      <c r="AV513" s="1740"/>
      <c r="AW513" s="1379" t="s">
        <v>61</v>
      </c>
      <c r="AX513" s="742"/>
      <c r="BB513" s="743"/>
    </row>
    <row r="514" spans="1:62" ht="12.75" hidden="1" customHeight="1" outlineLevel="1" x14ac:dyDescent="0.2">
      <c r="B514" s="1369"/>
      <c r="C514" s="1370"/>
      <c r="D514" s="1370" t="s">
        <v>61</v>
      </c>
      <c r="E514" s="1370" t="s">
        <v>63</v>
      </c>
      <c r="F514" s="1623" t="s">
        <v>2054</v>
      </c>
      <c r="G514" s="212" t="s">
        <v>74</v>
      </c>
      <c r="H514" s="1370" t="s">
        <v>2057</v>
      </c>
      <c r="I514" s="711"/>
      <c r="K514" s="321"/>
      <c r="T514" s="321"/>
      <c r="X514" s="1630" t="s">
        <v>2109</v>
      </c>
      <c r="Y514" s="1370"/>
      <c r="Z514" s="711"/>
      <c r="AA514" s="321"/>
      <c r="AF514" s="1369"/>
      <c r="AG514" s="705"/>
      <c r="AH514" s="1370"/>
      <c r="AI514" s="711"/>
      <c r="AS514" s="1371" t="s">
        <v>14</v>
      </c>
      <c r="AT514" s="1372" t="s">
        <v>60</v>
      </c>
      <c r="AU514" s="1372" t="s">
        <v>27</v>
      </c>
      <c r="AV514" s="1372" t="s">
        <v>2074</v>
      </c>
      <c r="AW514" s="1373" t="s">
        <v>41</v>
      </c>
      <c r="AX514" s="747" t="s">
        <v>85</v>
      </c>
      <c r="BB514" s="743"/>
    </row>
    <row r="515" spans="1:62" ht="12.75" hidden="1" customHeight="1" outlineLevel="1" x14ac:dyDescent="0.2">
      <c r="B515" s="471" t="s">
        <v>2647</v>
      </c>
      <c r="C515" s="472"/>
      <c r="D515" s="262">
        <f>I515</f>
        <v>0</v>
      </c>
      <c r="E515" s="265">
        <f>D515*12/44</f>
        <v>0</v>
      </c>
      <c r="F515" s="325"/>
      <c r="G515" s="325"/>
      <c r="H515" s="272">
        <f>IF(ISNA(VLOOKUP("Transports - "&amp;Description!D494&amp;" [1]",'Emissions factors'!$B$615:$D$684,2,FALSE)),'Emissions factors'!$C$682+'Emissions factors'!$D$682,VLOOKUP("Transports - "&amp;Description!D494&amp;" [1]",'Emissions factors'!$B$615:$D$684,2,FALSE)+VLOOKUP("Transports - "&amp;Description!D494&amp;" [1]",'Emissions factors'!$B$615:$D$684,3,FALSE))</f>
        <v>0.107</v>
      </c>
      <c r="I515" s="211">
        <f>G515*H515</f>
        <v>0</v>
      </c>
      <c r="K515" s="321"/>
      <c r="T515" s="321"/>
      <c r="X515" s="282">
        <f>'Emissions factors'!$F$682</f>
        <v>0.3</v>
      </c>
      <c r="Y515" s="326"/>
      <c r="Z515" s="222">
        <f>I515*SQRT(X515^2+Y515^2)</f>
        <v>0</v>
      </c>
      <c r="AA515" s="321"/>
      <c r="AF515" s="327"/>
      <c r="AG515" s="221">
        <f>AF515*I515</f>
        <v>0</v>
      </c>
      <c r="AH515" s="327"/>
      <c r="AI515" s="222">
        <f>AH515*I515</f>
        <v>0</v>
      </c>
      <c r="AS515" s="717"/>
      <c r="AT515" s="718"/>
      <c r="AU515" s="718"/>
      <c r="AV515" s="718"/>
      <c r="AW515" s="720">
        <f>I515</f>
        <v>0</v>
      </c>
      <c r="AX515" s="748"/>
    </row>
    <row r="516" spans="1:62" ht="12.75" hidden="1" customHeight="1" outlineLevel="1" x14ac:dyDescent="0.2">
      <c r="B516" s="471"/>
      <c r="C516" s="472"/>
      <c r="D516" s="491"/>
      <c r="E516" s="498"/>
      <c r="F516" s="472"/>
      <c r="G516" s="221"/>
      <c r="H516" s="209"/>
      <c r="I516" s="211"/>
      <c r="K516" s="321"/>
      <c r="T516" s="321"/>
      <c r="X516" s="200"/>
      <c r="Y516" s="201"/>
      <c r="Z516" s="222"/>
      <c r="AA516" s="321"/>
      <c r="AF516" s="200"/>
      <c r="AG516" s="1370"/>
      <c r="AH516" s="201"/>
      <c r="AI516" s="222"/>
      <c r="AS516" s="717"/>
      <c r="AT516" s="718"/>
      <c r="AU516" s="718"/>
      <c r="AV516" s="718"/>
      <c r="AW516" s="720"/>
      <c r="AX516" s="749"/>
    </row>
    <row r="517" spans="1:62" s="32" customFormat="1" ht="12.75" hidden="1" customHeight="1" outlineLevel="1" x14ac:dyDescent="0.2">
      <c r="A517" s="40"/>
      <c r="B517" s="253" t="s">
        <v>2828</v>
      </c>
      <c r="C517" s="254"/>
      <c r="D517" s="264">
        <f>SUM(D515:D516)</f>
        <v>0</v>
      </c>
      <c r="E517" s="267">
        <f>SUM(E515:E516)</f>
        <v>0</v>
      </c>
      <c r="F517" s="255"/>
      <c r="G517" s="256"/>
      <c r="H517" s="256"/>
      <c r="I517" s="257">
        <f>SUM(I515:I516)</f>
        <v>0</v>
      </c>
      <c r="J517" s="40"/>
      <c r="K517" s="321"/>
      <c r="L517" s="40"/>
      <c r="M517" s="40"/>
      <c r="N517" s="40"/>
      <c r="O517" s="40"/>
      <c r="P517" s="40"/>
      <c r="Q517" s="40"/>
      <c r="R517" s="40"/>
      <c r="S517" s="40"/>
      <c r="T517" s="321"/>
      <c r="U517" s="40"/>
      <c r="V517" s="40"/>
      <c r="W517" s="40"/>
      <c r="X517" s="258"/>
      <c r="Y517" s="256"/>
      <c r="Z517" s="257">
        <f>SQRT(SUMSQ(Z515:Z516))</f>
        <v>0</v>
      </c>
      <c r="AA517" s="321"/>
      <c r="AB517" s="40"/>
      <c r="AC517" s="40"/>
      <c r="AD517" s="40"/>
      <c r="AE517" s="40"/>
      <c r="AF517" s="258"/>
      <c r="AG517" s="259">
        <f>SUM(AG515:AG516)</f>
        <v>0</v>
      </c>
      <c r="AH517" s="256"/>
      <c r="AI517" s="257">
        <f>SUM(AI515:AI516)</f>
        <v>0</v>
      </c>
      <c r="AJ517" s="40"/>
      <c r="AK517" s="40"/>
      <c r="AL517" s="40"/>
      <c r="AM517" s="40"/>
      <c r="AN517" s="40"/>
      <c r="AO517" s="40"/>
      <c r="AP517" s="40"/>
      <c r="AQ517" s="40"/>
      <c r="AR517" s="40"/>
      <c r="AS517" s="724">
        <f t="shared" ref="AS517:AX517" si="206">SUM(AS515:AS516)</f>
        <v>0</v>
      </c>
      <c r="AT517" s="725">
        <f t="shared" si="206"/>
        <v>0</v>
      </c>
      <c r="AU517" s="725">
        <f t="shared" si="206"/>
        <v>0</v>
      </c>
      <c r="AV517" s="725">
        <f t="shared" si="206"/>
        <v>0</v>
      </c>
      <c r="AW517" s="727">
        <f t="shared" si="206"/>
        <v>0</v>
      </c>
      <c r="AX517" s="750">
        <f t="shared" si="206"/>
        <v>0</v>
      </c>
      <c r="AY517" s="602"/>
      <c r="AZ517" s="602"/>
      <c r="BA517" s="602"/>
      <c r="BB517" s="602"/>
      <c r="BC517" s="602"/>
      <c r="BD517" s="743"/>
      <c r="BE517" s="743"/>
      <c r="BF517" s="743"/>
      <c r="BG517" s="743"/>
      <c r="BH517" s="743"/>
      <c r="BI517" s="743"/>
      <c r="BJ517" s="743"/>
    </row>
    <row r="518" spans="1:62" s="32" customFormat="1" ht="12.75" hidden="1" customHeight="1" outlineLevel="1" x14ac:dyDescent="0.2">
      <c r="A518" s="40"/>
      <c r="B518" s="42"/>
      <c r="C518" s="42"/>
      <c r="D518" s="40"/>
      <c r="E518" s="40"/>
      <c r="F518" s="42"/>
      <c r="G518" s="42"/>
      <c r="H518" s="324"/>
      <c r="I518" s="42"/>
      <c r="J518" s="42"/>
      <c r="K518" s="40"/>
      <c r="L518" s="40"/>
      <c r="M518" s="40"/>
      <c r="N518" s="40"/>
      <c r="O518" s="40"/>
      <c r="P518" s="40"/>
      <c r="Q518" s="40"/>
      <c r="R518" s="40"/>
      <c r="S518" s="40"/>
      <c r="T518" s="40"/>
      <c r="U518" s="40"/>
      <c r="V518" s="40"/>
      <c r="W518" s="40"/>
      <c r="X518" s="42"/>
      <c r="Y518" s="42"/>
      <c r="Z518" s="321"/>
      <c r="AA518" s="321"/>
      <c r="AB518" s="40"/>
      <c r="AC518" s="40"/>
      <c r="AD518" s="40"/>
      <c r="AE518" s="40"/>
      <c r="AF518" s="321"/>
      <c r="AG518" s="321"/>
      <c r="AH518" s="321"/>
      <c r="AI518" s="321"/>
      <c r="AJ518" s="40"/>
      <c r="AK518" s="40"/>
      <c r="AL518" s="40"/>
      <c r="AM518" s="40"/>
      <c r="AN518" s="40"/>
      <c r="AO518" s="40"/>
      <c r="AP518" s="40"/>
      <c r="AQ518" s="40"/>
      <c r="AR518" s="40"/>
      <c r="AS518" s="602"/>
      <c r="AT518" s="602"/>
      <c r="AU518" s="602"/>
      <c r="AV518" s="602"/>
      <c r="AW518" s="602"/>
      <c r="AX518" s="602"/>
      <c r="AY518" s="602"/>
      <c r="AZ518" s="602"/>
      <c r="BA518" s="602"/>
      <c r="BB518" s="605"/>
      <c r="BC518" s="602"/>
      <c r="BD518" s="743"/>
      <c r="BE518" s="743"/>
      <c r="BF518" s="743"/>
      <c r="BG518" s="743"/>
      <c r="BH518" s="743"/>
      <c r="BI518" s="743"/>
      <c r="BJ518" s="743"/>
    </row>
    <row r="519" spans="1:62" ht="12" hidden="1" customHeight="1" outlineLevel="1" x14ac:dyDescent="0.2">
      <c r="B519" s="195" t="s">
        <v>2889</v>
      </c>
      <c r="C519" s="196"/>
      <c r="D519" s="196"/>
      <c r="E519" s="196"/>
      <c r="F519" s="198"/>
      <c r="G519" s="198"/>
      <c r="H519" s="198"/>
      <c r="I519" s="235"/>
      <c r="X519" s="1746" t="s">
        <v>723</v>
      </c>
      <c r="Y519" s="1747"/>
      <c r="Z519" s="1748"/>
      <c r="AB519" s="42"/>
      <c r="AF519" s="1746" t="s">
        <v>2066</v>
      </c>
      <c r="AG519" s="1747"/>
      <c r="AH519" s="1747"/>
      <c r="AI519" s="1748"/>
      <c r="AS519" s="1755" t="s">
        <v>2073</v>
      </c>
      <c r="AT519" s="1756"/>
      <c r="AU519" s="1756"/>
      <c r="AV519" s="1756"/>
      <c r="AW519" s="1756"/>
      <c r="AX519" s="1757"/>
    </row>
    <row r="520" spans="1:62" ht="15" hidden="1" customHeight="1" outlineLevel="1" x14ac:dyDescent="0.2">
      <c r="B520" s="200"/>
      <c r="C520" s="201"/>
      <c r="D520" s="705"/>
      <c r="E520" s="705"/>
      <c r="F520" s="201"/>
      <c r="G520" s="201"/>
      <c r="H520" s="201"/>
      <c r="I520" s="226"/>
      <c r="X520" s="1369"/>
      <c r="Y520" s="1370"/>
      <c r="Z520" s="203"/>
      <c r="AA520" s="42"/>
      <c r="AF520" s="1369"/>
      <c r="AG520" s="1370"/>
      <c r="AH520" s="1370"/>
      <c r="AI520" s="203"/>
      <c r="AR520" s="32"/>
      <c r="AS520" s="1366"/>
      <c r="AT520" s="1367"/>
      <c r="AU520" s="1367"/>
      <c r="AV520" s="1367"/>
      <c r="AW520" s="1368"/>
      <c r="AX520" s="780"/>
      <c r="BC520" s="751"/>
    </row>
    <row r="521" spans="1:62" ht="12.75" hidden="1" customHeight="1" outlineLevel="1" x14ac:dyDescent="0.2">
      <c r="B521" s="1369"/>
      <c r="C521" s="1370"/>
      <c r="D521" s="1370" t="s">
        <v>56</v>
      </c>
      <c r="E521" s="1370" t="s">
        <v>56</v>
      </c>
      <c r="F521" s="205" t="s">
        <v>2052</v>
      </c>
      <c r="G521" s="205"/>
      <c r="H521" s="1631" t="s">
        <v>2069</v>
      </c>
      <c r="I521" s="711" t="s">
        <v>61</v>
      </c>
      <c r="S521" s="32"/>
      <c r="X521" s="1630" t="s">
        <v>2605</v>
      </c>
      <c r="Y521" s="1370" t="s">
        <v>2110</v>
      </c>
      <c r="Z521" s="711" t="s">
        <v>61</v>
      </c>
      <c r="AA521" s="42"/>
      <c r="AF521" s="1369" t="s">
        <v>2065</v>
      </c>
      <c r="AG521" s="705" t="s">
        <v>61</v>
      </c>
      <c r="AH521" s="1370" t="s">
        <v>2558</v>
      </c>
      <c r="AI521" s="711" t="s">
        <v>61</v>
      </c>
      <c r="AR521" s="32"/>
      <c r="AS521" s="1739" t="s">
        <v>61</v>
      </c>
      <c r="AT521" s="1740"/>
      <c r="AU521" s="1740"/>
      <c r="AV521" s="1740"/>
      <c r="AW521" s="1379" t="s">
        <v>61</v>
      </c>
      <c r="AX521" s="742"/>
    </row>
    <row r="522" spans="1:62" s="42" customFormat="1" ht="12.75" hidden="1" customHeight="1" outlineLevel="1" x14ac:dyDescent="0.2">
      <c r="A522" s="40"/>
      <c r="B522" s="1369"/>
      <c r="C522" s="1370"/>
      <c r="D522" s="1370" t="s">
        <v>61</v>
      </c>
      <c r="E522" s="1370" t="s">
        <v>63</v>
      </c>
      <c r="F522" s="208" t="s">
        <v>37</v>
      </c>
      <c r="G522" s="208" t="s">
        <v>61</v>
      </c>
      <c r="H522" s="1631" t="s">
        <v>2488</v>
      </c>
      <c r="I522" s="711"/>
      <c r="J522" s="32"/>
      <c r="K522" s="32"/>
      <c r="L522" s="32"/>
      <c r="M522" s="32"/>
      <c r="N522" s="32"/>
      <c r="O522" s="32"/>
      <c r="P522" s="32"/>
      <c r="Q522" s="32"/>
      <c r="R522" s="32"/>
      <c r="S522" s="32"/>
      <c r="T522" s="40"/>
      <c r="U522" s="40"/>
      <c r="V522" s="40"/>
      <c r="W522" s="32"/>
      <c r="X522" s="1630" t="s">
        <v>2109</v>
      </c>
      <c r="Y522" s="1370"/>
      <c r="Z522" s="711"/>
      <c r="AA522" s="50"/>
      <c r="AB522" s="32"/>
      <c r="AC522" s="32"/>
      <c r="AD522" s="32"/>
      <c r="AE522" s="32"/>
      <c r="AF522" s="1369"/>
      <c r="AG522" s="705"/>
      <c r="AH522" s="1370"/>
      <c r="AI522" s="711"/>
      <c r="AJ522" s="32"/>
      <c r="AK522" s="32"/>
      <c r="AL522" s="32"/>
      <c r="AM522" s="32"/>
      <c r="AN522" s="32"/>
      <c r="AO522" s="32"/>
      <c r="AP522" s="32"/>
      <c r="AQ522" s="32"/>
      <c r="AR522" s="40"/>
      <c r="AS522" s="1371" t="s">
        <v>14</v>
      </c>
      <c r="AT522" s="1372" t="s">
        <v>60</v>
      </c>
      <c r="AU522" s="1372" t="s">
        <v>27</v>
      </c>
      <c r="AV522" s="1372" t="s">
        <v>2074</v>
      </c>
      <c r="AW522" s="1373" t="s">
        <v>41</v>
      </c>
      <c r="AX522" s="747" t="s">
        <v>85</v>
      </c>
      <c r="AY522" s="602"/>
      <c r="AZ522" s="602"/>
      <c r="BA522" s="602"/>
      <c r="BB522" s="602"/>
      <c r="BC522" s="602"/>
      <c r="BD522" s="605"/>
      <c r="BE522" s="605"/>
      <c r="BF522" s="605"/>
      <c r="BG522" s="605"/>
      <c r="BH522" s="605"/>
      <c r="BI522" s="605"/>
      <c r="BJ522" s="605"/>
    </row>
    <row r="523" spans="1:62" s="42" customFormat="1" ht="12.75" hidden="1" customHeight="1" outlineLevel="1" x14ac:dyDescent="0.2">
      <c r="A523" s="40"/>
      <c r="B523" s="200" t="s">
        <v>2487</v>
      </c>
      <c r="C523" s="234"/>
      <c r="D523" s="262">
        <f>I523</f>
        <v>0</v>
      </c>
      <c r="E523" s="265">
        <f>D523*12/44</f>
        <v>0</v>
      </c>
      <c r="F523" s="238">
        <f>G515</f>
        <v>0</v>
      </c>
      <c r="G523" s="238">
        <f>I517</f>
        <v>0</v>
      </c>
      <c r="H523" s="281">
        <f>'Emissions factors'!$C$994</f>
        <v>0.1</v>
      </c>
      <c r="I523" s="211">
        <f>G523*H523</f>
        <v>0</v>
      </c>
      <c r="J523" s="32"/>
      <c r="K523" s="32"/>
      <c r="L523" s="32"/>
      <c r="M523" s="32"/>
      <c r="N523" s="32"/>
      <c r="O523" s="32"/>
      <c r="P523" s="32"/>
      <c r="Q523" s="32"/>
      <c r="R523" s="32"/>
      <c r="S523" s="40"/>
      <c r="T523" s="40"/>
      <c r="U523" s="40"/>
      <c r="V523" s="40"/>
      <c r="W523" s="32"/>
      <c r="X523" s="282">
        <f>'Emissions factors'!$D$994</f>
        <v>0.3</v>
      </c>
      <c r="Y523" s="479">
        <f>IF(I517=0,0,Z517/I517)</f>
        <v>0</v>
      </c>
      <c r="Z523" s="222">
        <f>I523*SQRT(X523^2+Y523^2)</f>
        <v>0</v>
      </c>
      <c r="AA523" s="50"/>
      <c r="AB523" s="32"/>
      <c r="AC523" s="32"/>
      <c r="AD523" s="32"/>
      <c r="AE523" s="32"/>
      <c r="AF523" s="476">
        <f>AF515</f>
        <v>0</v>
      </c>
      <c r="AG523" s="221">
        <f>I523*AF523</f>
        <v>0</v>
      </c>
      <c r="AH523" s="476">
        <f>AH515</f>
        <v>0</v>
      </c>
      <c r="AI523" s="222">
        <f>I523*AH523</f>
        <v>0</v>
      </c>
      <c r="AJ523" s="32"/>
      <c r="AK523" s="32"/>
      <c r="AL523" s="32"/>
      <c r="AM523" s="32"/>
      <c r="AN523" s="32"/>
      <c r="AO523" s="32"/>
      <c r="AP523" s="32"/>
      <c r="AQ523" s="32"/>
      <c r="AR523" s="40"/>
      <c r="AS523" s="717">
        <f>AS517*H523</f>
        <v>0</v>
      </c>
      <c r="AT523" s="718">
        <f>AT517*H523</f>
        <v>0</v>
      </c>
      <c r="AU523" s="718">
        <f>AU517*H523</f>
        <v>0</v>
      </c>
      <c r="AV523" s="718">
        <f>AV517*H523</f>
        <v>0</v>
      </c>
      <c r="AW523" s="720">
        <f>I523</f>
        <v>0</v>
      </c>
      <c r="AX523" s="748">
        <f>AX517*H523</f>
        <v>0</v>
      </c>
      <c r="AY523" s="602"/>
      <c r="AZ523" s="602"/>
      <c r="BA523" s="602"/>
      <c r="BB523" s="602"/>
      <c r="BC523" s="602"/>
      <c r="BD523" s="605"/>
      <c r="BE523" s="605"/>
      <c r="BF523" s="605"/>
      <c r="BG523" s="605"/>
      <c r="BH523" s="605"/>
      <c r="BI523" s="605"/>
      <c r="BJ523" s="605"/>
    </row>
    <row r="524" spans="1:62" ht="12.75" hidden="1" customHeight="1" outlineLevel="1" x14ac:dyDescent="0.2">
      <c r="B524" s="200"/>
      <c r="C524" s="201"/>
      <c r="D524" s="491"/>
      <c r="E524" s="498"/>
      <c r="F524" s="201"/>
      <c r="G524" s="201"/>
      <c r="H524" s="201"/>
      <c r="I524" s="211"/>
      <c r="X524" s="200"/>
      <c r="Y524" s="234"/>
      <c r="Z524" s="222"/>
      <c r="AA524" s="42"/>
      <c r="AF524" s="200"/>
      <c r="AG524" s="1370"/>
      <c r="AH524" s="201"/>
      <c r="AI524" s="222"/>
      <c r="AS524" s="717"/>
      <c r="AT524" s="718"/>
      <c r="AU524" s="718"/>
      <c r="AV524" s="718"/>
      <c r="AW524" s="720"/>
      <c r="AX524" s="749"/>
    </row>
    <row r="525" spans="1:62" s="32" customFormat="1" ht="15" hidden="1" customHeight="1" outlineLevel="1" x14ac:dyDescent="0.2">
      <c r="A525" s="40"/>
      <c r="B525" s="253" t="s">
        <v>2828</v>
      </c>
      <c r="C525" s="254"/>
      <c r="D525" s="264">
        <f>SUM(D523:D524)</f>
        <v>0</v>
      </c>
      <c r="E525" s="267">
        <f>SUM(E523:E524)</f>
        <v>0</v>
      </c>
      <c r="F525" s="256"/>
      <c r="G525" s="256"/>
      <c r="H525" s="256"/>
      <c r="I525" s="257">
        <f>SUM(I523:I524)</f>
        <v>0</v>
      </c>
      <c r="J525" s="40"/>
      <c r="K525" s="40"/>
      <c r="L525" s="40"/>
      <c r="M525" s="40"/>
      <c r="N525" s="40"/>
      <c r="O525" s="40"/>
      <c r="P525" s="40"/>
      <c r="Q525" s="40"/>
      <c r="R525" s="40"/>
      <c r="S525" s="40"/>
      <c r="T525" s="40"/>
      <c r="U525" s="40"/>
      <c r="V525" s="40"/>
      <c r="W525" s="40"/>
      <c r="X525" s="258"/>
      <c r="Y525" s="256"/>
      <c r="Z525" s="257">
        <f>SQRT(SUMSQ(Z523:Z524))</f>
        <v>0</v>
      </c>
      <c r="AA525" s="42"/>
      <c r="AB525" s="40"/>
      <c r="AC525" s="40"/>
      <c r="AD525" s="40"/>
      <c r="AE525" s="40"/>
      <c r="AF525" s="258"/>
      <c r="AG525" s="259">
        <f>SUM(AG523:AG524)</f>
        <v>0</v>
      </c>
      <c r="AH525" s="256"/>
      <c r="AI525" s="257">
        <f>SUM(AI523:AI524)</f>
        <v>0</v>
      </c>
      <c r="AJ525" s="40"/>
      <c r="AK525" s="40"/>
      <c r="AL525" s="40"/>
      <c r="AM525" s="40"/>
      <c r="AN525" s="40"/>
      <c r="AO525" s="40"/>
      <c r="AP525" s="40"/>
      <c r="AQ525" s="40"/>
      <c r="AR525" s="42"/>
      <c r="AS525" s="724">
        <f t="shared" ref="AS525:AX525" si="207">SUM(AS523:AS524)</f>
        <v>0</v>
      </c>
      <c r="AT525" s="725">
        <f t="shared" si="207"/>
        <v>0</v>
      </c>
      <c r="AU525" s="725">
        <f t="shared" si="207"/>
        <v>0</v>
      </c>
      <c r="AV525" s="725">
        <f t="shared" si="207"/>
        <v>0</v>
      </c>
      <c r="AW525" s="727">
        <f t="shared" si="207"/>
        <v>0</v>
      </c>
      <c r="AX525" s="750">
        <f t="shared" si="207"/>
        <v>0</v>
      </c>
      <c r="AY525" s="751"/>
      <c r="AZ525" s="751"/>
      <c r="BA525" s="751"/>
      <c r="BB525" s="602"/>
      <c r="BC525" s="602"/>
      <c r="BD525" s="743"/>
      <c r="BE525" s="743"/>
      <c r="BF525" s="743"/>
      <c r="BG525" s="743"/>
      <c r="BH525" s="743"/>
      <c r="BI525" s="743"/>
      <c r="BJ525" s="743"/>
    </row>
    <row r="526" spans="1:62" s="32" customFormat="1" ht="12.75" hidden="1" customHeight="1" outlineLevel="1" x14ac:dyDescent="0.2">
      <c r="A526" s="40"/>
      <c r="B526" s="40"/>
      <c r="C526" s="40"/>
      <c r="D526" s="40"/>
      <c r="E526" s="40"/>
      <c r="F526" s="40"/>
      <c r="G526" s="40"/>
      <c r="H526" s="40"/>
      <c r="I526" s="40"/>
      <c r="J526" s="40"/>
      <c r="K526" s="40"/>
      <c r="L526" s="42"/>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40"/>
      <c r="AO526" s="40"/>
      <c r="AP526" s="40"/>
      <c r="AQ526" s="40"/>
      <c r="AR526" s="40"/>
      <c r="AS526" s="605"/>
      <c r="AT526" s="602"/>
      <c r="AU526" s="602"/>
      <c r="AV526" s="602"/>
      <c r="AW526" s="602"/>
      <c r="AX526" s="602"/>
      <c r="AY526" s="602"/>
      <c r="AZ526" s="602"/>
      <c r="BA526" s="602"/>
      <c r="BB526" s="602"/>
      <c r="BC526" s="602"/>
      <c r="BD526" s="602"/>
      <c r="BE526" s="602"/>
      <c r="BF526" s="743"/>
      <c r="BG526" s="743"/>
      <c r="BH526" s="743"/>
      <c r="BI526" s="743"/>
      <c r="BJ526" s="743"/>
    </row>
    <row r="527" spans="1:62" ht="12.75" hidden="1" customHeight="1" outlineLevel="1" x14ac:dyDescent="0.2">
      <c r="B527" s="195" t="s">
        <v>2903</v>
      </c>
      <c r="C527" s="196"/>
      <c r="D527" s="196"/>
      <c r="E527" s="196"/>
      <c r="F527" s="196"/>
      <c r="G527" s="198"/>
      <c r="H527" s="198"/>
      <c r="I527" s="198"/>
      <c r="J527" s="198"/>
      <c r="K527" s="198"/>
      <c r="L527" s="198"/>
      <c r="M527" s="198"/>
      <c r="N527" s="198"/>
      <c r="O527" s="198"/>
      <c r="P527" s="198"/>
      <c r="Q527" s="198"/>
      <c r="R527" s="198"/>
      <c r="S527" s="198"/>
      <c r="T527" s="199"/>
      <c r="U527" s="42"/>
      <c r="V527" s="42"/>
      <c r="W527" s="42"/>
      <c r="X527" s="1746" t="s">
        <v>723</v>
      </c>
      <c r="Y527" s="1747"/>
      <c r="Z527" s="1747"/>
      <c r="AA527" s="1747"/>
      <c r="AB527" s="1748"/>
      <c r="AC527" s="42"/>
      <c r="AD527" s="42"/>
      <c r="AE527" s="42"/>
      <c r="AF527" s="1746" t="s">
        <v>2066</v>
      </c>
      <c r="AG527" s="1747"/>
      <c r="AH527" s="1747"/>
      <c r="AI527" s="1747"/>
      <c r="AJ527" s="1747"/>
      <c r="AK527" s="1747"/>
      <c r="AL527" s="1747"/>
      <c r="AM527" s="1748"/>
      <c r="AN527" s="42"/>
      <c r="AO527" s="42"/>
      <c r="AP527" s="42"/>
      <c r="AQ527" s="42"/>
      <c r="AS527" s="1755" t="s">
        <v>2073</v>
      </c>
      <c r="AT527" s="1756"/>
      <c r="AU527" s="1756"/>
      <c r="AV527" s="1756"/>
      <c r="AW527" s="1756"/>
      <c r="AX527" s="1756"/>
      <c r="AY527" s="1756"/>
      <c r="AZ527" s="1756"/>
      <c r="BA527" s="1756"/>
      <c r="BB527" s="1756"/>
      <c r="BC527" s="1756"/>
      <c r="BD527" s="1757"/>
    </row>
    <row r="528" spans="1:62" ht="12.75" hidden="1" customHeight="1" outlineLevel="1" x14ac:dyDescent="0.2">
      <c r="B528" s="200"/>
      <c r="C528" s="201"/>
      <c r="D528" s="705"/>
      <c r="E528" s="705"/>
      <c r="F528" s="201"/>
      <c r="G528" s="201"/>
      <c r="H528" s="1370"/>
      <c r="I528" s="1370"/>
      <c r="J528" s="201"/>
      <c r="K528" s="201"/>
      <c r="L528" s="201"/>
      <c r="M528" s="201"/>
      <c r="N528" s="201"/>
      <c r="O528" s="201"/>
      <c r="P528" s="201"/>
      <c r="Q528" s="201"/>
      <c r="R528" s="201"/>
      <c r="S528" s="201"/>
      <c r="T528" s="203"/>
      <c r="U528" s="42"/>
      <c r="X528" s="216"/>
      <c r="Y528" s="217"/>
      <c r="Z528" s="217"/>
      <c r="AA528" s="217"/>
      <c r="AB528" s="218"/>
      <c r="AF528" s="216"/>
      <c r="AG528" s="217"/>
      <c r="AH528" s="217"/>
      <c r="AI528" s="217"/>
      <c r="AJ528" s="217"/>
      <c r="AK528" s="217"/>
      <c r="AL528" s="198"/>
      <c r="AM528" s="199"/>
      <c r="AR528" s="32"/>
      <c r="AS528" s="1758" t="s">
        <v>61</v>
      </c>
      <c r="AT528" s="1759"/>
      <c r="AU528" s="1759"/>
      <c r="AV528" s="1759"/>
      <c r="AW528" s="1759"/>
      <c r="AX528" s="1759"/>
      <c r="AY528" s="1759"/>
      <c r="AZ528" s="1759"/>
      <c r="BA528" s="1740" t="s">
        <v>61</v>
      </c>
      <c r="BB528" s="1836"/>
      <c r="BC528" s="730"/>
      <c r="BD528" s="731"/>
    </row>
    <row r="529" spans="1:62" ht="12.75" hidden="1" customHeight="1" outlineLevel="1" x14ac:dyDescent="0.2">
      <c r="B529" s="1369" t="s">
        <v>766</v>
      </c>
      <c r="C529" s="1370"/>
      <c r="D529" s="1370" t="s">
        <v>56</v>
      </c>
      <c r="E529" s="1370" t="s">
        <v>56</v>
      </c>
      <c r="F529" s="205" t="s">
        <v>2634</v>
      </c>
      <c r="G529" s="205" t="s">
        <v>2053</v>
      </c>
      <c r="H529" s="1745" t="s">
        <v>767</v>
      </c>
      <c r="I529" s="1745"/>
      <c r="J529" s="205" t="s">
        <v>2053</v>
      </c>
      <c r="K529" s="1745" t="s">
        <v>769</v>
      </c>
      <c r="L529" s="1745"/>
      <c r="M529" s="205" t="s">
        <v>2053</v>
      </c>
      <c r="N529" s="1745" t="s">
        <v>771</v>
      </c>
      <c r="O529" s="1745"/>
      <c r="P529" s="205" t="s">
        <v>2053</v>
      </c>
      <c r="Q529" s="1744" t="s">
        <v>770</v>
      </c>
      <c r="R529" s="1745"/>
      <c r="S529" s="705" t="s">
        <v>61</v>
      </c>
      <c r="T529" s="711" t="s">
        <v>61</v>
      </c>
      <c r="U529" s="42"/>
      <c r="V529" s="32"/>
      <c r="W529" s="32"/>
      <c r="X529" s="1630" t="s">
        <v>2605</v>
      </c>
      <c r="Y529" s="1370" t="s">
        <v>2110</v>
      </c>
      <c r="Z529" s="1370" t="s">
        <v>61</v>
      </c>
      <c r="AA529" s="1370" t="s">
        <v>61</v>
      </c>
      <c r="AB529" s="711" t="s">
        <v>61</v>
      </c>
      <c r="AC529" s="32"/>
      <c r="AD529" s="32"/>
      <c r="AE529" s="32"/>
      <c r="AF529" s="1369" t="s">
        <v>2065</v>
      </c>
      <c r="AG529" s="1370" t="s">
        <v>61</v>
      </c>
      <c r="AH529" s="1370" t="s">
        <v>61</v>
      </c>
      <c r="AI529" s="705" t="s">
        <v>61</v>
      </c>
      <c r="AJ529" s="1370" t="s">
        <v>2558</v>
      </c>
      <c r="AK529" s="1370" t="s">
        <v>61</v>
      </c>
      <c r="AL529" s="1370" t="s">
        <v>61</v>
      </c>
      <c r="AM529" s="711" t="s">
        <v>61</v>
      </c>
      <c r="AN529" s="32"/>
      <c r="AO529" s="32"/>
      <c r="AP529" s="32"/>
      <c r="AQ529" s="32"/>
      <c r="AS529" s="1764" t="s">
        <v>14</v>
      </c>
      <c r="AT529" s="1761"/>
      <c r="AU529" s="1761" t="s">
        <v>60</v>
      </c>
      <c r="AV529" s="1761"/>
      <c r="AW529" s="1761" t="s">
        <v>27</v>
      </c>
      <c r="AX529" s="1761"/>
      <c r="AY529" s="1761" t="s">
        <v>2074</v>
      </c>
      <c r="AZ529" s="1761"/>
      <c r="BA529" s="1762" t="s">
        <v>41</v>
      </c>
      <c r="BB529" s="1763"/>
      <c r="BC529" s="1764" t="s">
        <v>85</v>
      </c>
      <c r="BD529" s="1765"/>
    </row>
    <row r="530" spans="1:62" ht="12.75" hidden="1" customHeight="1" outlineLevel="1" x14ac:dyDescent="0.2">
      <c r="B530" s="1369"/>
      <c r="C530" s="1370"/>
      <c r="D530" s="1370" t="s">
        <v>61</v>
      </c>
      <c r="E530" s="1370" t="s">
        <v>63</v>
      </c>
      <c r="F530" s="1623" t="s">
        <v>2054</v>
      </c>
      <c r="G530" s="208" t="s">
        <v>34</v>
      </c>
      <c r="H530" s="1377" t="s">
        <v>768</v>
      </c>
      <c r="I530" s="1377" t="s">
        <v>24</v>
      </c>
      <c r="J530" s="208" t="s">
        <v>2061</v>
      </c>
      <c r="K530" s="1377" t="s">
        <v>768</v>
      </c>
      <c r="L530" s="1377" t="s">
        <v>24</v>
      </c>
      <c r="M530" s="212" t="s">
        <v>2059</v>
      </c>
      <c r="N530" s="1377" t="s">
        <v>768</v>
      </c>
      <c r="O530" s="1377" t="s">
        <v>24</v>
      </c>
      <c r="P530" s="212" t="s">
        <v>15</v>
      </c>
      <c r="Q530" s="1377" t="s">
        <v>768</v>
      </c>
      <c r="R530" s="1377" t="s">
        <v>24</v>
      </c>
      <c r="S530" s="1376" t="s">
        <v>768</v>
      </c>
      <c r="T530" s="274" t="s">
        <v>24</v>
      </c>
      <c r="U530" s="42"/>
      <c r="V530" s="32"/>
      <c r="W530" s="32"/>
      <c r="X530" s="1630" t="s">
        <v>2109</v>
      </c>
      <c r="Y530" s="1370"/>
      <c r="Z530" s="1377" t="s">
        <v>768</v>
      </c>
      <c r="AA530" s="1377" t="s">
        <v>24</v>
      </c>
      <c r="AB530" s="219" t="s">
        <v>41</v>
      </c>
      <c r="AC530" s="32"/>
      <c r="AD530" s="32"/>
      <c r="AE530" s="32"/>
      <c r="AF530" s="1369"/>
      <c r="AG530" s="1377" t="s">
        <v>768</v>
      </c>
      <c r="AH530" s="1377" t="s">
        <v>24</v>
      </c>
      <c r="AI530" s="223" t="s">
        <v>41</v>
      </c>
      <c r="AJ530" s="1370"/>
      <c r="AK530" s="1377" t="s">
        <v>768</v>
      </c>
      <c r="AL530" s="1377" t="s">
        <v>24</v>
      </c>
      <c r="AM530" s="219" t="s">
        <v>41</v>
      </c>
      <c r="AN530" s="32"/>
      <c r="AO530" s="32"/>
      <c r="AP530" s="32"/>
      <c r="AQ530" s="32"/>
      <c r="AS530" s="732" t="s">
        <v>768</v>
      </c>
      <c r="AT530" s="733" t="s">
        <v>24</v>
      </c>
      <c r="AU530" s="733" t="s">
        <v>768</v>
      </c>
      <c r="AV530" s="733" t="s">
        <v>24</v>
      </c>
      <c r="AW530" s="733" t="s">
        <v>768</v>
      </c>
      <c r="AX530" s="733" t="s">
        <v>24</v>
      </c>
      <c r="AY530" s="733" t="s">
        <v>768</v>
      </c>
      <c r="AZ530" s="733" t="s">
        <v>24</v>
      </c>
      <c r="BA530" s="734" t="s">
        <v>768</v>
      </c>
      <c r="BB530" s="735" t="s">
        <v>24</v>
      </c>
      <c r="BC530" s="732" t="s">
        <v>768</v>
      </c>
      <c r="BD530" s="736" t="s">
        <v>24</v>
      </c>
    </row>
    <row r="531" spans="1:62" ht="12.75" hidden="1" customHeight="1" outlineLevel="1" x14ac:dyDescent="0.2">
      <c r="B531" s="200" t="s">
        <v>801</v>
      </c>
      <c r="C531" s="201"/>
      <c r="D531" s="262">
        <f>S531+T531</f>
        <v>0</v>
      </c>
      <c r="E531" s="265">
        <f>D531*12/44</f>
        <v>0</v>
      </c>
      <c r="F531" s="559"/>
      <c r="G531" s="182"/>
      <c r="H531" s="271">
        <f>VLOOKUP($B531,'Emissions factors'!$B$84:$K$147,2,FALSE)</f>
        <v>503.1</v>
      </c>
      <c r="I531" s="271">
        <f>VLOOKUP($B531,'Emissions factors'!$B$84:$K$147,3,FALSE)</f>
        <v>3111</v>
      </c>
      <c r="J531" s="182"/>
      <c r="K531" s="277">
        <f>VLOOKUP($B531,'Emissions factors'!$B$84:$K$147,4,FALSE)</f>
        <v>4.5280000000000001E-2</v>
      </c>
      <c r="L531" s="277">
        <f>VLOOKUP($B531,'Emissions factors'!$B$84:$K$147,5,FALSE)</f>
        <v>0.27980500000000003</v>
      </c>
      <c r="M531" s="182"/>
      <c r="N531" s="271">
        <f>VLOOKUP($B531,'Emissions factors'!$B$84:$K$147,6,FALSE)</f>
        <v>528.4</v>
      </c>
      <c r="O531" s="271">
        <f>VLOOKUP($B531,'Emissions factors'!$B$84:$K$147,7,FALSE)</f>
        <v>3271.08</v>
      </c>
      <c r="P531" s="182"/>
      <c r="Q531" s="277">
        <f>VLOOKUP($B531,'Emissions factors'!$B$84:$K$147,8,FALSE)</f>
        <v>0.45279999999999998</v>
      </c>
      <c r="R531" s="277">
        <f>VLOOKUP($B531,'Emissions factors'!$B$84:$K$147,9,FALSE)</f>
        <v>2.7980499999999999</v>
      </c>
      <c r="S531" s="210">
        <f>G531*H531+J531*K531+M531*N531+P531*Q531</f>
        <v>0</v>
      </c>
      <c r="T531" s="211">
        <f>G531*I531+J531*L531+M531*O531+P531*R531</f>
        <v>0</v>
      </c>
      <c r="U531" s="42"/>
      <c r="X531" s="282">
        <f>VLOOKUP($B531,'Emissions factors'!$B$84:$K$147,10,FALSE)</f>
        <v>0.05</v>
      </c>
      <c r="Y531" s="184"/>
      <c r="Z531" s="221">
        <f>S531*SQRT(X531^2+Y531^2)</f>
        <v>0</v>
      </c>
      <c r="AA531" s="221">
        <f>T531*SQRT(X531^2+Y531^2)</f>
        <v>0</v>
      </c>
      <c r="AB531" s="211">
        <f>SQRT(Z531^2+AA531^2)</f>
        <v>0</v>
      </c>
      <c r="AF531" s="184"/>
      <c r="AG531" s="221">
        <f>S531*AF531</f>
        <v>0</v>
      </c>
      <c r="AH531" s="224">
        <f>T531*AF531</f>
        <v>0</v>
      </c>
      <c r="AI531" s="210">
        <f>AG531+AH531</f>
        <v>0</v>
      </c>
      <c r="AJ531" s="184"/>
      <c r="AK531" s="221">
        <f>S531*AJ531</f>
        <v>0</v>
      </c>
      <c r="AL531" s="224">
        <f>T531*AJ531</f>
        <v>0</v>
      </c>
      <c r="AM531" s="211">
        <f>AK531+AL531</f>
        <v>0</v>
      </c>
      <c r="AS531" s="717">
        <f>G531*VLOOKUP($B531,'Emissions factors'!$B$84:$AQ$147,11,FALSE)+J531*VLOOKUP($B531,'Emissions factors'!$B$84:$AQ$147,13,FALSE)+M531*VLOOKUP($B531,'Emissions factors'!$B$84:$AQ$147,15,FALSE)+P531*VLOOKUP($B531,'Emissions factors'!$B$84:$AQ$147,17,FALSE)</f>
        <v>0</v>
      </c>
      <c r="AT531" s="718">
        <f>G531*VLOOKUP($B531,'Emissions factors'!$B$84:$AQ$147,12,FALSE)+J531*VLOOKUP($B531,'Emissions factors'!$B$84:$AQ$147,14,FALSE)+M531*VLOOKUP($B531,'Emissions factors'!$B$84:$AQ$147,16,FALSE)+P531*VLOOKUP($B531,'Emissions factors'!$B$84:$AQ$147,18,FALSE)</f>
        <v>0</v>
      </c>
      <c r="AU531" s="718">
        <f>G531*VLOOKUP($B531,'Emissions factors'!$B$84:$AQ$147,19,FALSE)+J531*VLOOKUP($B531,'Emissions factors'!$B$84:$AQ$147,21,FALSE)+M531*VLOOKUP($B531,'Emissions factors'!$B$84:$AQ$147,23,FALSE)+P531*VLOOKUP($B531,'Emissions factors'!$B$84:$AQ$147,25,FALSE)</f>
        <v>0</v>
      </c>
      <c r="AV531" s="718">
        <f>G531*VLOOKUP($B531,'Emissions factors'!$B$84:$AQ$147,20,FALSE)+J531*VLOOKUP($B531,'Emissions factors'!$B$84:$AQ$147,22,FALSE)+M531*VLOOKUP($B531,'Emissions factors'!$B$84:$AQ$147,24,FALSE)+P531*VLOOKUP($B531,'Emissions factors'!$B$84:$AQ$147,26,FALSE)</f>
        <v>0</v>
      </c>
      <c r="AW531" s="718">
        <f>G531*VLOOKUP($B531,'Emissions factors'!$B$84:$AQ$147,27,FALSE)+J531*VLOOKUP($B531,'Emissions factors'!$B$84:$AQ$147,29,FALSE)+M531*VLOOKUP($B531,'Emissions factors'!$B$84:$AQ$147,31,FALSE)+P531*VLOOKUP($B531,'Emissions factors'!$B$84:$AQ$147,33,FALSE)</f>
        <v>0</v>
      </c>
      <c r="AX531" s="718">
        <f>G531*VLOOKUP($B531,'Emissions factors'!$B$84:$AQ$147,28,FALSE)+J531*VLOOKUP($B531,'Emissions factors'!$B$84:$AQ$147,30,FALSE)+M531*VLOOKUP($B531,'Emissions factors'!$B$84:$AQ$147,32,FALSE)+P531*VLOOKUP($B531,'Emissions factors'!$B$84:$AQ$147,34,FALSE)</f>
        <v>0</v>
      </c>
      <c r="AY531" s="718">
        <v>0</v>
      </c>
      <c r="AZ531" s="718">
        <v>0</v>
      </c>
      <c r="BA531" s="719">
        <f t="shared" ref="BA531:BB533" si="208">S531</f>
        <v>0</v>
      </c>
      <c r="BB531" s="720">
        <f t="shared" si="208"/>
        <v>0</v>
      </c>
      <c r="BC531" s="718">
        <f>G531*VLOOKUP($B531,'Emissions factors'!$B$84:$AQ$147,35,FALSE)+J531*VLOOKUP($B531,'Emissions factors'!$B$84:$AQ$147,37,FALSE)+M531*VLOOKUP($B531,'Emissions factors'!$B$84:$AQ$147,39,FALSE)+P531*VLOOKUP($B531,'Emissions factors'!$B$84:$AQ$147,41,FALSE)</f>
        <v>0</v>
      </c>
      <c r="BD531" s="721">
        <f>G531*VLOOKUP($B531,'Emissions factors'!$B$84:$AQ$147,36,FALSE)+J531*VLOOKUP($B531,'Emissions factors'!$B$84:$AQ$147,38,FALSE)+M531*VLOOKUP($B531,'Emissions factors'!$B$84:$AQ$147,40,FALSE)+P531*VLOOKUP($B531,'Emissions factors'!$B$84:$AQ$147,42,FALSE)</f>
        <v>0</v>
      </c>
    </row>
    <row r="532" spans="1:62" ht="12.75" hidden="1" customHeight="1" outlineLevel="1" x14ac:dyDescent="0.2">
      <c r="B532" s="200" t="s">
        <v>818</v>
      </c>
      <c r="C532" s="201"/>
      <c r="D532" s="262">
        <f>S532+T532</f>
        <v>0</v>
      </c>
      <c r="E532" s="265">
        <f>D532*12/44</f>
        <v>0</v>
      </c>
      <c r="F532" s="442"/>
      <c r="G532" s="185"/>
      <c r="H532" s="271">
        <f>VLOOKUP($B532,'Emissions factors'!$B$84:$K$147,2,FALSE)</f>
        <v>269.5</v>
      </c>
      <c r="I532" s="271">
        <f>VLOOKUP($B532,'Emissions factors'!$B$84:$K$147,3,FALSE)</f>
        <v>3070</v>
      </c>
      <c r="J532" s="185"/>
      <c r="K532" s="277">
        <f>VLOOKUP($B532,'Emissions factors'!$B$84:$K$147,4,FALSE)</f>
        <v>0</v>
      </c>
      <c r="L532" s="277">
        <f>VLOOKUP($B532,'Emissions factors'!$B$84:$K$147,5,FALSE)</f>
        <v>0</v>
      </c>
      <c r="M532" s="185"/>
      <c r="N532" s="271">
        <f>VLOOKUP($B532,'Emissions factors'!$B$84:$K$147,6,FALSE)</f>
        <v>0</v>
      </c>
      <c r="O532" s="271">
        <f>VLOOKUP($B532,'Emissions factors'!$B$84:$K$147,7,FALSE)</f>
        <v>0</v>
      </c>
      <c r="P532" s="185"/>
      <c r="Q532" s="277">
        <f>VLOOKUP($B532,'Emissions factors'!$B$84:$K$147,8,FALSE)</f>
        <v>0</v>
      </c>
      <c r="R532" s="277">
        <f>VLOOKUP($B532,'Emissions factors'!$B$84:$K$147,9,FALSE)</f>
        <v>0</v>
      </c>
      <c r="S532" s="210">
        <f>G532*H532+J532*K532+M532*N532+P532*Q532</f>
        <v>0</v>
      </c>
      <c r="T532" s="211">
        <f>G532*I532+J532*L532+M532*O532+P532*R532</f>
        <v>0</v>
      </c>
      <c r="U532" s="42"/>
      <c r="X532" s="282">
        <f>VLOOKUP($B532,'Emissions factors'!$B$84:$K$147,10,FALSE)</f>
        <v>0.05</v>
      </c>
      <c r="Y532" s="187"/>
      <c r="Z532" s="221">
        <f>S532*SQRT(X532^2+Y532^2)</f>
        <v>0</v>
      </c>
      <c r="AA532" s="221">
        <f>T532*SQRT(X532^2+Y532^2)</f>
        <v>0</v>
      </c>
      <c r="AB532" s="211">
        <f>SQRT(Z532^2+AA532^2)</f>
        <v>0</v>
      </c>
      <c r="AF532" s="187"/>
      <c r="AG532" s="221">
        <f>S532*AF532</f>
        <v>0</v>
      </c>
      <c r="AH532" s="224">
        <f>T532*AF532</f>
        <v>0</v>
      </c>
      <c r="AI532" s="210">
        <f>AG532+AH532</f>
        <v>0</v>
      </c>
      <c r="AJ532" s="187"/>
      <c r="AK532" s="221">
        <f>S532*AJ532</f>
        <v>0</v>
      </c>
      <c r="AL532" s="224">
        <f>T532*AJ532</f>
        <v>0</v>
      </c>
      <c r="AM532" s="211">
        <f>AK532+AL532</f>
        <v>0</v>
      </c>
      <c r="AS532" s="717">
        <f>G532*VLOOKUP($B532,'Emissions factors'!$B$84:$AQ$147,11,FALSE)+J532*VLOOKUP($B532,'Emissions factors'!$B$84:$AQ$147,13,FALSE)+M532*VLOOKUP($B532,'Emissions factors'!$B$84:$AQ$147,15,FALSE)+P532*VLOOKUP($B532,'Emissions factors'!$B$84:$AQ$147,17,FALSE)</f>
        <v>0</v>
      </c>
      <c r="AT532" s="718">
        <f>G532*VLOOKUP($B532,'Emissions factors'!$B$84:$AQ$147,12,FALSE)+J532*VLOOKUP($B532,'Emissions factors'!$B$84:$AQ$147,14,FALSE)+M532*VLOOKUP($B532,'Emissions factors'!$B$84:$AQ$147,16,FALSE)+P532*VLOOKUP($B532,'Emissions factors'!$B$84:$AQ$147,18,FALSE)</f>
        <v>0</v>
      </c>
      <c r="AU532" s="718">
        <f>G532*VLOOKUP($B532,'Emissions factors'!$B$84:$AQ$147,19,FALSE)+J532*VLOOKUP($B532,'Emissions factors'!$B$84:$AQ$147,21,FALSE)+M532*VLOOKUP($B532,'Emissions factors'!$B$84:$AQ$147,23,FALSE)+P532*VLOOKUP($B532,'Emissions factors'!$B$84:$AQ$147,25,FALSE)</f>
        <v>0</v>
      </c>
      <c r="AV532" s="718">
        <f>G532*VLOOKUP($B532,'Emissions factors'!$B$84:$AQ$147,20,FALSE)+J532*VLOOKUP($B532,'Emissions factors'!$B$84:$AQ$147,22,FALSE)+M532*VLOOKUP($B532,'Emissions factors'!$B$84:$AQ$147,24,FALSE)+P532*VLOOKUP($B532,'Emissions factors'!$B$84:$AQ$147,26,FALSE)</f>
        <v>0</v>
      </c>
      <c r="AW532" s="718">
        <f>G532*VLOOKUP($B532,'Emissions factors'!$B$84:$AQ$147,27,FALSE)+J532*VLOOKUP($B532,'Emissions factors'!$B$84:$AQ$147,29,FALSE)+M532*VLOOKUP($B532,'Emissions factors'!$B$84:$AQ$147,31,FALSE)+P532*VLOOKUP($B532,'Emissions factors'!$B$84:$AQ$147,33,FALSE)</f>
        <v>0</v>
      </c>
      <c r="AX532" s="718">
        <f>G532*VLOOKUP($B532,'Emissions factors'!$B$84:$AQ$147,28,FALSE)+J532*VLOOKUP($B532,'Emissions factors'!$B$84:$AQ$147,30,FALSE)+M532*VLOOKUP($B532,'Emissions factors'!$B$84:$AQ$147,32,FALSE)+P532*VLOOKUP($B532,'Emissions factors'!$B$84:$AQ$147,34,FALSE)</f>
        <v>0</v>
      </c>
      <c r="AY532" s="718">
        <v>0</v>
      </c>
      <c r="AZ532" s="718">
        <v>0</v>
      </c>
      <c r="BA532" s="719">
        <f t="shared" si="208"/>
        <v>0</v>
      </c>
      <c r="BB532" s="720">
        <f t="shared" si="208"/>
        <v>0</v>
      </c>
      <c r="BC532" s="718">
        <f>G532*VLOOKUP($B532,'Emissions factors'!$B$84:$AQ$147,35,FALSE)+J532*VLOOKUP($B532,'Emissions factors'!$B$84:$AQ$147,37,FALSE)+M532*VLOOKUP($B532,'Emissions factors'!$B$84:$AQ$147,39,FALSE)+P532*VLOOKUP($B532,'Emissions factors'!$B$84:$AQ$147,41,FALSE)</f>
        <v>0</v>
      </c>
      <c r="BD532" s="721">
        <f>G532*VLOOKUP($B532,'Emissions factors'!$B$84:$AQ$147,36,FALSE)+J532*VLOOKUP($B532,'Emissions factors'!$B$84:$AQ$147,38,FALSE)+M532*VLOOKUP($B532,'Emissions factors'!$B$84:$AQ$147,40,FALSE)+P532*VLOOKUP($B532,'Emissions factors'!$B$84:$AQ$147,42,FALSE)</f>
        <v>0</v>
      </c>
    </row>
    <row r="533" spans="1:62" ht="12.75" hidden="1" customHeight="1" outlineLevel="1" x14ac:dyDescent="0.2">
      <c r="B533" s="200" t="s">
        <v>824</v>
      </c>
      <c r="C533" s="201"/>
      <c r="D533" s="262">
        <f>S533+T533</f>
        <v>0</v>
      </c>
      <c r="E533" s="265">
        <f>D533*12/44</f>
        <v>0</v>
      </c>
      <c r="F533" s="443"/>
      <c r="G533" s="188"/>
      <c r="H533" s="271">
        <f>VLOOKUP($B533,'Emissions factors'!$B$84:$K$147,2,FALSE)</f>
        <v>247.39999999999998</v>
      </c>
      <c r="I533" s="271">
        <f>VLOOKUP($B533,'Emissions factors'!$B$84:$K$147,3,FALSE)</f>
        <v>3030.7000000000003</v>
      </c>
      <c r="J533" s="188"/>
      <c r="K533" s="277">
        <f>VLOOKUP($B533,'Emissions factors'!$B$84:$K$147,4,FALSE)</f>
        <v>3.1899999999999998E-2</v>
      </c>
      <c r="L533" s="277">
        <f>VLOOKUP($B533,'Emissions factors'!$B$84:$K$147,5,FALSE)</f>
        <v>0.38894000000000001</v>
      </c>
      <c r="M533" s="188"/>
      <c r="N533" s="271">
        <f>VLOOKUP($B533,'Emissions factors'!$B$84:$K$147,6,FALSE)</f>
        <v>372</v>
      </c>
      <c r="O533" s="271">
        <f>VLOOKUP($B533,'Emissions factors'!$B$84:$K$147,7,FALSE)</f>
        <v>4536</v>
      </c>
      <c r="P533" s="188"/>
      <c r="Q533" s="277">
        <f>VLOOKUP($B533,'Emissions factors'!$B$84:$K$147,8,FALSE)</f>
        <v>0</v>
      </c>
      <c r="R533" s="277">
        <f>VLOOKUP($B533,'Emissions factors'!$B$84:$K$147,9,FALSE)</f>
        <v>0</v>
      </c>
      <c r="S533" s="210">
        <f>G533*H533+J533*K533+M533*N533+P533*Q533</f>
        <v>0</v>
      </c>
      <c r="T533" s="211">
        <f>G533*I533+J533*L533+M533*O533+P533*R533</f>
        <v>0</v>
      </c>
      <c r="U533" s="42"/>
      <c r="X533" s="282">
        <f>VLOOKUP($B533,'Emissions factors'!$B$84:$K$147,10,FALSE)</f>
        <v>0.2</v>
      </c>
      <c r="Y533" s="190"/>
      <c r="Z533" s="221">
        <f>S533*SQRT(X533^2+Y533^2)</f>
        <v>0</v>
      </c>
      <c r="AA533" s="221">
        <f>T533*SQRT(X533^2+Y533^2)</f>
        <v>0</v>
      </c>
      <c r="AB533" s="211">
        <f>SQRT(Z533^2+AA533^2)</f>
        <v>0</v>
      </c>
      <c r="AF533" s="190"/>
      <c r="AG533" s="221">
        <f>S533*AF533</f>
        <v>0</v>
      </c>
      <c r="AH533" s="224">
        <f>T533*AF533</f>
        <v>0</v>
      </c>
      <c r="AI533" s="210">
        <f>AG533+AH533</f>
        <v>0</v>
      </c>
      <c r="AJ533" s="190"/>
      <c r="AK533" s="221">
        <f>S533*AJ533</f>
        <v>0</v>
      </c>
      <c r="AL533" s="224">
        <f>T533*AJ533</f>
        <v>0</v>
      </c>
      <c r="AM533" s="211">
        <f>AK533+AL533</f>
        <v>0</v>
      </c>
      <c r="AS533" s="717">
        <f>G533*VLOOKUP($B533,'Emissions factors'!$B$84:$AQ$147,11,FALSE)+J533*VLOOKUP($B533,'Emissions factors'!$B$84:$AQ$147,13,FALSE)+M533*VLOOKUP($B533,'Emissions factors'!$B$84:$AQ$147,15,FALSE)+P533*VLOOKUP($B533,'Emissions factors'!$B$84:$AQ$147,17,FALSE)</f>
        <v>0</v>
      </c>
      <c r="AT533" s="718">
        <f>G533*VLOOKUP($B533,'Emissions factors'!$B$84:$AQ$147,12,FALSE)+J533*VLOOKUP($B533,'Emissions factors'!$B$84:$AQ$147,14,FALSE)+M533*VLOOKUP($B533,'Emissions factors'!$B$84:$AQ$147,16,FALSE)+P533*VLOOKUP($B533,'Emissions factors'!$B$84:$AQ$147,18,FALSE)</f>
        <v>0</v>
      </c>
      <c r="AU533" s="718">
        <f>G533*VLOOKUP($B533,'Emissions factors'!$B$84:$AQ$147,19,FALSE)+J533*VLOOKUP($B533,'Emissions factors'!$B$84:$AQ$147,21,FALSE)+M533*VLOOKUP($B533,'Emissions factors'!$B$84:$AQ$147,23,FALSE)+P533*VLOOKUP($B533,'Emissions factors'!$B$84:$AQ$147,25,FALSE)</f>
        <v>0</v>
      </c>
      <c r="AV533" s="718">
        <f>G533*VLOOKUP($B533,'Emissions factors'!$B$84:$AQ$147,20,FALSE)+J533*VLOOKUP($B533,'Emissions factors'!$B$84:$AQ$147,22,FALSE)+M533*VLOOKUP($B533,'Emissions factors'!$B$84:$AQ$147,24,FALSE)+P533*VLOOKUP($B533,'Emissions factors'!$B$84:$AQ$147,26,FALSE)</f>
        <v>0</v>
      </c>
      <c r="AW533" s="718">
        <f>G533*VLOOKUP($B533,'Emissions factors'!$B$84:$AQ$147,27,FALSE)+J533*VLOOKUP($B533,'Emissions factors'!$B$84:$AQ$147,29,FALSE)+M533*VLOOKUP($B533,'Emissions factors'!$B$84:$AQ$147,31,FALSE)+P533*VLOOKUP($B533,'Emissions factors'!$B$84:$AQ$147,33,FALSE)</f>
        <v>0</v>
      </c>
      <c r="AX533" s="718">
        <f>G533*VLOOKUP($B533,'Emissions factors'!$B$84:$AQ$147,28,FALSE)+J533*VLOOKUP($B533,'Emissions factors'!$B$84:$AQ$147,30,FALSE)+M533*VLOOKUP($B533,'Emissions factors'!$B$84:$AQ$147,32,FALSE)+P533*VLOOKUP($B533,'Emissions factors'!$B$84:$AQ$147,34,FALSE)</f>
        <v>0</v>
      </c>
      <c r="AY533" s="718">
        <v>0</v>
      </c>
      <c r="AZ533" s="718">
        <v>0</v>
      </c>
      <c r="BA533" s="719">
        <f t="shared" si="208"/>
        <v>0</v>
      </c>
      <c r="BB533" s="720">
        <f t="shared" si="208"/>
        <v>0</v>
      </c>
      <c r="BC533" s="718">
        <f>G533*VLOOKUP($B533,'Emissions factors'!$B$84:$AQ$147,35,FALSE)+J533*VLOOKUP($B533,'Emissions factors'!$B$84:$AQ$147,37,FALSE)+M533*VLOOKUP($B533,'Emissions factors'!$B$84:$AQ$147,39,FALSE)+P533*VLOOKUP($B533,'Emissions factors'!$B$84:$AQ$147,41,FALSE)</f>
        <v>0</v>
      </c>
      <c r="BD533" s="721">
        <f>G533*VLOOKUP($B533,'Emissions factors'!$B$84:$AQ$147,36,FALSE)+J533*VLOOKUP($B533,'Emissions factors'!$B$84:$AQ$147,38,FALSE)+M533*VLOOKUP($B533,'Emissions factors'!$B$84:$AQ$147,40,FALSE)+P533*VLOOKUP($B533,'Emissions factors'!$B$84:$AQ$147,42,FALSE)</f>
        <v>0</v>
      </c>
    </row>
    <row r="534" spans="1:62" ht="12.75" hidden="1" customHeight="1" outlineLevel="1" x14ac:dyDescent="0.2">
      <c r="B534" s="213"/>
      <c r="C534" s="214"/>
      <c r="D534" s="275"/>
      <c r="E534" s="268"/>
      <c r="F534" s="214"/>
      <c r="G534" s="214"/>
      <c r="H534" s="214"/>
      <c r="I534" s="214"/>
      <c r="J534" s="214"/>
      <c r="K534" s="214"/>
      <c r="L534" s="214"/>
      <c r="M534" s="214"/>
      <c r="N534" s="214"/>
      <c r="O534" s="214"/>
      <c r="P534" s="214"/>
      <c r="Q534" s="214"/>
      <c r="R534" s="214"/>
      <c r="S534" s="463"/>
      <c r="T534" s="215"/>
      <c r="U534" s="42"/>
      <c r="X534" s="213"/>
      <c r="Y534" s="214"/>
      <c r="Z534" s="214"/>
      <c r="AA534" s="214"/>
      <c r="AB534" s="433"/>
      <c r="AF534" s="213"/>
      <c r="AG534" s="214"/>
      <c r="AH534" s="214"/>
      <c r="AI534" s="269"/>
      <c r="AJ534" s="214"/>
      <c r="AK534" s="214"/>
      <c r="AL534" s="214"/>
      <c r="AM534" s="433"/>
      <c r="AS534" s="717"/>
      <c r="AT534" s="718"/>
      <c r="AU534" s="718"/>
      <c r="AV534" s="718"/>
      <c r="AW534" s="718"/>
      <c r="AX534" s="718"/>
      <c r="AY534" s="718"/>
      <c r="AZ534" s="718"/>
      <c r="BA534" s="719"/>
      <c r="BB534" s="720"/>
      <c r="BC534" s="722"/>
      <c r="BD534" s="723"/>
    </row>
    <row r="535" spans="1:62" ht="12.75" hidden="1" customHeight="1" outlineLevel="1" x14ac:dyDescent="0.2">
      <c r="B535" s="253" t="s">
        <v>2828</v>
      </c>
      <c r="C535" s="254"/>
      <c r="D535" s="264">
        <f>SUM(D531:D534)</f>
        <v>0</v>
      </c>
      <c r="E535" s="267">
        <f>SUM(E531:E534)</f>
        <v>0</v>
      </c>
      <c r="F535" s="255"/>
      <c r="G535" s="256"/>
      <c r="H535" s="256"/>
      <c r="I535" s="256"/>
      <c r="J535" s="256"/>
      <c r="K535" s="256"/>
      <c r="L535" s="256"/>
      <c r="M535" s="256"/>
      <c r="N535" s="256"/>
      <c r="O535" s="256"/>
      <c r="P535" s="256"/>
      <c r="Q535" s="256"/>
      <c r="R535" s="256"/>
      <c r="S535" s="259">
        <f>SUM(S531:S534)</f>
        <v>0</v>
      </c>
      <c r="T535" s="257">
        <f>SUM(T531:T534)</f>
        <v>0</v>
      </c>
      <c r="U535" s="42"/>
      <c r="X535" s="258"/>
      <c r="Y535" s="256"/>
      <c r="Z535" s="260">
        <f>SQRT(SUMSQ(Z531:Z534))</f>
        <v>0</v>
      </c>
      <c r="AA535" s="260">
        <f>SQRT(SUMSQ(AA531:AA534))</f>
        <v>0</v>
      </c>
      <c r="AB535" s="257">
        <f>SQRT(SUMSQ(AB531:AB534))</f>
        <v>0</v>
      </c>
      <c r="AF535" s="258"/>
      <c r="AG535" s="260">
        <f>SUM(AG531:AG534)</f>
        <v>0</v>
      </c>
      <c r="AH535" s="260">
        <f>SUM(AH531:AH534)</f>
        <v>0</v>
      </c>
      <c r="AI535" s="259">
        <f>SUM(AI531:AI534)</f>
        <v>0</v>
      </c>
      <c r="AJ535" s="256"/>
      <c r="AK535" s="260">
        <f>SUM(AK531:AK534)</f>
        <v>0</v>
      </c>
      <c r="AL535" s="260">
        <f>SUM(AL531:AL534)</f>
        <v>0</v>
      </c>
      <c r="AM535" s="257">
        <f>SUM(AM531:AM534)</f>
        <v>0</v>
      </c>
      <c r="AS535" s="724">
        <f t="shared" ref="AS535:BD535" si="209">SUM(AS531:AS534)</f>
        <v>0</v>
      </c>
      <c r="AT535" s="725">
        <f t="shared" si="209"/>
        <v>0</v>
      </c>
      <c r="AU535" s="725">
        <f t="shared" si="209"/>
        <v>0</v>
      </c>
      <c r="AV535" s="725">
        <f t="shared" si="209"/>
        <v>0</v>
      </c>
      <c r="AW535" s="725">
        <f t="shared" si="209"/>
        <v>0</v>
      </c>
      <c r="AX535" s="725">
        <f t="shared" si="209"/>
        <v>0</v>
      </c>
      <c r="AY535" s="725">
        <f t="shared" si="209"/>
        <v>0</v>
      </c>
      <c r="AZ535" s="725">
        <f t="shared" si="209"/>
        <v>0</v>
      </c>
      <c r="BA535" s="726">
        <f t="shared" si="209"/>
        <v>0</v>
      </c>
      <c r="BB535" s="727">
        <f t="shared" si="209"/>
        <v>0</v>
      </c>
      <c r="BC535" s="724">
        <f t="shared" si="209"/>
        <v>0</v>
      </c>
      <c r="BD535" s="728">
        <f t="shared" si="209"/>
        <v>0</v>
      </c>
    </row>
    <row r="536" spans="1:62" ht="12.75" hidden="1" customHeight="1" outlineLevel="1" x14ac:dyDescent="0.2"/>
    <row r="537" spans="1:62" ht="12.75" hidden="1" customHeight="1" outlineLevel="1" x14ac:dyDescent="0.2">
      <c r="B537" s="195" t="s">
        <v>2904</v>
      </c>
      <c r="C537" s="196"/>
      <c r="D537" s="196"/>
      <c r="E537" s="196"/>
      <c r="F537" s="196"/>
      <c r="G537" s="198"/>
      <c r="H537" s="198"/>
      <c r="I537" s="199"/>
      <c r="X537" s="1746" t="s">
        <v>723</v>
      </c>
      <c r="Y537" s="1747"/>
      <c r="Z537" s="1748"/>
      <c r="AF537" s="1746" t="s">
        <v>2066</v>
      </c>
      <c r="AG537" s="1747"/>
      <c r="AH537" s="1747"/>
      <c r="AI537" s="1748"/>
      <c r="AS537" s="1755" t="s">
        <v>2073</v>
      </c>
      <c r="AT537" s="1756"/>
      <c r="AU537" s="1756"/>
      <c r="AV537" s="1756"/>
      <c r="AW537" s="1756"/>
      <c r="AX537" s="1757"/>
      <c r="BC537" s="605"/>
    </row>
    <row r="538" spans="1:62" ht="12.75" hidden="1" customHeight="1" outlineLevel="1" x14ac:dyDescent="0.2">
      <c r="B538" s="417"/>
      <c r="C538" s="225"/>
      <c r="D538" s="705"/>
      <c r="E538" s="705"/>
      <c r="F538" s="201"/>
      <c r="G538" s="201"/>
      <c r="H538" s="201"/>
      <c r="I538" s="203"/>
      <c r="X538" s="1369"/>
      <c r="Y538" s="1370"/>
      <c r="Z538" s="203"/>
      <c r="AF538" s="1369"/>
      <c r="AG538" s="1370"/>
      <c r="AH538" s="1370"/>
      <c r="AI538" s="203"/>
      <c r="AS538" s="1374"/>
      <c r="AT538" s="1375"/>
      <c r="AU538" s="1375"/>
      <c r="AV538" s="1375"/>
      <c r="AW538" s="1379"/>
      <c r="AX538" s="780"/>
      <c r="BC538" s="605"/>
    </row>
    <row r="539" spans="1:62" ht="12.75" hidden="1" customHeight="1" outlineLevel="1" x14ac:dyDescent="0.2">
      <c r="B539" s="200"/>
      <c r="C539" s="201"/>
      <c r="D539" s="1370" t="s">
        <v>56</v>
      </c>
      <c r="E539" s="1370" t="s">
        <v>56</v>
      </c>
      <c r="F539" s="205" t="s">
        <v>2634</v>
      </c>
      <c r="G539" s="205"/>
      <c r="H539" s="1370" t="s">
        <v>61</v>
      </c>
      <c r="I539" s="711" t="s">
        <v>61</v>
      </c>
      <c r="X539" s="1630" t="s">
        <v>2605</v>
      </c>
      <c r="Y539" s="1370" t="s">
        <v>2110</v>
      </c>
      <c r="Z539" s="711" t="s">
        <v>61</v>
      </c>
      <c r="AF539" s="1369" t="s">
        <v>2065</v>
      </c>
      <c r="AG539" s="705" t="s">
        <v>61</v>
      </c>
      <c r="AH539" s="1370" t="s">
        <v>2558</v>
      </c>
      <c r="AI539" s="711" t="s">
        <v>61</v>
      </c>
      <c r="AS539" s="1739" t="s">
        <v>61</v>
      </c>
      <c r="AT539" s="1740"/>
      <c r="AU539" s="1740"/>
      <c r="AV539" s="1740"/>
      <c r="AW539" s="1379" t="s">
        <v>61</v>
      </c>
      <c r="AX539" s="742"/>
      <c r="AY539" s="743"/>
      <c r="AZ539" s="743"/>
      <c r="BA539" s="743"/>
    </row>
    <row r="540" spans="1:62" ht="12.75" hidden="1" customHeight="1" outlineLevel="1" x14ac:dyDescent="0.2">
      <c r="B540" s="200"/>
      <c r="C540" s="201"/>
      <c r="D540" s="1370" t="s">
        <v>61</v>
      </c>
      <c r="E540" s="1370" t="s">
        <v>63</v>
      </c>
      <c r="F540" s="1623" t="s">
        <v>2054</v>
      </c>
      <c r="G540" s="208" t="s">
        <v>57</v>
      </c>
      <c r="H540" s="1370" t="s">
        <v>2540</v>
      </c>
      <c r="I540" s="711"/>
      <c r="X540" s="1630" t="s">
        <v>2109</v>
      </c>
      <c r="Y540" s="1370"/>
      <c r="Z540" s="711"/>
      <c r="AF540" s="1369"/>
      <c r="AG540" s="705"/>
      <c r="AH540" s="1370"/>
      <c r="AI540" s="711"/>
      <c r="AS540" s="1371" t="s">
        <v>14</v>
      </c>
      <c r="AT540" s="1372" t="s">
        <v>60</v>
      </c>
      <c r="AU540" s="1372" t="s">
        <v>27</v>
      </c>
      <c r="AV540" s="1372" t="s">
        <v>2074</v>
      </c>
      <c r="AW540" s="1373" t="s">
        <v>41</v>
      </c>
      <c r="AX540" s="747" t="s">
        <v>85</v>
      </c>
      <c r="AY540" s="743"/>
      <c r="AZ540" s="743"/>
      <c r="BA540" s="743"/>
      <c r="BC540" s="743"/>
    </row>
    <row r="541" spans="1:62" ht="12.75" hidden="1" customHeight="1" outlineLevel="1" x14ac:dyDescent="0.2">
      <c r="B541" s="200" t="s">
        <v>1311</v>
      </c>
      <c r="C541" s="201"/>
      <c r="D541" s="262">
        <f>I541</f>
        <v>0</v>
      </c>
      <c r="E541" s="265">
        <f>D541*12/44</f>
        <v>0</v>
      </c>
      <c r="F541" s="559"/>
      <c r="G541" s="182"/>
      <c r="H541" s="272">
        <f>VLOOKUP($B541,'Emissions factors'!$B$1252:$H$1280,2,FALSE)</f>
        <v>2.186E-3</v>
      </c>
      <c r="I541" s="211">
        <f>G541*H541</f>
        <v>0</v>
      </c>
      <c r="X541" s="282">
        <f>VLOOKUP($B541,'Emissions factors'!$B$1252:$H$1280,7,FALSE)</f>
        <v>0.7</v>
      </c>
      <c r="Y541" s="183"/>
      <c r="Z541" s="222">
        <f>I541*SQRT(X541^2+Y541^2)</f>
        <v>0</v>
      </c>
      <c r="AF541" s="184"/>
      <c r="AG541" s="221">
        <f>AF541*I541</f>
        <v>0</v>
      </c>
      <c r="AH541" s="184"/>
      <c r="AI541" s="222">
        <f>AH541*I541</f>
        <v>0</v>
      </c>
      <c r="AS541" s="717">
        <f>G541*VLOOKUP($B541,'Emissions factors'!$B$1252:$H$1280,3,FALSE)</f>
        <v>0</v>
      </c>
      <c r="AT541" s="718">
        <f>G541*VLOOKUP($B541,'Emissions factors'!$B$1252:$H$1280,4,FALSE)</f>
        <v>0</v>
      </c>
      <c r="AU541" s="718">
        <f>G541*VLOOKUP($B541,'Emissions factors'!$B$1252:$H$1280,5,FALSE)</f>
        <v>0</v>
      </c>
      <c r="AV541" s="718">
        <v>0</v>
      </c>
      <c r="AW541" s="720">
        <f>I541</f>
        <v>0</v>
      </c>
      <c r="AX541" s="748">
        <f>G541*VLOOKUP($B541,'Emissions factors'!$B$1252:$H$1280,6,FALSE)</f>
        <v>0</v>
      </c>
      <c r="BC541" s="743"/>
    </row>
    <row r="542" spans="1:62" ht="12.75" hidden="1" customHeight="1" outlineLevel="1" x14ac:dyDescent="0.2">
      <c r="B542" s="200" t="s">
        <v>1315</v>
      </c>
      <c r="C542" s="201"/>
      <c r="D542" s="262">
        <f>I542</f>
        <v>0</v>
      </c>
      <c r="E542" s="265">
        <f>D542*12/44</f>
        <v>0</v>
      </c>
      <c r="F542" s="442"/>
      <c r="G542" s="185"/>
      <c r="H542" s="272">
        <f>VLOOKUP($B542,'Emissions factors'!$B$1252:$H$1280,2,FALSE)</f>
        <v>2.7977930000000002E-2</v>
      </c>
      <c r="I542" s="211">
        <f>G542*H542</f>
        <v>0</v>
      </c>
      <c r="X542" s="282">
        <f>VLOOKUP($B542,'Emissions factors'!$B$1252:$H$1280,7,FALSE)</f>
        <v>0.7</v>
      </c>
      <c r="Y542" s="186"/>
      <c r="Z542" s="222">
        <f>I542*SQRT(X542^2+Y542^2)</f>
        <v>0</v>
      </c>
      <c r="AF542" s="187"/>
      <c r="AG542" s="221">
        <f>AF542*I542</f>
        <v>0</v>
      </c>
      <c r="AH542" s="187"/>
      <c r="AI542" s="222">
        <f>AH542*I542</f>
        <v>0</v>
      </c>
      <c r="AS542" s="717">
        <f>G542*VLOOKUP($B542,'Emissions factors'!$B$1252:$H$1280,3,FALSE)</f>
        <v>0</v>
      </c>
      <c r="AT542" s="718">
        <f>G542*VLOOKUP($B542,'Emissions factors'!$B$1252:$H$1280,4,FALSE)</f>
        <v>0</v>
      </c>
      <c r="AU542" s="718">
        <f>G542*VLOOKUP($B542,'Emissions factors'!$B$1252:$H$1280,5,FALSE)</f>
        <v>0</v>
      </c>
      <c r="AV542" s="718">
        <v>0</v>
      </c>
      <c r="AW542" s="720">
        <f>I542</f>
        <v>0</v>
      </c>
      <c r="AX542" s="748">
        <f>G542*VLOOKUP($B542,'Emissions factors'!$B$1252:$H$1280,6,FALSE)</f>
        <v>0</v>
      </c>
    </row>
    <row r="543" spans="1:62" s="191" customFormat="1" ht="15" hidden="1" customHeight="1" outlineLevel="1" x14ac:dyDescent="0.2">
      <c r="A543" s="40"/>
      <c r="B543" s="200" t="s">
        <v>1313</v>
      </c>
      <c r="C543" s="201"/>
      <c r="D543" s="262">
        <f>I543</f>
        <v>0</v>
      </c>
      <c r="E543" s="265">
        <f>D543*12/44</f>
        <v>0</v>
      </c>
      <c r="F543" s="443"/>
      <c r="G543" s="188"/>
      <c r="H543" s="272">
        <f>VLOOKUP($B543,'Emissions factors'!$B$1252:$H$1280,2,FALSE)</f>
        <v>5.5742799999999992E-3</v>
      </c>
      <c r="I543" s="211">
        <f>G543*H543</f>
        <v>0</v>
      </c>
      <c r="J543" s="40"/>
      <c r="K543" s="40"/>
      <c r="L543" s="40"/>
      <c r="M543" s="40"/>
      <c r="N543" s="40"/>
      <c r="O543" s="40"/>
      <c r="P543" s="40"/>
      <c r="Q543" s="40"/>
      <c r="R543" s="40"/>
      <c r="S543" s="40"/>
      <c r="T543" s="40"/>
      <c r="U543" s="40"/>
      <c r="V543" s="40"/>
      <c r="W543" s="40"/>
      <c r="X543" s="282">
        <f>VLOOKUP($B543,'Emissions factors'!$B$1252:$H$1280,7,FALSE)</f>
        <v>0.7</v>
      </c>
      <c r="Y543" s="189"/>
      <c r="Z543" s="222">
        <f>I543*SQRT(X543^2+Y543^2)</f>
        <v>0</v>
      </c>
      <c r="AA543" s="40"/>
      <c r="AB543" s="40"/>
      <c r="AC543" s="40"/>
      <c r="AD543" s="40"/>
      <c r="AE543" s="40"/>
      <c r="AF543" s="190"/>
      <c r="AG543" s="221">
        <f>AF543*I543</f>
        <v>0</v>
      </c>
      <c r="AH543" s="190"/>
      <c r="AI543" s="222">
        <f>AH543*I543</f>
        <v>0</v>
      </c>
      <c r="AJ543" s="40"/>
      <c r="AK543" s="40"/>
      <c r="AL543" s="40"/>
      <c r="AM543" s="40"/>
      <c r="AN543" s="40"/>
      <c r="AO543" s="40"/>
      <c r="AP543" s="40"/>
      <c r="AQ543" s="40"/>
      <c r="AR543" s="40"/>
      <c r="AS543" s="717">
        <f>G543*VLOOKUP($B543,'Emissions factors'!$B$1252:$H$1280,3,FALSE)</f>
        <v>0</v>
      </c>
      <c r="AT543" s="718">
        <f>G543*VLOOKUP($B543,'Emissions factors'!$B$1252:$H$1280,4,FALSE)</f>
        <v>0</v>
      </c>
      <c r="AU543" s="718">
        <f>G543*VLOOKUP($B543,'Emissions factors'!$B$1252:$H$1280,5,FALSE)</f>
        <v>0</v>
      </c>
      <c r="AV543" s="718">
        <v>0</v>
      </c>
      <c r="AW543" s="720">
        <f>I543</f>
        <v>0</v>
      </c>
      <c r="AX543" s="748">
        <f>G543*VLOOKUP($B543,'Emissions factors'!$B$1252:$H$1280,6,FALSE)</f>
        <v>0</v>
      </c>
      <c r="AY543" s="602"/>
      <c r="AZ543" s="602"/>
      <c r="BA543" s="602"/>
      <c r="BB543" s="743"/>
      <c r="BC543" s="602"/>
      <c r="BD543" s="751"/>
      <c r="BE543" s="751"/>
      <c r="BF543" s="751"/>
      <c r="BG543" s="751"/>
      <c r="BH543" s="751"/>
      <c r="BI543" s="751"/>
      <c r="BJ543" s="751"/>
    </row>
    <row r="544" spans="1:62" ht="12.75" hidden="1" customHeight="1" outlineLevel="1" x14ac:dyDescent="0.2">
      <c r="B544" s="200"/>
      <c r="C544" s="201"/>
      <c r="D544" s="262"/>
      <c r="E544" s="265"/>
      <c r="F544" s="462"/>
      <c r="G544" s="201"/>
      <c r="H544" s="201"/>
      <c r="I544" s="222"/>
      <c r="X544" s="200"/>
      <c r="Y544" s="201"/>
      <c r="Z544" s="222"/>
      <c r="AF544" s="200"/>
      <c r="AG544" s="1370"/>
      <c r="AH544" s="201"/>
      <c r="AI544" s="222"/>
      <c r="AS544" s="717"/>
      <c r="AT544" s="718"/>
      <c r="AU544" s="718"/>
      <c r="AV544" s="718"/>
      <c r="AW544" s="720"/>
      <c r="AX544" s="749"/>
      <c r="AY544" s="605"/>
      <c r="AZ544" s="605"/>
      <c r="BA544" s="605"/>
    </row>
    <row r="545" spans="1:63" s="42" customFormat="1" ht="12.75" hidden="1" customHeight="1" outlineLevel="1" x14ac:dyDescent="0.2">
      <c r="A545" s="40"/>
      <c r="B545" s="253" t="s">
        <v>2828</v>
      </c>
      <c r="C545" s="254"/>
      <c r="D545" s="264">
        <f>SUM(D541:D544)</f>
        <v>0</v>
      </c>
      <c r="E545" s="267">
        <f>SUM(E541:E544)</f>
        <v>0</v>
      </c>
      <c r="F545" s="255"/>
      <c r="G545" s="254"/>
      <c r="H545" s="254"/>
      <c r="I545" s="257">
        <f>SUM(I541:I544)</f>
        <v>0</v>
      </c>
      <c r="J545" s="40"/>
      <c r="K545" s="40"/>
      <c r="L545" s="40"/>
      <c r="M545" s="40"/>
      <c r="N545" s="40"/>
      <c r="O545" s="40"/>
      <c r="P545" s="40"/>
      <c r="Q545" s="40"/>
      <c r="R545" s="40"/>
      <c r="S545" s="40"/>
      <c r="T545" s="40"/>
      <c r="U545" s="40"/>
      <c r="V545" s="40"/>
      <c r="W545" s="40"/>
      <c r="X545" s="258"/>
      <c r="Y545" s="256"/>
      <c r="Z545" s="257">
        <f>SQRT(SUMSQ(Z541:Z544))</f>
        <v>0</v>
      </c>
      <c r="AA545" s="40"/>
      <c r="AB545" s="40"/>
      <c r="AC545" s="40"/>
      <c r="AD545" s="40"/>
      <c r="AE545" s="40"/>
      <c r="AF545" s="258"/>
      <c r="AG545" s="259">
        <f>SUM(AG541:AG544)</f>
        <v>0</v>
      </c>
      <c r="AH545" s="256"/>
      <c r="AI545" s="257">
        <f>SUM(AI541:AI544)</f>
        <v>0</v>
      </c>
      <c r="AJ545" s="40"/>
      <c r="AK545" s="40"/>
      <c r="AL545" s="40"/>
      <c r="AM545" s="40"/>
      <c r="AN545" s="40"/>
      <c r="AO545" s="40"/>
      <c r="AP545" s="40"/>
      <c r="AQ545" s="40"/>
      <c r="AR545" s="40"/>
      <c r="AS545" s="724">
        <f t="shared" ref="AS545:AX545" si="210">SUM(AS541:AS544)</f>
        <v>0</v>
      </c>
      <c r="AT545" s="725">
        <f t="shared" si="210"/>
        <v>0</v>
      </c>
      <c r="AU545" s="725">
        <f t="shared" si="210"/>
        <v>0</v>
      </c>
      <c r="AV545" s="725">
        <f t="shared" si="210"/>
        <v>0</v>
      </c>
      <c r="AW545" s="727">
        <f t="shared" si="210"/>
        <v>0</v>
      </c>
      <c r="AX545" s="750">
        <f t="shared" si="210"/>
        <v>0</v>
      </c>
      <c r="AY545" s="602"/>
      <c r="AZ545" s="602"/>
      <c r="BA545" s="602"/>
      <c r="BB545" s="602"/>
      <c r="BC545" s="602"/>
      <c r="BD545" s="605"/>
      <c r="BE545" s="605"/>
      <c r="BF545" s="605"/>
      <c r="BG545" s="605"/>
      <c r="BH545" s="605"/>
      <c r="BI545" s="605"/>
      <c r="BJ545" s="605"/>
    </row>
    <row r="546" spans="1:63" ht="15" hidden="1" customHeight="1" outlineLevel="1" x14ac:dyDescent="0.2">
      <c r="AR546" s="191"/>
      <c r="BE546" s="743"/>
    </row>
    <row r="547" spans="1:63" s="42" customFormat="1" collapsed="1" x14ac:dyDescent="0.2">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c r="AL547" s="40"/>
      <c r="AM547" s="40"/>
      <c r="AN547" s="40"/>
      <c r="AO547" s="40"/>
      <c r="AP547" s="40"/>
      <c r="AQ547" s="40"/>
      <c r="AR547" s="40"/>
      <c r="AS547" s="602"/>
      <c r="AT547" s="602"/>
      <c r="AU547" s="602"/>
      <c r="AV547" s="602"/>
      <c r="AW547" s="602"/>
      <c r="AX547" s="602"/>
      <c r="AY547" s="602"/>
      <c r="AZ547" s="602"/>
      <c r="BA547" s="602"/>
      <c r="BB547" s="602"/>
      <c r="BC547" s="605"/>
      <c r="BD547" s="602"/>
      <c r="BE547" s="743"/>
      <c r="BF547" s="743"/>
      <c r="BG547" s="743"/>
      <c r="BH547" s="743"/>
      <c r="BI547" s="743"/>
      <c r="BJ547" s="743"/>
      <c r="BK547" s="32"/>
    </row>
    <row r="548" spans="1:63" s="32" customFormat="1" ht="15.75" customHeight="1" collapsed="1" x14ac:dyDescent="0.2">
      <c r="A548" s="40"/>
      <c r="B548" s="1795" t="s">
        <v>2918</v>
      </c>
      <c r="C548" s="1795"/>
      <c r="D548" s="1795"/>
      <c r="E548" s="1795"/>
      <c r="F548" s="1795"/>
      <c r="G548" s="1795"/>
      <c r="H548" s="1795"/>
      <c r="I548" s="1795"/>
      <c r="J548" s="1795"/>
      <c r="K548" s="1795"/>
      <c r="L548" s="1795"/>
      <c r="M548" s="1795"/>
      <c r="N548" s="1795"/>
      <c r="O548" s="1795"/>
      <c r="P548" s="191"/>
      <c r="Q548" s="191"/>
      <c r="R548" s="191"/>
      <c r="S548" s="191"/>
      <c r="T548" s="191"/>
      <c r="U548" s="191"/>
      <c r="V548" s="191"/>
      <c r="W548" s="191"/>
      <c r="X548" s="191"/>
      <c r="Y548" s="191"/>
      <c r="Z548" s="191"/>
      <c r="AA548" s="191"/>
      <c r="AB548" s="191"/>
      <c r="AC548" s="191"/>
      <c r="AD548" s="191"/>
      <c r="AE548" s="191"/>
      <c r="AF548" s="191"/>
      <c r="AG548" s="191"/>
      <c r="AH548" s="191"/>
      <c r="AI548" s="191"/>
      <c r="AJ548" s="191"/>
      <c r="AK548" s="191"/>
      <c r="AL548" s="191"/>
      <c r="AM548" s="191"/>
      <c r="AN548" s="191"/>
      <c r="AO548" s="191"/>
      <c r="AP548" s="191"/>
      <c r="AQ548" s="191"/>
      <c r="AR548" s="42"/>
      <c r="AS548" s="602"/>
      <c r="AT548" s="602"/>
      <c r="AU548" s="602"/>
      <c r="AV548" s="602"/>
      <c r="AW548" s="602"/>
      <c r="AX548" s="602"/>
      <c r="AY548" s="602"/>
      <c r="AZ548" s="602"/>
      <c r="BA548" s="602"/>
      <c r="BB548" s="602"/>
      <c r="BC548" s="605"/>
      <c r="BD548" s="602"/>
      <c r="BE548" s="743"/>
      <c r="BF548" s="743"/>
      <c r="BG548" s="743"/>
      <c r="BH548" s="743"/>
      <c r="BI548" s="743"/>
      <c r="BJ548" s="743"/>
    </row>
    <row r="549" spans="1:63" ht="12.75" hidden="1" customHeight="1" outlineLevel="1" x14ac:dyDescent="0.2">
      <c r="D549" s="316"/>
      <c r="E549" s="316"/>
      <c r="F549" s="316"/>
      <c r="G549" s="316"/>
      <c r="H549" s="316"/>
      <c r="I549" s="316"/>
      <c r="J549" s="316"/>
      <c r="K549" s="316"/>
      <c r="T549" s="42"/>
      <c r="AS549" s="743"/>
      <c r="AT549" s="743"/>
      <c r="AU549" s="743"/>
      <c r="AV549" s="743"/>
      <c r="AW549" s="743"/>
      <c r="AX549" s="743"/>
      <c r="AY549" s="743"/>
      <c r="AZ549" s="743"/>
      <c r="BA549" s="743"/>
      <c r="BB549" s="743"/>
    </row>
    <row r="550" spans="1:63" ht="12.75" hidden="1" customHeight="1" outlineLevel="1" x14ac:dyDescent="0.2">
      <c r="B550" s="195" t="s">
        <v>2919</v>
      </c>
      <c r="C550" s="196"/>
      <c r="D550" s="196"/>
      <c r="E550" s="196"/>
      <c r="F550" s="1364"/>
      <c r="G550" s="198"/>
      <c r="H550" s="198"/>
      <c r="I550" s="198"/>
      <c r="J550" s="198"/>
      <c r="K550" s="198"/>
      <c r="L550" s="198"/>
      <c r="M550" s="198"/>
      <c r="N550" s="198"/>
      <c r="O550" s="198"/>
      <c r="P550" s="198"/>
      <c r="Q550" s="198"/>
      <c r="R550" s="198"/>
      <c r="S550" s="198"/>
      <c r="T550" s="199"/>
      <c r="U550" s="42"/>
      <c r="V550" s="42"/>
      <c r="W550" s="42"/>
      <c r="X550" s="1746" t="s">
        <v>723</v>
      </c>
      <c r="Y550" s="1747"/>
      <c r="Z550" s="1747"/>
      <c r="AA550" s="1747"/>
      <c r="AB550" s="1748"/>
      <c r="AC550" s="32"/>
      <c r="AD550" s="42"/>
      <c r="AE550" s="42"/>
      <c r="AF550" s="1746" t="s">
        <v>2066</v>
      </c>
      <c r="AG550" s="1747"/>
      <c r="AH550" s="1747"/>
      <c r="AI550" s="1747"/>
      <c r="AJ550" s="1747"/>
      <c r="AK550" s="1747"/>
      <c r="AL550" s="1747"/>
      <c r="AM550" s="1748"/>
      <c r="AN550" s="42"/>
      <c r="AO550" s="42"/>
      <c r="AP550" s="42"/>
      <c r="AQ550" s="42"/>
      <c r="AR550" s="32"/>
      <c r="AS550" s="1755" t="s">
        <v>2073</v>
      </c>
      <c r="AT550" s="1756"/>
      <c r="AU550" s="1756"/>
      <c r="AV550" s="1756"/>
      <c r="AW550" s="1756"/>
      <c r="AX550" s="1756"/>
      <c r="AY550" s="1756"/>
      <c r="AZ550" s="1756"/>
      <c r="BA550" s="1756"/>
      <c r="BB550" s="1756"/>
      <c r="BC550" s="1756"/>
      <c r="BD550" s="1757"/>
    </row>
    <row r="551" spans="1:63" ht="12.75" hidden="1" customHeight="1" outlineLevel="1" x14ac:dyDescent="0.2">
      <c r="B551" s="200"/>
      <c r="C551" s="201"/>
      <c r="D551" s="705"/>
      <c r="E551" s="705"/>
      <c r="F551" s="201"/>
      <c r="G551" s="201"/>
      <c r="H551" s="1370"/>
      <c r="I551" s="1370"/>
      <c r="J551" s="201"/>
      <c r="K551" s="201"/>
      <c r="L551" s="201"/>
      <c r="M551" s="201"/>
      <c r="N551" s="201"/>
      <c r="O551" s="201"/>
      <c r="P551" s="201"/>
      <c r="Q551" s="201"/>
      <c r="R551" s="201"/>
      <c r="S551" s="201"/>
      <c r="T551" s="203"/>
      <c r="U551" s="42"/>
      <c r="X551" s="216"/>
      <c r="Y551" s="217"/>
      <c r="Z551" s="217"/>
      <c r="AA551" s="217"/>
      <c r="AB551" s="218"/>
      <c r="AC551" s="32"/>
      <c r="AF551" s="216"/>
      <c r="AG551" s="217"/>
      <c r="AH551" s="217"/>
      <c r="AI551" s="217"/>
      <c r="AJ551" s="217"/>
      <c r="AK551" s="217"/>
      <c r="AL551" s="198"/>
      <c r="AM551" s="199"/>
      <c r="AR551" s="32"/>
      <c r="AS551" s="1758" t="s">
        <v>61</v>
      </c>
      <c r="AT551" s="1759"/>
      <c r="AU551" s="1759"/>
      <c r="AV551" s="1759"/>
      <c r="AW551" s="1759"/>
      <c r="AX551" s="1759"/>
      <c r="AY551" s="1759"/>
      <c r="AZ551" s="1759"/>
      <c r="BA551" s="1759" t="s">
        <v>61</v>
      </c>
      <c r="BB551" s="1760"/>
      <c r="BC551" s="730"/>
      <c r="BD551" s="731"/>
    </row>
    <row r="552" spans="1:63" ht="12.75" hidden="1" customHeight="1" outlineLevel="1" x14ac:dyDescent="0.2">
      <c r="B552" s="1369" t="s">
        <v>2906</v>
      </c>
      <c r="C552" s="1370"/>
      <c r="D552" s="1370" t="s">
        <v>56</v>
      </c>
      <c r="E552" s="1370" t="s">
        <v>56</v>
      </c>
      <c r="F552" s="205" t="s">
        <v>2634</v>
      </c>
      <c r="G552" s="205" t="s">
        <v>2053</v>
      </c>
      <c r="H552" s="1745" t="s">
        <v>767</v>
      </c>
      <c r="I552" s="1745"/>
      <c r="J552" s="205" t="s">
        <v>2053</v>
      </c>
      <c r="K552" s="1745" t="s">
        <v>769</v>
      </c>
      <c r="L552" s="1745"/>
      <c r="M552" s="205" t="s">
        <v>2053</v>
      </c>
      <c r="N552" s="1745" t="s">
        <v>771</v>
      </c>
      <c r="O552" s="1745"/>
      <c r="P552" s="205" t="s">
        <v>2053</v>
      </c>
      <c r="Q552" s="1744" t="s">
        <v>770</v>
      </c>
      <c r="R552" s="1745"/>
      <c r="S552" s="705" t="s">
        <v>61</v>
      </c>
      <c r="T552" s="711" t="s">
        <v>61</v>
      </c>
      <c r="U552" s="42"/>
      <c r="V552" s="32"/>
      <c r="W552" s="32"/>
      <c r="X552" s="1630" t="s">
        <v>2605</v>
      </c>
      <c r="Y552" s="1370" t="s">
        <v>2110</v>
      </c>
      <c r="Z552" s="1370" t="s">
        <v>61</v>
      </c>
      <c r="AA552" s="1370" t="s">
        <v>61</v>
      </c>
      <c r="AB552" s="711" t="s">
        <v>61</v>
      </c>
      <c r="AC552" s="32"/>
      <c r="AD552" s="32"/>
      <c r="AE552" s="32"/>
      <c r="AF552" s="1369" t="s">
        <v>2065</v>
      </c>
      <c r="AG552" s="1370" t="s">
        <v>61</v>
      </c>
      <c r="AH552" s="1370" t="s">
        <v>61</v>
      </c>
      <c r="AI552" s="705" t="s">
        <v>61</v>
      </c>
      <c r="AJ552" s="1370" t="s">
        <v>2558</v>
      </c>
      <c r="AK552" s="1370" t="s">
        <v>61</v>
      </c>
      <c r="AL552" s="1370" t="s">
        <v>61</v>
      </c>
      <c r="AM552" s="711" t="s">
        <v>61</v>
      </c>
      <c r="AN552" s="32"/>
      <c r="AO552" s="32"/>
      <c r="AP552" s="32"/>
      <c r="AQ552" s="32"/>
      <c r="AS552" s="1764" t="s">
        <v>14</v>
      </c>
      <c r="AT552" s="1761"/>
      <c r="AU552" s="1761" t="s">
        <v>60</v>
      </c>
      <c r="AV552" s="1761"/>
      <c r="AW552" s="1761" t="s">
        <v>27</v>
      </c>
      <c r="AX552" s="1761"/>
      <c r="AY552" s="1761" t="s">
        <v>2074</v>
      </c>
      <c r="AZ552" s="1761"/>
      <c r="BA552" s="1762" t="s">
        <v>41</v>
      </c>
      <c r="BB552" s="1763"/>
      <c r="BC552" s="1764" t="s">
        <v>85</v>
      </c>
      <c r="BD552" s="1765"/>
    </row>
    <row r="553" spans="1:63" ht="12.75" hidden="1" customHeight="1" outlineLevel="1" x14ac:dyDescent="0.2">
      <c r="B553" s="1369"/>
      <c r="C553" s="1370"/>
      <c r="D553" s="1370" t="s">
        <v>61</v>
      </c>
      <c r="E553" s="1370" t="s">
        <v>63</v>
      </c>
      <c r="F553" s="1623" t="s">
        <v>2054</v>
      </c>
      <c r="G553" s="208" t="s">
        <v>34</v>
      </c>
      <c r="H553" s="1377" t="s">
        <v>768</v>
      </c>
      <c r="I553" s="1377" t="s">
        <v>24</v>
      </c>
      <c r="J553" s="208" t="s">
        <v>2061</v>
      </c>
      <c r="K553" s="1377" t="s">
        <v>768</v>
      </c>
      <c r="L553" s="1377" t="s">
        <v>24</v>
      </c>
      <c r="M553" s="212" t="s">
        <v>2059</v>
      </c>
      <c r="N553" s="1377" t="s">
        <v>768</v>
      </c>
      <c r="O553" s="1377" t="s">
        <v>24</v>
      </c>
      <c r="P553" s="212" t="s">
        <v>15</v>
      </c>
      <c r="Q553" s="1377" t="s">
        <v>768</v>
      </c>
      <c r="R553" s="1377" t="s">
        <v>24</v>
      </c>
      <c r="S553" s="1376" t="s">
        <v>768</v>
      </c>
      <c r="T553" s="274" t="s">
        <v>24</v>
      </c>
      <c r="U553" s="42"/>
      <c r="V553" s="32"/>
      <c r="W553" s="32"/>
      <c r="X553" s="1630" t="s">
        <v>2109</v>
      </c>
      <c r="Y553" s="1370"/>
      <c r="Z553" s="1377" t="s">
        <v>768</v>
      </c>
      <c r="AA553" s="1377" t="s">
        <v>24</v>
      </c>
      <c r="AB553" s="219" t="s">
        <v>41</v>
      </c>
      <c r="AC553" s="32"/>
      <c r="AD553" s="32"/>
      <c r="AE553" s="32"/>
      <c r="AF553" s="1369"/>
      <c r="AG553" s="1377" t="s">
        <v>768</v>
      </c>
      <c r="AH553" s="1377" t="s">
        <v>24</v>
      </c>
      <c r="AI553" s="223" t="s">
        <v>41</v>
      </c>
      <c r="AJ553" s="1370"/>
      <c r="AK553" s="1377" t="s">
        <v>768</v>
      </c>
      <c r="AL553" s="1377" t="s">
        <v>24</v>
      </c>
      <c r="AM553" s="219" t="s">
        <v>41</v>
      </c>
      <c r="AN553" s="32"/>
      <c r="AO553" s="32"/>
      <c r="AP553" s="32"/>
      <c r="AQ553" s="32"/>
      <c r="AS553" s="732" t="s">
        <v>768</v>
      </c>
      <c r="AT553" s="733" t="s">
        <v>24</v>
      </c>
      <c r="AU553" s="733" t="s">
        <v>768</v>
      </c>
      <c r="AV553" s="733" t="s">
        <v>24</v>
      </c>
      <c r="AW553" s="733" t="s">
        <v>768</v>
      </c>
      <c r="AX553" s="733" t="s">
        <v>24</v>
      </c>
      <c r="AY553" s="733" t="s">
        <v>768</v>
      </c>
      <c r="AZ553" s="733" t="s">
        <v>24</v>
      </c>
      <c r="BA553" s="734" t="s">
        <v>768</v>
      </c>
      <c r="BB553" s="735" t="s">
        <v>24</v>
      </c>
      <c r="BC553" s="732" t="s">
        <v>768</v>
      </c>
      <c r="BD553" s="736" t="s">
        <v>24</v>
      </c>
    </row>
    <row r="554" spans="1:63" ht="12.75" hidden="1" customHeight="1" outlineLevel="1" x14ac:dyDescent="0.2">
      <c r="B554" s="200" t="s">
        <v>801</v>
      </c>
      <c r="C554" s="201"/>
      <c r="D554" s="262">
        <f>S554+T554</f>
        <v>0</v>
      </c>
      <c r="E554" s="265">
        <f>D554*12/44</f>
        <v>0</v>
      </c>
      <c r="F554" s="182"/>
      <c r="G554" s="182"/>
      <c r="H554" s="271">
        <f>VLOOKUP($B554,'Emissions factors'!$B$84:$K$147,2,FALSE)</f>
        <v>503.1</v>
      </c>
      <c r="I554" s="271">
        <f>VLOOKUP($B554,'Emissions factors'!$B$84:$K$147,3,FALSE)</f>
        <v>3111</v>
      </c>
      <c r="J554" s="182"/>
      <c r="K554" s="277">
        <f>VLOOKUP($B554,'Emissions factors'!$B$84:$K$147,4,FALSE)</f>
        <v>4.5280000000000001E-2</v>
      </c>
      <c r="L554" s="277">
        <f>VLOOKUP($B554,'Emissions factors'!$B$84:$K$147,5,FALSE)</f>
        <v>0.27980500000000003</v>
      </c>
      <c r="M554" s="182"/>
      <c r="N554" s="271">
        <f>VLOOKUP($B554,'Emissions factors'!$B$84:$K$147,6,FALSE)</f>
        <v>528.4</v>
      </c>
      <c r="O554" s="271">
        <f>VLOOKUP($B554,'Emissions factors'!$B$84:$K$147,7,FALSE)</f>
        <v>3271.08</v>
      </c>
      <c r="P554" s="182"/>
      <c r="Q554" s="277">
        <f>VLOOKUP($B554,'Emissions factors'!$B$84:$K$147,8,FALSE)</f>
        <v>0.45279999999999998</v>
      </c>
      <c r="R554" s="277">
        <f>VLOOKUP($B554,'Emissions factors'!$B$84:$K$147,9,FALSE)</f>
        <v>2.7980499999999999</v>
      </c>
      <c r="S554" s="210">
        <f>G554*H554+J554*K554+M554*N554+P554*Q554</f>
        <v>0</v>
      </c>
      <c r="T554" s="211">
        <f>G554*I554+J554*L554+M554*O554+P554*R554</f>
        <v>0</v>
      </c>
      <c r="U554" s="42"/>
      <c r="X554" s="282">
        <f>VLOOKUP($B554,'Emissions factors'!$B$84:$K$147,10,FALSE)</f>
        <v>0.05</v>
      </c>
      <c r="Y554" s="184"/>
      <c r="Z554" s="221">
        <f>S554*SQRT(X554^2+Y554^2)</f>
        <v>0</v>
      </c>
      <c r="AA554" s="221">
        <f>T554*SQRT(X554^2+Y554^2)</f>
        <v>0</v>
      </c>
      <c r="AB554" s="211">
        <f>SQRT(Z554^2+AA554^2)</f>
        <v>0</v>
      </c>
      <c r="AF554" s="184"/>
      <c r="AG554" s="221">
        <f>S554*AF554</f>
        <v>0</v>
      </c>
      <c r="AH554" s="224">
        <f>T554*AF554</f>
        <v>0</v>
      </c>
      <c r="AI554" s="210">
        <f>AG554+AH554</f>
        <v>0</v>
      </c>
      <c r="AJ554" s="184"/>
      <c r="AK554" s="221">
        <f>S554*AJ554</f>
        <v>0</v>
      </c>
      <c r="AL554" s="224">
        <f>T554*AJ554</f>
        <v>0</v>
      </c>
      <c r="AM554" s="211">
        <f>AK554+AL554</f>
        <v>0</v>
      </c>
      <c r="AS554" s="717">
        <f>G554*VLOOKUP($B554,'Emissions factors'!$B$84:$AQ$147,11,FALSE)+J554*VLOOKUP($B554,'Emissions factors'!$B$84:$AQ$147,13,FALSE)+M554*VLOOKUP($B554,'Emissions factors'!$B$84:$AQ$147,15,FALSE)+P554*VLOOKUP($B554,'Emissions factors'!$B$84:$AQ$147,17,FALSE)</f>
        <v>0</v>
      </c>
      <c r="AT554" s="718">
        <f>G554*VLOOKUP($B554,'Emissions factors'!$B$84:$AQ$147,12,FALSE)+J554*VLOOKUP($B554,'Emissions factors'!$B$84:$AQ$147,14,FALSE)+M554*VLOOKUP($B554,'Emissions factors'!$B$84:$AQ$147,16,FALSE)+P554*VLOOKUP($B554,'Emissions factors'!$B$84:$AQ$147,18,FALSE)</f>
        <v>0</v>
      </c>
      <c r="AU554" s="718">
        <f>G554*VLOOKUP($B554,'Emissions factors'!$B$84:$AQ$147,19,FALSE)+J554*VLOOKUP($B554,'Emissions factors'!$B$84:$AQ$147,21,FALSE)+M554*VLOOKUP($B554,'Emissions factors'!$B$84:$AQ$147,23,FALSE)+P554*VLOOKUP($B554,'Emissions factors'!$B$84:$AQ$147,25,FALSE)</f>
        <v>0</v>
      </c>
      <c r="AV554" s="718">
        <f>G554*VLOOKUP($B554,'Emissions factors'!$B$84:$AQ$147,20,FALSE)+J554*VLOOKUP($B554,'Emissions factors'!$B$84:$AQ$147,22,FALSE)+M554*VLOOKUP($B554,'Emissions factors'!$B$84:$AQ$147,24,FALSE)+P554*VLOOKUP($B554,'Emissions factors'!$B$84:$AQ$147,26,FALSE)</f>
        <v>0</v>
      </c>
      <c r="AW554" s="718">
        <f>G554*VLOOKUP($B554,'Emissions factors'!$B$84:$AQ$147,27,FALSE)+J554*VLOOKUP($B554,'Emissions factors'!$B$84:$AQ$147,29,FALSE)+M554*VLOOKUP($B554,'Emissions factors'!$B$84:$AQ$147,31,FALSE)+P554*VLOOKUP($B554,'Emissions factors'!$B$84:$AQ$147,33,FALSE)</f>
        <v>0</v>
      </c>
      <c r="AX554" s="718">
        <f>G554*VLOOKUP($B554,'Emissions factors'!$B$84:$AQ$147,28,FALSE)+J554*VLOOKUP($B554,'Emissions factors'!$B$84:$AQ$147,30,FALSE)+M554*VLOOKUP($B554,'Emissions factors'!$B$84:$AQ$147,32,FALSE)+P554*VLOOKUP($B554,'Emissions factors'!$B$84:$AQ$147,34,FALSE)</f>
        <v>0</v>
      </c>
      <c r="AY554" s="718">
        <v>0</v>
      </c>
      <c r="AZ554" s="718">
        <v>0</v>
      </c>
      <c r="BA554" s="719">
        <f t="shared" ref="BA554:BB556" si="211">S554</f>
        <v>0</v>
      </c>
      <c r="BB554" s="720">
        <f t="shared" si="211"/>
        <v>0</v>
      </c>
      <c r="BC554" s="718">
        <f>G554*VLOOKUP($B554,'Emissions factors'!$B$84:$AQ$147,35,FALSE)+J554*VLOOKUP($B554,'Emissions factors'!$B$84:$AQ$147,37,FALSE)+M554*VLOOKUP($B554,'Emissions factors'!$B$84:$AQ$147,39,FALSE)+P554*VLOOKUP($B554,'Emissions factors'!$B$84:$AQ$147,41,FALSE)</f>
        <v>0</v>
      </c>
      <c r="BD554" s="721">
        <f>G554*VLOOKUP($B554,'Emissions factors'!$B$84:$AQ$147,36,FALSE)+J554*VLOOKUP($B554,'Emissions factors'!$B$84:$AQ$147,38,FALSE)+M554*VLOOKUP($B554,'Emissions factors'!$B$84:$AQ$147,40,FALSE)+P554*VLOOKUP($B554,'Emissions factors'!$B$84:$AQ$147,42,FALSE)</f>
        <v>0</v>
      </c>
    </row>
    <row r="555" spans="1:63" ht="12.75" hidden="1" customHeight="1" outlineLevel="1" x14ac:dyDescent="0.2">
      <c r="B555" s="200" t="s">
        <v>809</v>
      </c>
      <c r="C555" s="201"/>
      <c r="D555" s="262">
        <f>S555+T555</f>
        <v>0</v>
      </c>
      <c r="E555" s="265">
        <f>D555*12/44</f>
        <v>0</v>
      </c>
      <c r="F555" s="185"/>
      <c r="G555" s="185"/>
      <c r="H555" s="271">
        <f>VLOOKUP($B555,'Emissions factors'!$B$84:$K$147,2,FALSE)</f>
        <v>503.1</v>
      </c>
      <c r="I555" s="271">
        <f>VLOOKUP($B555,'Emissions factors'!$B$84:$K$147,3,FALSE)</f>
        <v>3141</v>
      </c>
      <c r="J555" s="185"/>
      <c r="K555" s="277">
        <f>VLOOKUP($B555,'Emissions factors'!$B$84:$K$147,4,FALSE)</f>
        <v>4.4000000000000004E-2</v>
      </c>
      <c r="L555" s="277">
        <f>VLOOKUP($B555,'Emissions factors'!$B$84:$K$147,5,FALSE)</f>
        <v>0.28288600000000003</v>
      </c>
      <c r="M555" s="185"/>
      <c r="N555" s="271">
        <f>VLOOKUP($B555,'Emissions factors'!$B$84:$K$147,6,FALSE)</f>
        <v>528.5</v>
      </c>
      <c r="O555" s="271">
        <f>VLOOKUP($B555,'Emissions factors'!$B$84:$K$147,7,FALSE)</f>
        <v>3302.02</v>
      </c>
      <c r="P555" s="185"/>
      <c r="Q555" s="277">
        <f>VLOOKUP($B555,'Emissions factors'!$B$84:$K$147,8,FALSE)</f>
        <v>0.45289999999999997</v>
      </c>
      <c r="R555" s="277">
        <f>VLOOKUP($B555,'Emissions factors'!$B$84:$K$147,9,FALSE)</f>
        <v>2.48</v>
      </c>
      <c r="S555" s="210">
        <f>G555*H555+J555*K555+M555*N555+P555*Q555</f>
        <v>0</v>
      </c>
      <c r="T555" s="211">
        <f>G555*I555+J555*L555+M555*O555+P555*R555</f>
        <v>0</v>
      </c>
      <c r="U555" s="42"/>
      <c r="X555" s="282">
        <f>VLOOKUP($B555,'Emissions factors'!$B$84:$K$147,10,FALSE)</f>
        <v>0.05</v>
      </c>
      <c r="Y555" s="187"/>
      <c r="Z555" s="221">
        <f>S555*SQRT(X555^2+Y555^2)</f>
        <v>0</v>
      </c>
      <c r="AA555" s="221">
        <f>T555*SQRT(X555^2+Y555^2)</f>
        <v>0</v>
      </c>
      <c r="AB555" s="211">
        <f>SQRT(Z555^2+AA555^2)</f>
        <v>0</v>
      </c>
      <c r="AF555" s="187"/>
      <c r="AG555" s="221">
        <f>S555*AF555</f>
        <v>0</v>
      </c>
      <c r="AH555" s="224">
        <f>T555*AF555</f>
        <v>0</v>
      </c>
      <c r="AI555" s="210">
        <f>AG555+AH555</f>
        <v>0</v>
      </c>
      <c r="AJ555" s="187"/>
      <c r="AK555" s="221">
        <f>S555*AJ555</f>
        <v>0</v>
      </c>
      <c r="AL555" s="224">
        <f>T555*AJ555</f>
        <v>0</v>
      </c>
      <c r="AM555" s="211">
        <f>AK555+AL555</f>
        <v>0</v>
      </c>
      <c r="AS555" s="717">
        <f>G555*VLOOKUP($B555,'Emissions factors'!$B$84:$AQ$147,11,FALSE)+J555*VLOOKUP($B555,'Emissions factors'!$B$84:$AQ$147,13,FALSE)+M555*VLOOKUP($B555,'Emissions factors'!$B$84:$AQ$147,15,FALSE)+P555*VLOOKUP($B555,'Emissions factors'!$B$84:$AQ$147,17,FALSE)</f>
        <v>0</v>
      </c>
      <c r="AT555" s="718">
        <f>G555*VLOOKUP($B555,'Emissions factors'!$B$84:$AQ$147,12,FALSE)+J555*VLOOKUP($B555,'Emissions factors'!$B$84:$AQ$147,14,FALSE)+M555*VLOOKUP($B555,'Emissions factors'!$B$84:$AQ$147,16,FALSE)+P555*VLOOKUP($B555,'Emissions factors'!$B$84:$AQ$147,18,FALSE)</f>
        <v>0</v>
      </c>
      <c r="AU555" s="718">
        <f>G555*VLOOKUP($B555,'Emissions factors'!$B$84:$AQ$147,19,FALSE)+J555*VLOOKUP($B555,'Emissions factors'!$B$84:$AQ$147,21,FALSE)+M555*VLOOKUP($B555,'Emissions factors'!$B$84:$AQ$147,23,FALSE)+P555*VLOOKUP($B555,'Emissions factors'!$B$84:$AQ$147,25,FALSE)</f>
        <v>0</v>
      </c>
      <c r="AV555" s="718">
        <f>G555*VLOOKUP($B555,'Emissions factors'!$B$84:$AQ$147,20,FALSE)+J555*VLOOKUP($B555,'Emissions factors'!$B$84:$AQ$147,22,FALSE)+M555*VLOOKUP($B555,'Emissions factors'!$B$84:$AQ$147,24,FALSE)+P555*VLOOKUP($B555,'Emissions factors'!$B$84:$AQ$147,26,FALSE)</f>
        <v>0</v>
      </c>
      <c r="AW555" s="718">
        <f>G555*VLOOKUP($B555,'Emissions factors'!$B$84:$AQ$147,27,FALSE)+J555*VLOOKUP($B555,'Emissions factors'!$B$84:$AQ$147,29,FALSE)+M555*VLOOKUP($B555,'Emissions factors'!$B$84:$AQ$147,31,FALSE)+P555*VLOOKUP($B555,'Emissions factors'!$B$84:$AQ$147,33,FALSE)</f>
        <v>0</v>
      </c>
      <c r="AX555" s="718">
        <f>G555*VLOOKUP($B555,'Emissions factors'!$B$84:$AQ$147,28,FALSE)+J555*VLOOKUP($B555,'Emissions factors'!$B$84:$AQ$147,30,FALSE)+M555*VLOOKUP($B555,'Emissions factors'!$B$84:$AQ$147,32,FALSE)+P555*VLOOKUP($B555,'Emissions factors'!$B$84:$AQ$147,34,FALSE)</f>
        <v>0</v>
      </c>
      <c r="AY555" s="718">
        <v>0</v>
      </c>
      <c r="AZ555" s="718">
        <v>0</v>
      </c>
      <c r="BA555" s="719">
        <f t="shared" si="211"/>
        <v>0</v>
      </c>
      <c r="BB555" s="720">
        <f t="shared" si="211"/>
        <v>0</v>
      </c>
      <c r="BC555" s="718">
        <f>G555*VLOOKUP($B555,'Emissions factors'!$B$84:$AQ$147,35,FALSE)+J555*VLOOKUP($B555,'Emissions factors'!$B$84:$AQ$147,37,FALSE)+M555*VLOOKUP($B555,'Emissions factors'!$B$84:$AQ$147,39,FALSE)+P555*VLOOKUP($B555,'Emissions factors'!$B$84:$AQ$147,41,FALSE)</f>
        <v>0</v>
      </c>
      <c r="BD555" s="721">
        <f>G555*VLOOKUP($B555,'Emissions factors'!$B$84:$AQ$147,36,FALSE)+J555*VLOOKUP($B555,'Emissions factors'!$B$84:$AQ$147,38,FALSE)+M555*VLOOKUP($B555,'Emissions factors'!$B$84:$AQ$147,40,FALSE)+P555*VLOOKUP($B555,'Emissions factors'!$B$84:$AQ$147,42,FALSE)</f>
        <v>0</v>
      </c>
    </row>
    <row r="556" spans="1:63" ht="12.75" hidden="1" customHeight="1" outlineLevel="1" x14ac:dyDescent="0.2">
      <c r="B556" s="200" t="s">
        <v>815</v>
      </c>
      <c r="C556" s="201"/>
      <c r="D556" s="262">
        <f>S556+T556</f>
        <v>0</v>
      </c>
      <c r="E556" s="265">
        <f>D556*12/44</f>
        <v>0</v>
      </c>
      <c r="F556" s="188"/>
      <c r="G556" s="188"/>
      <c r="H556" s="271">
        <f>VLOOKUP($B556,'Emissions factors'!$B$84:$K$147,2,FALSE)</f>
        <v>676.2</v>
      </c>
      <c r="I556" s="271">
        <f>VLOOKUP($B556,'Emissions factors'!$B$84:$K$147,3,FALSE)</f>
        <v>3169.22</v>
      </c>
      <c r="J556" s="188"/>
      <c r="K556" s="277">
        <f>VLOOKUP($B556,'Emissions factors'!$B$84:$K$147,4,FALSE)</f>
        <v>5.8999999999999997E-2</v>
      </c>
      <c r="L556" s="277">
        <f>VLOOKUP($B556,'Emissions factors'!$B$84:$K$147,5,FALSE)</f>
        <v>0.271646</v>
      </c>
      <c r="M556" s="188"/>
      <c r="N556" s="271">
        <f>VLOOKUP($B556,'Emissions factors'!$B$84:$K$147,6,FALSE)</f>
        <v>676.2</v>
      </c>
      <c r="O556" s="271">
        <f>VLOOKUP($B556,'Emissions factors'!$B$84:$K$147,7,FALSE)</f>
        <v>3169.22</v>
      </c>
      <c r="P556" s="188"/>
      <c r="Q556" s="277">
        <f>VLOOKUP($B556,'Emissions factors'!$B$84:$K$147,8,FALSE)</f>
        <v>0.5706</v>
      </c>
      <c r="R556" s="277">
        <f>VLOOKUP($B556,'Emissions factors'!$B$84:$K$147,9,FALSE)</f>
        <v>2.48</v>
      </c>
      <c r="S556" s="210">
        <f>G556*H556+J556*K556+M556*N556+P556*Q556</f>
        <v>0</v>
      </c>
      <c r="T556" s="211">
        <f>G556*I556+J556*L556+M556*O556+P556*R556</f>
        <v>0</v>
      </c>
      <c r="U556" s="42"/>
      <c r="X556" s="282">
        <f>VLOOKUP($B556,'Emissions factors'!$B$84:$K$147,10,FALSE)</f>
        <v>0.05</v>
      </c>
      <c r="Y556" s="190"/>
      <c r="Z556" s="221">
        <f>S556*SQRT(X556^2+Y556^2)</f>
        <v>0</v>
      </c>
      <c r="AA556" s="221">
        <f>T556*SQRT(X556^2+Y556^2)</f>
        <v>0</v>
      </c>
      <c r="AB556" s="211">
        <f>SQRT(Z556^2+AA556^2)</f>
        <v>0</v>
      </c>
      <c r="AF556" s="190"/>
      <c r="AG556" s="221">
        <f>S556*AF556</f>
        <v>0</v>
      </c>
      <c r="AH556" s="224">
        <f>T556*AF556</f>
        <v>0</v>
      </c>
      <c r="AI556" s="210">
        <f>AG556+AH556</f>
        <v>0</v>
      </c>
      <c r="AJ556" s="190"/>
      <c r="AK556" s="221">
        <f>S556*AJ556</f>
        <v>0</v>
      </c>
      <c r="AL556" s="224">
        <f>T556*AJ556</f>
        <v>0</v>
      </c>
      <c r="AM556" s="211">
        <f>AK556+AL556</f>
        <v>0</v>
      </c>
      <c r="AS556" s="717">
        <f>G556*VLOOKUP($B556,'Emissions factors'!$B$84:$AQ$147,11,FALSE)+J556*VLOOKUP($B556,'Emissions factors'!$B$84:$AQ$147,13,FALSE)+M556*VLOOKUP($B556,'Emissions factors'!$B$84:$AQ$147,15,FALSE)+P556*VLOOKUP($B556,'Emissions factors'!$B$84:$AQ$147,17,FALSE)</f>
        <v>0</v>
      </c>
      <c r="AT556" s="718">
        <f>G556*VLOOKUP($B556,'Emissions factors'!$B$84:$AQ$147,12,FALSE)+J556*VLOOKUP($B556,'Emissions factors'!$B$84:$AQ$147,14,FALSE)+M556*VLOOKUP($B556,'Emissions factors'!$B$84:$AQ$147,16,FALSE)+P556*VLOOKUP($B556,'Emissions factors'!$B$84:$AQ$147,18,FALSE)</f>
        <v>0</v>
      </c>
      <c r="AU556" s="718">
        <f>G556*VLOOKUP($B556,'Emissions factors'!$B$84:$AQ$147,19,FALSE)+J556*VLOOKUP($B556,'Emissions factors'!$B$84:$AQ$147,21,FALSE)+M556*VLOOKUP($B556,'Emissions factors'!$B$84:$AQ$147,23,FALSE)+P556*VLOOKUP($B556,'Emissions factors'!$B$84:$AQ$147,25,FALSE)</f>
        <v>0</v>
      </c>
      <c r="AV556" s="718">
        <f>G556*VLOOKUP($B556,'Emissions factors'!$B$84:$AQ$147,20,FALSE)+J556*VLOOKUP($B556,'Emissions factors'!$B$84:$AQ$147,22,FALSE)+M556*VLOOKUP($B556,'Emissions factors'!$B$84:$AQ$147,24,FALSE)+P556*VLOOKUP($B556,'Emissions factors'!$B$84:$AQ$147,26,FALSE)</f>
        <v>0</v>
      </c>
      <c r="AW556" s="718">
        <f>G556*VLOOKUP($B556,'Emissions factors'!$B$84:$AQ$147,27,FALSE)+J556*VLOOKUP($B556,'Emissions factors'!$B$84:$AQ$147,29,FALSE)+M556*VLOOKUP($B556,'Emissions factors'!$B$84:$AQ$147,31,FALSE)+P556*VLOOKUP($B556,'Emissions factors'!$B$84:$AQ$147,33,FALSE)</f>
        <v>0</v>
      </c>
      <c r="AX556" s="718">
        <f>G556*VLOOKUP($B556,'Emissions factors'!$B$84:$AQ$147,28,FALSE)+J556*VLOOKUP($B556,'Emissions factors'!$B$84:$AQ$147,30,FALSE)+M556*VLOOKUP($B556,'Emissions factors'!$B$84:$AQ$147,32,FALSE)+P556*VLOOKUP($B556,'Emissions factors'!$B$84:$AQ$147,34,FALSE)</f>
        <v>0</v>
      </c>
      <c r="AY556" s="718">
        <v>0</v>
      </c>
      <c r="AZ556" s="718">
        <v>0</v>
      </c>
      <c r="BA556" s="719">
        <f t="shared" si="211"/>
        <v>0</v>
      </c>
      <c r="BB556" s="720">
        <f t="shared" si="211"/>
        <v>0</v>
      </c>
      <c r="BC556" s="718">
        <f>G556*VLOOKUP($B556,'Emissions factors'!$B$84:$AQ$147,35,FALSE)+J556*VLOOKUP($B556,'Emissions factors'!$B$84:$AQ$147,37,FALSE)+M556*VLOOKUP($B556,'Emissions factors'!$B$84:$AQ$147,39,FALSE)+P556*VLOOKUP($B556,'Emissions factors'!$B$84:$AQ$147,41,FALSE)</f>
        <v>0</v>
      </c>
      <c r="BD556" s="721">
        <f>G556*VLOOKUP($B556,'Emissions factors'!$B$84:$AQ$147,36,FALSE)+J556*VLOOKUP($B556,'Emissions factors'!$B$84:$AQ$147,38,FALSE)+M556*VLOOKUP($B556,'Emissions factors'!$B$84:$AQ$147,40,FALSE)+P556*VLOOKUP($B556,'Emissions factors'!$B$84:$AQ$147,42,FALSE)</f>
        <v>0</v>
      </c>
    </row>
    <row r="557" spans="1:63" ht="12.75" hidden="1" customHeight="1" outlineLevel="1" x14ac:dyDescent="0.2">
      <c r="B557" s="200"/>
      <c r="C557" s="201"/>
      <c r="D557" s="263"/>
      <c r="E557" s="266"/>
      <c r="F557" s="410"/>
      <c r="G557" s="410"/>
      <c r="H557" s="273"/>
      <c r="I557" s="273"/>
      <c r="J557" s="410"/>
      <c r="K557" s="273"/>
      <c r="L557" s="273"/>
      <c r="M557" s="410"/>
      <c r="N557" s="273"/>
      <c r="O557" s="273"/>
      <c r="P557" s="410"/>
      <c r="Q557" s="273"/>
      <c r="R557" s="272"/>
      <c r="S557" s="210"/>
      <c r="T557" s="211"/>
      <c r="U557" s="42"/>
      <c r="X557" s="282"/>
      <c r="Y557" s="221"/>
      <c r="Z557" s="221"/>
      <c r="AA557" s="221"/>
      <c r="AB557" s="211"/>
      <c r="AF557" s="200"/>
      <c r="AG557" s="221"/>
      <c r="AH557" s="224"/>
      <c r="AI557" s="285"/>
      <c r="AJ557" s="224"/>
      <c r="AK557" s="221"/>
      <c r="AL557" s="224"/>
      <c r="AM557" s="211"/>
      <c r="AS557" s="717"/>
      <c r="AT557" s="718"/>
      <c r="AU557" s="718"/>
      <c r="AV557" s="718"/>
      <c r="AW557" s="718"/>
      <c r="AX557" s="718"/>
      <c r="AY557" s="718"/>
      <c r="AZ557" s="718"/>
      <c r="BA557" s="719"/>
      <c r="BB557" s="720"/>
      <c r="BC557" s="717"/>
      <c r="BD557" s="721"/>
    </row>
    <row r="558" spans="1:63" ht="12.75" hidden="1" customHeight="1" outlineLevel="1" x14ac:dyDescent="0.2">
      <c r="B558" s="200" t="s">
        <v>843</v>
      </c>
      <c r="C558" s="201"/>
      <c r="D558" s="262">
        <f>S558+T558</f>
        <v>0</v>
      </c>
      <c r="E558" s="265">
        <f>D558*12/44</f>
        <v>0</v>
      </c>
      <c r="F558" s="182"/>
      <c r="G558" s="182"/>
      <c r="H558" s="271">
        <f>VLOOKUP($B558,'Emissions factors'!$B$152:$K$165,2,FALSE)</f>
        <v>40.700000000000003</v>
      </c>
      <c r="I558" s="271">
        <f>VLOOKUP($B558,'Emissions factors'!$B$152:$K$165,3,FALSE)</f>
        <v>48.2</v>
      </c>
      <c r="J558" s="182"/>
      <c r="K558" s="277">
        <f>VLOOKUP($B558,'Emissions factors'!$B$152:$K$165,4,FALSE)</f>
        <v>1.115E-2</v>
      </c>
      <c r="L558" s="277">
        <f>VLOOKUP($B558,'Emissions factors'!$B$152:$K$165,5,FALSE)</f>
        <v>1.32E-2</v>
      </c>
      <c r="M558" s="182"/>
      <c r="N558" s="271">
        <f>VLOOKUP($B558,'Emissions factors'!$B$152:$K$165,6,FALSE)</f>
        <v>0</v>
      </c>
      <c r="O558" s="271">
        <f>VLOOKUP($B558,'Emissions factors'!$B$152:$K$165,7,FALSE)</f>
        <v>0</v>
      </c>
      <c r="P558" s="182"/>
      <c r="Q558" s="271">
        <f>VLOOKUP($B558,'Emissions factors'!$B$152:$K$165,8,FALSE)</f>
        <v>0</v>
      </c>
      <c r="R558" s="271">
        <f>VLOOKUP($B558,'Emissions factors'!$B$152:$K$165,9,FALSE)</f>
        <v>0</v>
      </c>
      <c r="S558" s="210">
        <f>G558*H558+J558*K558+M558*N558+P558*Q558</f>
        <v>0</v>
      </c>
      <c r="T558" s="211">
        <f>G558*I558+J558*L558+M558*O558+P558*R558</f>
        <v>0</v>
      </c>
      <c r="U558" s="42"/>
      <c r="X558" s="282">
        <f>VLOOKUP($B558,'Emissions factors'!$B$152:$K$165,10,FALSE)</f>
        <v>0.5</v>
      </c>
      <c r="Y558" s="184"/>
      <c r="Z558" s="221">
        <f>S558*SQRT(X558^2+Y558^2)</f>
        <v>0</v>
      </c>
      <c r="AA558" s="221">
        <f>T558*SQRT(X558^2+Y558^2)</f>
        <v>0</v>
      </c>
      <c r="AB558" s="211">
        <f>SQRT(Z558^2+AA558^2)</f>
        <v>0</v>
      </c>
      <c r="AF558" s="184"/>
      <c r="AG558" s="221">
        <f>S558*AF558</f>
        <v>0</v>
      </c>
      <c r="AH558" s="224">
        <f>T558*AF558</f>
        <v>0</v>
      </c>
      <c r="AI558" s="210">
        <f>AG558+AH558</f>
        <v>0</v>
      </c>
      <c r="AJ558" s="184"/>
      <c r="AK558" s="221">
        <f>S558*AJ558</f>
        <v>0</v>
      </c>
      <c r="AL558" s="224">
        <f>T558*AJ558</f>
        <v>0</v>
      </c>
      <c r="AM558" s="211">
        <f>AK558+AL558</f>
        <v>0</v>
      </c>
      <c r="AS558" s="717">
        <f>G558*VLOOKUP($B558,'Emissions factors'!$B$152:$AQ$165,11,FALSE)+J558*VLOOKUP($B558,'Emissions factors'!$B$152:$AQ$165,13,FALSE)+M558*VLOOKUP($B558,'Emissions factors'!$B$152:$AQ$165,15,FALSE)+P558*VLOOKUP($B558,'Emissions factors'!$B$152:$AQ$165,17,FALSE)</f>
        <v>0</v>
      </c>
      <c r="AT558" s="718">
        <f>G558*VLOOKUP($B558,'Emissions factors'!$B$152:$AQ$165,12,FALSE)+J558*VLOOKUP($B558,'Emissions factors'!$B$152:$AQ$165,14,FALSE)+M558*VLOOKUP($B558,'Emissions factors'!$B$152:$AQ$165,16,FALSE)+P558*VLOOKUP($B558,'Emissions factors'!$B$152:$AQ$165,18,FALSE)</f>
        <v>0</v>
      </c>
      <c r="AU558" s="718">
        <f>G558*VLOOKUP($B558,'Emissions factors'!$B$152:$AQ$165,19,FALSE)+J558*VLOOKUP($B558,'Emissions factors'!$B$152:$AQ$165,21,FALSE)+M558*VLOOKUP($B558,'Emissions factors'!$B$152:$AQ$165,23,FALSE)+P558*VLOOKUP($B558,'Emissions factors'!$B$152:$AQ$165,25,FALSE)</f>
        <v>0</v>
      </c>
      <c r="AV558" s="718">
        <f>G558*VLOOKUP($B558,'Emissions factors'!$B$152:$AQ$165,20,FALSE)+J558*VLOOKUP($B558,'Emissions factors'!$B$152:$AQ$165,22,FALSE)+M558*VLOOKUP($B558,'Emissions factors'!$B$152:$AQ$165,24,FALSE)+P558*VLOOKUP($B558,'Emissions factors'!$B$152:$AQ$165,26,FALSE)</f>
        <v>0</v>
      </c>
      <c r="AW558" s="718">
        <f>G558*VLOOKUP($B558,'Emissions factors'!$B$152:$AQ$165,27,FALSE)+J558*VLOOKUP($B558,'Emissions factors'!$B$152:$AQ$165,29,FALSE)+M558*VLOOKUP($B558,'Emissions factors'!$B$152:$AQ$165,31,FALSE)+P558*VLOOKUP($B558,'Emissions factors'!$B$152:$AQ$165,33,FALSE)</f>
        <v>0</v>
      </c>
      <c r="AX558" s="718">
        <f>G558*VLOOKUP($B558,'Emissions factors'!$B$152:$AQ$165,28,FALSE)+J558*VLOOKUP($B558,'Emissions factors'!$B$152:$AQ$165,30,FALSE)+M558*VLOOKUP($B558,'Emissions factors'!$B$152:$AQ$165,32,FALSE)+P558*VLOOKUP($B558,'Emissions factors'!$B$152:$AQ$165,34,FALSE)</f>
        <v>0</v>
      </c>
      <c r="AY558" s="718">
        <v>0</v>
      </c>
      <c r="AZ558" s="718">
        <v>0</v>
      </c>
      <c r="BA558" s="719">
        <f>S558</f>
        <v>0</v>
      </c>
      <c r="BB558" s="720">
        <f>T558</f>
        <v>0</v>
      </c>
      <c r="BC558" s="717">
        <f>G558*VLOOKUP($B558,'Emissions factors'!$B$152:$AQ$165,35,FALSE)+J558*VLOOKUP($B558,'Emissions factors'!$B$152:$AQ$165,37,FALSE)+M558*VLOOKUP($B558,'Emissions factors'!$B$152:$AQ$165,39,FALSE)+P558*VLOOKUP($B558,'Emissions factors'!$B$152:$AQ$165,41,FALSE)</f>
        <v>0</v>
      </c>
      <c r="BD558" s="721">
        <f>G558*VLOOKUP($B558,'Emissions factors'!$B$152:$AQ$165,36,FALSE)+J558*VLOOKUP($B558,'Emissions factors'!$B$152:$AQ$165,38,FALSE)+M558*VLOOKUP($B558,'Emissions factors'!$B$152:$AQ$165,40,FALSE)+P558*VLOOKUP($B558,'Emissions factors'!$B$152:$AQ$165,42,FALSE)</f>
        <v>0</v>
      </c>
    </row>
    <row r="559" spans="1:63" ht="12.75" hidden="1" customHeight="1" outlineLevel="1" x14ac:dyDescent="0.2">
      <c r="B559" s="200" t="s">
        <v>839</v>
      </c>
      <c r="C559" s="201"/>
      <c r="D559" s="262">
        <f>S559+T559</f>
        <v>0</v>
      </c>
      <c r="E559" s="265">
        <f>D559*12/44</f>
        <v>0</v>
      </c>
      <c r="F559" s="188"/>
      <c r="G559" s="188"/>
      <c r="H559" s="271">
        <f>VLOOKUP($B559,'Emissions factors'!$B$152:$K$165,2,FALSE)</f>
        <v>41.2</v>
      </c>
      <c r="I559" s="271">
        <f>VLOOKUP($B559,'Emissions factors'!$B$152:$K$165,3,FALSE)</f>
        <v>72.599999999999994</v>
      </c>
      <c r="J559" s="188"/>
      <c r="K559" s="277">
        <f>VLOOKUP($B559,'Emissions factors'!$B$152:$K$165,4,FALSE)</f>
        <v>1.068E-2</v>
      </c>
      <c r="L559" s="277">
        <f>VLOOKUP($B559,'Emissions factors'!$B$152:$K$165,5,FALSE)</f>
        <v>1.8800000000000001E-2</v>
      </c>
      <c r="M559" s="188"/>
      <c r="N559" s="271">
        <f>VLOOKUP($B559,'Emissions factors'!$B$152:$K$165,6,FALSE)</f>
        <v>0</v>
      </c>
      <c r="O559" s="271">
        <f>VLOOKUP($B559,'Emissions factors'!$B$152:$K$165,7,FALSE)</f>
        <v>0</v>
      </c>
      <c r="P559" s="188"/>
      <c r="Q559" s="271">
        <f>VLOOKUP($B559,'Emissions factors'!$B$152:$K$165,8,FALSE)</f>
        <v>0</v>
      </c>
      <c r="R559" s="271">
        <f>VLOOKUP($B559,'Emissions factors'!$B$152:$K$165,9,FALSE)</f>
        <v>0</v>
      </c>
      <c r="S559" s="210">
        <f>G559*H559+J559*K559+M559*N559+P559*Q559</f>
        <v>0</v>
      </c>
      <c r="T559" s="211">
        <f>G559*I559+J559*L559+M559*O559+P559*R559</f>
        <v>0</v>
      </c>
      <c r="U559" s="42"/>
      <c r="X559" s="282">
        <f>VLOOKUP($B559,'Emissions factors'!$B$152:$K$165,10,FALSE)</f>
        <v>0.5</v>
      </c>
      <c r="Y559" s="190"/>
      <c r="Z559" s="221">
        <f>S559*SQRT(X559^2+Y559^2)</f>
        <v>0</v>
      </c>
      <c r="AA559" s="221">
        <f>T559*SQRT(X559^2+Y559^2)</f>
        <v>0</v>
      </c>
      <c r="AB559" s="211">
        <f>SQRT(Z559^2+AA559^2)</f>
        <v>0</v>
      </c>
      <c r="AF559" s="190"/>
      <c r="AG559" s="221">
        <f>S559*AF559</f>
        <v>0</v>
      </c>
      <c r="AH559" s="224">
        <f>T559*AF559</f>
        <v>0</v>
      </c>
      <c r="AI559" s="210">
        <f>AG559+AH559</f>
        <v>0</v>
      </c>
      <c r="AJ559" s="190"/>
      <c r="AK559" s="221">
        <f>S559*AJ559</f>
        <v>0</v>
      </c>
      <c r="AL559" s="224">
        <f>T559*AJ559</f>
        <v>0</v>
      </c>
      <c r="AM559" s="211">
        <f>AK559+AL559</f>
        <v>0</v>
      </c>
      <c r="AS559" s="717">
        <f>G559*VLOOKUP($B559,'Emissions factors'!$B$152:$AQ$165,11,FALSE)+J559*VLOOKUP($B559,'Emissions factors'!$B$152:$AQ$165,13,FALSE)+M559*VLOOKUP($B559,'Emissions factors'!$B$152:$AQ$165,15,FALSE)+P559*VLOOKUP($B559,'Emissions factors'!$B$152:$AQ$165,17,FALSE)</f>
        <v>0</v>
      </c>
      <c r="AT559" s="718">
        <f>G559*VLOOKUP($B559,'Emissions factors'!$B$152:$AQ$165,12,FALSE)+J559*VLOOKUP($B559,'Emissions factors'!$B$152:$AQ$165,14,FALSE)+M559*VLOOKUP($B559,'Emissions factors'!$B$152:$AQ$165,16,FALSE)+P559*VLOOKUP($B559,'Emissions factors'!$B$152:$AQ$165,18,FALSE)</f>
        <v>0</v>
      </c>
      <c r="AU559" s="718">
        <f>G559*VLOOKUP($B559,'Emissions factors'!$B$152:$AQ$165,19,FALSE)+J559*VLOOKUP($B559,'Emissions factors'!$B$152:$AQ$165,21,FALSE)+M559*VLOOKUP($B559,'Emissions factors'!$B$152:$AQ$165,23,FALSE)+P559*VLOOKUP($B559,'Emissions factors'!$B$152:$AQ$165,25,FALSE)</f>
        <v>0</v>
      </c>
      <c r="AV559" s="718">
        <f>G559*VLOOKUP($B559,'Emissions factors'!$B$152:$AQ$165,20,FALSE)+J559*VLOOKUP($B559,'Emissions factors'!$B$152:$AQ$165,22,FALSE)+M559*VLOOKUP($B559,'Emissions factors'!$B$152:$AQ$165,24,FALSE)+P559*VLOOKUP($B559,'Emissions factors'!$B$152:$AQ$165,26,FALSE)</f>
        <v>0</v>
      </c>
      <c r="AW559" s="718">
        <f>G559*VLOOKUP($B559,'Emissions factors'!$B$152:$AQ$165,27,FALSE)+J559*VLOOKUP($B559,'Emissions factors'!$B$152:$AQ$165,29,FALSE)+M559*VLOOKUP($B559,'Emissions factors'!$B$152:$AQ$165,31,FALSE)+P559*VLOOKUP($B559,'Emissions factors'!$B$152:$AQ$165,33,FALSE)</f>
        <v>0</v>
      </c>
      <c r="AX559" s="718">
        <f>G559*VLOOKUP($B559,'Emissions factors'!$B$152:$AQ$165,28,FALSE)+J559*VLOOKUP($B559,'Emissions factors'!$B$152:$AQ$165,30,FALSE)+M559*VLOOKUP($B559,'Emissions factors'!$B$152:$AQ$165,32,FALSE)+P559*VLOOKUP($B559,'Emissions factors'!$B$152:$AQ$165,34,FALSE)</f>
        <v>0</v>
      </c>
      <c r="AY559" s="718">
        <v>0</v>
      </c>
      <c r="AZ559" s="718">
        <v>0</v>
      </c>
      <c r="BA559" s="719">
        <f>S559</f>
        <v>0</v>
      </c>
      <c r="BB559" s="720">
        <f>T559</f>
        <v>0</v>
      </c>
      <c r="BC559" s="717">
        <f>G559*VLOOKUP($B559,'Emissions factors'!$B$152:$AQ$165,35,FALSE)+J559*VLOOKUP($B559,'Emissions factors'!$B$152:$AQ$165,37,FALSE)+M559*VLOOKUP($B559,'Emissions factors'!$B$152:$AQ$165,39,FALSE)+P559*VLOOKUP($B559,'Emissions factors'!$B$152:$AQ$165,41,FALSE)</f>
        <v>0</v>
      </c>
      <c r="BD559" s="721">
        <f>G559*VLOOKUP($B559,'Emissions factors'!$B$152:$AQ$165,36,FALSE)+J559*VLOOKUP($B559,'Emissions factors'!$B$152:$AQ$165,38,FALSE)+M559*VLOOKUP($B559,'Emissions factors'!$B$152:$AQ$165,40,FALSE)+P559*VLOOKUP($B559,'Emissions factors'!$B$152:$AQ$165,42,FALSE)</f>
        <v>0</v>
      </c>
    </row>
    <row r="560" spans="1:63" ht="12.75" hidden="1" customHeight="1" outlineLevel="1" x14ac:dyDescent="0.2">
      <c r="B560" s="213"/>
      <c r="C560" s="214"/>
      <c r="D560" s="275"/>
      <c r="E560" s="268"/>
      <c r="F560" s="214"/>
      <c r="G560" s="214"/>
      <c r="H560" s="214"/>
      <c r="I560" s="214"/>
      <c r="J560" s="214"/>
      <c r="K560" s="214"/>
      <c r="L560" s="214"/>
      <c r="M560" s="214"/>
      <c r="N560" s="214"/>
      <c r="O560" s="214"/>
      <c r="P560" s="214"/>
      <c r="Q560" s="214"/>
      <c r="R560" s="214"/>
      <c r="S560" s="463"/>
      <c r="T560" s="215"/>
      <c r="U560" s="42"/>
      <c r="X560" s="213"/>
      <c r="Y560" s="214"/>
      <c r="Z560" s="214"/>
      <c r="AA560" s="214"/>
      <c r="AB560" s="433"/>
      <c r="AC560" s="32"/>
      <c r="AF560" s="213"/>
      <c r="AG560" s="214"/>
      <c r="AH560" s="214"/>
      <c r="AI560" s="269"/>
      <c r="AJ560" s="214"/>
      <c r="AK560" s="214"/>
      <c r="AL560" s="214"/>
      <c r="AM560" s="433"/>
      <c r="AS560" s="717"/>
      <c r="AT560" s="718"/>
      <c r="AU560" s="718"/>
      <c r="AV560" s="718"/>
      <c r="AW560" s="718"/>
      <c r="AX560" s="718"/>
      <c r="AY560" s="718"/>
      <c r="AZ560" s="718"/>
      <c r="BA560" s="719"/>
      <c r="BB560" s="720"/>
      <c r="BC560" s="722"/>
      <c r="BD560" s="723"/>
    </row>
    <row r="561" spans="2:56" ht="12.75" hidden="1" customHeight="1" outlineLevel="1" x14ac:dyDescent="0.2">
      <c r="B561" s="253" t="s">
        <v>44</v>
      </c>
      <c r="C561" s="254"/>
      <c r="D561" s="264">
        <f>SUM(D554:D560)</f>
        <v>0</v>
      </c>
      <c r="E561" s="267">
        <f>SUM(E554:E560)</f>
        <v>0</v>
      </c>
      <c r="F561" s="255"/>
      <c r="G561" s="256"/>
      <c r="H561" s="256"/>
      <c r="I561" s="256"/>
      <c r="J561" s="256"/>
      <c r="K561" s="256"/>
      <c r="L561" s="256"/>
      <c r="M561" s="256"/>
      <c r="N561" s="256"/>
      <c r="O561" s="256"/>
      <c r="P561" s="256"/>
      <c r="Q561" s="256"/>
      <c r="R561" s="256"/>
      <c r="S561" s="259">
        <f>SUM(S554:S560)</f>
        <v>0</v>
      </c>
      <c r="T561" s="257">
        <f>SUM(T554:T560)</f>
        <v>0</v>
      </c>
      <c r="U561" s="42"/>
      <c r="X561" s="258"/>
      <c r="Y561" s="256"/>
      <c r="Z561" s="260">
        <f>SQRT(SUMSQ(Z554:Z560))</f>
        <v>0</v>
      </c>
      <c r="AA561" s="260">
        <f>SQRT(SUMSQ(AA554:AA560))</f>
        <v>0</v>
      </c>
      <c r="AB561" s="257">
        <f>SQRT(SUMSQ(AB554:AB560))</f>
        <v>0</v>
      </c>
      <c r="AC561" s="32"/>
      <c r="AF561" s="258"/>
      <c r="AG561" s="260">
        <f>SUM(AG554:AG560)</f>
        <v>0</v>
      </c>
      <c r="AH561" s="260">
        <f>SUM(AH554:AH560)</f>
        <v>0</v>
      </c>
      <c r="AI561" s="259">
        <f>SUM(AI554:AI560)</f>
        <v>0</v>
      </c>
      <c r="AJ561" s="256"/>
      <c r="AK561" s="260">
        <f>SUM(AK554:AK560)</f>
        <v>0</v>
      </c>
      <c r="AL561" s="260">
        <f>SUM(AL554:AL560)</f>
        <v>0</v>
      </c>
      <c r="AM561" s="257">
        <f>SUM(AM554:AM560)</f>
        <v>0</v>
      </c>
      <c r="AS561" s="724">
        <f t="shared" ref="AS561:BD561" si="212">SUM(AS554:AS560)</f>
        <v>0</v>
      </c>
      <c r="AT561" s="725">
        <f t="shared" si="212"/>
        <v>0</v>
      </c>
      <c r="AU561" s="725">
        <f t="shared" si="212"/>
        <v>0</v>
      </c>
      <c r="AV561" s="725">
        <f t="shared" si="212"/>
        <v>0</v>
      </c>
      <c r="AW561" s="725">
        <f t="shared" si="212"/>
        <v>0</v>
      </c>
      <c r="AX561" s="725">
        <f t="shared" si="212"/>
        <v>0</v>
      </c>
      <c r="AY561" s="725">
        <f t="shared" si="212"/>
        <v>0</v>
      </c>
      <c r="AZ561" s="725">
        <f t="shared" si="212"/>
        <v>0</v>
      </c>
      <c r="BA561" s="726">
        <f t="shared" si="212"/>
        <v>0</v>
      </c>
      <c r="BB561" s="727">
        <f t="shared" si="212"/>
        <v>0</v>
      </c>
      <c r="BC561" s="724">
        <f t="shared" si="212"/>
        <v>0</v>
      </c>
      <c r="BD561" s="728">
        <f t="shared" si="212"/>
        <v>0</v>
      </c>
    </row>
    <row r="562" spans="2:56" ht="12.75" hidden="1" customHeight="1" outlineLevel="1" x14ac:dyDescent="0.2">
      <c r="P562" s="42"/>
      <c r="V562" s="32"/>
      <c r="W562" s="32"/>
      <c r="X562" s="32"/>
      <c r="Y562" s="32"/>
      <c r="Z562" s="32"/>
      <c r="AA562" s="32"/>
      <c r="AB562" s="32"/>
      <c r="BA562" s="743"/>
    </row>
    <row r="563" spans="2:56" ht="12.75" hidden="1" customHeight="1" outlineLevel="1" x14ac:dyDescent="0.2">
      <c r="B563" s="195" t="s">
        <v>2920</v>
      </c>
      <c r="C563" s="196"/>
      <c r="D563" s="196"/>
      <c r="E563" s="196"/>
      <c r="F563" s="198"/>
      <c r="G563" s="198"/>
      <c r="H563" s="198"/>
      <c r="I563" s="198"/>
      <c r="J563" s="198"/>
      <c r="K563" s="198"/>
      <c r="L563" s="198"/>
      <c r="M563" s="217"/>
      <c r="N563" s="217"/>
      <c r="O563" s="218"/>
      <c r="X563" s="1746" t="s">
        <v>723</v>
      </c>
      <c r="Y563" s="1747"/>
      <c r="Z563" s="1747"/>
      <c r="AA563" s="1747"/>
      <c r="AB563" s="1747"/>
      <c r="AC563" s="1748"/>
      <c r="AF563" s="1746" t="s">
        <v>2066</v>
      </c>
      <c r="AG563" s="1747"/>
      <c r="AH563" s="1747"/>
      <c r="AI563" s="1747"/>
      <c r="AJ563" s="1747"/>
      <c r="AK563" s="1747"/>
      <c r="AL563" s="1747"/>
      <c r="AM563" s="1747"/>
      <c r="AN563" s="1747"/>
      <c r="AO563" s="1748"/>
      <c r="AS563" s="1755" t="s">
        <v>2073</v>
      </c>
      <c r="AT563" s="1756"/>
      <c r="AU563" s="1756"/>
      <c r="AV563" s="1756"/>
      <c r="AW563" s="1756"/>
      <c r="AX563" s="1756"/>
      <c r="AY563" s="1756"/>
      <c r="AZ563" s="1756"/>
      <c r="BA563" s="1756"/>
      <c r="BB563" s="1756"/>
      <c r="BC563" s="1756"/>
      <c r="BD563" s="1757"/>
    </row>
    <row r="564" spans="2:56" ht="12.75" hidden="1" customHeight="1" outlineLevel="1" x14ac:dyDescent="0.2">
      <c r="B564" s="1369"/>
      <c r="C564" s="1370"/>
      <c r="D564" s="705"/>
      <c r="E564" s="705"/>
      <c r="F564" s="201"/>
      <c r="G564" s="201"/>
      <c r="H564" s="201"/>
      <c r="I564" s="201"/>
      <c r="J564" s="214"/>
      <c r="K564" s="201"/>
      <c r="L564" s="201"/>
      <c r="M564" s="1745" t="s">
        <v>2646</v>
      </c>
      <c r="N564" s="1745"/>
      <c r="O564" s="1378" t="s">
        <v>2639</v>
      </c>
      <c r="X564" s="216"/>
      <c r="Y564" s="217"/>
      <c r="Z564" s="705"/>
      <c r="AA564" s="705"/>
      <c r="AB564" s="705"/>
      <c r="AC564" s="1378" t="s">
        <v>2639</v>
      </c>
      <c r="AF564" s="216"/>
      <c r="AG564" s="705"/>
      <c r="AH564" s="705"/>
      <c r="AI564" s="705"/>
      <c r="AJ564" s="1465" t="s">
        <v>2639</v>
      </c>
      <c r="AK564" s="217"/>
      <c r="AL564" s="705"/>
      <c r="AM564" s="705"/>
      <c r="AN564" s="705"/>
      <c r="AO564" s="1468" t="s">
        <v>2639</v>
      </c>
      <c r="AS564" s="1758" t="s">
        <v>61</v>
      </c>
      <c r="AT564" s="1759"/>
      <c r="AU564" s="1759"/>
      <c r="AV564" s="1759"/>
      <c r="AW564" s="1759"/>
      <c r="AX564" s="1759"/>
      <c r="AY564" s="1759"/>
      <c r="AZ564" s="1759"/>
      <c r="BA564" s="1759" t="s">
        <v>61</v>
      </c>
      <c r="BB564" s="1760"/>
      <c r="BC564" s="730"/>
      <c r="BD564" s="731"/>
    </row>
    <row r="565" spans="2:56" ht="12.75" hidden="1" customHeight="1" outlineLevel="1" x14ac:dyDescent="0.2">
      <c r="B565" s="1630" t="s">
        <v>2921</v>
      </c>
      <c r="C565" s="1370"/>
      <c r="D565" s="1370" t="s">
        <v>56</v>
      </c>
      <c r="E565" s="1370" t="s">
        <v>56</v>
      </c>
      <c r="F565" s="205" t="s">
        <v>2634</v>
      </c>
      <c r="G565" s="205"/>
      <c r="H565" s="1744" t="s">
        <v>1308</v>
      </c>
      <c r="I565" s="1745"/>
      <c r="J565" s="205"/>
      <c r="K565" s="1744" t="s">
        <v>1281</v>
      </c>
      <c r="L565" s="1745"/>
      <c r="M565" s="705" t="s">
        <v>61</v>
      </c>
      <c r="N565" s="705" t="s">
        <v>61</v>
      </c>
      <c r="O565" s="1378" t="s">
        <v>30</v>
      </c>
      <c r="X565" s="1630" t="s">
        <v>2605</v>
      </c>
      <c r="Y565" s="1370" t="s">
        <v>2110</v>
      </c>
      <c r="Z565" s="1370" t="s">
        <v>61</v>
      </c>
      <c r="AA565" s="1370" t="s">
        <v>61</v>
      </c>
      <c r="AB565" s="705" t="s">
        <v>61</v>
      </c>
      <c r="AC565" s="1378" t="s">
        <v>30</v>
      </c>
      <c r="AF565" s="1466" t="s">
        <v>2065</v>
      </c>
      <c r="AG565" s="1465" t="s">
        <v>61</v>
      </c>
      <c r="AH565" s="1465" t="s">
        <v>61</v>
      </c>
      <c r="AI565" s="705" t="s">
        <v>61</v>
      </c>
      <c r="AJ565" s="1465" t="s">
        <v>30</v>
      </c>
      <c r="AK565" s="1465" t="s">
        <v>2558</v>
      </c>
      <c r="AL565" s="1465" t="s">
        <v>61</v>
      </c>
      <c r="AM565" s="1465" t="s">
        <v>61</v>
      </c>
      <c r="AN565" s="705" t="s">
        <v>61</v>
      </c>
      <c r="AO565" s="1468" t="s">
        <v>30</v>
      </c>
      <c r="AS565" s="1764" t="s">
        <v>14</v>
      </c>
      <c r="AT565" s="1761"/>
      <c r="AU565" s="1761" t="s">
        <v>60</v>
      </c>
      <c r="AV565" s="1761"/>
      <c r="AW565" s="1761" t="s">
        <v>27</v>
      </c>
      <c r="AX565" s="1761"/>
      <c r="AY565" s="1761" t="s">
        <v>2074</v>
      </c>
      <c r="AZ565" s="1761"/>
      <c r="BA565" s="1762" t="s">
        <v>41</v>
      </c>
      <c r="BB565" s="1763"/>
      <c r="BC565" s="1764" t="s">
        <v>85</v>
      </c>
      <c r="BD565" s="1765"/>
    </row>
    <row r="566" spans="2:56" ht="14.25" hidden="1" customHeight="1" outlineLevel="1" x14ac:dyDescent="0.2">
      <c r="B566" s="1369"/>
      <c r="C566" s="1370"/>
      <c r="D566" s="1370" t="s">
        <v>61</v>
      </c>
      <c r="E566" s="1370" t="s">
        <v>63</v>
      </c>
      <c r="F566" s="1623" t="s">
        <v>2054</v>
      </c>
      <c r="G566" s="208" t="s">
        <v>57</v>
      </c>
      <c r="H566" s="1377" t="s">
        <v>768</v>
      </c>
      <c r="I566" s="1377" t="s">
        <v>24</v>
      </c>
      <c r="J566" s="208" t="s">
        <v>2635</v>
      </c>
      <c r="K566" s="1377" t="s">
        <v>768</v>
      </c>
      <c r="L566" s="1377" t="s">
        <v>24</v>
      </c>
      <c r="M566" s="1376" t="s">
        <v>768</v>
      </c>
      <c r="N566" s="1376" t="s">
        <v>24</v>
      </c>
      <c r="O566" s="1378" t="s">
        <v>61</v>
      </c>
      <c r="X566" s="1630" t="s">
        <v>2109</v>
      </c>
      <c r="Y566" s="1370"/>
      <c r="Z566" s="1377" t="s">
        <v>768</v>
      </c>
      <c r="AA566" s="1377" t="s">
        <v>24</v>
      </c>
      <c r="AB566" s="223" t="s">
        <v>41</v>
      </c>
      <c r="AC566" s="1378" t="s">
        <v>61</v>
      </c>
      <c r="AF566" s="1466"/>
      <c r="AG566" s="1467" t="s">
        <v>768</v>
      </c>
      <c r="AH566" s="1467" t="s">
        <v>24</v>
      </c>
      <c r="AI566" s="223" t="s">
        <v>41</v>
      </c>
      <c r="AJ566" s="1465" t="s">
        <v>61</v>
      </c>
      <c r="AK566" s="1465"/>
      <c r="AL566" s="1467" t="s">
        <v>768</v>
      </c>
      <c r="AM566" s="1467" t="s">
        <v>24</v>
      </c>
      <c r="AN566" s="223" t="s">
        <v>41</v>
      </c>
      <c r="AO566" s="1468" t="s">
        <v>61</v>
      </c>
      <c r="AS566" s="732" t="s">
        <v>768</v>
      </c>
      <c r="AT566" s="733" t="s">
        <v>24</v>
      </c>
      <c r="AU566" s="733" t="s">
        <v>768</v>
      </c>
      <c r="AV566" s="733" t="s">
        <v>24</v>
      </c>
      <c r="AW566" s="733" t="s">
        <v>768</v>
      </c>
      <c r="AX566" s="733" t="s">
        <v>24</v>
      </c>
      <c r="AY566" s="733" t="s">
        <v>768</v>
      </c>
      <c r="AZ566" s="733" t="s">
        <v>24</v>
      </c>
      <c r="BA566" s="734" t="s">
        <v>768</v>
      </c>
      <c r="BB566" s="735" t="s">
        <v>24</v>
      </c>
      <c r="BC566" s="732" t="s">
        <v>768</v>
      </c>
      <c r="BD566" s="736" t="s">
        <v>24</v>
      </c>
    </row>
    <row r="567" spans="2:56" ht="12.75" hidden="1" customHeight="1" outlineLevel="1" x14ac:dyDescent="0.2">
      <c r="B567" s="200" t="s">
        <v>1366</v>
      </c>
      <c r="C567" s="201"/>
      <c r="D567" s="262">
        <f>M567+N567</f>
        <v>0</v>
      </c>
      <c r="E567" s="265">
        <f>D567*12/44</f>
        <v>0</v>
      </c>
      <c r="F567" s="559"/>
      <c r="G567" s="182"/>
      <c r="H567" s="492">
        <f>VLOOKUP($B567,'Emissions factors'!$B$1336:$W$1341,2,FALSE)</f>
        <v>4.6049999999999997E-3</v>
      </c>
      <c r="I567" s="492">
        <f>VLOOKUP($B567,'Emissions factors'!$B$1336:$W$1341,3,FALSE)</f>
        <v>2.8481599999999999E-2</v>
      </c>
      <c r="J567" s="182"/>
      <c r="K567" s="789">
        <f>VLOOKUP($B567,'Emissions factors'!$B$1336:$W$1341,12,FALSE)</f>
        <v>16.78</v>
      </c>
      <c r="L567" s="789">
        <f>VLOOKUP($B567,'Emissions factors'!$B$1336:$W$1341,13,FALSE)</f>
        <v>103.6627</v>
      </c>
      <c r="M567" s="465">
        <f>G567*H567+J567*K567</f>
        <v>0</v>
      </c>
      <c r="N567" s="210">
        <f>G567*I567+J567*L567</f>
        <v>0</v>
      </c>
      <c r="O567" s="222">
        <f>IF(OR(F567='Info utili'!$G$532,F567='Info utili'!$G$537),N567,0)</f>
        <v>0</v>
      </c>
      <c r="X567" s="282">
        <f>VLOOKUP($B567,'Emissions factors'!$B$1336:$W$1341,22,FALSE)</f>
        <v>0.6</v>
      </c>
      <c r="Y567" s="184"/>
      <c r="Z567" s="221">
        <f>M567*SQRT(X567^2+Y567^2)</f>
        <v>0</v>
      </c>
      <c r="AA567" s="221">
        <f>N567*SQRT(X567^2+Y567^2)</f>
        <v>0</v>
      </c>
      <c r="AB567" s="210">
        <f>SQRT(Z567^2+AA567^2)</f>
        <v>0</v>
      </c>
      <c r="AC567" s="222">
        <f>O567*SQRT(X567^2+Y567^2)</f>
        <v>0</v>
      </c>
      <c r="AF567" s="183"/>
      <c r="AG567" s="221">
        <f t="shared" ref="AG567:AH569" si="213">$AF567*M567</f>
        <v>0</v>
      </c>
      <c r="AH567" s="221">
        <f t="shared" si="213"/>
        <v>0</v>
      </c>
      <c r="AI567" s="210">
        <f>AG567+AH567</f>
        <v>0</v>
      </c>
      <c r="AJ567" s="221">
        <f>AF567*O567</f>
        <v>0</v>
      </c>
      <c r="AK567" s="183"/>
      <c r="AL567" s="221">
        <f t="shared" ref="AL567:AM569" si="214">$AK567*M567</f>
        <v>0</v>
      </c>
      <c r="AM567" s="221">
        <f t="shared" si="214"/>
        <v>0</v>
      </c>
      <c r="AN567" s="210">
        <f>AL567+AM567</f>
        <v>0</v>
      </c>
      <c r="AO567" s="222">
        <f>AK567*O567</f>
        <v>0</v>
      </c>
      <c r="AS567" s="717">
        <f>G567*VLOOKUP($B567,'Emissions factors'!$B$1336:$W$1341,4,FALSE)+J567*VLOOKUP($B567,'Emissions factors'!$B$1336:$W$1341,14,FALSE)</f>
        <v>0</v>
      </c>
      <c r="AT567" s="718">
        <f>G567*VLOOKUP($B567,'Emissions factors'!$B$1336:$W$1341,5,FALSE)+J567*VLOOKUP($B567,'Emissions factors'!$B$1336:$W$1341,15,FALSE)</f>
        <v>0</v>
      </c>
      <c r="AU567" s="718">
        <f>G567*VLOOKUP($B567,'Emissions factors'!$B$1336:$W$1341,6,FALSE)+J567*VLOOKUP($B567,'Emissions factors'!$B$1336:$W$1341,16,FALSE)</f>
        <v>0</v>
      </c>
      <c r="AV567" s="718">
        <f>G567*VLOOKUP($B567,'Emissions factors'!$B$1336:$W$1341,7,FALSE)+J567*VLOOKUP($B567,'Emissions factors'!$B$1336:$W$1341,17,FALSE)</f>
        <v>0</v>
      </c>
      <c r="AW567" s="718">
        <f>G567*VLOOKUP($B567,'Emissions factors'!$B$1336:$W$1341,8,FALSE)+J567*VLOOKUP($B567,'Emissions factors'!$B$1336:$W$1341,18,FALSE)</f>
        <v>0</v>
      </c>
      <c r="AX567" s="718">
        <f>G567*VLOOKUP($B567,'Emissions factors'!$B$1336:$W$1341,9,FALSE)+J567*VLOOKUP($B567,'Emissions factors'!$B$1336:$W$1341,19,FALSE)</f>
        <v>0</v>
      </c>
      <c r="AY567" s="718">
        <v>0</v>
      </c>
      <c r="AZ567" s="718">
        <v>0</v>
      </c>
      <c r="BA567" s="719">
        <f t="shared" ref="BA567:BB569" si="215">M567</f>
        <v>0</v>
      </c>
      <c r="BB567" s="720">
        <f t="shared" si="215"/>
        <v>0</v>
      </c>
      <c r="BC567" s="717">
        <f>G567*VLOOKUP($B567,'Emissions factors'!$B$1336:$W$1341,10,FALSE)+J567*VLOOKUP($B567,'Emissions factors'!$B$1336:$W$1341,20,FALSE)</f>
        <v>0</v>
      </c>
      <c r="BD567" s="721">
        <f>G567*VLOOKUP($B567,'Emissions factors'!$B$1336:$W$1341,11,FALSE)+J567*VLOOKUP($B567,'Emissions factors'!$B$1336:$W$1341,21,FALSE)</f>
        <v>0</v>
      </c>
    </row>
    <row r="568" spans="2:56" ht="12.75" hidden="1" customHeight="1" outlineLevel="1" x14ac:dyDescent="0.2">
      <c r="B568" s="200" t="s">
        <v>1368</v>
      </c>
      <c r="C568" s="201"/>
      <c r="D568" s="262">
        <f>M568+N568</f>
        <v>0</v>
      </c>
      <c r="E568" s="265">
        <f>D568*12/44</f>
        <v>0</v>
      </c>
      <c r="F568" s="442"/>
      <c r="G568" s="185"/>
      <c r="H568" s="492">
        <f>VLOOKUP($B568,'Emissions factors'!$B$1336:$W$1341,2,FALSE)</f>
        <v>2.8179999999999998E-3</v>
      </c>
      <c r="I568" s="492">
        <f>VLOOKUP($B568,'Emissions factors'!$B$1336:$W$1341,3,FALSE)</f>
        <v>1.7612430000000002E-2</v>
      </c>
      <c r="J568" s="185"/>
      <c r="K568" s="789">
        <f>VLOOKUP($B568,'Emissions factors'!$B$1336:$W$1341,12,FALSE)</f>
        <v>52.19</v>
      </c>
      <c r="L568" s="789">
        <f>VLOOKUP($B568,'Emissions factors'!$B$1336:$W$1341,13,FALSE)</f>
        <v>326.07600000000002</v>
      </c>
      <c r="M568" s="465">
        <f>G568*H568+J568*K568</f>
        <v>0</v>
      </c>
      <c r="N568" s="210">
        <f>G568*I568+J568*L568</f>
        <v>0</v>
      </c>
      <c r="O568" s="222">
        <f>IF(OR(F568='Info utili'!$G$532,F568='Info utili'!$G$537),N568,0)</f>
        <v>0</v>
      </c>
      <c r="X568" s="282">
        <f>VLOOKUP($B568,'Emissions factors'!$B$1336:$W$1341,22,FALSE)</f>
        <v>0.6</v>
      </c>
      <c r="Y568" s="187"/>
      <c r="Z568" s="221">
        <f>M568*SQRT(X568^2+Y568^2)</f>
        <v>0</v>
      </c>
      <c r="AA568" s="221">
        <f>N568*SQRT(X568^2+Y568^2)</f>
        <v>0</v>
      </c>
      <c r="AB568" s="210">
        <f>SQRT(Z568^2+AA568^2)</f>
        <v>0</v>
      </c>
      <c r="AC568" s="222">
        <f>O568*SQRT(X568^2+Y568^2)</f>
        <v>0</v>
      </c>
      <c r="AF568" s="186"/>
      <c r="AG568" s="221">
        <f t="shared" si="213"/>
        <v>0</v>
      </c>
      <c r="AH568" s="221">
        <f t="shared" si="213"/>
        <v>0</v>
      </c>
      <c r="AI568" s="210">
        <f>AG568+AH568</f>
        <v>0</v>
      </c>
      <c r="AJ568" s="221">
        <f>AF568*O568</f>
        <v>0</v>
      </c>
      <c r="AK568" s="186"/>
      <c r="AL568" s="221">
        <f t="shared" si="214"/>
        <v>0</v>
      </c>
      <c r="AM568" s="221">
        <f t="shared" si="214"/>
        <v>0</v>
      </c>
      <c r="AN568" s="210">
        <f>AL568+AM568</f>
        <v>0</v>
      </c>
      <c r="AO568" s="222">
        <f>AK568*O568</f>
        <v>0</v>
      </c>
      <c r="AS568" s="717">
        <f>G568*VLOOKUP($B568,'Emissions factors'!$B$1336:$W$1341,4,FALSE)+J568*VLOOKUP($B568,'Emissions factors'!$B$1336:$W$1341,14,FALSE)</f>
        <v>0</v>
      </c>
      <c r="AT568" s="718">
        <f>G568*VLOOKUP($B568,'Emissions factors'!$B$1336:$W$1341,5,FALSE)+J568*VLOOKUP($B568,'Emissions factors'!$B$1336:$W$1341,15,FALSE)</f>
        <v>0</v>
      </c>
      <c r="AU568" s="718">
        <f>G568*VLOOKUP($B568,'Emissions factors'!$B$1336:$W$1341,6,FALSE)+J568*VLOOKUP($B568,'Emissions factors'!$B$1336:$W$1341,16,FALSE)</f>
        <v>0</v>
      </c>
      <c r="AV568" s="718">
        <f>G568*VLOOKUP($B568,'Emissions factors'!$B$1336:$W$1341,7,FALSE)+J568*VLOOKUP($B568,'Emissions factors'!$B$1336:$W$1341,17,FALSE)</f>
        <v>0</v>
      </c>
      <c r="AW568" s="718">
        <f>G568*VLOOKUP($B568,'Emissions factors'!$B$1336:$W$1341,8,FALSE)+J568*VLOOKUP($B568,'Emissions factors'!$B$1336:$W$1341,18,FALSE)</f>
        <v>0</v>
      </c>
      <c r="AX568" s="718">
        <f>G568*VLOOKUP($B568,'Emissions factors'!$B$1336:$W$1341,9,FALSE)+J568*VLOOKUP($B568,'Emissions factors'!$B$1336:$W$1341,19,FALSE)</f>
        <v>0</v>
      </c>
      <c r="AY568" s="718">
        <v>0</v>
      </c>
      <c r="AZ568" s="718">
        <v>0</v>
      </c>
      <c r="BA568" s="719">
        <f t="shared" si="215"/>
        <v>0</v>
      </c>
      <c r="BB568" s="720">
        <f t="shared" si="215"/>
        <v>0</v>
      </c>
      <c r="BC568" s="717">
        <f>G568*VLOOKUP($B568,'Emissions factors'!$B$1336:$W$1341,10,FALSE)+J568*VLOOKUP($B568,'Emissions factors'!$B$1336:$W$1341,20,FALSE)</f>
        <v>0</v>
      </c>
      <c r="BD568" s="721">
        <f>G568*VLOOKUP($B568,'Emissions factors'!$B$1336:$W$1341,11,FALSE)+J568*VLOOKUP($B568,'Emissions factors'!$B$1336:$W$1341,21,FALSE)</f>
        <v>0</v>
      </c>
    </row>
    <row r="569" spans="2:56" ht="12.75" hidden="1" customHeight="1" outlineLevel="1" x14ac:dyDescent="0.2">
      <c r="B569" s="200" t="s">
        <v>1369</v>
      </c>
      <c r="C569" s="201"/>
      <c r="D569" s="262">
        <f>M569+N569</f>
        <v>0</v>
      </c>
      <c r="E569" s="265">
        <f>D569*12/44</f>
        <v>0</v>
      </c>
      <c r="F569" s="443"/>
      <c r="G569" s="188"/>
      <c r="H569" s="492">
        <f>VLOOKUP($B569,'Emissions factors'!$B$1336:$W$1341,2,FALSE)</f>
        <v>1.8859999999999999E-3</v>
      </c>
      <c r="I569" s="492">
        <f>VLOOKUP($B569,'Emissions factors'!$B$1336:$W$1341,3,FALSE)</f>
        <v>1.177534E-2</v>
      </c>
      <c r="J569" s="188"/>
      <c r="K569" s="789">
        <f>VLOOKUP($B569,'Emissions factors'!$B$1336:$W$1341,12,FALSE)</f>
        <v>87.49</v>
      </c>
      <c r="L569" s="789">
        <f>VLOOKUP($B569,'Emissions factors'!$B$1336:$W$1341,13,FALSE)</f>
        <v>546.49099999999999</v>
      </c>
      <c r="M569" s="465">
        <f>G569*H569+J569*K569</f>
        <v>0</v>
      </c>
      <c r="N569" s="210">
        <f>G569*I569+J569*L569</f>
        <v>0</v>
      </c>
      <c r="O569" s="222">
        <f>IF(OR(F569='Info utili'!$G$532,F569='Info utili'!$G$537),N569,0)</f>
        <v>0</v>
      </c>
      <c r="X569" s="282">
        <f>VLOOKUP($B569,'Emissions factors'!$B$1336:$W$1341,22,FALSE)</f>
        <v>0.6</v>
      </c>
      <c r="Y569" s="190"/>
      <c r="Z569" s="221">
        <f>M569*SQRT(X569^2+Y569^2)</f>
        <v>0</v>
      </c>
      <c r="AA569" s="221">
        <f>N569*SQRT(X569^2+Y569^2)</f>
        <v>0</v>
      </c>
      <c r="AB569" s="210">
        <f>SQRT(Z569^2+AA569^2)</f>
        <v>0</v>
      </c>
      <c r="AC569" s="222">
        <f>O569*SQRT(X569^2+Y569^2)</f>
        <v>0</v>
      </c>
      <c r="AF569" s="189"/>
      <c r="AG569" s="221">
        <f t="shared" si="213"/>
        <v>0</v>
      </c>
      <c r="AH569" s="221">
        <f t="shared" si="213"/>
        <v>0</v>
      </c>
      <c r="AI569" s="210">
        <f>AG569+AH569</f>
        <v>0</v>
      </c>
      <c r="AJ569" s="221">
        <f>AF569*O569</f>
        <v>0</v>
      </c>
      <c r="AK569" s="189"/>
      <c r="AL569" s="221">
        <f t="shared" si="214"/>
        <v>0</v>
      </c>
      <c r="AM569" s="221">
        <f t="shared" si="214"/>
        <v>0</v>
      </c>
      <c r="AN569" s="210">
        <f>AL569+AM569</f>
        <v>0</v>
      </c>
      <c r="AO569" s="222">
        <f>AK569*O569</f>
        <v>0</v>
      </c>
      <c r="AS569" s="717">
        <f>G569*VLOOKUP($B569,'Emissions factors'!$B$1336:$W$1341,4,FALSE)+J569*VLOOKUP($B569,'Emissions factors'!$B$1336:$W$1341,14,FALSE)</f>
        <v>0</v>
      </c>
      <c r="AT569" s="718">
        <f>G569*VLOOKUP($B569,'Emissions factors'!$B$1336:$W$1341,5,FALSE)+J569*VLOOKUP($B569,'Emissions factors'!$B$1336:$W$1341,15,FALSE)</f>
        <v>0</v>
      </c>
      <c r="AU569" s="718">
        <f>G569*VLOOKUP($B569,'Emissions factors'!$B$1336:$W$1341,6,FALSE)+J569*VLOOKUP($B569,'Emissions factors'!$B$1336:$W$1341,16,FALSE)</f>
        <v>0</v>
      </c>
      <c r="AV569" s="718">
        <f>G569*VLOOKUP($B569,'Emissions factors'!$B$1336:$W$1341,7,FALSE)+J569*VLOOKUP($B569,'Emissions factors'!$B$1336:$W$1341,17,FALSE)</f>
        <v>0</v>
      </c>
      <c r="AW569" s="718">
        <f>G569*VLOOKUP($B569,'Emissions factors'!$B$1336:$W$1341,8,FALSE)+J569*VLOOKUP($B569,'Emissions factors'!$B$1336:$W$1341,18,FALSE)</f>
        <v>0</v>
      </c>
      <c r="AX569" s="718">
        <f>G569*VLOOKUP($B569,'Emissions factors'!$B$1336:$W$1341,9,FALSE)+J569*VLOOKUP($B569,'Emissions factors'!$B$1336:$W$1341,19,FALSE)</f>
        <v>0</v>
      </c>
      <c r="AY569" s="718">
        <v>0</v>
      </c>
      <c r="AZ569" s="718">
        <v>0</v>
      </c>
      <c r="BA569" s="719">
        <f t="shared" si="215"/>
        <v>0</v>
      </c>
      <c r="BB569" s="720">
        <f t="shared" si="215"/>
        <v>0</v>
      </c>
      <c r="BC569" s="717">
        <f>G569*VLOOKUP($B569,'Emissions factors'!$B$1336:$W$1341,10,FALSE)+J569*VLOOKUP($B569,'Emissions factors'!$B$1336:$W$1341,20,FALSE)</f>
        <v>0</v>
      </c>
      <c r="BD569" s="721">
        <f>G569*VLOOKUP($B569,'Emissions factors'!$B$1336:$W$1341,11,FALSE)+J569*VLOOKUP($B569,'Emissions factors'!$B$1336:$W$1341,21,FALSE)</f>
        <v>0</v>
      </c>
    </row>
    <row r="570" spans="2:56" ht="12.75" hidden="1" customHeight="1" outlineLevel="1" x14ac:dyDescent="0.2">
      <c r="B570" s="213"/>
      <c r="C570" s="214"/>
      <c r="D570" s="275"/>
      <c r="E570" s="268"/>
      <c r="F570" s="214"/>
      <c r="G570" s="201"/>
      <c r="H570" s="201"/>
      <c r="I570" s="201"/>
      <c r="J570" s="473"/>
      <c r="K570" s="473"/>
      <c r="L570" s="473"/>
      <c r="M570" s="474"/>
      <c r="N570" s="227"/>
      <c r="O570" s="466"/>
      <c r="X570" s="213"/>
      <c r="Y570" s="214"/>
      <c r="Z570" s="214"/>
      <c r="AA570" s="214"/>
      <c r="AB570" s="269"/>
      <c r="AC570" s="466"/>
      <c r="AF570" s="213"/>
      <c r="AG570" s="413"/>
      <c r="AH570" s="413"/>
      <c r="AI570" s="210"/>
      <c r="AJ570" s="413"/>
      <c r="AK570" s="214"/>
      <c r="AL570" s="214"/>
      <c r="AM570" s="214"/>
      <c r="AN570" s="210"/>
      <c r="AO570" s="466"/>
      <c r="AS570" s="717"/>
      <c r="AT570" s="718"/>
      <c r="AU570" s="718"/>
      <c r="AV570" s="718"/>
      <c r="AW570" s="718"/>
      <c r="AX570" s="718"/>
      <c r="AY570" s="718"/>
      <c r="AZ570" s="718"/>
      <c r="BA570" s="719"/>
      <c r="BB570" s="720"/>
      <c r="BC570" s="722"/>
      <c r="BD570" s="723"/>
    </row>
    <row r="571" spans="2:56" ht="12.75" hidden="1" customHeight="1" outlineLevel="1" x14ac:dyDescent="0.2">
      <c r="B571" s="253" t="s">
        <v>44</v>
      </c>
      <c r="C571" s="254"/>
      <c r="D571" s="264">
        <f>SUM(D567:D570)</f>
        <v>0</v>
      </c>
      <c r="E571" s="267">
        <f>SUM(E567:E570)</f>
        <v>0</v>
      </c>
      <c r="F571" s="254"/>
      <c r="G571" s="254"/>
      <c r="H571" s="254"/>
      <c r="I571" s="254"/>
      <c r="J571" s="254"/>
      <c r="K571" s="487"/>
      <c r="L571" s="487"/>
      <c r="M571" s="488">
        <f>SUM(M567:M570)</f>
        <v>0</v>
      </c>
      <c r="N571" s="259">
        <f>SUM(N567:N570)</f>
        <v>0</v>
      </c>
      <c r="O571" s="428">
        <f>SUM(O567:O570)</f>
        <v>0</v>
      </c>
      <c r="X571" s="258"/>
      <c r="Y571" s="256"/>
      <c r="Z571" s="260">
        <f>SQRT(SUMSQ(Z567:Z570))</f>
        <v>0</v>
      </c>
      <c r="AA571" s="260">
        <f>SQRT(SUMSQ(AA567:AA570))</f>
        <v>0</v>
      </c>
      <c r="AB571" s="259">
        <f>SQRT(SUMSQ(AB567:AB570))</f>
        <v>0</v>
      </c>
      <c r="AC571" s="428">
        <f>SQRT(SUMSQ(AC567:AC570))</f>
        <v>0</v>
      </c>
      <c r="AF571" s="258"/>
      <c r="AG571" s="260">
        <f>SUM(AG567:AG570)</f>
        <v>0</v>
      </c>
      <c r="AH571" s="260">
        <f>SUM(AH567:AH570)</f>
        <v>0</v>
      </c>
      <c r="AI571" s="259">
        <f>SUM(AI567:AI570)</f>
        <v>0</v>
      </c>
      <c r="AJ571" s="260">
        <f>SUM(AJ567:AJ570)</f>
        <v>0</v>
      </c>
      <c r="AK571" s="256"/>
      <c r="AL571" s="260">
        <f>SUM(AL567:AL570)</f>
        <v>0</v>
      </c>
      <c r="AM571" s="260">
        <f>SUM(AM567:AM570)</f>
        <v>0</v>
      </c>
      <c r="AN571" s="259">
        <f>SUM(AN567:AN570)</f>
        <v>0</v>
      </c>
      <c r="AO571" s="428">
        <f>SUM(AO567:AO570)</f>
        <v>0</v>
      </c>
      <c r="AS571" s="724">
        <f t="shared" ref="AS571:BD571" si="216">SUM(AS567:AS570)</f>
        <v>0</v>
      </c>
      <c r="AT571" s="725">
        <f t="shared" si="216"/>
        <v>0</v>
      </c>
      <c r="AU571" s="725">
        <f t="shared" si="216"/>
        <v>0</v>
      </c>
      <c r="AV571" s="725">
        <f t="shared" si="216"/>
        <v>0</v>
      </c>
      <c r="AW571" s="725">
        <f t="shared" si="216"/>
        <v>0</v>
      </c>
      <c r="AX571" s="725">
        <f t="shared" si="216"/>
        <v>0</v>
      </c>
      <c r="AY571" s="725">
        <f t="shared" si="216"/>
        <v>0</v>
      </c>
      <c r="AZ571" s="725">
        <f t="shared" si="216"/>
        <v>0</v>
      </c>
      <c r="BA571" s="726">
        <f t="shared" si="216"/>
        <v>0</v>
      </c>
      <c r="BB571" s="727">
        <f t="shared" si="216"/>
        <v>0</v>
      </c>
      <c r="BC571" s="724">
        <f t="shared" si="216"/>
        <v>0</v>
      </c>
      <c r="BD571" s="728">
        <f t="shared" si="216"/>
        <v>0</v>
      </c>
    </row>
    <row r="572" spans="2:56" ht="12.75" hidden="1" customHeight="1" outlineLevel="1" x14ac:dyDescent="0.2">
      <c r="AR572" s="32"/>
      <c r="AS572" s="743"/>
      <c r="AT572" s="743"/>
      <c r="AU572" s="743"/>
      <c r="AV572" s="743"/>
      <c r="AW572" s="743"/>
      <c r="AX572" s="743"/>
      <c r="AY572" s="743"/>
      <c r="BC572" s="743"/>
      <c r="BD572" s="743"/>
    </row>
    <row r="573" spans="2:56" ht="12.75" hidden="1" customHeight="1" outlineLevel="1" x14ac:dyDescent="0.2">
      <c r="B573" s="195" t="s">
        <v>2922</v>
      </c>
      <c r="C573" s="196"/>
      <c r="D573" s="196"/>
      <c r="E573" s="196"/>
      <c r="F573" s="198"/>
      <c r="G573" s="198"/>
      <c r="H573" s="198"/>
      <c r="I573" s="198"/>
      <c r="J573" s="198"/>
      <c r="K573" s="198"/>
      <c r="L573" s="198"/>
      <c r="M573" s="217"/>
      <c r="N573" s="217"/>
      <c r="O573" s="218"/>
      <c r="X573" s="1746" t="s">
        <v>723</v>
      </c>
      <c r="Y573" s="1747"/>
      <c r="Z573" s="1747"/>
      <c r="AA573" s="1747"/>
      <c r="AB573" s="1747"/>
      <c r="AC573" s="1748"/>
      <c r="AF573" s="1746" t="s">
        <v>2066</v>
      </c>
      <c r="AG573" s="1747"/>
      <c r="AH573" s="1747"/>
      <c r="AI573" s="1747"/>
      <c r="AJ573" s="1747"/>
      <c r="AK573" s="1747"/>
      <c r="AL573" s="1747"/>
      <c r="AM573" s="1747"/>
      <c r="AN573" s="1747"/>
      <c r="AO573" s="1748"/>
      <c r="AS573" s="1755" t="s">
        <v>2073</v>
      </c>
      <c r="AT573" s="1756"/>
      <c r="AU573" s="1756"/>
      <c r="AV573" s="1756"/>
      <c r="AW573" s="1756"/>
      <c r="AX573" s="1756"/>
      <c r="AY573" s="1756"/>
      <c r="AZ573" s="1756"/>
      <c r="BA573" s="1756"/>
      <c r="BB573" s="1756"/>
      <c r="BC573" s="1756"/>
      <c r="BD573" s="1757"/>
    </row>
    <row r="574" spans="2:56" ht="12.75" hidden="1" customHeight="1" outlineLevel="1" x14ac:dyDescent="0.2">
      <c r="B574" s="417"/>
      <c r="C574" s="225"/>
      <c r="D574" s="705"/>
      <c r="E574" s="705"/>
      <c r="F574" s="201"/>
      <c r="G574" s="201"/>
      <c r="H574" s="201"/>
      <c r="I574" s="201"/>
      <c r="J574" s="214"/>
      <c r="K574" s="201"/>
      <c r="L574" s="201"/>
      <c r="M574" s="1745" t="s">
        <v>2646</v>
      </c>
      <c r="N574" s="1745"/>
      <c r="O574" s="1378" t="s">
        <v>2639</v>
      </c>
      <c r="X574" s="216"/>
      <c r="Y574" s="217"/>
      <c r="Z574" s="705"/>
      <c r="AA574" s="705"/>
      <c r="AB574" s="705"/>
      <c r="AC574" s="1378" t="s">
        <v>2639</v>
      </c>
      <c r="AF574" s="216"/>
      <c r="AG574" s="705"/>
      <c r="AH574" s="705"/>
      <c r="AI574" s="705"/>
      <c r="AJ574" s="1465" t="s">
        <v>2639</v>
      </c>
      <c r="AK574" s="217"/>
      <c r="AL574" s="705"/>
      <c r="AM574" s="705"/>
      <c r="AN574" s="705"/>
      <c r="AO574" s="1468" t="s">
        <v>2639</v>
      </c>
      <c r="AS574" s="1758" t="s">
        <v>61</v>
      </c>
      <c r="AT574" s="1759"/>
      <c r="AU574" s="1759"/>
      <c r="AV574" s="1759"/>
      <c r="AW574" s="1759"/>
      <c r="AX574" s="1759"/>
      <c r="AY574" s="1759"/>
      <c r="AZ574" s="1759"/>
      <c r="BA574" s="1759" t="s">
        <v>61</v>
      </c>
      <c r="BB574" s="1760"/>
      <c r="BC574" s="730"/>
      <c r="BD574" s="731"/>
    </row>
    <row r="575" spans="2:56" ht="12.75" hidden="1" customHeight="1" outlineLevel="1" x14ac:dyDescent="0.2">
      <c r="B575" s="1630" t="s">
        <v>2923</v>
      </c>
      <c r="C575" s="1370"/>
      <c r="D575" s="1370" t="s">
        <v>56</v>
      </c>
      <c r="E575" s="1370" t="s">
        <v>56</v>
      </c>
      <c r="F575" s="205" t="s">
        <v>2634</v>
      </c>
      <c r="G575" s="205"/>
      <c r="H575" s="1744" t="s">
        <v>1308</v>
      </c>
      <c r="I575" s="1745"/>
      <c r="J575" s="205"/>
      <c r="K575" s="1744" t="s">
        <v>1281</v>
      </c>
      <c r="L575" s="1745"/>
      <c r="M575" s="705" t="s">
        <v>61</v>
      </c>
      <c r="N575" s="705" t="s">
        <v>61</v>
      </c>
      <c r="O575" s="1378" t="s">
        <v>30</v>
      </c>
      <c r="X575" s="1630" t="s">
        <v>2605</v>
      </c>
      <c r="Y575" s="1370" t="s">
        <v>2110</v>
      </c>
      <c r="Z575" s="1370" t="s">
        <v>61</v>
      </c>
      <c r="AA575" s="1370" t="s">
        <v>61</v>
      </c>
      <c r="AB575" s="705" t="s">
        <v>61</v>
      </c>
      <c r="AC575" s="1378" t="s">
        <v>30</v>
      </c>
      <c r="AF575" s="1466" t="s">
        <v>2065</v>
      </c>
      <c r="AG575" s="1465" t="s">
        <v>61</v>
      </c>
      <c r="AH575" s="1465" t="s">
        <v>61</v>
      </c>
      <c r="AI575" s="705" t="s">
        <v>61</v>
      </c>
      <c r="AJ575" s="1465" t="s">
        <v>30</v>
      </c>
      <c r="AK575" s="1465" t="s">
        <v>2558</v>
      </c>
      <c r="AL575" s="1465" t="s">
        <v>61</v>
      </c>
      <c r="AM575" s="1465" t="s">
        <v>61</v>
      </c>
      <c r="AN575" s="705" t="s">
        <v>61</v>
      </c>
      <c r="AO575" s="1468" t="s">
        <v>30</v>
      </c>
      <c r="AS575" s="1764" t="s">
        <v>14</v>
      </c>
      <c r="AT575" s="1761"/>
      <c r="AU575" s="1761" t="s">
        <v>60</v>
      </c>
      <c r="AV575" s="1761"/>
      <c r="AW575" s="1761" t="s">
        <v>27</v>
      </c>
      <c r="AX575" s="1761"/>
      <c r="AY575" s="1761" t="s">
        <v>2074</v>
      </c>
      <c r="AZ575" s="1761"/>
      <c r="BA575" s="1762" t="s">
        <v>41</v>
      </c>
      <c r="BB575" s="1763"/>
      <c r="BC575" s="1764" t="s">
        <v>85</v>
      </c>
      <c r="BD575" s="1765"/>
    </row>
    <row r="576" spans="2:56" ht="12.75" hidden="1" customHeight="1" outlineLevel="1" x14ac:dyDescent="0.2">
      <c r="B576" s="1369"/>
      <c r="C576" s="1370"/>
      <c r="D576" s="1370" t="s">
        <v>61</v>
      </c>
      <c r="E576" s="1370" t="s">
        <v>63</v>
      </c>
      <c r="F576" s="1623" t="s">
        <v>2054</v>
      </c>
      <c r="G576" s="208" t="s">
        <v>57</v>
      </c>
      <c r="H576" s="1377" t="s">
        <v>768</v>
      </c>
      <c r="I576" s="1377" t="s">
        <v>24</v>
      </c>
      <c r="J576" s="208" t="s">
        <v>2635</v>
      </c>
      <c r="K576" s="1377" t="s">
        <v>768</v>
      </c>
      <c r="L576" s="1377" t="s">
        <v>24</v>
      </c>
      <c r="M576" s="1376" t="s">
        <v>768</v>
      </c>
      <c r="N576" s="1376" t="s">
        <v>24</v>
      </c>
      <c r="O576" s="1378" t="s">
        <v>61</v>
      </c>
      <c r="X576" s="1630" t="s">
        <v>2109</v>
      </c>
      <c r="Y576" s="1370"/>
      <c r="Z576" s="1377" t="s">
        <v>768</v>
      </c>
      <c r="AA576" s="1377" t="s">
        <v>24</v>
      </c>
      <c r="AB576" s="223" t="s">
        <v>41</v>
      </c>
      <c r="AC576" s="1378" t="s">
        <v>61</v>
      </c>
      <c r="AF576" s="1466"/>
      <c r="AG576" s="1467" t="s">
        <v>768</v>
      </c>
      <c r="AH576" s="1467" t="s">
        <v>24</v>
      </c>
      <c r="AI576" s="223" t="s">
        <v>41</v>
      </c>
      <c r="AJ576" s="1465" t="s">
        <v>61</v>
      </c>
      <c r="AK576" s="1465"/>
      <c r="AL576" s="1467" t="s">
        <v>768</v>
      </c>
      <c r="AM576" s="1467" t="s">
        <v>24</v>
      </c>
      <c r="AN576" s="223" t="s">
        <v>41</v>
      </c>
      <c r="AO576" s="1468" t="s">
        <v>61</v>
      </c>
      <c r="AS576" s="732" t="s">
        <v>768</v>
      </c>
      <c r="AT576" s="733" t="s">
        <v>24</v>
      </c>
      <c r="AU576" s="733" t="s">
        <v>768</v>
      </c>
      <c r="AV576" s="733" t="s">
        <v>24</v>
      </c>
      <c r="AW576" s="733" t="s">
        <v>768</v>
      </c>
      <c r="AX576" s="733" t="s">
        <v>24</v>
      </c>
      <c r="AY576" s="733" t="s">
        <v>768</v>
      </c>
      <c r="AZ576" s="733" t="s">
        <v>24</v>
      </c>
      <c r="BA576" s="734" t="s">
        <v>768</v>
      </c>
      <c r="BB576" s="735" t="s">
        <v>24</v>
      </c>
      <c r="BC576" s="732" t="s">
        <v>768</v>
      </c>
      <c r="BD576" s="736" t="s">
        <v>24</v>
      </c>
    </row>
    <row r="577" spans="2:56" ht="12.75" hidden="1" customHeight="1" outlineLevel="1" x14ac:dyDescent="0.2">
      <c r="B577" s="236" t="s">
        <v>1388</v>
      </c>
      <c r="C577" s="237"/>
      <c r="D577" s="262">
        <f>M577+N577</f>
        <v>0</v>
      </c>
      <c r="E577" s="265">
        <f>D577*12/44</f>
        <v>0</v>
      </c>
      <c r="F577" s="559"/>
      <c r="G577" s="182"/>
      <c r="H577" s="492">
        <f>VLOOKUP($B577,'Emissions factors'!$B$1366:$W$1371,2,FALSE)</f>
        <v>2.9617020568900001E-2</v>
      </c>
      <c r="I577" s="492">
        <f>VLOOKUP($B577,'Emissions factors'!$B$1366:$W$1371,3,FALSE)</f>
        <v>0.180940559369</v>
      </c>
      <c r="J577" s="182"/>
      <c r="K577" s="789">
        <f>VLOOKUP($B577,'Emissions factors'!$B$1366:$W$1371,12,FALSE)</f>
        <v>69.496338765100006</v>
      </c>
      <c r="L577" s="789">
        <f>VLOOKUP($B577,'Emissions factors'!$B$1366:$W$1371,13,FALSE)</f>
        <v>424.57702255800001</v>
      </c>
      <c r="M577" s="465">
        <f>G577*H577+J577*K577</f>
        <v>0</v>
      </c>
      <c r="N577" s="210">
        <f>G577*I577+J577*L577</f>
        <v>0</v>
      </c>
      <c r="O577" s="222">
        <f>IF(OR(F577='Info utili'!$G$532,F577='Info utili'!$G$537),N577,0)</f>
        <v>0</v>
      </c>
      <c r="X577" s="282">
        <f>VLOOKUP($B577,'Emissions factors'!$B$1366:$W$1371,22,FALSE)</f>
        <v>0.6</v>
      </c>
      <c r="Y577" s="184"/>
      <c r="Z577" s="221">
        <f>M577*SQRT(X577^2+Y577^2)</f>
        <v>0</v>
      </c>
      <c r="AA577" s="221">
        <f>N577*SQRT(X577^2+Y577^2)</f>
        <v>0</v>
      </c>
      <c r="AB577" s="210">
        <f>SQRT(Z577^2+AA577^2)</f>
        <v>0</v>
      </c>
      <c r="AC577" s="222">
        <f>O577*SQRT(X577^2+Y577^2)</f>
        <v>0</v>
      </c>
      <c r="AF577" s="183"/>
      <c r="AG577" s="221">
        <f>AF577*M577</f>
        <v>0</v>
      </c>
      <c r="AH577" s="221">
        <f>AF577*N577</f>
        <v>0</v>
      </c>
      <c r="AI577" s="210">
        <f>AG577+AH577</f>
        <v>0</v>
      </c>
      <c r="AJ577" s="221">
        <f>AF577*O577</f>
        <v>0</v>
      </c>
      <c r="AK577" s="183"/>
      <c r="AL577" s="221">
        <f t="shared" ref="AL577:AM579" si="217">$AK577*M577</f>
        <v>0</v>
      </c>
      <c r="AM577" s="221">
        <f t="shared" si="217"/>
        <v>0</v>
      </c>
      <c r="AN577" s="210">
        <f>AL577+AM577</f>
        <v>0</v>
      </c>
      <c r="AO577" s="222">
        <f>AK577*O577</f>
        <v>0</v>
      </c>
      <c r="AS577" s="717">
        <f>G577*VLOOKUP($B577,'Emissions factors'!$B$1366:$W$1371,4,FALSE)+J577*VLOOKUP($B577,'Emissions factors'!$B$1366:$W$1371,14,FALSE)</f>
        <v>0</v>
      </c>
      <c r="AT577" s="718">
        <f>G577*VLOOKUP($B577,'Emissions factors'!$B$1366:$W$1371,5,FALSE)+J577*VLOOKUP($B577,'Emissions factors'!$B$1366:$W$1371,15,FALSE)</f>
        <v>0</v>
      </c>
      <c r="AU577" s="718">
        <f>G577*VLOOKUP($B577,'Emissions factors'!$B$1366:$W$1371,6,FALSE)+J577*VLOOKUP($B577,'Emissions factors'!$B$1366:$W$1371,16,FALSE)</f>
        <v>0</v>
      </c>
      <c r="AV577" s="718">
        <f>G577*VLOOKUP($B577,'Emissions factors'!$B$1366:$W$1371,7,FALSE)+J577*VLOOKUP($B577,'Emissions factors'!$B$1366:$W$1371,17,FALSE)</f>
        <v>0</v>
      </c>
      <c r="AW577" s="718">
        <f>G577*VLOOKUP($B577,'Emissions factors'!$B$1366:$W$1371,8,FALSE)+J577*VLOOKUP($B577,'Emissions factors'!$B$1366:$W$1371,18,FALSE)</f>
        <v>0</v>
      </c>
      <c r="AX577" s="718">
        <f>G577*VLOOKUP($B577,'Emissions factors'!$B$1366:$W$1371,9,FALSE)+J577*VLOOKUP($B577,'Emissions factors'!$B$1366:$W$1371,19,FALSE)</f>
        <v>0</v>
      </c>
      <c r="AY577" s="718">
        <v>0</v>
      </c>
      <c r="AZ577" s="718">
        <v>0</v>
      </c>
      <c r="BA577" s="719">
        <f t="shared" ref="BA577:BB579" si="218">M577</f>
        <v>0</v>
      </c>
      <c r="BB577" s="720">
        <f t="shared" si="218"/>
        <v>0</v>
      </c>
      <c r="BC577" s="717">
        <f>G577*VLOOKUP($B577,'Emissions factors'!$B$1366:$W$1371,10,FALSE)+J577*VLOOKUP($B577,'Emissions factors'!$B$1366:$W$1371,20,FALSE)</f>
        <v>0</v>
      </c>
      <c r="BD577" s="721">
        <f>G577*VLOOKUP($B577,'Emissions factors'!$B$1366:$W$1371,11,FALSE)+J577*VLOOKUP($B577,'Emissions factors'!$B$1366:$W$1371,21,FALSE)</f>
        <v>0</v>
      </c>
    </row>
    <row r="578" spans="2:56" ht="12.75" hidden="1" customHeight="1" outlineLevel="1" x14ac:dyDescent="0.2">
      <c r="B578" s="236" t="s">
        <v>1389</v>
      </c>
      <c r="C578" s="237"/>
      <c r="D578" s="262">
        <f>M578+N578</f>
        <v>0</v>
      </c>
      <c r="E578" s="265">
        <f>D578*12/44</f>
        <v>0</v>
      </c>
      <c r="F578" s="442"/>
      <c r="G578" s="185"/>
      <c r="H578" s="492">
        <f>VLOOKUP($B578,'Emissions factors'!$B$1366:$W$1371,2,FALSE)</f>
        <v>4.7449136941499999E-2</v>
      </c>
      <c r="I578" s="492">
        <f>VLOOKUP($B578,'Emissions factors'!$B$1366:$W$1371,3,FALSE)</f>
        <v>0.265858064452</v>
      </c>
      <c r="J578" s="185"/>
      <c r="K578" s="789">
        <f>VLOOKUP($B578,'Emissions factors'!$B$1366:$W$1371,12,FALSE)</f>
        <v>61.250098014099997</v>
      </c>
      <c r="L578" s="789">
        <f>VLOOKUP($B578,'Emissions factors'!$B$1366:$W$1371,13,FALSE)</f>
        <v>343.18500936300001</v>
      </c>
      <c r="M578" s="465">
        <f>G578*H578+J578*K578</f>
        <v>0</v>
      </c>
      <c r="N578" s="210">
        <f>G578*I578+J578*L578</f>
        <v>0</v>
      </c>
      <c r="O578" s="222">
        <f>IF(OR(F578='Info utili'!$G$532,F578='Info utili'!$G$537),N578,0)</f>
        <v>0</v>
      </c>
      <c r="X578" s="282">
        <f>VLOOKUP($B578,'Emissions factors'!$B$1366:$W$1371,22,FALSE)</f>
        <v>0.6</v>
      </c>
      <c r="Y578" s="187"/>
      <c r="Z578" s="221">
        <f>M578*SQRT(X578^2+Y578^2)</f>
        <v>0</v>
      </c>
      <c r="AA578" s="221">
        <f>N578*SQRT(X578^2+Y578^2)</f>
        <v>0</v>
      </c>
      <c r="AB578" s="210">
        <f>SQRT(Z578^2+AA578^2)</f>
        <v>0</v>
      </c>
      <c r="AC578" s="222">
        <f>O578*SQRT(X578^2+Y578^2)</f>
        <v>0</v>
      </c>
      <c r="AF578" s="186"/>
      <c r="AG578" s="221">
        <f>AF578*M578</f>
        <v>0</v>
      </c>
      <c r="AH578" s="221">
        <f>AF578*N578</f>
        <v>0</v>
      </c>
      <c r="AI578" s="210">
        <f>AG578+AH578</f>
        <v>0</v>
      </c>
      <c r="AJ578" s="221">
        <f>AF578*O578</f>
        <v>0</v>
      </c>
      <c r="AK578" s="186"/>
      <c r="AL578" s="221">
        <f t="shared" si="217"/>
        <v>0</v>
      </c>
      <c r="AM578" s="221">
        <f t="shared" si="217"/>
        <v>0</v>
      </c>
      <c r="AN578" s="210">
        <f>AL578+AM578</f>
        <v>0</v>
      </c>
      <c r="AO578" s="222">
        <f>AK578*O578</f>
        <v>0</v>
      </c>
      <c r="AS578" s="717">
        <f>G578*VLOOKUP($B578,'Emissions factors'!$B$1366:$W$1371,4,FALSE)+J578*VLOOKUP($B578,'Emissions factors'!$B$1366:$W$1371,14,FALSE)</f>
        <v>0</v>
      </c>
      <c r="AT578" s="718">
        <f>G578*VLOOKUP($B578,'Emissions factors'!$B$1366:$W$1371,5,FALSE)+J578*VLOOKUP($B578,'Emissions factors'!$B$1366:$W$1371,15,FALSE)</f>
        <v>0</v>
      </c>
      <c r="AU578" s="718">
        <f>G578*VLOOKUP($B578,'Emissions factors'!$B$1366:$W$1371,6,FALSE)+J578*VLOOKUP($B578,'Emissions factors'!$B$1366:$W$1371,16,FALSE)</f>
        <v>0</v>
      </c>
      <c r="AV578" s="718">
        <f>G578*VLOOKUP($B578,'Emissions factors'!$B$1366:$W$1371,7,FALSE)+J578*VLOOKUP($B578,'Emissions factors'!$B$1366:$W$1371,17,FALSE)</f>
        <v>0</v>
      </c>
      <c r="AW578" s="718">
        <f>G578*VLOOKUP($B578,'Emissions factors'!$B$1366:$W$1371,8,FALSE)+J578*VLOOKUP($B578,'Emissions factors'!$B$1366:$W$1371,18,FALSE)</f>
        <v>0</v>
      </c>
      <c r="AX578" s="718">
        <f>G578*VLOOKUP($B578,'Emissions factors'!$B$1366:$W$1371,9,FALSE)+J578*VLOOKUP($B578,'Emissions factors'!$B$1366:$W$1371,19,FALSE)</f>
        <v>0</v>
      </c>
      <c r="AY578" s="718">
        <v>0</v>
      </c>
      <c r="AZ578" s="718">
        <v>0</v>
      </c>
      <c r="BA578" s="719">
        <f t="shared" si="218"/>
        <v>0</v>
      </c>
      <c r="BB578" s="720">
        <f t="shared" si="218"/>
        <v>0</v>
      </c>
      <c r="BC578" s="717">
        <f>G578*VLOOKUP($B578,'Emissions factors'!$B$1366:$W$1371,10,FALSE)+J578*VLOOKUP($B578,'Emissions factors'!$B$1366:$W$1371,20,FALSE)</f>
        <v>0</v>
      </c>
      <c r="BD578" s="721">
        <f>G578*VLOOKUP($B578,'Emissions factors'!$B$1366:$W$1371,11,FALSE)+J578*VLOOKUP($B578,'Emissions factors'!$B$1366:$W$1371,21,FALSE)</f>
        <v>0</v>
      </c>
    </row>
    <row r="579" spans="2:56" ht="12.75" hidden="1" customHeight="1" outlineLevel="1" x14ac:dyDescent="0.2">
      <c r="B579" s="236" t="s">
        <v>1390</v>
      </c>
      <c r="C579" s="237"/>
      <c r="D579" s="262">
        <f>M579+N579</f>
        <v>0</v>
      </c>
      <c r="E579" s="265">
        <f>D579*12/44</f>
        <v>0</v>
      </c>
      <c r="F579" s="443"/>
      <c r="G579" s="188"/>
      <c r="H579" s="492">
        <f>VLOOKUP($B579,'Emissions factors'!$B$1366:$W$1371,2,FALSE)</f>
        <v>3.2954476275300001E-2</v>
      </c>
      <c r="I579" s="492">
        <f>VLOOKUP($B579,'Emissions factors'!$B$1366:$W$1371,3,FALSE)</f>
        <v>0.20893177855</v>
      </c>
      <c r="J579" s="188"/>
      <c r="K579" s="789">
        <f>VLOOKUP($B579,'Emissions factors'!$B$1366:$W$1371,12,FALSE)</f>
        <v>56.978289480100003</v>
      </c>
      <c r="L579" s="789">
        <f>VLOOKUP($B579,'Emissions factors'!$B$1366:$W$1371,13,FALSE)</f>
        <v>361.24304511299999</v>
      </c>
      <c r="M579" s="465">
        <f>G579*H579+J579*K579</f>
        <v>0</v>
      </c>
      <c r="N579" s="210">
        <f>G579*I579+J579*L579</f>
        <v>0</v>
      </c>
      <c r="O579" s="222">
        <f>IF(OR(F579='Info utili'!$G$532,F579='Info utili'!$G$537),N579,0)</f>
        <v>0</v>
      </c>
      <c r="X579" s="282">
        <f>VLOOKUP($B579,'Emissions factors'!$B$1366:$W$1371,22,FALSE)</f>
        <v>0.6</v>
      </c>
      <c r="Y579" s="190"/>
      <c r="Z579" s="221">
        <f>M579*SQRT(X579^2+Y579^2)</f>
        <v>0</v>
      </c>
      <c r="AA579" s="221">
        <f>N579*SQRT(X579^2+Y579^2)</f>
        <v>0</v>
      </c>
      <c r="AB579" s="210">
        <f>SQRT(Z579^2+AA579^2)</f>
        <v>0</v>
      </c>
      <c r="AC579" s="222">
        <f>O579*SQRT(X579^2+Y579^2)</f>
        <v>0</v>
      </c>
      <c r="AF579" s="189"/>
      <c r="AG579" s="221">
        <f>AF579*M579</f>
        <v>0</v>
      </c>
      <c r="AH579" s="221">
        <f>AF579*N579</f>
        <v>0</v>
      </c>
      <c r="AI579" s="210">
        <f>AG579+AH579</f>
        <v>0</v>
      </c>
      <c r="AJ579" s="221">
        <f>AF579*O579</f>
        <v>0</v>
      </c>
      <c r="AK579" s="189"/>
      <c r="AL579" s="221">
        <f t="shared" si="217"/>
        <v>0</v>
      </c>
      <c r="AM579" s="221">
        <f t="shared" si="217"/>
        <v>0</v>
      </c>
      <c r="AN579" s="210">
        <f>AL579+AM579</f>
        <v>0</v>
      </c>
      <c r="AO579" s="222">
        <f>AK579*O579</f>
        <v>0</v>
      </c>
      <c r="AS579" s="717">
        <f>G579*VLOOKUP($B579,'Emissions factors'!$B$1366:$W$1371,4,FALSE)+J579*VLOOKUP($B579,'Emissions factors'!$B$1366:$W$1371,14,FALSE)</f>
        <v>0</v>
      </c>
      <c r="AT579" s="718">
        <f>G579*VLOOKUP($B579,'Emissions factors'!$B$1366:$W$1371,5,FALSE)+J579*VLOOKUP($B579,'Emissions factors'!$B$1366:$W$1371,15,FALSE)</f>
        <v>0</v>
      </c>
      <c r="AU579" s="718">
        <f>G579*VLOOKUP($B579,'Emissions factors'!$B$1366:$W$1371,6,FALSE)+J579*VLOOKUP($B579,'Emissions factors'!$B$1366:$W$1371,16,FALSE)</f>
        <v>0</v>
      </c>
      <c r="AV579" s="718">
        <f>G579*VLOOKUP($B579,'Emissions factors'!$B$1366:$W$1371,7,FALSE)+J579*VLOOKUP($B579,'Emissions factors'!$B$1366:$W$1371,17,FALSE)</f>
        <v>0</v>
      </c>
      <c r="AW579" s="718">
        <f>G579*VLOOKUP($B579,'Emissions factors'!$B$1366:$W$1371,8,FALSE)+J579*VLOOKUP($B579,'Emissions factors'!$B$1366:$W$1371,18,FALSE)</f>
        <v>0</v>
      </c>
      <c r="AX579" s="718">
        <f>G579*VLOOKUP($B579,'Emissions factors'!$B$1366:$W$1371,9,FALSE)+J579*VLOOKUP($B579,'Emissions factors'!$B$1366:$W$1371,19,FALSE)</f>
        <v>0</v>
      </c>
      <c r="AY579" s="718">
        <v>0</v>
      </c>
      <c r="AZ579" s="718">
        <v>0</v>
      </c>
      <c r="BA579" s="719">
        <f t="shared" si="218"/>
        <v>0</v>
      </c>
      <c r="BB579" s="720">
        <f t="shared" si="218"/>
        <v>0</v>
      </c>
      <c r="BC579" s="717">
        <f>G579*VLOOKUP($B579,'Emissions factors'!$B$1366:$W$1371,10,FALSE)+J579*VLOOKUP($B579,'Emissions factors'!$B$1366:$W$1371,20,FALSE)</f>
        <v>0</v>
      </c>
      <c r="BD579" s="721">
        <f>G579*VLOOKUP($B579,'Emissions factors'!$B$1366:$W$1371,11,FALSE)+J579*VLOOKUP($B579,'Emissions factors'!$B$1366:$W$1371,21,FALSE)</f>
        <v>0</v>
      </c>
    </row>
    <row r="580" spans="2:56" ht="12.75" hidden="1" customHeight="1" outlineLevel="1" x14ac:dyDescent="0.2">
      <c r="B580" s="200"/>
      <c r="C580" s="201"/>
      <c r="D580" s="275"/>
      <c r="E580" s="268"/>
      <c r="F580" s="201"/>
      <c r="G580" s="201"/>
      <c r="H580" s="201"/>
      <c r="I580" s="201"/>
      <c r="J580" s="473"/>
      <c r="K580" s="473"/>
      <c r="L580" s="473"/>
      <c r="M580" s="475"/>
      <c r="N580" s="475"/>
      <c r="O580" s="222"/>
      <c r="X580" s="200"/>
      <c r="Y580" s="201"/>
      <c r="Z580" s="214"/>
      <c r="AA580" s="214"/>
      <c r="AB580" s="269"/>
      <c r="AC580" s="466"/>
      <c r="AF580" s="200"/>
      <c r="AG580" s="201"/>
      <c r="AH580" s="201"/>
      <c r="AI580" s="269"/>
      <c r="AJ580" s="1465"/>
      <c r="AK580" s="201"/>
      <c r="AL580" s="201"/>
      <c r="AM580" s="201"/>
      <c r="AN580" s="269"/>
      <c r="AO580" s="222"/>
      <c r="AS580" s="717"/>
      <c r="AT580" s="718"/>
      <c r="AU580" s="718"/>
      <c r="AV580" s="718"/>
      <c r="AW580" s="718"/>
      <c r="AX580" s="718"/>
      <c r="AY580" s="718"/>
      <c r="AZ580" s="718"/>
      <c r="BA580" s="719"/>
      <c r="BB580" s="720"/>
      <c r="BC580" s="722"/>
      <c r="BD580" s="723"/>
    </row>
    <row r="581" spans="2:56" ht="12.75" hidden="1" customHeight="1" outlineLevel="1" x14ac:dyDescent="0.2">
      <c r="B581" s="253" t="s">
        <v>2828</v>
      </c>
      <c r="C581" s="254"/>
      <c r="D581" s="264">
        <f>SUM(D577:D580)</f>
        <v>0</v>
      </c>
      <c r="E581" s="267">
        <f>SUM(E577:E580)</f>
        <v>0</v>
      </c>
      <c r="F581" s="254"/>
      <c r="G581" s="254"/>
      <c r="H581" s="254"/>
      <c r="I581" s="254"/>
      <c r="J581" s="254"/>
      <c r="K581" s="487"/>
      <c r="L581" s="487"/>
      <c r="M581" s="488">
        <f>SUM(M577:M580)</f>
        <v>0</v>
      </c>
      <c r="N581" s="488">
        <f>SUM(N577:N580)</f>
        <v>0</v>
      </c>
      <c r="O581" s="428">
        <f>SUM(O577:O580)</f>
        <v>0</v>
      </c>
      <c r="X581" s="258"/>
      <c r="Y581" s="256"/>
      <c r="Z581" s="260">
        <f>SQRT(SUMSQ(Z577:Z580))</f>
        <v>0</v>
      </c>
      <c r="AA581" s="260">
        <f>SQRT(SUMSQ(AA577:AA580))</f>
        <v>0</v>
      </c>
      <c r="AB581" s="259">
        <f>SQRT(SUMSQ(AB577:AB580))</f>
        <v>0</v>
      </c>
      <c r="AC581" s="428">
        <f>SQRT(SUMSQ(AC577:AC580))</f>
        <v>0</v>
      </c>
      <c r="AF581" s="258"/>
      <c r="AG581" s="260">
        <f>SUM(AG577:AG580)</f>
        <v>0</v>
      </c>
      <c r="AH581" s="260">
        <f>SUM(AH577:AH580)</f>
        <v>0</v>
      </c>
      <c r="AI581" s="259">
        <f>SUM(AI577:AI580)</f>
        <v>0</v>
      </c>
      <c r="AJ581" s="260">
        <f>SUM(AJ577:AJ580)</f>
        <v>0</v>
      </c>
      <c r="AK581" s="256"/>
      <c r="AL581" s="260">
        <f>SUM(AL577:AL580)</f>
        <v>0</v>
      </c>
      <c r="AM581" s="260">
        <f>SUM(AM577:AM580)</f>
        <v>0</v>
      </c>
      <c r="AN581" s="259">
        <f>SUM(AN577:AN580)</f>
        <v>0</v>
      </c>
      <c r="AO581" s="428">
        <f>SUM(AO577:AO580)</f>
        <v>0</v>
      </c>
      <c r="AS581" s="724">
        <f t="shared" ref="AS581:BD581" si="219">SUM(AS577:AS580)</f>
        <v>0</v>
      </c>
      <c r="AT581" s="725">
        <f t="shared" si="219"/>
        <v>0</v>
      </c>
      <c r="AU581" s="725">
        <f t="shared" si="219"/>
        <v>0</v>
      </c>
      <c r="AV581" s="725">
        <f t="shared" si="219"/>
        <v>0</v>
      </c>
      <c r="AW581" s="725">
        <f t="shared" si="219"/>
        <v>0</v>
      </c>
      <c r="AX581" s="725">
        <f t="shared" si="219"/>
        <v>0</v>
      </c>
      <c r="AY581" s="725">
        <f t="shared" si="219"/>
        <v>0</v>
      </c>
      <c r="AZ581" s="725">
        <f t="shared" si="219"/>
        <v>0</v>
      </c>
      <c r="BA581" s="726">
        <f t="shared" si="219"/>
        <v>0</v>
      </c>
      <c r="BB581" s="727">
        <f t="shared" si="219"/>
        <v>0</v>
      </c>
      <c r="BC581" s="724">
        <f t="shared" si="219"/>
        <v>0</v>
      </c>
      <c r="BD581" s="728">
        <f t="shared" si="219"/>
        <v>0</v>
      </c>
    </row>
    <row r="582" spans="2:56" ht="12.75" hidden="1" customHeight="1" outlineLevel="1" x14ac:dyDescent="0.2">
      <c r="B582" s="42"/>
      <c r="C582" s="42"/>
      <c r="D582" s="42"/>
      <c r="E582" s="42"/>
      <c r="F582" s="42"/>
      <c r="G582" s="42"/>
      <c r="H582" s="42"/>
      <c r="I582" s="42"/>
      <c r="J582" s="42"/>
      <c r="K582" s="42"/>
      <c r="L582" s="42"/>
      <c r="M582" s="42"/>
      <c r="N582" s="42"/>
      <c r="O582" s="42"/>
      <c r="P582" s="42"/>
      <c r="Q582" s="42"/>
      <c r="R582" s="42"/>
      <c r="S582" s="42"/>
      <c r="T582" s="42"/>
      <c r="U582" s="42"/>
      <c r="V582" s="42"/>
    </row>
    <row r="583" spans="2:56" ht="12.75" hidden="1" customHeight="1" outlineLevel="1" x14ac:dyDescent="0.2">
      <c r="B583" s="195" t="s">
        <v>2924</v>
      </c>
      <c r="C583" s="196"/>
      <c r="D583" s="196"/>
      <c r="E583" s="196"/>
      <c r="F583" s="198"/>
      <c r="G583" s="198"/>
      <c r="H583" s="198"/>
      <c r="I583" s="198"/>
      <c r="J583" s="198"/>
      <c r="K583" s="198"/>
      <c r="L583" s="198"/>
      <c r="M583" s="217"/>
      <c r="N583" s="217"/>
      <c r="O583" s="218"/>
      <c r="X583" s="1746" t="s">
        <v>723</v>
      </c>
      <c r="Y583" s="1747"/>
      <c r="Z583" s="1747"/>
      <c r="AA583" s="1747"/>
      <c r="AB583" s="1747"/>
      <c r="AC583" s="1748"/>
      <c r="AF583" s="1746" t="s">
        <v>2066</v>
      </c>
      <c r="AG583" s="1747"/>
      <c r="AH583" s="1747"/>
      <c r="AI583" s="1747"/>
      <c r="AJ583" s="1747"/>
      <c r="AK583" s="1747"/>
      <c r="AL583" s="1747"/>
      <c r="AM583" s="1747"/>
      <c r="AN583" s="1747"/>
      <c r="AO583" s="1748"/>
      <c r="AS583" s="1755" t="s">
        <v>2073</v>
      </c>
      <c r="AT583" s="1756"/>
      <c r="AU583" s="1756"/>
      <c r="AV583" s="1756"/>
      <c r="AW583" s="1756"/>
      <c r="AX583" s="1756"/>
      <c r="AY583" s="1756"/>
      <c r="AZ583" s="1756"/>
      <c r="BA583" s="1756"/>
      <c r="BB583" s="1756"/>
      <c r="BC583" s="1756"/>
      <c r="BD583" s="1757"/>
    </row>
    <row r="584" spans="2:56" ht="12.75" hidden="1" customHeight="1" outlineLevel="1" x14ac:dyDescent="0.2">
      <c r="B584" s="417"/>
      <c r="C584" s="225"/>
      <c r="D584" s="705"/>
      <c r="E584" s="705"/>
      <c r="F584" s="201"/>
      <c r="G584" s="201"/>
      <c r="H584" s="201"/>
      <c r="I584" s="201"/>
      <c r="J584" s="214"/>
      <c r="K584" s="201"/>
      <c r="L584" s="201"/>
      <c r="M584" s="1745" t="s">
        <v>2646</v>
      </c>
      <c r="N584" s="1745"/>
      <c r="O584" s="1378" t="s">
        <v>2639</v>
      </c>
      <c r="X584" s="216"/>
      <c r="Y584" s="217"/>
      <c r="Z584" s="705"/>
      <c r="AA584" s="705"/>
      <c r="AB584" s="705"/>
      <c r="AC584" s="1378" t="s">
        <v>2639</v>
      </c>
      <c r="AF584" s="216"/>
      <c r="AG584" s="705"/>
      <c r="AH584" s="705"/>
      <c r="AI584" s="705"/>
      <c r="AJ584" s="1465" t="s">
        <v>2639</v>
      </c>
      <c r="AK584" s="217"/>
      <c r="AL584" s="705"/>
      <c r="AM584" s="705"/>
      <c r="AN584" s="705"/>
      <c r="AO584" s="1468" t="s">
        <v>2639</v>
      </c>
      <c r="AS584" s="1758" t="s">
        <v>61</v>
      </c>
      <c r="AT584" s="1759"/>
      <c r="AU584" s="1759"/>
      <c r="AV584" s="1759"/>
      <c r="AW584" s="1759"/>
      <c r="AX584" s="1759"/>
      <c r="AY584" s="1759"/>
      <c r="AZ584" s="1759"/>
      <c r="BA584" s="1759" t="s">
        <v>61</v>
      </c>
      <c r="BB584" s="1760"/>
      <c r="BC584" s="730"/>
      <c r="BD584" s="731"/>
    </row>
    <row r="585" spans="2:56" ht="12.75" hidden="1" customHeight="1" outlineLevel="1" x14ac:dyDescent="0.2">
      <c r="B585" s="1630" t="str">
        <f>+B575</f>
        <v>Tipi di nave</v>
      </c>
      <c r="C585" s="1370"/>
      <c r="D585" s="1370" t="s">
        <v>56</v>
      </c>
      <c r="E585" s="1370" t="s">
        <v>56</v>
      </c>
      <c r="F585" s="205" t="s">
        <v>2634</v>
      </c>
      <c r="G585" s="205"/>
      <c r="H585" s="1744" t="s">
        <v>1308</v>
      </c>
      <c r="I585" s="1745"/>
      <c r="J585" s="205"/>
      <c r="K585" s="1744" t="s">
        <v>1281</v>
      </c>
      <c r="L585" s="1745"/>
      <c r="M585" s="705" t="s">
        <v>61</v>
      </c>
      <c r="N585" s="705" t="s">
        <v>61</v>
      </c>
      <c r="O585" s="1378" t="s">
        <v>30</v>
      </c>
      <c r="X585" s="1630" t="s">
        <v>2605</v>
      </c>
      <c r="Y585" s="1370" t="s">
        <v>2110</v>
      </c>
      <c r="Z585" s="1370" t="s">
        <v>61</v>
      </c>
      <c r="AA585" s="1370" t="s">
        <v>61</v>
      </c>
      <c r="AB585" s="705" t="s">
        <v>61</v>
      </c>
      <c r="AC585" s="1378" t="s">
        <v>30</v>
      </c>
      <c r="AF585" s="1466" t="s">
        <v>2065</v>
      </c>
      <c r="AG585" s="1465" t="s">
        <v>61</v>
      </c>
      <c r="AH585" s="1465" t="s">
        <v>61</v>
      </c>
      <c r="AI585" s="705" t="s">
        <v>61</v>
      </c>
      <c r="AJ585" s="1465" t="s">
        <v>30</v>
      </c>
      <c r="AK585" s="1465" t="s">
        <v>2558</v>
      </c>
      <c r="AL585" s="1465" t="s">
        <v>61</v>
      </c>
      <c r="AM585" s="1465" t="s">
        <v>61</v>
      </c>
      <c r="AN585" s="705" t="s">
        <v>61</v>
      </c>
      <c r="AO585" s="1468" t="s">
        <v>30</v>
      </c>
      <c r="AS585" s="1764" t="s">
        <v>14</v>
      </c>
      <c r="AT585" s="1761"/>
      <c r="AU585" s="1761" t="s">
        <v>60</v>
      </c>
      <c r="AV585" s="1761"/>
      <c r="AW585" s="1761" t="s">
        <v>27</v>
      </c>
      <c r="AX585" s="1761"/>
      <c r="AY585" s="1761" t="s">
        <v>2074</v>
      </c>
      <c r="AZ585" s="1761"/>
      <c r="BA585" s="1762" t="s">
        <v>41</v>
      </c>
      <c r="BB585" s="1763"/>
      <c r="BC585" s="1764" t="s">
        <v>85</v>
      </c>
      <c r="BD585" s="1765"/>
    </row>
    <row r="586" spans="2:56" ht="12.75" hidden="1" customHeight="1" outlineLevel="1" x14ac:dyDescent="0.2">
      <c r="B586" s="1369"/>
      <c r="C586" s="1370"/>
      <c r="D586" s="1370" t="s">
        <v>61</v>
      </c>
      <c r="E586" s="1370" t="s">
        <v>63</v>
      </c>
      <c r="F586" s="1623" t="s">
        <v>2054</v>
      </c>
      <c r="G586" s="208" t="s">
        <v>57</v>
      </c>
      <c r="H586" s="1377" t="s">
        <v>768</v>
      </c>
      <c r="I586" s="1377" t="s">
        <v>24</v>
      </c>
      <c r="J586" s="208" t="s">
        <v>2635</v>
      </c>
      <c r="K586" s="1377" t="s">
        <v>768</v>
      </c>
      <c r="L586" s="1377" t="s">
        <v>24</v>
      </c>
      <c r="M586" s="1376" t="s">
        <v>768</v>
      </c>
      <c r="N586" s="1376" t="s">
        <v>24</v>
      </c>
      <c r="O586" s="1378" t="s">
        <v>61</v>
      </c>
      <c r="X586" s="1630" t="s">
        <v>2109</v>
      </c>
      <c r="Y586" s="1370"/>
      <c r="Z586" s="1377" t="s">
        <v>768</v>
      </c>
      <c r="AA586" s="1377" t="s">
        <v>24</v>
      </c>
      <c r="AB586" s="223" t="s">
        <v>41</v>
      </c>
      <c r="AC586" s="1378" t="s">
        <v>61</v>
      </c>
      <c r="AF586" s="1466"/>
      <c r="AG586" s="1467" t="s">
        <v>768</v>
      </c>
      <c r="AH586" s="1467" t="s">
        <v>24</v>
      </c>
      <c r="AI586" s="223" t="s">
        <v>41</v>
      </c>
      <c r="AJ586" s="1465" t="s">
        <v>61</v>
      </c>
      <c r="AK586" s="1465"/>
      <c r="AL586" s="1467" t="s">
        <v>768</v>
      </c>
      <c r="AM586" s="1467" t="s">
        <v>24</v>
      </c>
      <c r="AN586" s="223" t="s">
        <v>41</v>
      </c>
      <c r="AO586" s="1468" t="s">
        <v>61</v>
      </c>
      <c r="AS586" s="732" t="s">
        <v>768</v>
      </c>
      <c r="AT586" s="733" t="s">
        <v>24</v>
      </c>
      <c r="AU586" s="733" t="s">
        <v>768</v>
      </c>
      <c r="AV586" s="733" t="s">
        <v>24</v>
      </c>
      <c r="AW586" s="733" t="s">
        <v>768</v>
      </c>
      <c r="AX586" s="733" t="s">
        <v>24</v>
      </c>
      <c r="AY586" s="733" t="s">
        <v>768</v>
      </c>
      <c r="AZ586" s="733" t="s">
        <v>24</v>
      </c>
      <c r="BA586" s="734" t="s">
        <v>768</v>
      </c>
      <c r="BB586" s="735" t="s">
        <v>24</v>
      </c>
      <c r="BC586" s="732" t="s">
        <v>768</v>
      </c>
      <c r="BD586" s="736" t="s">
        <v>24</v>
      </c>
    </row>
    <row r="587" spans="2:56" ht="12.75" hidden="1" customHeight="1" outlineLevel="1" x14ac:dyDescent="0.2">
      <c r="B587" s="200" t="s">
        <v>1378</v>
      </c>
      <c r="C587" s="201"/>
      <c r="D587" s="262">
        <f>M587+N587</f>
        <v>0</v>
      </c>
      <c r="E587" s="265">
        <f>D587*12/44</f>
        <v>0</v>
      </c>
      <c r="F587" s="559"/>
      <c r="G587" s="182"/>
      <c r="H587" s="492">
        <f>VLOOKUP($B587,'Emissions factors'!$B$1346:$W$1361,2,FALSE)</f>
        <v>8.091000000000001E-4</v>
      </c>
      <c r="I587" s="492">
        <f>VLOOKUP($B587,'Emissions factors'!$B$1346:$W$1361,3,FALSE)</f>
        <v>5.0523200000000008E-3</v>
      </c>
      <c r="J587" s="182"/>
      <c r="K587" s="789">
        <f>VLOOKUP($B587,'Emissions factors'!$B$1346:$W$1361,12,FALSE)</f>
        <v>19.96</v>
      </c>
      <c r="L587" s="789">
        <f>VLOOKUP($B587,'Emissions factors'!$B$1346:$W$1361,13,FALSE)</f>
        <v>124.7966</v>
      </c>
      <c r="M587" s="465">
        <f>G587*H587+J587*K587</f>
        <v>0</v>
      </c>
      <c r="N587" s="210">
        <f>G587*I587+J587*L587</f>
        <v>0</v>
      </c>
      <c r="O587" s="222">
        <f>IF(OR(F587='Info utili'!$G$532,F587='Info utili'!$G$537),N587,0)</f>
        <v>0</v>
      </c>
      <c r="X587" s="282">
        <f>VLOOKUP($B587,'Emissions factors'!$B$1346:$W$1361,22,FALSE)</f>
        <v>0.6</v>
      </c>
      <c r="Y587" s="184"/>
      <c r="Z587" s="221">
        <f>M587*SQRT(X587^2+Y587^2)</f>
        <v>0</v>
      </c>
      <c r="AA587" s="221">
        <f>N587*SQRT(X587^2+Y587^2)</f>
        <v>0</v>
      </c>
      <c r="AB587" s="210">
        <f>SQRT(Z587^2+AA587^2)</f>
        <v>0</v>
      </c>
      <c r="AC587" s="222">
        <f>O587*SQRT(X587^2+Y587^2)</f>
        <v>0</v>
      </c>
      <c r="AF587" s="183"/>
      <c r="AG587" s="221">
        <f>AF587*M587</f>
        <v>0</v>
      </c>
      <c r="AH587" s="221">
        <f>AF587*N587</f>
        <v>0</v>
      </c>
      <c r="AI587" s="210">
        <f>AG587+AH587</f>
        <v>0</v>
      </c>
      <c r="AJ587" s="221">
        <f>AF587*O587</f>
        <v>0</v>
      </c>
      <c r="AK587" s="183"/>
      <c r="AL587" s="221">
        <f>AK587*M587</f>
        <v>0</v>
      </c>
      <c r="AM587" s="221">
        <f>AK587*N587</f>
        <v>0</v>
      </c>
      <c r="AN587" s="210">
        <f>AL587+AM587</f>
        <v>0</v>
      </c>
      <c r="AO587" s="222">
        <f>AK587*O587</f>
        <v>0</v>
      </c>
      <c r="AS587" s="717">
        <f>G587*VLOOKUP($B587,'Emissions factors'!$B$1346:$W$1361,4,FALSE)+J587*VLOOKUP($B587,'Emissions factors'!$B$1346:$W$1361,14,FALSE)</f>
        <v>0</v>
      </c>
      <c r="AT587" s="718">
        <f>G587*VLOOKUP($B587,'Emissions factors'!$B$1346:$W$1361,5,FALSE)+J587*VLOOKUP($B587,'Emissions factors'!$B$1346:$W$1361,15,FALSE)</f>
        <v>0</v>
      </c>
      <c r="AU587" s="718">
        <f>G587*VLOOKUP($B587,'Emissions factors'!$B$1346:$W$1361,6,FALSE)+J587*VLOOKUP($B587,'Emissions factors'!$B$1346:$W$1361,16,FALSE)</f>
        <v>0</v>
      </c>
      <c r="AV587" s="718">
        <f>G587*VLOOKUP($B587,'Emissions factors'!$B$1346:$W$1361,7,FALSE)+J587*VLOOKUP($B587,'Emissions factors'!$B$1346:$W$1361,17,FALSE)</f>
        <v>0</v>
      </c>
      <c r="AW587" s="718">
        <f>G587*VLOOKUP($B587,'Emissions factors'!$B$1346:$W$1361,8,FALSE)+J587*VLOOKUP($B587,'Emissions factors'!$B$1346:$W$1361,18,FALSE)</f>
        <v>0</v>
      </c>
      <c r="AX587" s="718">
        <f>G587*VLOOKUP($B587,'Emissions factors'!$B$1346:$W$1361,9,FALSE)+J587*VLOOKUP($B587,'Emissions factors'!$B$1346:$W$1361,19,FALSE)</f>
        <v>0</v>
      </c>
      <c r="AY587" s="718">
        <v>0</v>
      </c>
      <c r="AZ587" s="718">
        <v>0</v>
      </c>
      <c r="BA587" s="719">
        <f t="shared" ref="BA587:BB589" si="220">M587</f>
        <v>0</v>
      </c>
      <c r="BB587" s="720">
        <f t="shared" si="220"/>
        <v>0</v>
      </c>
      <c r="BC587" s="717">
        <f>G587*VLOOKUP($B587,'Emissions factors'!$B$1346:$W$1361,10,FALSE)+J587*VLOOKUP($B587,'Emissions factors'!$B$1346:$W$1361,20,FALSE)</f>
        <v>0</v>
      </c>
      <c r="BD587" s="721">
        <f>G587*VLOOKUP($B587,'Emissions factors'!$B$1346:$W$1361,11,FALSE)+J587*VLOOKUP($B587,'Emissions factors'!$B$1346:$W$1361,21,FALSE)</f>
        <v>0</v>
      </c>
    </row>
    <row r="588" spans="2:56" ht="12.75" hidden="1" customHeight="1" outlineLevel="1" x14ac:dyDescent="0.2">
      <c r="B588" s="200" t="s">
        <v>1376</v>
      </c>
      <c r="C588" s="201"/>
      <c r="D588" s="262">
        <f>M588+N588</f>
        <v>0</v>
      </c>
      <c r="E588" s="265">
        <f>D588*12/44</f>
        <v>0</v>
      </c>
      <c r="F588" s="442"/>
      <c r="G588" s="185"/>
      <c r="H588" s="492">
        <f>VLOOKUP($B588,'Emissions factors'!$B$1346:$W$1361,2,FALSE)</f>
        <v>2.0280000000000003E-3</v>
      </c>
      <c r="I588" s="492">
        <f>VLOOKUP($B588,'Emissions factors'!$B$1346:$W$1361,3,FALSE)</f>
        <v>1.2680760000000001E-2</v>
      </c>
      <c r="J588" s="185"/>
      <c r="K588" s="789">
        <f>VLOOKUP($B588,'Emissions factors'!$B$1346:$W$1361,12,FALSE)</f>
        <v>45.17</v>
      </c>
      <c r="L588" s="789">
        <f>VLOOKUP($B588,'Emissions factors'!$B$1346:$W$1361,13,FALSE)</f>
        <v>281.80500000000001</v>
      </c>
      <c r="M588" s="465">
        <f>G588*H588+J588*K588</f>
        <v>0</v>
      </c>
      <c r="N588" s="210">
        <f>G588*I588+J588*L588</f>
        <v>0</v>
      </c>
      <c r="O588" s="222">
        <f>IF(OR(F588='Info utili'!$G$532,F588='Info utili'!$G$537),N588,0)</f>
        <v>0</v>
      </c>
      <c r="X588" s="282">
        <f>VLOOKUP($B588,'Emissions factors'!$B$1346:$W$1361,22,FALSE)</f>
        <v>0.6</v>
      </c>
      <c r="Y588" s="187"/>
      <c r="Z588" s="221">
        <f>M588*SQRT(X588^2+Y588^2)</f>
        <v>0</v>
      </c>
      <c r="AA588" s="221">
        <f>N588*SQRT(X588^2+Y588^2)</f>
        <v>0</v>
      </c>
      <c r="AB588" s="210">
        <f>SQRT(Z588^2+AA588^2)</f>
        <v>0</v>
      </c>
      <c r="AC588" s="222">
        <f>O588*SQRT(X588^2+Y588^2)</f>
        <v>0</v>
      </c>
      <c r="AF588" s="186"/>
      <c r="AG588" s="221">
        <f>AF588*M588</f>
        <v>0</v>
      </c>
      <c r="AH588" s="221">
        <f>AF588*N588</f>
        <v>0</v>
      </c>
      <c r="AI588" s="210">
        <f>AG588+AH588</f>
        <v>0</v>
      </c>
      <c r="AJ588" s="221">
        <f>AF588*O588</f>
        <v>0</v>
      </c>
      <c r="AK588" s="186"/>
      <c r="AL588" s="221">
        <f>AK588*M588</f>
        <v>0</v>
      </c>
      <c r="AM588" s="221">
        <f>AK588*N588</f>
        <v>0</v>
      </c>
      <c r="AN588" s="210">
        <f>AL588+AM588</f>
        <v>0</v>
      </c>
      <c r="AO588" s="222">
        <f>AK588*O588</f>
        <v>0</v>
      </c>
      <c r="AS588" s="717">
        <f>G588*VLOOKUP($B588,'Emissions factors'!$B$1346:$W$1361,4,FALSE)+J588*VLOOKUP($B588,'Emissions factors'!$B$1346:$W$1361,14,FALSE)</f>
        <v>0</v>
      </c>
      <c r="AT588" s="718">
        <f>G588*VLOOKUP($B588,'Emissions factors'!$B$1346:$W$1361,5,FALSE)+J588*VLOOKUP($B588,'Emissions factors'!$B$1346:$W$1361,15,FALSE)</f>
        <v>0</v>
      </c>
      <c r="AU588" s="718">
        <f>G588*VLOOKUP($B588,'Emissions factors'!$B$1346:$W$1361,6,FALSE)+J588*VLOOKUP($B588,'Emissions factors'!$B$1346:$W$1361,16,FALSE)</f>
        <v>0</v>
      </c>
      <c r="AV588" s="718">
        <f>G588*VLOOKUP($B588,'Emissions factors'!$B$1346:$W$1361,7,FALSE)+J588*VLOOKUP($B588,'Emissions factors'!$B$1346:$W$1361,17,FALSE)</f>
        <v>0</v>
      </c>
      <c r="AW588" s="718">
        <f>G588*VLOOKUP($B588,'Emissions factors'!$B$1346:$W$1361,8,FALSE)+J588*VLOOKUP($B588,'Emissions factors'!$B$1346:$W$1361,18,FALSE)</f>
        <v>0</v>
      </c>
      <c r="AX588" s="718">
        <f>G588*VLOOKUP($B588,'Emissions factors'!$B$1346:$W$1361,9,FALSE)+J588*VLOOKUP($B588,'Emissions factors'!$B$1346:$W$1361,19,FALSE)</f>
        <v>0</v>
      </c>
      <c r="AY588" s="718">
        <v>0</v>
      </c>
      <c r="AZ588" s="718">
        <v>0</v>
      </c>
      <c r="BA588" s="719">
        <f t="shared" si="220"/>
        <v>0</v>
      </c>
      <c r="BB588" s="720">
        <f t="shared" si="220"/>
        <v>0</v>
      </c>
      <c r="BC588" s="717">
        <f>G588*VLOOKUP($B588,'Emissions factors'!$B$1346:$W$1361,10,FALSE)+J588*VLOOKUP($B588,'Emissions factors'!$B$1346:$W$1361,20,FALSE)</f>
        <v>0</v>
      </c>
      <c r="BD588" s="721">
        <f>G588*VLOOKUP($B588,'Emissions factors'!$B$1346:$W$1361,11,FALSE)+J588*VLOOKUP($B588,'Emissions factors'!$B$1346:$W$1361,21,FALSE)</f>
        <v>0</v>
      </c>
    </row>
    <row r="589" spans="2:56" ht="12.75" hidden="1" customHeight="1" outlineLevel="1" x14ac:dyDescent="0.2">
      <c r="B589" s="200" t="s">
        <v>1383</v>
      </c>
      <c r="C589" s="201"/>
      <c r="D589" s="262">
        <f>M589+N589</f>
        <v>0</v>
      </c>
      <c r="E589" s="265">
        <f>D589*12/44</f>
        <v>0</v>
      </c>
      <c r="F589" s="443"/>
      <c r="G589" s="188"/>
      <c r="H589" s="492">
        <f>VLOOKUP($B589,'Emissions factors'!$B$1346:$W$1361,2,FALSE)</f>
        <v>7.4899999999999999E-4</v>
      </c>
      <c r="I589" s="492">
        <f>VLOOKUP($B589,'Emissions factors'!$B$1346:$W$1361,3,FALSE)</f>
        <v>4.6798399999999993E-3</v>
      </c>
      <c r="J589" s="188"/>
      <c r="K589" s="789">
        <f>VLOOKUP($B589,'Emissions factors'!$B$1346:$W$1361,12,FALSE)</f>
        <v>36.51</v>
      </c>
      <c r="L589" s="789">
        <f>VLOOKUP($B589,'Emissions factors'!$B$1346:$W$1361,13,FALSE)</f>
        <v>227.459</v>
      </c>
      <c r="M589" s="465">
        <f>G589*H589+J589*K589</f>
        <v>0</v>
      </c>
      <c r="N589" s="210">
        <f>G589*I589+J589*L589</f>
        <v>0</v>
      </c>
      <c r="O589" s="222">
        <f>IF(OR(F589='Info utili'!$G$532,F589='Info utili'!$G$537),N589,0)</f>
        <v>0</v>
      </c>
      <c r="X589" s="282">
        <f>VLOOKUP($B589,'Emissions factors'!$B$1346:$W$1361,22,FALSE)</f>
        <v>0.6</v>
      </c>
      <c r="Y589" s="190"/>
      <c r="Z589" s="221">
        <f>M589*SQRT(X589^2+Y589^2)</f>
        <v>0</v>
      </c>
      <c r="AA589" s="221">
        <f>N589*SQRT(X589^2+Y589^2)</f>
        <v>0</v>
      </c>
      <c r="AB589" s="210">
        <f>SQRT(Z589^2+AA589^2)</f>
        <v>0</v>
      </c>
      <c r="AC589" s="222">
        <f>O589*SQRT(X589^2+Y589^2)</f>
        <v>0</v>
      </c>
      <c r="AF589" s="189"/>
      <c r="AG589" s="221">
        <f>AF589*M589</f>
        <v>0</v>
      </c>
      <c r="AH589" s="221">
        <f>AF589*N589</f>
        <v>0</v>
      </c>
      <c r="AI589" s="210">
        <f>AG589+AH589</f>
        <v>0</v>
      </c>
      <c r="AJ589" s="221">
        <f>AF589*O589</f>
        <v>0</v>
      </c>
      <c r="AK589" s="189"/>
      <c r="AL589" s="221">
        <f>AK589*M589</f>
        <v>0</v>
      </c>
      <c r="AM589" s="221">
        <f>AK589*N589</f>
        <v>0</v>
      </c>
      <c r="AN589" s="210">
        <f>AL589+AM589</f>
        <v>0</v>
      </c>
      <c r="AO589" s="222">
        <f>AK589*O589</f>
        <v>0</v>
      </c>
      <c r="AS589" s="717">
        <f>G589*VLOOKUP($B589,'Emissions factors'!$B$1346:$W$1361,4,FALSE)+J589*VLOOKUP($B589,'Emissions factors'!$B$1346:$W$1361,14,FALSE)</f>
        <v>0</v>
      </c>
      <c r="AT589" s="718">
        <f>G589*VLOOKUP($B589,'Emissions factors'!$B$1346:$W$1361,5,FALSE)+J589*VLOOKUP($B589,'Emissions factors'!$B$1346:$W$1361,15,FALSE)</f>
        <v>0</v>
      </c>
      <c r="AU589" s="718">
        <f>G589*VLOOKUP($B589,'Emissions factors'!$B$1346:$W$1361,6,FALSE)+J589*VLOOKUP($B589,'Emissions factors'!$B$1346:$W$1361,16,FALSE)</f>
        <v>0</v>
      </c>
      <c r="AV589" s="718">
        <f>G589*VLOOKUP($B589,'Emissions factors'!$B$1346:$W$1361,7,FALSE)+J589*VLOOKUP($B589,'Emissions factors'!$B$1346:$W$1361,17,FALSE)</f>
        <v>0</v>
      </c>
      <c r="AW589" s="718">
        <f>G589*VLOOKUP($B589,'Emissions factors'!$B$1346:$W$1361,8,FALSE)+J589*VLOOKUP($B589,'Emissions factors'!$B$1346:$W$1361,18,FALSE)</f>
        <v>0</v>
      </c>
      <c r="AX589" s="718">
        <f>G589*VLOOKUP($B589,'Emissions factors'!$B$1346:$W$1361,9,FALSE)+J589*VLOOKUP($B589,'Emissions factors'!$B$1346:$W$1361,19,FALSE)</f>
        <v>0</v>
      </c>
      <c r="AY589" s="718">
        <v>0</v>
      </c>
      <c r="AZ589" s="718">
        <v>0</v>
      </c>
      <c r="BA589" s="719">
        <f t="shared" si="220"/>
        <v>0</v>
      </c>
      <c r="BB589" s="720">
        <f t="shared" si="220"/>
        <v>0</v>
      </c>
      <c r="BC589" s="717">
        <f>G589*VLOOKUP($B589,'Emissions factors'!$B$1346:$W$1361,10,FALSE)+J589*VLOOKUP($B589,'Emissions factors'!$B$1346:$W$1361,20,FALSE)</f>
        <v>0</v>
      </c>
      <c r="BD589" s="721">
        <f>G589*VLOOKUP($B589,'Emissions factors'!$B$1346:$W$1361,11,FALSE)+J589*VLOOKUP($B589,'Emissions factors'!$B$1346:$W$1361,21,FALSE)</f>
        <v>0</v>
      </c>
    </row>
    <row r="590" spans="2:56" ht="12.75" hidden="1" customHeight="1" outlineLevel="1" x14ac:dyDescent="0.2">
      <c r="B590" s="200"/>
      <c r="C590" s="201"/>
      <c r="D590" s="275"/>
      <c r="E590" s="268"/>
      <c r="F590" s="201"/>
      <c r="G590" s="201"/>
      <c r="H590" s="201"/>
      <c r="I590" s="201"/>
      <c r="J590" s="473"/>
      <c r="K590" s="473"/>
      <c r="L590" s="473"/>
      <c r="M590" s="465"/>
      <c r="N590" s="210"/>
      <c r="O590" s="222"/>
      <c r="X590" s="213"/>
      <c r="Y590" s="214"/>
      <c r="Z590" s="214"/>
      <c r="AA590" s="214"/>
      <c r="AB590" s="269"/>
      <c r="AC590" s="466"/>
      <c r="AF590" s="213"/>
      <c r="AG590" s="413"/>
      <c r="AH590" s="413"/>
      <c r="AI590" s="210"/>
      <c r="AJ590" s="413"/>
      <c r="AK590" s="214"/>
      <c r="AL590" s="214"/>
      <c r="AM590" s="214"/>
      <c r="AN590" s="210"/>
      <c r="AO590" s="466"/>
      <c r="AS590" s="717"/>
      <c r="AT590" s="718"/>
      <c r="AU590" s="718"/>
      <c r="AV590" s="718"/>
      <c r="AW590" s="718"/>
      <c r="AX590" s="718"/>
      <c r="AY590" s="718"/>
      <c r="AZ590" s="718"/>
      <c r="BA590" s="719"/>
      <c r="BB590" s="720"/>
      <c r="BC590" s="722"/>
      <c r="BD590" s="723"/>
    </row>
    <row r="591" spans="2:56" ht="12.75" hidden="1" customHeight="1" outlineLevel="1" x14ac:dyDescent="0.2">
      <c r="B591" s="253" t="s">
        <v>2828</v>
      </c>
      <c r="C591" s="254"/>
      <c r="D591" s="264">
        <f>SUM(D587:D590)</f>
        <v>0</v>
      </c>
      <c r="E591" s="267">
        <f>SUM(E587:E590)</f>
        <v>0</v>
      </c>
      <c r="F591" s="254"/>
      <c r="G591" s="254"/>
      <c r="H591" s="254"/>
      <c r="I591" s="254"/>
      <c r="J591" s="254"/>
      <c r="K591" s="487"/>
      <c r="L591" s="487"/>
      <c r="M591" s="488">
        <f>SUM(M587:M590)</f>
        <v>0</v>
      </c>
      <c r="N591" s="488">
        <f>SUM(N587:N590)</f>
        <v>0</v>
      </c>
      <c r="O591" s="428">
        <f>SUM(O587:O590)</f>
        <v>0</v>
      </c>
      <c r="X591" s="258"/>
      <c r="Y591" s="256"/>
      <c r="Z591" s="260">
        <f>SQRT(SUMSQ(Z587:Z590))</f>
        <v>0</v>
      </c>
      <c r="AA591" s="260">
        <f>SQRT(SUMSQ(AA587:AA590))</f>
        <v>0</v>
      </c>
      <c r="AB591" s="259">
        <f>SQRT(SUMSQ(AB587:AB590))</f>
        <v>0</v>
      </c>
      <c r="AC591" s="428">
        <f>SQRT(SUMSQ(AC587:AC590))</f>
        <v>0</v>
      </c>
      <c r="AF591" s="258"/>
      <c r="AG591" s="260">
        <f>SUM(AG587:AG590)</f>
        <v>0</v>
      </c>
      <c r="AH591" s="260">
        <f>SUM(AH587:AH590)</f>
        <v>0</v>
      </c>
      <c r="AI591" s="259">
        <f>SUM(AI587:AI590)</f>
        <v>0</v>
      </c>
      <c r="AJ591" s="260">
        <f>SUM(AJ587:AJ590)</f>
        <v>0</v>
      </c>
      <c r="AK591" s="256"/>
      <c r="AL591" s="260">
        <f>SUM(AL587:AL590)</f>
        <v>0</v>
      </c>
      <c r="AM591" s="260">
        <f>SUM(AM587:AM590)</f>
        <v>0</v>
      </c>
      <c r="AN591" s="259">
        <f>SUM(AN587:AN590)</f>
        <v>0</v>
      </c>
      <c r="AO591" s="428">
        <f>SUM(AO587:AO590)</f>
        <v>0</v>
      </c>
      <c r="AS591" s="724">
        <f t="shared" ref="AS591:BD591" si="221">SUM(AS587:AS590)</f>
        <v>0</v>
      </c>
      <c r="AT591" s="725">
        <f t="shared" si="221"/>
        <v>0</v>
      </c>
      <c r="AU591" s="725">
        <f t="shared" si="221"/>
        <v>0</v>
      </c>
      <c r="AV591" s="725">
        <f t="shared" si="221"/>
        <v>0</v>
      </c>
      <c r="AW591" s="725">
        <f t="shared" si="221"/>
        <v>0</v>
      </c>
      <c r="AX591" s="725">
        <f t="shared" si="221"/>
        <v>0</v>
      </c>
      <c r="AY591" s="725">
        <f t="shared" si="221"/>
        <v>0</v>
      </c>
      <c r="AZ591" s="725">
        <f t="shared" si="221"/>
        <v>0</v>
      </c>
      <c r="BA591" s="726">
        <f t="shared" si="221"/>
        <v>0</v>
      </c>
      <c r="BB591" s="727">
        <f t="shared" si="221"/>
        <v>0</v>
      </c>
      <c r="BC591" s="724">
        <f t="shared" si="221"/>
        <v>0</v>
      </c>
      <c r="BD591" s="728">
        <f t="shared" si="221"/>
        <v>0</v>
      </c>
    </row>
    <row r="592" spans="2:56" ht="12.75" hidden="1" customHeight="1" outlineLevel="1" x14ac:dyDescent="0.2">
      <c r="F592" s="328"/>
      <c r="G592" s="329"/>
      <c r="H592" s="314"/>
    </row>
    <row r="593" spans="2:56" ht="12.75" hidden="1" customHeight="1" outlineLevel="1" x14ac:dyDescent="0.2">
      <c r="B593" s="195" t="s">
        <v>2925</v>
      </c>
      <c r="C593" s="196"/>
      <c r="D593" s="196"/>
      <c r="E593" s="196"/>
      <c r="F593" s="196"/>
      <c r="G593" s="198"/>
      <c r="H593" s="198"/>
      <c r="I593" s="198"/>
      <c r="J593" s="198"/>
      <c r="K593" s="198"/>
      <c r="L593" s="198"/>
      <c r="M593" s="217"/>
      <c r="N593" s="217"/>
      <c r="O593" s="218"/>
      <c r="X593" s="1746" t="s">
        <v>723</v>
      </c>
      <c r="Y593" s="1747"/>
      <c r="Z593" s="1747"/>
      <c r="AA593" s="1747"/>
      <c r="AB593" s="1747"/>
      <c r="AC593" s="1748"/>
      <c r="AF593" s="1746" t="s">
        <v>2066</v>
      </c>
      <c r="AG593" s="1747"/>
      <c r="AH593" s="1747"/>
      <c r="AI593" s="1747"/>
      <c r="AJ593" s="1747"/>
      <c r="AK593" s="1747"/>
      <c r="AL593" s="1747"/>
      <c r="AM593" s="1747"/>
      <c r="AN593" s="1747"/>
      <c r="AO593" s="1748"/>
      <c r="AS593" s="1755" t="s">
        <v>2073</v>
      </c>
      <c r="AT593" s="1756"/>
      <c r="AU593" s="1756"/>
      <c r="AV593" s="1756"/>
      <c r="AW593" s="1756"/>
      <c r="AX593" s="1756"/>
      <c r="AY593" s="1756"/>
      <c r="AZ593" s="1756"/>
      <c r="BA593" s="1756"/>
      <c r="BB593" s="1756"/>
      <c r="BC593" s="1756"/>
      <c r="BD593" s="1757"/>
    </row>
    <row r="594" spans="2:56" ht="12.75" hidden="1" customHeight="1" outlineLevel="1" x14ac:dyDescent="0.2">
      <c r="B594" s="417"/>
      <c r="C594" s="225"/>
      <c r="D594" s="705"/>
      <c r="E594" s="705"/>
      <c r="F594" s="201"/>
      <c r="G594" s="201"/>
      <c r="H594" s="201"/>
      <c r="I594" s="201"/>
      <c r="J594" s="201"/>
      <c r="K594" s="201"/>
      <c r="L594" s="201"/>
      <c r="M594" s="1745" t="s">
        <v>2646</v>
      </c>
      <c r="N594" s="1745"/>
      <c r="O594" s="1378" t="s">
        <v>2639</v>
      </c>
      <c r="X594" s="216"/>
      <c r="Y594" s="217"/>
      <c r="Z594" s="705"/>
      <c r="AA594" s="705"/>
      <c r="AB594" s="705"/>
      <c r="AC594" s="1378" t="s">
        <v>2639</v>
      </c>
      <c r="AF594" s="216"/>
      <c r="AG594" s="705"/>
      <c r="AH594" s="705"/>
      <c r="AI594" s="705"/>
      <c r="AJ594" s="1465" t="s">
        <v>2639</v>
      </c>
      <c r="AK594" s="217"/>
      <c r="AL594" s="705"/>
      <c r="AM594" s="705"/>
      <c r="AN594" s="705"/>
      <c r="AO594" s="1468" t="s">
        <v>2639</v>
      </c>
      <c r="AS594" s="1758" t="s">
        <v>61</v>
      </c>
      <c r="AT594" s="1759"/>
      <c r="AU594" s="1759"/>
      <c r="AV594" s="1759"/>
      <c r="AW594" s="1759"/>
      <c r="AX594" s="1759"/>
      <c r="AY594" s="1759"/>
      <c r="AZ594" s="1759"/>
      <c r="BA594" s="1759" t="s">
        <v>61</v>
      </c>
      <c r="BB594" s="1760"/>
      <c r="BC594" s="730"/>
      <c r="BD594" s="731"/>
    </row>
    <row r="595" spans="2:56" ht="12.75" hidden="1" customHeight="1" outlineLevel="1" x14ac:dyDescent="0.2">
      <c r="B595" s="1630" t="str">
        <f>+B585</f>
        <v>Tipi di nave</v>
      </c>
      <c r="C595" s="1370"/>
      <c r="D595" s="1370" t="s">
        <v>56</v>
      </c>
      <c r="E595" s="1370" t="s">
        <v>56</v>
      </c>
      <c r="F595" s="205" t="s">
        <v>2634</v>
      </c>
      <c r="G595" s="205"/>
      <c r="H595" s="1744" t="s">
        <v>1308</v>
      </c>
      <c r="I595" s="1745"/>
      <c r="J595" s="205"/>
      <c r="K595" s="1744" t="s">
        <v>1281</v>
      </c>
      <c r="L595" s="1745"/>
      <c r="M595" s="705" t="s">
        <v>61</v>
      </c>
      <c r="N595" s="705" t="s">
        <v>61</v>
      </c>
      <c r="O595" s="1378" t="s">
        <v>30</v>
      </c>
      <c r="X595" s="1630" t="s">
        <v>2605</v>
      </c>
      <c r="Y595" s="1370" t="s">
        <v>2110</v>
      </c>
      <c r="Z595" s="1370" t="s">
        <v>61</v>
      </c>
      <c r="AA595" s="1370" t="s">
        <v>61</v>
      </c>
      <c r="AB595" s="705" t="s">
        <v>61</v>
      </c>
      <c r="AC595" s="1378" t="s">
        <v>30</v>
      </c>
      <c r="AF595" s="1466" t="s">
        <v>2065</v>
      </c>
      <c r="AG595" s="1465" t="s">
        <v>61</v>
      </c>
      <c r="AH595" s="1465" t="s">
        <v>61</v>
      </c>
      <c r="AI595" s="705" t="s">
        <v>61</v>
      </c>
      <c r="AJ595" s="1465" t="s">
        <v>30</v>
      </c>
      <c r="AK595" s="1465" t="s">
        <v>2558</v>
      </c>
      <c r="AL595" s="1465" t="s">
        <v>61</v>
      </c>
      <c r="AM595" s="1465" t="s">
        <v>61</v>
      </c>
      <c r="AN595" s="705" t="s">
        <v>61</v>
      </c>
      <c r="AO595" s="1468" t="s">
        <v>30</v>
      </c>
      <c r="AS595" s="1764" t="s">
        <v>14</v>
      </c>
      <c r="AT595" s="1761"/>
      <c r="AU595" s="1761" t="s">
        <v>60</v>
      </c>
      <c r="AV595" s="1761"/>
      <c r="AW595" s="1761" t="s">
        <v>27</v>
      </c>
      <c r="AX595" s="1761"/>
      <c r="AY595" s="1761" t="s">
        <v>2074</v>
      </c>
      <c r="AZ595" s="1761"/>
      <c r="BA595" s="1762" t="s">
        <v>41</v>
      </c>
      <c r="BB595" s="1763"/>
      <c r="BC595" s="1764" t="s">
        <v>85</v>
      </c>
      <c r="BD595" s="1765"/>
    </row>
    <row r="596" spans="2:56" ht="12.75" hidden="1" customHeight="1" outlineLevel="1" x14ac:dyDescent="0.2">
      <c r="B596" s="1369"/>
      <c r="C596" s="1370"/>
      <c r="D596" s="1370" t="s">
        <v>61</v>
      </c>
      <c r="E596" s="1370" t="s">
        <v>63</v>
      </c>
      <c r="F596" s="1623" t="s">
        <v>2054</v>
      </c>
      <c r="G596" s="208" t="s">
        <v>57</v>
      </c>
      <c r="H596" s="1377" t="s">
        <v>768</v>
      </c>
      <c r="I596" s="1377" t="s">
        <v>24</v>
      </c>
      <c r="J596" s="208" t="s">
        <v>2635</v>
      </c>
      <c r="K596" s="1377" t="s">
        <v>768</v>
      </c>
      <c r="L596" s="1377" t="s">
        <v>24</v>
      </c>
      <c r="M596" s="1376" t="s">
        <v>768</v>
      </c>
      <c r="N596" s="1376" t="s">
        <v>24</v>
      </c>
      <c r="O596" s="1378" t="s">
        <v>61</v>
      </c>
      <c r="X596" s="1630" t="s">
        <v>2109</v>
      </c>
      <c r="Y596" s="1370"/>
      <c r="Z596" s="1377" t="s">
        <v>768</v>
      </c>
      <c r="AA596" s="1377" t="s">
        <v>24</v>
      </c>
      <c r="AB596" s="223" t="s">
        <v>41</v>
      </c>
      <c r="AC596" s="1378" t="s">
        <v>61</v>
      </c>
      <c r="AF596" s="1466"/>
      <c r="AG596" s="1467" t="s">
        <v>768</v>
      </c>
      <c r="AH596" s="1467" t="s">
        <v>24</v>
      </c>
      <c r="AI596" s="223" t="s">
        <v>41</v>
      </c>
      <c r="AJ596" s="1465" t="s">
        <v>61</v>
      </c>
      <c r="AK596" s="1465"/>
      <c r="AL596" s="1467" t="s">
        <v>768</v>
      </c>
      <c r="AM596" s="1467" t="s">
        <v>24</v>
      </c>
      <c r="AN596" s="223" t="s">
        <v>41</v>
      </c>
      <c r="AO596" s="1468" t="s">
        <v>61</v>
      </c>
      <c r="AS596" s="732" t="s">
        <v>768</v>
      </c>
      <c r="AT596" s="733" t="s">
        <v>24</v>
      </c>
      <c r="AU596" s="733" t="s">
        <v>768</v>
      </c>
      <c r="AV596" s="733" t="s">
        <v>24</v>
      </c>
      <c r="AW596" s="733" t="s">
        <v>768</v>
      </c>
      <c r="AX596" s="733" t="s">
        <v>24</v>
      </c>
      <c r="AY596" s="733" t="s">
        <v>768</v>
      </c>
      <c r="AZ596" s="733" t="s">
        <v>24</v>
      </c>
      <c r="BA596" s="734" t="s">
        <v>768</v>
      </c>
      <c r="BB596" s="735" t="s">
        <v>24</v>
      </c>
      <c r="BC596" s="732" t="s">
        <v>768</v>
      </c>
      <c r="BD596" s="736" t="s">
        <v>24</v>
      </c>
    </row>
    <row r="597" spans="2:56" ht="12.75" hidden="1" customHeight="1" outlineLevel="1" x14ac:dyDescent="0.2">
      <c r="B597" s="200" t="s">
        <v>1396</v>
      </c>
      <c r="C597" s="201"/>
      <c r="D597" s="262">
        <f>M597+N597</f>
        <v>0</v>
      </c>
      <c r="E597" s="265">
        <f>D597*12/44</f>
        <v>0</v>
      </c>
      <c r="F597" s="559"/>
      <c r="G597" s="182"/>
      <c r="H597" s="492">
        <f>VLOOKUP($B597,'Emissions factors'!$B$1376:$W$1385,2,FALSE)</f>
        <v>1.9798999999999997E-2</v>
      </c>
      <c r="I597" s="492">
        <f>VLOOKUP($B597,'Emissions factors'!$B$1376:$W$1385,3,FALSE)</f>
        <v>7.6037899999999992E-2</v>
      </c>
      <c r="J597" s="182"/>
      <c r="K597" s="789">
        <f>VLOOKUP($B597,'Emissions factors'!$B$1376:$W$1385,12,FALSE)</f>
        <v>4.1070000000000002</v>
      </c>
      <c r="L597" s="789">
        <f>VLOOKUP($B597,'Emissions factors'!$B$1376:$W$1385,13,FALSE)</f>
        <v>15.73204</v>
      </c>
      <c r="M597" s="465">
        <f>G597*H597+J597*K597</f>
        <v>0</v>
      </c>
      <c r="N597" s="210">
        <f>G597*I597+J597*L597</f>
        <v>0</v>
      </c>
      <c r="O597" s="222">
        <f>IF(OR(F597='Info utili'!$G$532,F597='Info utili'!$G$537),N597,0)</f>
        <v>0</v>
      </c>
      <c r="X597" s="282">
        <f>VLOOKUP($B597,'Emissions factors'!$B$1376:$W$1385,22,FALSE)</f>
        <v>0.7</v>
      </c>
      <c r="Y597" s="184"/>
      <c r="Z597" s="221">
        <f>M597*SQRT(X597^2+Y597^2)</f>
        <v>0</v>
      </c>
      <c r="AA597" s="221">
        <f>N597*SQRT(X597^2+Y597^2)</f>
        <v>0</v>
      </c>
      <c r="AB597" s="210">
        <f>SQRT(Z597^2+AA597^2)</f>
        <v>0</v>
      </c>
      <c r="AC597" s="222">
        <f>O597*SQRT(X597^2+Y597^2)</f>
        <v>0</v>
      </c>
      <c r="AF597" s="183"/>
      <c r="AG597" s="221">
        <f>AF597*M597</f>
        <v>0</v>
      </c>
      <c r="AH597" s="221">
        <f>AF597*N597</f>
        <v>0</v>
      </c>
      <c r="AI597" s="210">
        <f>AG597+AH597</f>
        <v>0</v>
      </c>
      <c r="AJ597" s="221">
        <f>AF597*O597</f>
        <v>0</v>
      </c>
      <c r="AK597" s="183"/>
      <c r="AL597" s="221">
        <f>AK597*M597</f>
        <v>0</v>
      </c>
      <c r="AM597" s="221">
        <f>AK597*N597</f>
        <v>0</v>
      </c>
      <c r="AN597" s="210">
        <f>AL597+AM597</f>
        <v>0</v>
      </c>
      <c r="AO597" s="222">
        <f>AK597*O597</f>
        <v>0</v>
      </c>
      <c r="AS597" s="717">
        <f>G597*VLOOKUP($B597,'Emissions factors'!$B$1376:$W$1385,4,FALSE)+J597*VLOOKUP($B597,'Emissions factors'!$B$1376:$W$1385,14,FALSE)</f>
        <v>0</v>
      </c>
      <c r="AT597" s="718">
        <f>G597*VLOOKUP($B597,'Emissions factors'!$B$1376:$W$1385,5,FALSE)+J597*VLOOKUP($B597,'Emissions factors'!$B$1376:$W$1385,15,FALSE)</f>
        <v>0</v>
      </c>
      <c r="AU597" s="718">
        <f>G597*VLOOKUP($B597,'Emissions factors'!$B$1376:$W$1385,6,FALSE)+J597*VLOOKUP($B597,'Emissions factors'!$B$1376:$W$1385,16,FALSE)</f>
        <v>0</v>
      </c>
      <c r="AV597" s="718">
        <f>G597*VLOOKUP($B597,'Emissions factors'!$B$1376:$W$1385,7,FALSE)+J597*VLOOKUP($B597,'Emissions factors'!$B$1376:$W$1385,17,FALSE)</f>
        <v>0</v>
      </c>
      <c r="AW597" s="718">
        <f>G597*VLOOKUP($B597,'Emissions factors'!$B$1376:$W$1385,8,FALSE)+J597*VLOOKUP($B597,'Emissions factors'!$B$1376:$W$1385,18,FALSE)</f>
        <v>0</v>
      </c>
      <c r="AX597" s="718">
        <f>G597*VLOOKUP($B597,'Emissions factors'!$B$1376:$W$1385,9,FALSE)+J597*VLOOKUP($B597,'Emissions factors'!$B$1376:$W$1385,19,FALSE)</f>
        <v>0</v>
      </c>
      <c r="AY597" s="718">
        <v>0</v>
      </c>
      <c r="AZ597" s="718">
        <v>0</v>
      </c>
      <c r="BA597" s="719">
        <f t="shared" ref="BA597:BB599" si="222">M597</f>
        <v>0</v>
      </c>
      <c r="BB597" s="720">
        <f t="shared" si="222"/>
        <v>0</v>
      </c>
      <c r="BC597" s="717">
        <f>G597*VLOOKUP($B597,'Emissions factors'!$B$1376:$W$1385,10,FALSE)+J597*VLOOKUP($B597,'Emissions factors'!$B$1376:$W$1385,20,FALSE)</f>
        <v>0</v>
      </c>
      <c r="BD597" s="721">
        <f>G597*VLOOKUP($B597,'Emissions factors'!$B$1376:$W$1385,11,FALSE)+J597*VLOOKUP($B597,'Emissions factors'!$B$1376:$W$1385,21,FALSE)</f>
        <v>0</v>
      </c>
    </row>
    <row r="598" spans="2:56" ht="12.75" hidden="1" customHeight="1" outlineLevel="1" x14ac:dyDescent="0.2">
      <c r="B598" s="200" t="s">
        <v>1393</v>
      </c>
      <c r="C598" s="201"/>
      <c r="D598" s="262">
        <f>M598+N598</f>
        <v>0</v>
      </c>
      <c r="E598" s="265">
        <f>D598*12/44</f>
        <v>0</v>
      </c>
      <c r="F598" s="442"/>
      <c r="G598" s="185"/>
      <c r="H598" s="492">
        <f>VLOOKUP($B598,'Emissions factors'!$B$1376:$W$1385,2,FALSE)</f>
        <v>1.1024000000000001E-2</v>
      </c>
      <c r="I598" s="492">
        <f>VLOOKUP($B598,'Emissions factors'!$B$1376:$W$1385,3,FALSE)</f>
        <v>4.2255899999999999E-2</v>
      </c>
      <c r="J598" s="185"/>
      <c r="K598" s="789">
        <f>VLOOKUP($B598,'Emissions factors'!$B$1376:$W$1385,12,FALSE)</f>
        <v>5.4729999999999999</v>
      </c>
      <c r="L598" s="789">
        <f>VLOOKUP($B598,'Emissions factors'!$B$1376:$W$1385,13,FALSE)</f>
        <v>20.976400000000002</v>
      </c>
      <c r="M598" s="465">
        <f>G598*H598+J598*K598</f>
        <v>0</v>
      </c>
      <c r="N598" s="210">
        <f>G598*I598+J598*L598</f>
        <v>0</v>
      </c>
      <c r="O598" s="222">
        <f>IF(OR(F598='Info utili'!$G$532,F598='Info utili'!$G$537),N598,0)</f>
        <v>0</v>
      </c>
      <c r="X598" s="282">
        <f>VLOOKUP($B598,'Emissions factors'!$B$1376:$W$1385,22,FALSE)</f>
        <v>0.7</v>
      </c>
      <c r="Y598" s="187"/>
      <c r="Z598" s="221">
        <f>M598*SQRT(X598^2+Y598^2)</f>
        <v>0</v>
      </c>
      <c r="AA598" s="221">
        <f>N598*SQRT(X598^2+Y598^2)</f>
        <v>0</v>
      </c>
      <c r="AB598" s="210">
        <f>SQRT(Z598^2+AA598^2)</f>
        <v>0</v>
      </c>
      <c r="AC598" s="222">
        <f>O598*SQRT(X598^2+Y598^2)</f>
        <v>0</v>
      </c>
      <c r="AF598" s="186"/>
      <c r="AG598" s="221">
        <f>AF598*M598</f>
        <v>0</v>
      </c>
      <c r="AH598" s="221">
        <f>AF598*N598</f>
        <v>0</v>
      </c>
      <c r="AI598" s="210">
        <f>AG598+AH598</f>
        <v>0</v>
      </c>
      <c r="AJ598" s="221">
        <f>AF598*O598</f>
        <v>0</v>
      </c>
      <c r="AK598" s="186"/>
      <c r="AL598" s="221">
        <f>AK598*M598</f>
        <v>0</v>
      </c>
      <c r="AM598" s="221">
        <f>AK598*N598</f>
        <v>0</v>
      </c>
      <c r="AN598" s="210">
        <f>AL598+AM598</f>
        <v>0</v>
      </c>
      <c r="AO598" s="222">
        <f>AK598*O598</f>
        <v>0</v>
      </c>
      <c r="AS598" s="717">
        <f>G598*VLOOKUP($B598,'Emissions factors'!$B$1376:$W$1385,4,FALSE)+J598*VLOOKUP($B598,'Emissions factors'!$B$1376:$W$1385,14,FALSE)</f>
        <v>0</v>
      </c>
      <c r="AT598" s="718">
        <f>G598*VLOOKUP($B598,'Emissions factors'!$B$1376:$W$1385,5,FALSE)+J598*VLOOKUP($B598,'Emissions factors'!$B$1376:$W$1385,15,FALSE)</f>
        <v>0</v>
      </c>
      <c r="AU598" s="718">
        <f>G598*VLOOKUP($B598,'Emissions factors'!$B$1376:$W$1385,6,FALSE)+J598*VLOOKUP($B598,'Emissions factors'!$B$1376:$W$1385,16,FALSE)</f>
        <v>0</v>
      </c>
      <c r="AV598" s="718">
        <f>G598*VLOOKUP($B598,'Emissions factors'!$B$1376:$W$1385,7,FALSE)+J598*VLOOKUP($B598,'Emissions factors'!$B$1376:$W$1385,17,FALSE)</f>
        <v>0</v>
      </c>
      <c r="AW598" s="718">
        <f>G598*VLOOKUP($B598,'Emissions factors'!$B$1376:$W$1385,8,FALSE)+J598*VLOOKUP($B598,'Emissions factors'!$B$1376:$W$1385,18,FALSE)</f>
        <v>0</v>
      </c>
      <c r="AX598" s="718">
        <f>G598*VLOOKUP($B598,'Emissions factors'!$B$1376:$W$1385,9,FALSE)+J598*VLOOKUP($B598,'Emissions factors'!$B$1376:$W$1385,19,FALSE)</f>
        <v>0</v>
      </c>
      <c r="AY598" s="718">
        <v>0</v>
      </c>
      <c r="AZ598" s="718">
        <v>0</v>
      </c>
      <c r="BA598" s="719">
        <f t="shared" si="222"/>
        <v>0</v>
      </c>
      <c r="BB598" s="720">
        <f t="shared" si="222"/>
        <v>0</v>
      </c>
      <c r="BC598" s="717">
        <f>G598*VLOOKUP($B598,'Emissions factors'!$B$1376:$W$1385,10,FALSE)+J598*VLOOKUP($B598,'Emissions factors'!$B$1376:$W$1385,20,FALSE)</f>
        <v>0</v>
      </c>
      <c r="BD598" s="721">
        <f>G598*VLOOKUP($B598,'Emissions factors'!$B$1376:$W$1385,11,FALSE)+J598*VLOOKUP($B598,'Emissions factors'!$B$1376:$W$1385,21,FALSE)</f>
        <v>0</v>
      </c>
    </row>
    <row r="599" spans="2:56" ht="12.75" hidden="1" customHeight="1" outlineLevel="1" x14ac:dyDescent="0.2">
      <c r="B599" s="200" t="s">
        <v>1397</v>
      </c>
      <c r="C599" s="201"/>
      <c r="D599" s="262">
        <f>M599+N599</f>
        <v>0</v>
      </c>
      <c r="E599" s="265">
        <f>D599*12/44</f>
        <v>0</v>
      </c>
      <c r="F599" s="443"/>
      <c r="G599" s="188"/>
      <c r="H599" s="492">
        <f>VLOOKUP($B599,'Emissions factors'!$B$1376:$W$1385,2,FALSE)</f>
        <v>5.5729999999999998E-3</v>
      </c>
      <c r="I599" s="492">
        <f>VLOOKUP($B599,'Emissions factors'!$B$1376:$W$1385,3,FALSE)</f>
        <v>2.1379570000000001E-2</v>
      </c>
      <c r="J599" s="188"/>
      <c r="K599" s="789">
        <f>VLOOKUP($B599,'Emissions factors'!$B$1376:$W$1385,12,FALSE)</f>
        <v>6.1549999999999994</v>
      </c>
      <c r="L599" s="789">
        <f>VLOOKUP($B599,'Emissions factors'!$B$1376:$W$1385,13,FALSE)</f>
        <v>23.598599999999998</v>
      </c>
      <c r="M599" s="465">
        <f>G599*H599+J599*K599</f>
        <v>0</v>
      </c>
      <c r="N599" s="210">
        <f>G599*I599+J599*L599</f>
        <v>0</v>
      </c>
      <c r="O599" s="222">
        <f>IF(OR(F599='Info utili'!$G$532,F599='Info utili'!$G$537),N599,0)</f>
        <v>0</v>
      </c>
      <c r="X599" s="282">
        <f>VLOOKUP($B599,'Emissions factors'!$B$1376:$W$1385,22,FALSE)</f>
        <v>0.7</v>
      </c>
      <c r="Y599" s="190"/>
      <c r="Z599" s="221">
        <f>M599*SQRT(X599^2+Y599^2)</f>
        <v>0</v>
      </c>
      <c r="AA599" s="221">
        <f>N599*SQRT(X599^2+Y599^2)</f>
        <v>0</v>
      </c>
      <c r="AB599" s="210">
        <f>SQRT(Z599^2+AA599^2)</f>
        <v>0</v>
      </c>
      <c r="AC599" s="222">
        <f>O599*SQRT(X599^2+Y599^2)</f>
        <v>0</v>
      </c>
      <c r="AF599" s="189"/>
      <c r="AG599" s="221">
        <f>AF599*M599</f>
        <v>0</v>
      </c>
      <c r="AH599" s="221">
        <f>AF599*N599</f>
        <v>0</v>
      </c>
      <c r="AI599" s="210">
        <f>AG599+AH599</f>
        <v>0</v>
      </c>
      <c r="AJ599" s="221">
        <f>AF599*O599</f>
        <v>0</v>
      </c>
      <c r="AK599" s="189"/>
      <c r="AL599" s="221">
        <f>AK599*M599</f>
        <v>0</v>
      </c>
      <c r="AM599" s="221">
        <f>AK599*N599</f>
        <v>0</v>
      </c>
      <c r="AN599" s="210">
        <f>AL599+AM599</f>
        <v>0</v>
      </c>
      <c r="AO599" s="222">
        <f>AK599*O599</f>
        <v>0</v>
      </c>
      <c r="AS599" s="717">
        <f>G599*VLOOKUP($B599,'Emissions factors'!$B$1376:$W$1385,4,FALSE)+J599*VLOOKUP($B599,'Emissions factors'!$B$1376:$W$1385,14,FALSE)</f>
        <v>0</v>
      </c>
      <c r="AT599" s="718">
        <f>G599*VLOOKUP($B599,'Emissions factors'!$B$1376:$W$1385,5,FALSE)+J599*VLOOKUP($B599,'Emissions factors'!$B$1376:$W$1385,15,FALSE)</f>
        <v>0</v>
      </c>
      <c r="AU599" s="718">
        <f>G599*VLOOKUP($B599,'Emissions factors'!$B$1376:$W$1385,6,FALSE)+J599*VLOOKUP($B599,'Emissions factors'!$B$1376:$W$1385,16,FALSE)</f>
        <v>0</v>
      </c>
      <c r="AV599" s="718">
        <f>G599*VLOOKUP($B599,'Emissions factors'!$B$1376:$W$1385,7,FALSE)+J599*VLOOKUP($B599,'Emissions factors'!$B$1376:$W$1385,17,FALSE)</f>
        <v>0</v>
      </c>
      <c r="AW599" s="718">
        <f>G599*VLOOKUP($B599,'Emissions factors'!$B$1376:$W$1385,8,FALSE)+J599*VLOOKUP($B599,'Emissions factors'!$B$1376:$W$1385,18,FALSE)</f>
        <v>0</v>
      </c>
      <c r="AX599" s="718">
        <f>G599*VLOOKUP($B599,'Emissions factors'!$B$1376:$W$1385,9,FALSE)+J599*VLOOKUP($B599,'Emissions factors'!$B$1376:$W$1385,19,FALSE)</f>
        <v>0</v>
      </c>
      <c r="AY599" s="718">
        <v>0</v>
      </c>
      <c r="AZ599" s="718">
        <v>0</v>
      </c>
      <c r="BA599" s="719">
        <f t="shared" si="222"/>
        <v>0</v>
      </c>
      <c r="BB599" s="720">
        <f t="shared" si="222"/>
        <v>0</v>
      </c>
      <c r="BC599" s="717">
        <f>G599*VLOOKUP($B599,'Emissions factors'!$B$1376:$W$1385,10,FALSE)+J599*VLOOKUP($B599,'Emissions factors'!$B$1376:$W$1385,20,FALSE)</f>
        <v>0</v>
      </c>
      <c r="BD599" s="721">
        <f>G599*VLOOKUP($B599,'Emissions factors'!$B$1376:$W$1385,11,FALSE)+J599*VLOOKUP($B599,'Emissions factors'!$B$1376:$W$1385,21,FALSE)</f>
        <v>0</v>
      </c>
    </row>
    <row r="600" spans="2:56" ht="12.75" hidden="1" customHeight="1" outlineLevel="1" x14ac:dyDescent="0.2">
      <c r="B600" s="200"/>
      <c r="C600" s="201"/>
      <c r="D600" s="275"/>
      <c r="E600" s="268"/>
      <c r="F600" s="201"/>
      <c r="G600" s="473"/>
      <c r="H600" s="473"/>
      <c r="I600" s="473"/>
      <c r="J600" s="473"/>
      <c r="K600" s="473"/>
      <c r="L600" s="473"/>
      <c r="M600" s="475"/>
      <c r="N600" s="475"/>
      <c r="O600" s="222"/>
      <c r="X600" s="200"/>
      <c r="Y600" s="201"/>
      <c r="Z600" s="214"/>
      <c r="AA600" s="214"/>
      <c r="AB600" s="269"/>
      <c r="AC600" s="466"/>
      <c r="AF600" s="200"/>
      <c r="AG600" s="201"/>
      <c r="AH600" s="201"/>
      <c r="AI600" s="210"/>
      <c r="AJ600" s="1465"/>
      <c r="AK600" s="201"/>
      <c r="AL600" s="201"/>
      <c r="AM600" s="201"/>
      <c r="AN600" s="210"/>
      <c r="AO600" s="222"/>
      <c r="AS600" s="717"/>
      <c r="AT600" s="718"/>
      <c r="AU600" s="718"/>
      <c r="AV600" s="718"/>
      <c r="AW600" s="718"/>
      <c r="AX600" s="718"/>
      <c r="AY600" s="718"/>
      <c r="AZ600" s="718"/>
      <c r="BA600" s="719"/>
      <c r="BB600" s="720"/>
      <c r="BC600" s="722"/>
      <c r="BD600" s="723"/>
    </row>
    <row r="601" spans="2:56" ht="12.75" hidden="1" customHeight="1" outlineLevel="1" x14ac:dyDescent="0.2">
      <c r="B601" s="253" t="s">
        <v>2828</v>
      </c>
      <c r="C601" s="254"/>
      <c r="D601" s="264">
        <f>SUM(D597:D600)</f>
        <v>0</v>
      </c>
      <c r="E601" s="267">
        <f>SUM(E597:E600)</f>
        <v>0</v>
      </c>
      <c r="F601" s="254"/>
      <c r="G601" s="254"/>
      <c r="H601" s="487"/>
      <c r="I601" s="487"/>
      <c r="J601" s="254"/>
      <c r="K601" s="487"/>
      <c r="L601" s="487"/>
      <c r="M601" s="488">
        <f>SUM(M597:M600)</f>
        <v>0</v>
      </c>
      <c r="N601" s="488">
        <f>SUM(N597:N600)</f>
        <v>0</v>
      </c>
      <c r="O601" s="428">
        <f>SUM(O597:O600)</f>
        <v>0</v>
      </c>
      <c r="X601" s="258"/>
      <c r="Y601" s="256"/>
      <c r="Z601" s="260">
        <f>SQRT(SUMSQ(Z597:Z600))</f>
        <v>0</v>
      </c>
      <c r="AA601" s="260">
        <f>SQRT(SUMSQ(AA597:AA600))</f>
        <v>0</v>
      </c>
      <c r="AB601" s="259">
        <f>SQRT(SUMSQ(AB597:AB600))</f>
        <v>0</v>
      </c>
      <c r="AC601" s="428">
        <f>SQRT(SUMSQ(AC597:AC600))</f>
        <v>0</v>
      </c>
      <c r="AF601" s="258"/>
      <c r="AG601" s="260">
        <f>SUM(AG597:AG600)</f>
        <v>0</v>
      </c>
      <c r="AH601" s="260">
        <f>SUM(AH597:AH600)</f>
        <v>0</v>
      </c>
      <c r="AI601" s="259">
        <f>SUM(AI597:AI600)</f>
        <v>0</v>
      </c>
      <c r="AJ601" s="260">
        <f>SUM(AJ597:AJ600)</f>
        <v>0</v>
      </c>
      <c r="AK601" s="256"/>
      <c r="AL601" s="260">
        <f>SUM(AL597:AL600)</f>
        <v>0</v>
      </c>
      <c r="AM601" s="260">
        <f>SUM(AM597:AM600)</f>
        <v>0</v>
      </c>
      <c r="AN601" s="259">
        <f>SUM(AN597:AN600)</f>
        <v>0</v>
      </c>
      <c r="AO601" s="428">
        <f>SUM(AO597:AO600)</f>
        <v>0</v>
      </c>
      <c r="AS601" s="724">
        <f t="shared" ref="AS601:BD601" si="223">SUM(AS597:AS600)</f>
        <v>0</v>
      </c>
      <c r="AT601" s="725">
        <f t="shared" si="223"/>
        <v>0</v>
      </c>
      <c r="AU601" s="725">
        <f t="shared" si="223"/>
        <v>0</v>
      </c>
      <c r="AV601" s="725">
        <f t="shared" si="223"/>
        <v>0</v>
      </c>
      <c r="AW601" s="725">
        <f t="shared" si="223"/>
        <v>0</v>
      </c>
      <c r="AX601" s="725">
        <f t="shared" si="223"/>
        <v>0</v>
      </c>
      <c r="AY601" s="725">
        <f t="shared" si="223"/>
        <v>0</v>
      </c>
      <c r="AZ601" s="725">
        <f t="shared" si="223"/>
        <v>0</v>
      </c>
      <c r="BA601" s="726">
        <f t="shared" si="223"/>
        <v>0</v>
      </c>
      <c r="BB601" s="727">
        <f t="shared" si="223"/>
        <v>0</v>
      </c>
      <c r="BC601" s="724">
        <f t="shared" si="223"/>
        <v>0</v>
      </c>
      <c r="BD601" s="728">
        <f t="shared" si="223"/>
        <v>0</v>
      </c>
    </row>
    <row r="602" spans="2:56" ht="12.75" hidden="1" customHeight="1" outlineLevel="1" x14ac:dyDescent="0.2"/>
    <row r="603" spans="2:56" ht="12.75" hidden="1" customHeight="1" outlineLevel="1" x14ac:dyDescent="0.2">
      <c r="B603" s="195" t="s">
        <v>2926</v>
      </c>
      <c r="C603" s="196"/>
      <c r="D603" s="1364"/>
      <c r="E603" s="1364"/>
      <c r="F603" s="196"/>
      <c r="G603" s="198"/>
      <c r="H603" s="198"/>
      <c r="I603" s="198"/>
      <c r="J603" s="217"/>
      <c r="K603" s="217"/>
      <c r="L603" s="218"/>
      <c r="X603" s="1746" t="s">
        <v>723</v>
      </c>
      <c r="Y603" s="1747"/>
      <c r="Z603" s="1747"/>
      <c r="AA603" s="1747"/>
      <c r="AB603" s="1747"/>
      <c r="AC603" s="1748"/>
      <c r="AF603" s="1746" t="s">
        <v>2066</v>
      </c>
      <c r="AG603" s="1747"/>
      <c r="AH603" s="1747"/>
      <c r="AI603" s="1747"/>
      <c r="AJ603" s="1747"/>
      <c r="AK603" s="1747"/>
      <c r="AL603" s="1747"/>
      <c r="AM603" s="1747"/>
      <c r="AN603" s="1747"/>
      <c r="AO603" s="1748"/>
      <c r="AS603" s="1755" t="s">
        <v>2073</v>
      </c>
      <c r="AT603" s="1756"/>
      <c r="AU603" s="1756"/>
      <c r="AV603" s="1756"/>
      <c r="AW603" s="1756"/>
      <c r="AX603" s="1756"/>
      <c r="AY603" s="1756"/>
      <c r="AZ603" s="1756"/>
      <c r="BA603" s="1756"/>
      <c r="BB603" s="1756"/>
      <c r="BC603" s="1756"/>
      <c r="BD603" s="1757"/>
    </row>
    <row r="604" spans="2:56" ht="12.75" hidden="1" customHeight="1" outlineLevel="1" x14ac:dyDescent="0.2">
      <c r="B604" s="417"/>
      <c r="C604" s="225"/>
      <c r="D604" s="705"/>
      <c r="E604" s="705"/>
      <c r="F604" s="201"/>
      <c r="G604" s="201"/>
      <c r="H604" s="201"/>
      <c r="I604" s="201"/>
      <c r="J604" s="1745" t="s">
        <v>2646</v>
      </c>
      <c r="K604" s="1745"/>
      <c r="L604" s="1378" t="s">
        <v>2639</v>
      </c>
      <c r="X604" s="216"/>
      <c r="Y604" s="217"/>
      <c r="Z604" s="705"/>
      <c r="AA604" s="705"/>
      <c r="AB604" s="705"/>
      <c r="AC604" s="1378" t="s">
        <v>2639</v>
      </c>
      <c r="AF604" s="216"/>
      <c r="AG604" s="705"/>
      <c r="AH604" s="705"/>
      <c r="AI604" s="705"/>
      <c r="AJ604" s="1465" t="s">
        <v>2639</v>
      </c>
      <c r="AK604" s="217"/>
      <c r="AL604" s="705"/>
      <c r="AM604" s="705"/>
      <c r="AN604" s="705"/>
      <c r="AO604" s="1468" t="s">
        <v>2639</v>
      </c>
      <c r="AS604" s="1758" t="s">
        <v>61</v>
      </c>
      <c r="AT604" s="1759"/>
      <c r="AU604" s="1759"/>
      <c r="AV604" s="1759"/>
      <c r="AW604" s="1759"/>
      <c r="AX604" s="1759"/>
      <c r="AY604" s="1759"/>
      <c r="AZ604" s="1759"/>
      <c r="BA604" s="1759" t="s">
        <v>61</v>
      </c>
      <c r="BB604" s="1760"/>
      <c r="BC604" s="730"/>
      <c r="BD604" s="731"/>
    </row>
    <row r="605" spans="2:56" ht="12.75" hidden="1" customHeight="1" outlineLevel="1" x14ac:dyDescent="0.2">
      <c r="B605" s="1630" t="s">
        <v>2910</v>
      </c>
      <c r="C605" s="1370"/>
      <c r="D605" s="1370" t="s">
        <v>56</v>
      </c>
      <c r="E605" s="1370" t="s">
        <v>56</v>
      </c>
      <c r="F605" s="205" t="s">
        <v>2634</v>
      </c>
      <c r="G605" s="205"/>
      <c r="H605" s="1744" t="s">
        <v>1308</v>
      </c>
      <c r="I605" s="1745"/>
      <c r="J605" s="705" t="s">
        <v>61</v>
      </c>
      <c r="K605" s="705" t="s">
        <v>61</v>
      </c>
      <c r="L605" s="1378" t="s">
        <v>30</v>
      </c>
      <c r="X605" s="1630" t="s">
        <v>2605</v>
      </c>
      <c r="Y605" s="1370" t="s">
        <v>2110</v>
      </c>
      <c r="Z605" s="1370" t="s">
        <v>61</v>
      </c>
      <c r="AA605" s="1370" t="s">
        <v>61</v>
      </c>
      <c r="AB605" s="705" t="s">
        <v>61</v>
      </c>
      <c r="AC605" s="1378" t="s">
        <v>30</v>
      </c>
      <c r="AF605" s="1466" t="s">
        <v>2065</v>
      </c>
      <c r="AG605" s="1465" t="s">
        <v>61</v>
      </c>
      <c r="AH605" s="1465" t="s">
        <v>61</v>
      </c>
      <c r="AI605" s="705" t="s">
        <v>61</v>
      </c>
      <c r="AJ605" s="1465" t="s">
        <v>30</v>
      </c>
      <c r="AK605" s="1465" t="s">
        <v>2558</v>
      </c>
      <c r="AL605" s="1465" t="s">
        <v>61</v>
      </c>
      <c r="AM605" s="1465" t="s">
        <v>61</v>
      </c>
      <c r="AN605" s="705" t="s">
        <v>61</v>
      </c>
      <c r="AO605" s="1468" t="s">
        <v>30</v>
      </c>
      <c r="AS605" s="1764" t="s">
        <v>14</v>
      </c>
      <c r="AT605" s="1761"/>
      <c r="AU605" s="1761" t="s">
        <v>60</v>
      </c>
      <c r="AV605" s="1761"/>
      <c r="AW605" s="1761" t="s">
        <v>27</v>
      </c>
      <c r="AX605" s="1761"/>
      <c r="AY605" s="1761" t="s">
        <v>2074</v>
      </c>
      <c r="AZ605" s="1761"/>
      <c r="BA605" s="1762" t="s">
        <v>41</v>
      </c>
      <c r="BB605" s="1763"/>
      <c r="BC605" s="1764" t="s">
        <v>85</v>
      </c>
      <c r="BD605" s="1765"/>
    </row>
    <row r="606" spans="2:56" ht="12.75" hidden="1" customHeight="1" outlineLevel="1" x14ac:dyDescent="0.2">
      <c r="B606" s="418" t="s">
        <v>2638</v>
      </c>
      <c r="C606" s="418"/>
      <c r="D606" s="1370" t="s">
        <v>61</v>
      </c>
      <c r="E606" s="1370" t="s">
        <v>63</v>
      </c>
      <c r="F606" s="1623" t="s">
        <v>2054</v>
      </c>
      <c r="G606" s="208" t="s">
        <v>57</v>
      </c>
      <c r="H606" s="1377" t="s">
        <v>768</v>
      </c>
      <c r="I606" s="1377" t="s">
        <v>24</v>
      </c>
      <c r="J606" s="1376" t="s">
        <v>768</v>
      </c>
      <c r="K606" s="1376" t="s">
        <v>24</v>
      </c>
      <c r="L606" s="1378" t="s">
        <v>61</v>
      </c>
      <c r="X606" s="1630" t="s">
        <v>2109</v>
      </c>
      <c r="Y606" s="1370"/>
      <c r="Z606" s="1377" t="s">
        <v>768</v>
      </c>
      <c r="AA606" s="1377" t="s">
        <v>24</v>
      </c>
      <c r="AB606" s="223" t="s">
        <v>41</v>
      </c>
      <c r="AC606" s="1378" t="s">
        <v>61</v>
      </c>
      <c r="AF606" s="1466"/>
      <c r="AG606" s="1467" t="s">
        <v>768</v>
      </c>
      <c r="AH606" s="1467" t="s">
        <v>24</v>
      </c>
      <c r="AI606" s="223" t="s">
        <v>41</v>
      </c>
      <c r="AJ606" s="1465" t="s">
        <v>61</v>
      </c>
      <c r="AK606" s="1465"/>
      <c r="AL606" s="1467" t="s">
        <v>768</v>
      </c>
      <c r="AM606" s="1467" t="s">
        <v>24</v>
      </c>
      <c r="AN606" s="223" t="s">
        <v>41</v>
      </c>
      <c r="AO606" s="1468" t="s">
        <v>61</v>
      </c>
      <c r="AS606" s="732" t="s">
        <v>768</v>
      </c>
      <c r="AT606" s="733" t="s">
        <v>24</v>
      </c>
      <c r="AU606" s="733" t="s">
        <v>768</v>
      </c>
      <c r="AV606" s="733" t="s">
        <v>24</v>
      </c>
      <c r="AW606" s="733" t="s">
        <v>768</v>
      </c>
      <c r="AX606" s="733" t="s">
        <v>24</v>
      </c>
      <c r="AY606" s="733" t="s">
        <v>768</v>
      </c>
      <c r="AZ606" s="733" t="s">
        <v>24</v>
      </c>
      <c r="BA606" s="734" t="s">
        <v>768</v>
      </c>
      <c r="BB606" s="735" t="s">
        <v>24</v>
      </c>
      <c r="BC606" s="732" t="s">
        <v>768</v>
      </c>
      <c r="BD606" s="736" t="s">
        <v>24</v>
      </c>
    </row>
    <row r="607" spans="2:56" ht="12.75" hidden="1" customHeight="1" outlineLevel="1" x14ac:dyDescent="0.2">
      <c r="B607" s="200" t="s">
        <v>154</v>
      </c>
      <c r="C607" s="201"/>
      <c r="D607" s="262">
        <f>J607+K607</f>
        <v>0</v>
      </c>
      <c r="E607" s="265">
        <f>D607*12/44</f>
        <v>0</v>
      </c>
      <c r="F607" s="559"/>
      <c r="G607" s="182"/>
      <c r="H607" s="492">
        <f>VLOOKUP($B607,'Emissions factors'!$B$1390:$E$1400,2,FALSE)</f>
        <v>3.1460024723788927E-3</v>
      </c>
      <c r="I607" s="492">
        <f>VLOOKUP($B607,'Emissions factors'!$B$1390:$E$1400,3,FALSE)</f>
        <v>2.9825581395348841E-2</v>
      </c>
      <c r="J607" s="465">
        <f>G607*H607</f>
        <v>0</v>
      </c>
      <c r="K607" s="210">
        <f>G607*I607</f>
        <v>0</v>
      </c>
      <c r="L607" s="222">
        <f>IF(OR(F607='Info utili'!$G$532,F607='Info utili'!$G$537),K607,0)</f>
        <v>0</v>
      </c>
      <c r="X607" s="282">
        <f>VLOOKUP($B607,'Emissions factors'!$B$1390:$E$1400,4,FALSE)</f>
        <v>0.1</v>
      </c>
      <c r="Y607" s="184"/>
      <c r="Z607" s="221">
        <f>J607*SQRT(X607^2+Y607^2)</f>
        <v>0</v>
      </c>
      <c r="AA607" s="221">
        <f>K607*SQRT(X607^2+Y607^2)</f>
        <v>0</v>
      </c>
      <c r="AB607" s="210">
        <f>SQRT(Z607^2+AA607^2)</f>
        <v>0</v>
      </c>
      <c r="AC607" s="222">
        <f>L607*SQRT(X607^2+Y607^2)</f>
        <v>0</v>
      </c>
      <c r="AF607" s="183"/>
      <c r="AG607" s="221">
        <f>AF607*J607</f>
        <v>0</v>
      </c>
      <c r="AH607" s="221">
        <f>AF607*K607</f>
        <v>0</v>
      </c>
      <c r="AI607" s="210">
        <f>AG607+AH607</f>
        <v>0</v>
      </c>
      <c r="AJ607" s="221">
        <f>AF607*L607</f>
        <v>0</v>
      </c>
      <c r="AK607" s="183"/>
      <c r="AL607" s="221">
        <f>AK607*J607</f>
        <v>0</v>
      </c>
      <c r="AM607" s="221">
        <f>AK607*K607</f>
        <v>0</v>
      </c>
      <c r="AN607" s="210">
        <f>AL607+AM607</f>
        <v>0</v>
      </c>
      <c r="AO607" s="222">
        <f>AK607*L607</f>
        <v>0</v>
      </c>
      <c r="AS607" s="717"/>
      <c r="AT607" s="718"/>
      <c r="AU607" s="718"/>
      <c r="AV607" s="718"/>
      <c r="AW607" s="718"/>
      <c r="AX607" s="718"/>
      <c r="AY607" s="718"/>
      <c r="AZ607" s="718"/>
      <c r="BA607" s="719">
        <f t="shared" ref="BA607:BB609" si="224">J607</f>
        <v>0</v>
      </c>
      <c r="BB607" s="720">
        <f t="shared" si="224"/>
        <v>0</v>
      </c>
      <c r="BC607" s="717"/>
      <c r="BD607" s="721"/>
    </row>
    <row r="608" spans="2:56" ht="12.75" hidden="1" customHeight="1" outlineLevel="1" x14ac:dyDescent="0.2">
      <c r="B608" s="200" t="s">
        <v>1405</v>
      </c>
      <c r="C608" s="201"/>
      <c r="D608" s="262">
        <f>J608+K608</f>
        <v>0</v>
      </c>
      <c r="E608" s="265">
        <f>D608*12/44</f>
        <v>0</v>
      </c>
      <c r="F608" s="442"/>
      <c r="G608" s="185"/>
      <c r="H608" s="492">
        <f>VLOOKUP($B608,'Emissions factors'!$B$1390:$E$1400,2,FALSE)</f>
        <v>3.5765080738623199E-3</v>
      </c>
      <c r="I608" s="492">
        <f>VLOOKUP($B608,'Emissions factors'!$B$1390:$E$1400,3,FALSE)</f>
        <v>3.3906976744186051E-2</v>
      </c>
      <c r="J608" s="465">
        <f>G608*H608</f>
        <v>0</v>
      </c>
      <c r="K608" s="210">
        <f>G608*I608</f>
        <v>0</v>
      </c>
      <c r="L608" s="222">
        <f>IF(OR(F608='Info utili'!$G$532,F608='Info utili'!$G$537),K608,0)</f>
        <v>0</v>
      </c>
      <c r="X608" s="282">
        <f>VLOOKUP($B608,'Emissions factors'!$B$1390:$E$1400,4,FALSE)</f>
        <v>0.1</v>
      </c>
      <c r="Y608" s="187"/>
      <c r="Z608" s="221">
        <f>J608*SQRT(X608^2+Y608^2)</f>
        <v>0</v>
      </c>
      <c r="AA608" s="221">
        <f>K608*SQRT(X608^2+Y608^2)</f>
        <v>0</v>
      </c>
      <c r="AB608" s="210">
        <f>SQRT(Z608^2+AA608^2)</f>
        <v>0</v>
      </c>
      <c r="AC608" s="222">
        <f>L608*SQRT(X608^2+Y608^2)</f>
        <v>0</v>
      </c>
      <c r="AF608" s="186"/>
      <c r="AG608" s="221">
        <f>AF608*J608</f>
        <v>0</v>
      </c>
      <c r="AH608" s="221">
        <f>AF608*K608</f>
        <v>0</v>
      </c>
      <c r="AI608" s="210">
        <f>AG608+AH608</f>
        <v>0</v>
      </c>
      <c r="AJ608" s="221">
        <f>AF608*L608</f>
        <v>0</v>
      </c>
      <c r="AK608" s="186"/>
      <c r="AL608" s="221">
        <f>AK608*J608</f>
        <v>0</v>
      </c>
      <c r="AM608" s="221">
        <f>AK608*K608</f>
        <v>0</v>
      </c>
      <c r="AN608" s="210">
        <f>AL608+AM608</f>
        <v>0</v>
      </c>
      <c r="AO608" s="222">
        <f>AK608*L608</f>
        <v>0</v>
      </c>
      <c r="AS608" s="717"/>
      <c r="AT608" s="718"/>
      <c r="AU608" s="718"/>
      <c r="AV608" s="718"/>
      <c r="AW608" s="718"/>
      <c r="AX608" s="718"/>
      <c r="AY608" s="718"/>
      <c r="AZ608" s="718"/>
      <c r="BA608" s="719">
        <f t="shared" si="224"/>
        <v>0</v>
      </c>
      <c r="BB608" s="720">
        <f t="shared" si="224"/>
        <v>0</v>
      </c>
      <c r="BC608" s="717"/>
      <c r="BD608" s="721"/>
    </row>
    <row r="609" spans="2:62" ht="12.75" hidden="1" customHeight="1" outlineLevel="1" x14ac:dyDescent="0.2">
      <c r="B609" s="200" t="s">
        <v>156</v>
      </c>
      <c r="C609" s="201"/>
      <c r="D609" s="262">
        <f>J609+K609</f>
        <v>0</v>
      </c>
      <c r="E609" s="265">
        <f>D609*12/44</f>
        <v>0</v>
      </c>
      <c r="F609" s="443"/>
      <c r="G609" s="188"/>
      <c r="H609" s="492">
        <f>VLOOKUP($B609,'Emissions factors'!$B$1390:$E$1400,2,FALSE)</f>
        <v>4.5037509078266246E-3</v>
      </c>
      <c r="I609" s="492">
        <f>VLOOKUP($B609,'Emissions factors'!$B$1390:$E$1400,3,FALSE)</f>
        <v>4.2697674418604649E-2</v>
      </c>
      <c r="J609" s="465">
        <f>G609*H609</f>
        <v>0</v>
      </c>
      <c r="K609" s="210">
        <f>G609*I609</f>
        <v>0</v>
      </c>
      <c r="L609" s="222">
        <f>IF(OR(F609='Info utili'!$G$532,F609='Info utili'!$G$537),K609,0)</f>
        <v>0</v>
      </c>
      <c r="X609" s="282">
        <f>VLOOKUP($B609,'Emissions factors'!$B$1390:$E$1400,4,FALSE)</f>
        <v>0.1</v>
      </c>
      <c r="Y609" s="190"/>
      <c r="Z609" s="221">
        <f>J609*SQRT(X609^2+Y609^2)</f>
        <v>0</v>
      </c>
      <c r="AA609" s="221">
        <f>K609*SQRT(X609^2+Y609^2)</f>
        <v>0</v>
      </c>
      <c r="AB609" s="210">
        <f>SQRT(Z609^2+AA609^2)</f>
        <v>0</v>
      </c>
      <c r="AC609" s="222">
        <f>L609*SQRT(X609^2+Y609^2)</f>
        <v>0</v>
      </c>
      <c r="AF609" s="189"/>
      <c r="AG609" s="221">
        <f>AF609*J609</f>
        <v>0</v>
      </c>
      <c r="AH609" s="221">
        <f>AF609*K609</f>
        <v>0</v>
      </c>
      <c r="AI609" s="210">
        <f>AG609+AH609</f>
        <v>0</v>
      </c>
      <c r="AJ609" s="221">
        <f>AF609*L609</f>
        <v>0</v>
      </c>
      <c r="AK609" s="189"/>
      <c r="AL609" s="221">
        <f>AK609*J609</f>
        <v>0</v>
      </c>
      <c r="AM609" s="221">
        <f>AK609*K609</f>
        <v>0</v>
      </c>
      <c r="AN609" s="210">
        <f>AL609+AM609</f>
        <v>0</v>
      </c>
      <c r="AO609" s="222">
        <f>AK609*L609</f>
        <v>0</v>
      </c>
      <c r="AS609" s="717"/>
      <c r="AT609" s="718"/>
      <c r="AU609" s="718"/>
      <c r="AV609" s="718"/>
      <c r="AW609" s="718"/>
      <c r="AX609" s="718"/>
      <c r="AY609" s="718"/>
      <c r="AZ609" s="718"/>
      <c r="BA609" s="719">
        <f t="shared" si="224"/>
        <v>0</v>
      </c>
      <c r="BB609" s="720">
        <f t="shared" si="224"/>
        <v>0</v>
      </c>
      <c r="BC609" s="717"/>
      <c r="BD609" s="721"/>
    </row>
    <row r="610" spans="2:62" ht="12.75" hidden="1" customHeight="1" outlineLevel="1" x14ac:dyDescent="0.2">
      <c r="B610" s="200"/>
      <c r="C610" s="201"/>
      <c r="D610" s="275"/>
      <c r="E610" s="268"/>
      <c r="F610" s="201"/>
      <c r="G610" s="473"/>
      <c r="H610" s="473"/>
      <c r="I610" s="473"/>
      <c r="J610" s="475"/>
      <c r="K610" s="475"/>
      <c r="L610" s="222"/>
      <c r="X610" s="200"/>
      <c r="Y610" s="201"/>
      <c r="Z610" s="201"/>
      <c r="AA610" s="201"/>
      <c r="AB610" s="214"/>
      <c r="AC610" s="222"/>
      <c r="AF610" s="200"/>
      <c r="AG610" s="201"/>
      <c r="AH610" s="201"/>
      <c r="AI610" s="269"/>
      <c r="AJ610" s="1465"/>
      <c r="AK610" s="201"/>
      <c r="AL610" s="201"/>
      <c r="AM610" s="201"/>
      <c r="AN610" s="269"/>
      <c r="AO610" s="222"/>
      <c r="AS610" s="717"/>
      <c r="AT610" s="718"/>
      <c r="AU610" s="718"/>
      <c r="AV610" s="718"/>
      <c r="AW610" s="718"/>
      <c r="AX610" s="718"/>
      <c r="AY610" s="718"/>
      <c r="AZ610" s="718"/>
      <c r="BA610" s="719"/>
      <c r="BB610" s="720"/>
      <c r="BC610" s="722"/>
      <c r="BD610" s="723"/>
    </row>
    <row r="611" spans="2:62" ht="12.75" hidden="1" customHeight="1" outlineLevel="1" x14ac:dyDescent="0.2">
      <c r="B611" s="253" t="s">
        <v>2828</v>
      </c>
      <c r="C611" s="254"/>
      <c r="D611" s="264">
        <f>SUM(D607:D610)</f>
        <v>0</v>
      </c>
      <c r="E611" s="267">
        <f>SUM(E607:E610)</f>
        <v>0</v>
      </c>
      <c r="F611" s="254"/>
      <c r="G611" s="254"/>
      <c r="H611" s="487"/>
      <c r="I611" s="487"/>
      <c r="J611" s="488">
        <f>SUM(J607:J610)</f>
        <v>0</v>
      </c>
      <c r="K611" s="488">
        <f>SUM(K607:K610)</f>
        <v>0</v>
      </c>
      <c r="L611" s="428">
        <f>SUM(L607:L610)</f>
        <v>0</v>
      </c>
      <c r="X611" s="258"/>
      <c r="Y611" s="256"/>
      <c r="Z611" s="260">
        <f>SQRT(SUMSQ(Z607:Z610))</f>
        <v>0</v>
      </c>
      <c r="AA611" s="260">
        <f>SQRT(SUMSQ(AA607:AA610))</f>
        <v>0</v>
      </c>
      <c r="AB611" s="259">
        <f>SQRT(SUMSQ(AB607:AB610))</f>
        <v>0</v>
      </c>
      <c r="AC611" s="428">
        <f>SQRT(SUMSQ(AC607:AC610))</f>
        <v>0</v>
      </c>
      <c r="AF611" s="258"/>
      <c r="AG611" s="260">
        <f>SUM(AG607:AG610)</f>
        <v>0</v>
      </c>
      <c r="AH611" s="260">
        <f>SUM(AH607:AH610)</f>
        <v>0</v>
      </c>
      <c r="AI611" s="259">
        <f>SUM(AI607:AI610)</f>
        <v>0</v>
      </c>
      <c r="AJ611" s="260">
        <f>SUM(AJ607:AJ610)</f>
        <v>0</v>
      </c>
      <c r="AK611" s="256"/>
      <c r="AL611" s="260">
        <f>SUM(AL607:AL610)</f>
        <v>0</v>
      </c>
      <c r="AM611" s="260">
        <f>SUM(AM607:AM610)</f>
        <v>0</v>
      </c>
      <c r="AN611" s="259">
        <f>SUM(AN607:AN610)</f>
        <v>0</v>
      </c>
      <c r="AO611" s="428">
        <f>SUM(AO607:AO610)</f>
        <v>0</v>
      </c>
      <c r="AS611" s="724">
        <f t="shared" ref="AS611:BD611" si="225">SUM(AS607:AS610)</f>
        <v>0</v>
      </c>
      <c r="AT611" s="725">
        <f t="shared" si="225"/>
        <v>0</v>
      </c>
      <c r="AU611" s="725">
        <f t="shared" si="225"/>
        <v>0</v>
      </c>
      <c r="AV611" s="725">
        <f t="shared" si="225"/>
        <v>0</v>
      </c>
      <c r="AW611" s="725">
        <f t="shared" si="225"/>
        <v>0</v>
      </c>
      <c r="AX611" s="725">
        <f t="shared" si="225"/>
        <v>0</v>
      </c>
      <c r="AY611" s="725">
        <f t="shared" si="225"/>
        <v>0</v>
      </c>
      <c r="AZ611" s="725">
        <f t="shared" si="225"/>
        <v>0</v>
      </c>
      <c r="BA611" s="726">
        <f t="shared" si="225"/>
        <v>0</v>
      </c>
      <c r="BB611" s="727">
        <f t="shared" si="225"/>
        <v>0</v>
      </c>
      <c r="BC611" s="724">
        <f t="shared" si="225"/>
        <v>0</v>
      </c>
      <c r="BD611" s="728">
        <f t="shared" si="225"/>
        <v>0</v>
      </c>
    </row>
    <row r="612" spans="2:62" ht="12.75" hidden="1" customHeight="1" outlineLevel="1" x14ac:dyDescent="0.2">
      <c r="B612" s="321"/>
      <c r="C612" s="321"/>
      <c r="D612" s="321"/>
      <c r="E612" s="321"/>
      <c r="F612" s="321"/>
      <c r="G612" s="321"/>
      <c r="H612" s="321"/>
      <c r="I612" s="321"/>
      <c r="J612" s="321"/>
      <c r="K612" s="321"/>
      <c r="L612" s="321"/>
      <c r="M612" s="321"/>
      <c r="N612" s="321"/>
      <c r="O612" s="321"/>
      <c r="P612" s="321"/>
      <c r="Q612" s="321"/>
      <c r="V612" s="42"/>
    </row>
    <row r="613" spans="2:62" collapsed="1" x14ac:dyDescent="0.2">
      <c r="F613" s="328"/>
      <c r="G613" s="329"/>
      <c r="H613" s="314"/>
    </row>
    <row r="614" spans="2:62" x14ac:dyDescent="0.2">
      <c r="F614" s="328"/>
      <c r="G614" s="329"/>
      <c r="H614" s="314"/>
    </row>
    <row r="615" spans="2:62" x14ac:dyDescent="0.2">
      <c r="F615" s="328"/>
      <c r="G615" s="329"/>
      <c r="H615" s="314"/>
    </row>
    <row r="616" spans="2:62" ht="20" customHeight="1" x14ac:dyDescent="0.2">
      <c r="B616" s="1780" t="str">
        <f>+Energia!B137</f>
        <v>Panoramica delle sorgenti di emissione di CO2e</v>
      </c>
      <c r="C616" s="1780"/>
      <c r="D616" s="1780"/>
      <c r="E616" s="1780"/>
      <c r="F616" s="1780"/>
      <c r="G616" s="1780"/>
      <c r="H616" s="1780"/>
      <c r="I616" s="1780"/>
      <c r="J616" s="1780"/>
      <c r="K616" s="1780"/>
      <c r="L616" s="1780"/>
      <c r="M616" s="1780"/>
      <c r="N616" s="1780"/>
      <c r="O616" s="1780"/>
    </row>
    <row r="617" spans="2:62" x14ac:dyDescent="0.2">
      <c r="F617" s="328"/>
      <c r="G617" s="329"/>
      <c r="H617" s="314"/>
    </row>
    <row r="618" spans="2:62" x14ac:dyDescent="0.2">
      <c r="B618" s="1781" t="str">
        <f>Description!C20</f>
        <v>Trasporto merci</v>
      </c>
      <c r="C618" s="1782"/>
      <c r="D618" s="1794" t="s">
        <v>56</v>
      </c>
      <c r="E618" s="1794"/>
      <c r="F618" s="1794"/>
      <c r="G618" s="52"/>
      <c r="H618" s="1794" t="s">
        <v>723</v>
      </c>
      <c r="I618" s="1794"/>
      <c r="J618" s="228"/>
      <c r="K618" s="1792" t="s">
        <v>2489</v>
      </c>
      <c r="L618" s="1793"/>
      <c r="M618" s="228"/>
      <c r="N618" s="194" t="s">
        <v>2491</v>
      </c>
      <c r="O618" s="194" t="s">
        <v>2492</v>
      </c>
      <c r="P618" s="229"/>
      <c r="Q618" s="1812" t="s">
        <v>2493</v>
      </c>
      <c r="R618" s="1812"/>
      <c r="S618" s="1812"/>
      <c r="T618" s="1812"/>
    </row>
    <row r="619" spans="2:62" x14ac:dyDescent="0.2">
      <c r="B619" s="1783"/>
      <c r="C619" s="1784"/>
      <c r="D619" s="342" t="s">
        <v>61</v>
      </c>
      <c r="E619" s="343" t="s">
        <v>66</v>
      </c>
      <c r="F619" s="342" t="s">
        <v>73</v>
      </c>
      <c r="G619" s="52"/>
      <c r="H619" s="342" t="s">
        <v>61</v>
      </c>
      <c r="I619" s="342" t="s">
        <v>47</v>
      </c>
      <c r="J619" s="228"/>
      <c r="K619" s="342" t="s">
        <v>2065</v>
      </c>
      <c r="L619" s="342" t="s">
        <v>2558</v>
      </c>
      <c r="M619" s="228"/>
      <c r="N619" s="230" t="s">
        <v>66</v>
      </c>
      <c r="O619" s="230" t="s">
        <v>66</v>
      </c>
      <c r="P619" s="229"/>
      <c r="Q619" s="344" t="s">
        <v>2494</v>
      </c>
      <c r="R619" s="344" t="s">
        <v>72</v>
      </c>
      <c r="S619" s="344" t="s">
        <v>72</v>
      </c>
      <c r="T619" s="344" t="s">
        <v>2495</v>
      </c>
    </row>
    <row r="620" spans="2:62" s="4" customFormat="1" x14ac:dyDescent="0.15">
      <c r="B620" s="1788" t="str">
        <f>+B9</f>
        <v>Upstream trasporto su strada</v>
      </c>
      <c r="C620" s="1789"/>
      <c r="D620" s="241">
        <f>D22+D41+D69+D79</f>
        <v>0</v>
      </c>
      <c r="E620" s="242">
        <f t="shared" ref="E620:E631" si="226">D620/1000</f>
        <v>0</v>
      </c>
      <c r="F620" s="243" t="str">
        <f>IF($D$632=0,"",D620/$D$632)</f>
        <v/>
      </c>
      <c r="G620" s="51"/>
      <c r="H620" s="193">
        <f>SQRT(AB22^2+AC41^2+AC69^2+AC79^2)</f>
        <v>0</v>
      </c>
      <c r="I620" s="243" t="str">
        <f>IF(D620=0,"",H620/D620)</f>
        <v/>
      </c>
      <c r="J620" s="229"/>
      <c r="K620" s="193">
        <f>AI22+AJ41+AJ69+AJ79</f>
        <v>0</v>
      </c>
      <c r="L620" s="193">
        <f>AM22+AP41+AP69+AP79</f>
        <v>0</v>
      </c>
      <c r="M620" s="229"/>
      <c r="N620" s="193">
        <f t="shared" ref="N620:N628" si="227">L620/1000</f>
        <v>0</v>
      </c>
      <c r="O620" s="233">
        <f>E620-N620</f>
        <v>0</v>
      </c>
      <c r="P620" s="229"/>
      <c r="Q620" s="245">
        <f>(D620-H620)/1000</f>
        <v>0</v>
      </c>
      <c r="R620" s="245">
        <f t="shared" ref="R620:R628" si="228">E620</f>
        <v>0</v>
      </c>
      <c r="S620" s="245">
        <f t="shared" ref="S620:S628" si="229">E620</f>
        <v>0</v>
      </c>
      <c r="T620" s="245">
        <f>(D620+H620)/1000</f>
        <v>0</v>
      </c>
      <c r="AS620" s="754"/>
      <c r="AT620" s="754"/>
      <c r="AU620" s="754"/>
      <c r="AV620" s="754"/>
      <c r="AW620" s="754"/>
      <c r="AX620" s="754"/>
      <c r="AY620" s="754"/>
      <c r="AZ620" s="754"/>
      <c r="BA620" s="754"/>
      <c r="BB620" s="754"/>
      <c r="BC620" s="754"/>
      <c r="BD620" s="754"/>
      <c r="BE620" s="754"/>
      <c r="BF620" s="754"/>
      <c r="BG620" s="754"/>
      <c r="BH620" s="754"/>
      <c r="BI620" s="754"/>
      <c r="BJ620" s="754"/>
    </row>
    <row r="621" spans="2:62" s="4" customFormat="1" x14ac:dyDescent="0.15">
      <c r="B621" s="1788" t="str">
        <f>+B82</f>
        <v>Upstream trasporto aereo merci</v>
      </c>
      <c r="C621" s="1789"/>
      <c r="D621" s="241">
        <f>D92+D102</f>
        <v>0</v>
      </c>
      <c r="E621" s="242">
        <f t="shared" si="226"/>
        <v>0</v>
      </c>
      <c r="F621" s="243" t="str">
        <f t="shared" ref="F621:F632" si="230">IF($D$632=0,"",D621/$D$632)</f>
        <v/>
      </c>
      <c r="G621" s="51"/>
      <c r="H621" s="193">
        <f>SQRT(AC92^2+AC102^2)</f>
        <v>0</v>
      </c>
      <c r="I621" s="243" t="str">
        <f>IF(D621=0,"",H621/D621)</f>
        <v/>
      </c>
      <c r="J621" s="229"/>
      <c r="K621" s="193">
        <f>AJ92+AJ102</f>
        <v>0</v>
      </c>
      <c r="L621" s="193">
        <f>AO92+AP102</f>
        <v>0</v>
      </c>
      <c r="M621" s="229"/>
      <c r="N621" s="193">
        <f t="shared" si="227"/>
        <v>0</v>
      </c>
      <c r="O621" s="233">
        <f>E621-N621</f>
        <v>0</v>
      </c>
      <c r="P621" s="229"/>
      <c r="Q621" s="245">
        <f>(D621-H621)/1000</f>
        <v>0</v>
      </c>
      <c r="R621" s="245">
        <f t="shared" si="228"/>
        <v>0</v>
      </c>
      <c r="S621" s="245">
        <f t="shared" si="229"/>
        <v>0</v>
      </c>
      <c r="T621" s="245">
        <f>(D621+H621)/1000</f>
        <v>0</v>
      </c>
      <c r="AS621" s="754"/>
      <c r="AT621" s="754"/>
      <c r="AU621" s="754"/>
      <c r="AV621" s="754"/>
      <c r="AW621" s="754"/>
      <c r="AX621" s="754"/>
      <c r="AY621" s="754"/>
      <c r="AZ621" s="754"/>
      <c r="BA621" s="754"/>
      <c r="BB621" s="754"/>
      <c r="BC621" s="754"/>
      <c r="BD621" s="754"/>
      <c r="BE621" s="754"/>
      <c r="BF621" s="754"/>
      <c r="BG621" s="754"/>
      <c r="BH621" s="754"/>
      <c r="BI621" s="754"/>
      <c r="BJ621" s="754"/>
    </row>
    <row r="622" spans="2:62" s="4" customFormat="1" x14ac:dyDescent="0.15">
      <c r="B622" s="1788" t="str">
        <f>+B105</f>
        <v>Upstream  trasporto ferroviario merci</v>
      </c>
      <c r="C622" s="1789"/>
      <c r="D622" s="241">
        <f>D113+D121+D131+D141</f>
        <v>0</v>
      </c>
      <c r="E622" s="242">
        <f t="shared" si="226"/>
        <v>0</v>
      </c>
      <c r="F622" s="243" t="str">
        <f t="shared" si="230"/>
        <v/>
      </c>
      <c r="G622" s="51"/>
      <c r="H622" s="193">
        <f>SQRT(Z113^2+Z121^2+AB131^2+Z141^2)</f>
        <v>0</v>
      </c>
      <c r="I622" s="243" t="str">
        <f>IF(D622=0,"",H622/D622)</f>
        <v/>
      </c>
      <c r="J622" s="229"/>
      <c r="K622" s="193">
        <f>AG113+AG121+AI131+AG141</f>
        <v>0</v>
      </c>
      <c r="L622" s="193">
        <f>AI113+AI121+AM131+AI141</f>
        <v>0</v>
      </c>
      <c r="M622" s="229"/>
      <c r="N622" s="193">
        <f t="shared" si="227"/>
        <v>0</v>
      </c>
      <c r="O622" s="233">
        <f>E622-N622</f>
        <v>0</v>
      </c>
      <c r="P622" s="229"/>
      <c r="Q622" s="245">
        <f>(D622-H622)/1000</f>
        <v>0</v>
      </c>
      <c r="R622" s="245">
        <f t="shared" si="228"/>
        <v>0</v>
      </c>
      <c r="S622" s="245">
        <f t="shared" si="229"/>
        <v>0</v>
      </c>
      <c r="T622" s="245">
        <f>(D622+H622)/1000</f>
        <v>0</v>
      </c>
      <c r="AS622" s="754"/>
      <c r="AT622" s="754"/>
      <c r="AU622" s="754"/>
      <c r="AV622" s="754"/>
      <c r="AW622" s="754"/>
      <c r="AX622" s="754"/>
      <c r="AY622" s="754"/>
      <c r="AZ622" s="754"/>
      <c r="BA622" s="754"/>
      <c r="BB622" s="754"/>
      <c r="BC622" s="754"/>
      <c r="BD622" s="754"/>
      <c r="BE622" s="754"/>
      <c r="BF622" s="754"/>
      <c r="BG622" s="754"/>
      <c r="BH622" s="754"/>
      <c r="BI622" s="754"/>
      <c r="BJ622" s="754"/>
    </row>
    <row r="623" spans="2:62" s="4" customFormat="1" x14ac:dyDescent="0.15">
      <c r="B623" s="1788" t="str">
        <f>+B144</f>
        <v>Upstream trasporto merci via mare e fiume</v>
      </c>
      <c r="C623" s="1789"/>
      <c r="D623" s="241">
        <f>D157+D167+D177+D187+D197+D207</f>
        <v>0</v>
      </c>
      <c r="E623" s="242">
        <f t="shared" si="226"/>
        <v>0</v>
      </c>
      <c r="F623" s="243" t="str">
        <f t="shared" si="230"/>
        <v/>
      </c>
      <c r="G623" s="51"/>
      <c r="H623" s="193">
        <f>SQRT(AB157^2+AB167^2+AB177^2+AB187^2+AB197^2+AB207^2)</f>
        <v>0</v>
      </c>
      <c r="I623" s="243" t="str">
        <f>IF(D623=0,"",H623/D623)</f>
        <v/>
      </c>
      <c r="J623" s="229"/>
      <c r="K623" s="193">
        <f>AI157+AI167+AI177+AI187+AI197+AI207</f>
        <v>0</v>
      </c>
      <c r="L623" s="193">
        <f>AM157+AN167+AN177+AN187+AN197+AN207</f>
        <v>0</v>
      </c>
      <c r="M623" s="229"/>
      <c r="N623" s="193">
        <f t="shared" si="227"/>
        <v>0</v>
      </c>
      <c r="O623" s="233">
        <f>E623-N623</f>
        <v>0</v>
      </c>
      <c r="P623" s="229"/>
      <c r="Q623" s="245">
        <f>(D623-H623)/1000</f>
        <v>0</v>
      </c>
      <c r="R623" s="245">
        <f t="shared" si="228"/>
        <v>0</v>
      </c>
      <c r="S623" s="245">
        <f t="shared" si="229"/>
        <v>0</v>
      </c>
      <c r="T623" s="245">
        <f>(D623+H623)/1000</f>
        <v>0</v>
      </c>
      <c r="AS623" s="754"/>
      <c r="AT623" s="754"/>
      <c r="AU623" s="754"/>
      <c r="AV623" s="754"/>
      <c r="AW623" s="754"/>
      <c r="AX623" s="754"/>
      <c r="AY623" s="754"/>
      <c r="AZ623" s="754"/>
      <c r="BA623" s="754"/>
      <c r="BB623" s="754"/>
      <c r="BC623" s="754"/>
      <c r="BD623" s="754"/>
      <c r="BE623" s="754"/>
      <c r="BF623" s="754"/>
      <c r="BG623" s="754"/>
      <c r="BH623" s="754"/>
      <c r="BI623" s="754"/>
      <c r="BJ623" s="754"/>
    </row>
    <row r="624" spans="2:62" s="4" customFormat="1" x14ac:dyDescent="0.15">
      <c r="B624" s="1788" t="str">
        <f>+B211</f>
        <v>Trasporto su strada uso interno merci</v>
      </c>
      <c r="C624" s="1789"/>
      <c r="D624" s="241">
        <f>D224+D243+D271+D281</f>
        <v>0</v>
      </c>
      <c r="E624" s="242">
        <f t="shared" si="226"/>
        <v>0</v>
      </c>
      <c r="F624" s="243" t="str">
        <f t="shared" si="230"/>
        <v/>
      </c>
      <c r="G624" s="51"/>
      <c r="H624" s="193">
        <f>SQRT(AB224^2+AC243^2+AC271^2+AC281^2)</f>
        <v>0</v>
      </c>
      <c r="I624" s="243" t="str">
        <f t="shared" ref="I624:I632" si="231">IF(D624=0,"",H624/D624)</f>
        <v/>
      </c>
      <c r="J624" s="229"/>
      <c r="K624" s="193">
        <f>AI224+AJ243+AJ271+AJ281</f>
        <v>0</v>
      </c>
      <c r="L624" s="193">
        <f>AM224+AP243+AP271+AP281</f>
        <v>0</v>
      </c>
      <c r="M624" s="229"/>
      <c r="N624" s="193">
        <f t="shared" si="227"/>
        <v>0</v>
      </c>
      <c r="O624" s="233">
        <f t="shared" ref="O624:O631" si="232">E624-N624</f>
        <v>0</v>
      </c>
      <c r="P624" s="229"/>
      <c r="Q624" s="245">
        <f t="shared" ref="Q624:Q632" si="233">(D624-H624)/1000</f>
        <v>0</v>
      </c>
      <c r="R624" s="245">
        <f t="shared" si="228"/>
        <v>0</v>
      </c>
      <c r="S624" s="245">
        <f t="shared" si="229"/>
        <v>0</v>
      </c>
      <c r="T624" s="245">
        <f t="shared" ref="T624:T632" si="234">(D624+H624)/1000</f>
        <v>0</v>
      </c>
      <c r="AS624" s="754"/>
      <c r="AT624" s="754"/>
      <c r="AU624" s="754"/>
      <c r="AV624" s="754"/>
      <c r="AW624" s="754"/>
      <c r="AX624" s="754"/>
      <c r="AY624" s="754"/>
      <c r="AZ624" s="754"/>
      <c r="BA624" s="754"/>
      <c r="BB624" s="754"/>
      <c r="BC624" s="754"/>
      <c r="BD624" s="754"/>
      <c r="BE624" s="754"/>
      <c r="BF624" s="754"/>
      <c r="BG624" s="754"/>
      <c r="BH624" s="754"/>
      <c r="BI624" s="754"/>
      <c r="BJ624" s="754"/>
    </row>
    <row r="625" spans="2:62" s="4" customFormat="1" x14ac:dyDescent="0.15">
      <c r="B625" s="1788" t="str">
        <f>+B284</f>
        <v>Trasporto aereo uso interno merci</v>
      </c>
      <c r="C625" s="1789"/>
      <c r="D625" s="241">
        <f>D294+D304</f>
        <v>0</v>
      </c>
      <c r="E625" s="242">
        <f t="shared" si="226"/>
        <v>0</v>
      </c>
      <c r="F625" s="243" t="str">
        <f t="shared" si="230"/>
        <v/>
      </c>
      <c r="G625" s="51"/>
      <c r="H625" s="193">
        <f>SQRT(AC294^2+AC304^2)</f>
        <v>0</v>
      </c>
      <c r="I625" s="243" t="str">
        <f t="shared" si="231"/>
        <v/>
      </c>
      <c r="J625" s="229"/>
      <c r="K625" s="193">
        <f>AJ294+AJ304</f>
        <v>0</v>
      </c>
      <c r="L625" s="193">
        <f>AO294+AP304</f>
        <v>0</v>
      </c>
      <c r="M625" s="229"/>
      <c r="N625" s="193">
        <f t="shared" si="227"/>
        <v>0</v>
      </c>
      <c r="O625" s="233">
        <f t="shared" si="232"/>
        <v>0</v>
      </c>
      <c r="P625" s="229"/>
      <c r="Q625" s="245">
        <f t="shared" si="233"/>
        <v>0</v>
      </c>
      <c r="R625" s="245">
        <f t="shared" si="228"/>
        <v>0</v>
      </c>
      <c r="S625" s="245">
        <f t="shared" si="229"/>
        <v>0</v>
      </c>
      <c r="T625" s="245">
        <f t="shared" si="234"/>
        <v>0</v>
      </c>
      <c r="AS625" s="754"/>
      <c r="AT625" s="754"/>
      <c r="AU625" s="754"/>
      <c r="AV625" s="754"/>
      <c r="AW625" s="754"/>
      <c r="AX625" s="754"/>
      <c r="AY625" s="754"/>
      <c r="AZ625" s="754"/>
      <c r="BA625" s="754"/>
      <c r="BB625" s="754"/>
      <c r="BC625" s="754"/>
      <c r="BD625" s="754"/>
      <c r="BE625" s="754"/>
      <c r="BF625" s="754"/>
      <c r="BG625" s="754"/>
      <c r="BH625" s="754"/>
      <c r="BI625" s="754"/>
      <c r="BJ625" s="754"/>
    </row>
    <row r="626" spans="2:62" s="4" customFormat="1" x14ac:dyDescent="0.15">
      <c r="B626" s="1788" t="str">
        <f>+B307</f>
        <v xml:space="preserve"> Trasporto treno uso interno merci</v>
      </c>
      <c r="C626" s="1789"/>
      <c r="D626" s="241">
        <f>D315+D323+D333+D343</f>
        <v>0</v>
      </c>
      <c r="E626" s="242">
        <f t="shared" si="226"/>
        <v>0</v>
      </c>
      <c r="F626" s="243" t="str">
        <f t="shared" si="230"/>
        <v/>
      </c>
      <c r="G626" s="51"/>
      <c r="H626" s="193">
        <f>SQRT(Z315^2+Z323^2+AB333^2+Z343^2)</f>
        <v>0</v>
      </c>
      <c r="I626" s="243" t="str">
        <f t="shared" si="231"/>
        <v/>
      </c>
      <c r="J626" s="229"/>
      <c r="K626" s="193">
        <f>AG315+AG323+AI333+AG343</f>
        <v>0</v>
      </c>
      <c r="L626" s="193">
        <f>AI315+AI323+AM333+AI343</f>
        <v>0</v>
      </c>
      <c r="M626" s="229"/>
      <c r="N626" s="193">
        <f t="shared" si="227"/>
        <v>0</v>
      </c>
      <c r="O626" s="233">
        <f t="shared" si="232"/>
        <v>0</v>
      </c>
      <c r="P626" s="229"/>
      <c r="Q626" s="245">
        <f t="shared" si="233"/>
        <v>0</v>
      </c>
      <c r="R626" s="245">
        <f t="shared" si="228"/>
        <v>0</v>
      </c>
      <c r="S626" s="245">
        <f t="shared" si="229"/>
        <v>0</v>
      </c>
      <c r="T626" s="245">
        <f t="shared" si="234"/>
        <v>0</v>
      </c>
      <c r="AS626" s="754"/>
      <c r="AT626" s="754"/>
      <c r="AU626" s="754"/>
      <c r="AV626" s="754"/>
      <c r="AW626" s="754"/>
      <c r="AX626" s="754"/>
      <c r="AY626" s="754"/>
      <c r="AZ626" s="754"/>
      <c r="BA626" s="754"/>
      <c r="BB626" s="754"/>
      <c r="BC626" s="754"/>
      <c r="BD626" s="754"/>
      <c r="BE626" s="754"/>
      <c r="BF626" s="754"/>
      <c r="BG626" s="754"/>
      <c r="BH626" s="754"/>
      <c r="BI626" s="754"/>
      <c r="BJ626" s="754"/>
    </row>
    <row r="627" spans="2:62" s="4" customFormat="1" x14ac:dyDescent="0.15">
      <c r="B627" s="1788" t="str">
        <f>+B346</f>
        <v>Trasporto merci via mare e fiume  uso interno</v>
      </c>
      <c r="C627" s="1789"/>
      <c r="D627" s="241">
        <f>D359+D369+D379+D389+D399+D409</f>
        <v>0</v>
      </c>
      <c r="E627" s="242">
        <f t="shared" si="226"/>
        <v>0</v>
      </c>
      <c r="F627" s="243" t="str">
        <f t="shared" si="230"/>
        <v/>
      </c>
      <c r="G627" s="51"/>
      <c r="H627" s="193">
        <f>SQRT(AB359^2+AB369^2+AB379^2+AB389^2+AB399^2+AB409^2)</f>
        <v>0</v>
      </c>
      <c r="I627" s="243" t="str">
        <f t="shared" si="231"/>
        <v/>
      </c>
      <c r="J627" s="229"/>
      <c r="K627" s="193">
        <f>AI359+AI369+AI379+AI389+AI399+AI409</f>
        <v>0</v>
      </c>
      <c r="L627" s="193">
        <f>AM359+AN369+AN379+AN389+AN399+AN409</f>
        <v>0</v>
      </c>
      <c r="M627" s="229"/>
      <c r="N627" s="193">
        <f t="shared" si="227"/>
        <v>0</v>
      </c>
      <c r="O627" s="233">
        <f t="shared" si="232"/>
        <v>0</v>
      </c>
      <c r="P627" s="229"/>
      <c r="Q627" s="245">
        <f t="shared" si="233"/>
        <v>0</v>
      </c>
      <c r="R627" s="245">
        <f t="shared" si="228"/>
        <v>0</v>
      </c>
      <c r="S627" s="245">
        <f t="shared" si="229"/>
        <v>0</v>
      </c>
      <c r="T627" s="245">
        <f t="shared" si="234"/>
        <v>0</v>
      </c>
      <c r="AS627" s="754"/>
      <c r="AT627" s="754"/>
      <c r="AU627" s="754"/>
      <c r="AV627" s="754"/>
      <c r="AW627" s="754"/>
      <c r="AX627" s="754"/>
      <c r="AY627" s="754"/>
      <c r="AZ627" s="754"/>
      <c r="BA627" s="754"/>
      <c r="BB627" s="754"/>
      <c r="BC627" s="754"/>
      <c r="BD627" s="754"/>
      <c r="BE627" s="754"/>
      <c r="BF627" s="754"/>
      <c r="BG627" s="754"/>
      <c r="BH627" s="754"/>
      <c r="BI627" s="754"/>
      <c r="BJ627" s="754"/>
    </row>
    <row r="628" spans="2:62" s="4" customFormat="1" x14ac:dyDescent="0.15">
      <c r="B628" s="1788" t="str">
        <f>+B413</f>
        <v xml:space="preserve">Downstream trasporto su strada </v>
      </c>
      <c r="C628" s="1789"/>
      <c r="D628" s="241">
        <f>D426+D445+D473+D483</f>
        <v>0</v>
      </c>
      <c r="E628" s="242">
        <f t="shared" si="226"/>
        <v>0</v>
      </c>
      <c r="F628" s="243" t="str">
        <f t="shared" si="230"/>
        <v/>
      </c>
      <c r="G628" s="51"/>
      <c r="H628" s="193">
        <f>SQRT(AB426^2+AC445^2+AC473^2+AC483^2)</f>
        <v>0</v>
      </c>
      <c r="I628" s="243" t="str">
        <f t="shared" si="231"/>
        <v/>
      </c>
      <c r="J628" s="229"/>
      <c r="K628" s="193">
        <f>AI426+AJ445+AJ473+AJ483</f>
        <v>0</v>
      </c>
      <c r="L628" s="193">
        <f>AM426+AP445+AP473+AP483</f>
        <v>0</v>
      </c>
      <c r="M628" s="229"/>
      <c r="N628" s="193">
        <f t="shared" si="227"/>
        <v>0</v>
      </c>
      <c r="O628" s="233">
        <f t="shared" si="232"/>
        <v>0</v>
      </c>
      <c r="P628" s="229"/>
      <c r="Q628" s="245">
        <f t="shared" si="233"/>
        <v>0</v>
      </c>
      <c r="R628" s="245">
        <f t="shared" si="228"/>
        <v>0</v>
      </c>
      <c r="S628" s="245">
        <f t="shared" si="229"/>
        <v>0</v>
      </c>
      <c r="T628" s="245">
        <f t="shared" si="234"/>
        <v>0</v>
      </c>
      <c r="AS628" s="754"/>
      <c r="AT628" s="754"/>
      <c r="AU628" s="754"/>
      <c r="AV628" s="754"/>
      <c r="AW628" s="754"/>
      <c r="AX628" s="754"/>
      <c r="AY628" s="754"/>
      <c r="AZ628" s="754"/>
      <c r="BA628" s="754"/>
      <c r="BB628" s="754"/>
      <c r="BC628" s="754"/>
      <c r="BD628" s="754"/>
      <c r="BE628" s="754"/>
      <c r="BF628" s="754"/>
      <c r="BG628" s="754"/>
      <c r="BH628" s="754"/>
      <c r="BI628" s="754"/>
      <c r="BJ628" s="754"/>
    </row>
    <row r="629" spans="2:62" s="4" customFormat="1" x14ac:dyDescent="0.15">
      <c r="B629" s="1788" t="str">
        <f>+B486</f>
        <v>Downstream trasporto aereo merci</v>
      </c>
      <c r="C629" s="1789"/>
      <c r="D629" s="241">
        <f>D496+D506</f>
        <v>0</v>
      </c>
      <c r="E629" s="242">
        <f t="shared" si="226"/>
        <v>0</v>
      </c>
      <c r="F629" s="243" t="str">
        <f t="shared" si="230"/>
        <v/>
      </c>
      <c r="G629" s="51"/>
      <c r="H629" s="193">
        <f>SQRT(AC496^2+AC506^2)</f>
        <v>0</v>
      </c>
      <c r="I629" s="243" t="str">
        <f t="shared" si="231"/>
        <v/>
      </c>
      <c r="J629" s="229"/>
      <c r="K629" s="193">
        <f>AJ496+AJ506</f>
        <v>0</v>
      </c>
      <c r="L629" s="193">
        <f>AO496+AP506</f>
        <v>0</v>
      </c>
      <c r="M629" s="229"/>
      <c r="N629" s="193">
        <f>L629/1000</f>
        <v>0</v>
      </c>
      <c r="O629" s="233">
        <f t="shared" si="232"/>
        <v>0</v>
      </c>
      <c r="P629" s="229"/>
      <c r="Q629" s="245">
        <f t="shared" si="233"/>
        <v>0</v>
      </c>
      <c r="R629" s="245">
        <f>E629</f>
        <v>0</v>
      </c>
      <c r="S629" s="245">
        <f>E629</f>
        <v>0</v>
      </c>
      <c r="T629" s="245">
        <f t="shared" si="234"/>
        <v>0</v>
      </c>
      <c r="AS629" s="754"/>
      <c r="AT629" s="754"/>
      <c r="AU629" s="754"/>
      <c r="AV629" s="754"/>
      <c r="AW629" s="754"/>
      <c r="AX629" s="754"/>
      <c r="AY629" s="754"/>
      <c r="AZ629" s="754"/>
      <c r="BA629" s="754"/>
      <c r="BB629" s="754"/>
      <c r="BC629" s="754"/>
      <c r="BD629" s="754"/>
      <c r="BE629" s="754"/>
      <c r="BF629" s="754"/>
      <c r="BG629" s="754"/>
      <c r="BH629" s="754"/>
      <c r="BI629" s="754"/>
      <c r="BJ629" s="754"/>
    </row>
    <row r="630" spans="2:62" s="4" customFormat="1" x14ac:dyDescent="0.15">
      <c r="B630" s="1788" t="str">
        <f>+B509</f>
        <v>Downstream  trasporto treno merci</v>
      </c>
      <c r="C630" s="1789"/>
      <c r="D630" s="241">
        <f>D517+D525+D535+D545</f>
        <v>0</v>
      </c>
      <c r="E630" s="242">
        <f t="shared" si="226"/>
        <v>0</v>
      </c>
      <c r="F630" s="243" t="str">
        <f t="shared" si="230"/>
        <v/>
      </c>
      <c r="G630" s="51"/>
      <c r="H630" s="193">
        <f>SQRT(Z517^2+Z525^2+AB535^2+Z545^2)</f>
        <v>0</v>
      </c>
      <c r="I630" s="243" t="str">
        <f t="shared" si="231"/>
        <v/>
      </c>
      <c r="J630" s="229"/>
      <c r="K630" s="193">
        <f>AG517+AG525+AI535+AG545</f>
        <v>0</v>
      </c>
      <c r="L630" s="193">
        <f>AI517+AI525+AM535+AI545</f>
        <v>0</v>
      </c>
      <c r="M630" s="229"/>
      <c r="N630" s="193">
        <f>L630/1000</f>
        <v>0</v>
      </c>
      <c r="O630" s="233">
        <f t="shared" si="232"/>
        <v>0</v>
      </c>
      <c r="P630" s="229"/>
      <c r="Q630" s="245">
        <f t="shared" si="233"/>
        <v>0</v>
      </c>
      <c r="R630" s="245">
        <f>E630</f>
        <v>0</v>
      </c>
      <c r="S630" s="245">
        <f>E630</f>
        <v>0</v>
      </c>
      <c r="T630" s="245">
        <f t="shared" si="234"/>
        <v>0</v>
      </c>
      <c r="AS630" s="754"/>
      <c r="AT630" s="754"/>
      <c r="AU630" s="754"/>
      <c r="AV630" s="754"/>
      <c r="AW630" s="754"/>
      <c r="AX630" s="754"/>
      <c r="AY630" s="754"/>
      <c r="AZ630" s="754"/>
      <c r="BA630" s="754"/>
      <c r="BB630" s="754"/>
      <c r="BC630" s="754"/>
      <c r="BD630" s="754"/>
      <c r="BE630" s="754"/>
      <c r="BF630" s="754"/>
      <c r="BG630" s="754"/>
      <c r="BH630" s="754"/>
      <c r="BI630" s="754"/>
      <c r="BJ630" s="754"/>
    </row>
    <row r="631" spans="2:62" s="4" customFormat="1" x14ac:dyDescent="0.15">
      <c r="B631" s="1788" t="str">
        <f>+B548</f>
        <v>Downstream trasporto merci via mare e fiume</v>
      </c>
      <c r="C631" s="1789"/>
      <c r="D631" s="241">
        <f>D561+D571+D581+D591+D601+D611</f>
        <v>0</v>
      </c>
      <c r="E631" s="242">
        <f t="shared" si="226"/>
        <v>0</v>
      </c>
      <c r="F631" s="243" t="str">
        <f t="shared" si="230"/>
        <v/>
      </c>
      <c r="G631" s="51"/>
      <c r="H631" s="193">
        <f>SQRT(AB561^2+AB571^2+AB581^2+AB591^2+AB601^2+AB611^2)</f>
        <v>0</v>
      </c>
      <c r="I631" s="243" t="str">
        <f t="shared" si="231"/>
        <v/>
      </c>
      <c r="J631" s="229"/>
      <c r="K631" s="193">
        <f>AI561+AI571+AI581+AI591+AI601+AI611</f>
        <v>0</v>
      </c>
      <c r="L631" s="193">
        <f>AM561+AN571+AN581+AN591+AN601+AN611</f>
        <v>0</v>
      </c>
      <c r="M631" s="229"/>
      <c r="N631" s="193">
        <f>L631/1000</f>
        <v>0</v>
      </c>
      <c r="O631" s="233">
        <f t="shared" si="232"/>
        <v>0</v>
      </c>
      <c r="P631" s="229"/>
      <c r="Q631" s="245">
        <f t="shared" si="233"/>
        <v>0</v>
      </c>
      <c r="R631" s="245">
        <f>E631</f>
        <v>0</v>
      </c>
      <c r="S631" s="245">
        <f>E631</f>
        <v>0</v>
      </c>
      <c r="T631" s="245">
        <f t="shared" si="234"/>
        <v>0</v>
      </c>
      <c r="AS631" s="754"/>
      <c r="AT631" s="754"/>
      <c r="AU631" s="754"/>
      <c r="AV631" s="754"/>
      <c r="AW631" s="754"/>
      <c r="AX631" s="754"/>
      <c r="AY631" s="754"/>
      <c r="AZ631" s="754"/>
      <c r="BA631" s="754"/>
      <c r="BB631" s="754"/>
      <c r="BC631" s="754"/>
      <c r="BD631" s="754"/>
      <c r="BE631" s="754"/>
      <c r="BF631" s="754"/>
      <c r="BG631" s="754"/>
      <c r="BH631" s="754"/>
      <c r="BI631" s="754"/>
      <c r="BJ631" s="754"/>
    </row>
    <row r="632" spans="2:62" s="14" customFormat="1" ht="16" x14ac:dyDescent="0.2">
      <c r="B632" s="1790" t="s">
        <v>2828</v>
      </c>
      <c r="C632" s="1791"/>
      <c r="D632" s="246">
        <f>SUM(D620:D631)</f>
        <v>0</v>
      </c>
      <c r="E632" s="247">
        <f>SUM(E620:E631)</f>
        <v>0</v>
      </c>
      <c r="F632" s="248" t="str">
        <f t="shared" si="230"/>
        <v/>
      </c>
      <c r="G632" s="249"/>
      <c r="H632" s="246">
        <f>SQRT(SUMSQ(H620:H631))</f>
        <v>0</v>
      </c>
      <c r="I632" s="248" t="str">
        <f t="shared" si="231"/>
        <v/>
      </c>
      <c r="J632" s="229"/>
      <c r="K632" s="246">
        <f>SUM(K620:K631)</f>
        <v>0</v>
      </c>
      <c r="L632" s="246">
        <f>SUM(L620:L631)</f>
        <v>0</v>
      </c>
      <c r="M632" s="250"/>
      <c r="N632" s="246">
        <f>SUM(N620:N631)</f>
        <v>0</v>
      </c>
      <c r="O632" s="251">
        <f>SUM(O620:O631)</f>
        <v>0</v>
      </c>
      <c r="P632" s="252"/>
      <c r="Q632" s="245">
        <f t="shared" si="233"/>
        <v>0</v>
      </c>
      <c r="R632" s="245">
        <f>E632</f>
        <v>0</v>
      </c>
      <c r="S632" s="245">
        <f>E632</f>
        <v>0</v>
      </c>
      <c r="T632" s="245">
        <f t="shared" si="234"/>
        <v>0</v>
      </c>
      <c r="AS632" s="776"/>
      <c r="AT632" s="776"/>
      <c r="AU632" s="776"/>
      <c r="AV632" s="776"/>
      <c r="AW632" s="776"/>
      <c r="AX632" s="776"/>
      <c r="AY632" s="776"/>
      <c r="AZ632" s="776"/>
      <c r="BA632" s="776"/>
      <c r="BB632" s="776"/>
      <c r="BC632" s="776"/>
      <c r="BD632" s="776"/>
      <c r="BE632" s="776"/>
      <c r="BF632" s="776"/>
      <c r="BG632" s="776"/>
      <c r="BH632" s="776"/>
      <c r="BI632" s="776"/>
      <c r="BJ632" s="776"/>
    </row>
    <row r="633" spans="2:62" s="4" customFormat="1" x14ac:dyDescent="0.15">
      <c r="B633" s="192"/>
      <c r="C633" s="192"/>
      <c r="D633" s="192"/>
      <c r="E633" s="192"/>
      <c r="F633" s="192"/>
      <c r="G633" s="192"/>
      <c r="H633" s="231"/>
      <c r="I633" s="231"/>
      <c r="J633" s="287" t="s">
        <v>2496</v>
      </c>
      <c r="K633" s="288" t="str">
        <f>IF($D632=0,"",K632/$D632)</f>
        <v/>
      </c>
      <c r="L633" s="288" t="str">
        <f>IF($D632=0,"",L632/$D632)</f>
        <v/>
      </c>
      <c r="M633" s="231"/>
      <c r="N633" s="231"/>
      <c r="O633" s="231"/>
      <c r="P633" s="232"/>
      <c r="Q633" s="232"/>
      <c r="R633" s="232"/>
      <c r="S633" s="232"/>
      <c r="T633" s="232"/>
      <c r="AS633" s="754"/>
      <c r="AT633" s="754"/>
      <c r="AU633" s="754"/>
      <c r="AV633" s="754"/>
      <c r="AW633" s="754"/>
      <c r="AX633" s="754"/>
      <c r="AY633" s="754"/>
      <c r="AZ633" s="754"/>
      <c r="BA633" s="754"/>
      <c r="BB633" s="754"/>
      <c r="BC633" s="754"/>
      <c r="BD633" s="754"/>
      <c r="BE633" s="754"/>
      <c r="BF633" s="754"/>
      <c r="BG633" s="754"/>
      <c r="BH633" s="754"/>
      <c r="BI633" s="754"/>
      <c r="BJ633" s="754"/>
    </row>
    <row r="634" spans="2:62" s="4" customFormat="1" x14ac:dyDescent="0.15">
      <c r="B634" s="192"/>
      <c r="C634" s="192"/>
      <c r="D634" s="192"/>
      <c r="E634" s="192"/>
      <c r="F634" s="192"/>
      <c r="G634" s="192"/>
      <c r="H634" s="231"/>
      <c r="I634" s="231"/>
      <c r="J634" s="231"/>
      <c r="K634" s="231"/>
      <c r="L634" s="231"/>
      <c r="M634" s="231"/>
      <c r="N634" s="231"/>
      <c r="O634" s="231"/>
      <c r="P634" s="232"/>
      <c r="Q634" s="232"/>
      <c r="R634" s="232"/>
      <c r="S634" s="232"/>
      <c r="T634" s="232"/>
      <c r="AS634" s="754"/>
      <c r="AT634" s="754"/>
      <c r="AU634" s="754"/>
      <c r="AV634" s="754"/>
      <c r="AW634" s="754"/>
      <c r="AX634" s="754"/>
      <c r="AY634" s="754"/>
      <c r="AZ634" s="754"/>
      <c r="BA634" s="754"/>
      <c r="BB634" s="754"/>
      <c r="BC634" s="754"/>
      <c r="BD634" s="754"/>
      <c r="BE634" s="754"/>
      <c r="BF634" s="754"/>
      <c r="BG634" s="754"/>
      <c r="BH634" s="754"/>
      <c r="BI634" s="754"/>
      <c r="BJ634" s="754"/>
    </row>
    <row r="635" spans="2:62" ht="14" x14ac:dyDescent="0.2">
      <c r="B635" s="1781" t="s">
        <v>2648</v>
      </c>
      <c r="C635" s="1782"/>
      <c r="D635" s="342" t="s">
        <v>2649</v>
      </c>
      <c r="E635" s="342" t="s">
        <v>2650</v>
      </c>
      <c r="F635" s="342" t="s">
        <v>2651</v>
      </c>
      <c r="G635" s="342" t="s">
        <v>44</v>
      </c>
    </row>
    <row r="636" spans="2:62" x14ac:dyDescent="0.2">
      <c r="B636" s="1788" t="s">
        <v>2927</v>
      </c>
      <c r="C636" s="1789"/>
      <c r="D636" s="241">
        <f>E620</f>
        <v>0</v>
      </c>
      <c r="E636" s="193">
        <f>E624</f>
        <v>0</v>
      </c>
      <c r="F636" s="241">
        <f>E628</f>
        <v>0</v>
      </c>
      <c r="G636" s="193">
        <f>SUM(D636:F636)</f>
        <v>0</v>
      </c>
      <c r="I636" s="314"/>
      <c r="J636" s="314"/>
      <c r="K636" s="314"/>
    </row>
    <row r="637" spans="2:62" x14ac:dyDescent="0.2">
      <c r="B637" s="1788" t="s">
        <v>2928</v>
      </c>
      <c r="C637" s="1789"/>
      <c r="D637" s="241">
        <f>E621</f>
        <v>0</v>
      </c>
      <c r="E637" s="193">
        <f>E625</f>
        <v>0</v>
      </c>
      <c r="F637" s="241">
        <f>E629</f>
        <v>0</v>
      </c>
      <c r="G637" s="193">
        <f>SUM(D637:F637)</f>
        <v>0</v>
      </c>
      <c r="I637" s="314"/>
      <c r="J637" s="314"/>
      <c r="K637" s="314"/>
    </row>
    <row r="638" spans="2:62" x14ac:dyDescent="0.2">
      <c r="B638" s="1788" t="s">
        <v>2929</v>
      </c>
      <c r="C638" s="1789"/>
      <c r="D638" s="241">
        <f>E622</f>
        <v>0</v>
      </c>
      <c r="E638" s="193">
        <f>E626</f>
        <v>0</v>
      </c>
      <c r="F638" s="241">
        <f>E630</f>
        <v>0</v>
      </c>
      <c r="G638" s="193">
        <f>SUM(D638:F638)</f>
        <v>0</v>
      </c>
      <c r="I638" s="314"/>
      <c r="J638" s="314"/>
      <c r="K638" s="314"/>
    </row>
    <row r="639" spans="2:62" x14ac:dyDescent="0.2">
      <c r="B639" s="1788" t="s">
        <v>2930</v>
      </c>
      <c r="C639" s="1789"/>
      <c r="D639" s="241">
        <f>E623</f>
        <v>0</v>
      </c>
      <c r="E639" s="193">
        <f>E627</f>
        <v>0</v>
      </c>
      <c r="F639" s="241">
        <f>E631</f>
        <v>0</v>
      </c>
      <c r="G639" s="193">
        <f>SUM(D639:F639)</f>
        <v>0</v>
      </c>
      <c r="I639" s="314"/>
      <c r="J639" s="314"/>
      <c r="K639" s="314"/>
    </row>
    <row r="640" spans="2:62" ht="14" x14ac:dyDescent="0.2">
      <c r="B640" s="1790" t="s">
        <v>2828</v>
      </c>
      <c r="C640" s="1791"/>
      <c r="D640" s="246">
        <f>SUM(D636:D639)</f>
        <v>0</v>
      </c>
      <c r="E640" s="246">
        <f>SUM(E636:E639)</f>
        <v>0</v>
      </c>
      <c r="F640" s="246">
        <f>SUM(F636:F639)</f>
        <v>0</v>
      </c>
      <c r="G640" s="246">
        <f>SUM(G636:G639)</f>
        <v>0</v>
      </c>
      <c r="I640" s="314"/>
      <c r="J640" s="314"/>
      <c r="K640" s="314"/>
    </row>
    <row r="641" spans="2:51" x14ac:dyDescent="0.2">
      <c r="G641" s="314"/>
      <c r="H641" s="49"/>
    </row>
    <row r="643" spans="2:51" s="39" customFormat="1" ht="16" collapsed="1" x14ac:dyDescent="0.2">
      <c r="B643" s="1774" t="str">
        <f>+Energia!B150</f>
        <v>Panoramica delle categorie definite nel  GHG Protocol</v>
      </c>
      <c r="C643" s="1775"/>
      <c r="D643" s="1775"/>
      <c r="E643" s="1775"/>
      <c r="F643" s="1775"/>
      <c r="G643" s="1775"/>
      <c r="H643" s="1775"/>
      <c r="I643" s="1775"/>
      <c r="J643" s="1775"/>
      <c r="K643" s="1775"/>
      <c r="L643" s="1775"/>
      <c r="M643" s="1775"/>
      <c r="N643" s="1775"/>
      <c r="O643" s="1776"/>
      <c r="W643" s="1162"/>
      <c r="AB643" s="1162"/>
      <c r="AF643" s="1162"/>
      <c r="AK643" s="729"/>
      <c r="AL643" s="729"/>
      <c r="AM643" s="729"/>
      <c r="AN643" s="729"/>
      <c r="AO643" s="729"/>
      <c r="AP643" s="729"/>
      <c r="AQ643" s="729"/>
      <c r="AR643" s="729"/>
      <c r="AS643" s="729"/>
      <c r="AT643" s="729"/>
      <c r="AU643" s="729"/>
      <c r="AV643" s="729"/>
    </row>
    <row r="644" spans="2:51" s="39" customFormat="1" ht="12" customHeight="1" outlineLevel="1" x14ac:dyDescent="0.2">
      <c r="W644" s="1162"/>
      <c r="AB644" s="1162"/>
      <c r="AF644" s="1162"/>
      <c r="AK644" s="729"/>
      <c r="AL644" s="729"/>
      <c r="AM644" s="729"/>
      <c r="AN644" s="729"/>
      <c r="AO644" s="729"/>
      <c r="AP644" s="729"/>
      <c r="AQ644" s="729"/>
      <c r="AR644" s="729"/>
      <c r="AS644" s="729"/>
      <c r="AT644" s="729"/>
      <c r="AU644" s="729"/>
      <c r="AV644" s="729"/>
    </row>
    <row r="645" spans="2:51" s="39" customFormat="1" ht="38.25" customHeight="1" outlineLevel="1" x14ac:dyDescent="0.2">
      <c r="B645" s="118"/>
      <c r="C645" s="118"/>
      <c r="D645" s="118"/>
      <c r="E645" s="1777" t="s">
        <v>2498</v>
      </c>
      <c r="F645" s="1779"/>
      <c r="G645" s="1779"/>
      <c r="H645" s="1779"/>
      <c r="I645" s="1779"/>
      <c r="J645" s="1779"/>
      <c r="K645" s="1779"/>
      <c r="L645" s="1779"/>
      <c r="M645" s="1779"/>
      <c r="N645" s="1778"/>
      <c r="O645" s="1249" t="s">
        <v>2517</v>
      </c>
      <c r="W645" s="1162"/>
      <c r="AB645" s="1162"/>
      <c r="AF645" s="1162"/>
      <c r="AK645" s="729"/>
      <c r="AL645" s="729"/>
      <c r="AM645" s="729"/>
      <c r="AN645" s="729"/>
      <c r="AO645" s="729"/>
      <c r="AP645" s="729"/>
      <c r="AQ645" s="729"/>
      <c r="AR645" s="729"/>
      <c r="AS645" s="729"/>
      <c r="AT645" s="729"/>
      <c r="AU645" s="729"/>
      <c r="AV645" s="729"/>
    </row>
    <row r="646" spans="2:51" s="39" customFormat="1" ht="25.5" customHeight="1" outlineLevel="1" x14ac:dyDescent="0.2">
      <c r="B646" s="1777" t="str">
        <f>+Energia!B153</f>
        <v>Sorgenti di emissione</v>
      </c>
      <c r="C646" s="1778"/>
      <c r="D646" s="1251" t="s">
        <v>2500</v>
      </c>
      <c r="E646" s="1250" t="s">
        <v>666</v>
      </c>
      <c r="F646" s="1250" t="s">
        <v>667</v>
      </c>
      <c r="G646" s="1250" t="s">
        <v>668</v>
      </c>
      <c r="H646" s="1250" t="s">
        <v>670</v>
      </c>
      <c r="I646" s="1250" t="s">
        <v>671</v>
      </c>
      <c r="J646" s="1250" t="s">
        <v>672</v>
      </c>
      <c r="K646" s="1250" t="s">
        <v>2584</v>
      </c>
      <c r="L646" s="1251" t="s">
        <v>69</v>
      </c>
      <c r="M646" s="1250" t="s">
        <v>669</v>
      </c>
      <c r="N646" s="1250" t="s">
        <v>2586</v>
      </c>
      <c r="O646" s="1251" t="s">
        <v>69</v>
      </c>
      <c r="Z646" s="1162"/>
      <c r="AE646" s="1162"/>
      <c r="AI646" s="1162"/>
      <c r="AN646" s="729"/>
      <c r="AO646" s="729"/>
      <c r="AP646" s="729"/>
      <c r="AQ646" s="729"/>
      <c r="AR646" s="729"/>
      <c r="AS646" s="729"/>
      <c r="AT646" s="729"/>
      <c r="AU646" s="729"/>
      <c r="AV646" s="729"/>
      <c r="AW646" s="729"/>
      <c r="AX646" s="729"/>
      <c r="AY646" s="729"/>
    </row>
    <row r="647" spans="2:51" s="39" customFormat="1" ht="12.75" customHeight="1" outlineLevel="1" x14ac:dyDescent="0.2">
      <c r="B647" s="1749" t="str">
        <f>+Energia!B154</f>
        <v xml:space="preserve">Emissioni dirette da sorgenti di combustione stazionarie </v>
      </c>
      <c r="C647" s="1749"/>
      <c r="D647" s="1245" t="s">
        <v>99</v>
      </c>
      <c r="E647" s="1239"/>
      <c r="F647" s="1239"/>
      <c r="G647" s="1239"/>
      <c r="H647" s="1239"/>
      <c r="I647" s="1239"/>
      <c r="J647" s="1239"/>
      <c r="K647" s="1239"/>
      <c r="L647" s="1248"/>
      <c r="M647" s="1237"/>
      <c r="N647" s="1242"/>
      <c r="O647" s="1241"/>
      <c r="Z647" s="1162"/>
      <c r="AE647" s="1162"/>
      <c r="AI647" s="1162"/>
      <c r="AN647" s="729"/>
      <c r="AO647" s="729"/>
      <c r="AP647" s="729"/>
      <c r="AQ647" s="729"/>
      <c r="AR647" s="729"/>
      <c r="AS647" s="729"/>
      <c r="AT647" s="729"/>
      <c r="AU647" s="729"/>
      <c r="AV647" s="729"/>
      <c r="AW647" s="729"/>
      <c r="AX647" s="729"/>
      <c r="AY647" s="729"/>
    </row>
    <row r="648" spans="2:51" s="39" customFormat="1" ht="12.75" customHeight="1" outlineLevel="1" x14ac:dyDescent="0.2">
      <c r="B648" s="1749" t="str">
        <f>+Energia!B155</f>
        <v>Emissioni dirette da sorgenti di combustione mobili</v>
      </c>
      <c r="C648" s="1749"/>
      <c r="D648" s="1246" t="s">
        <v>100</v>
      </c>
      <c r="E648" s="1239">
        <f>SUMIF($F$11:$F$22,'Info utili'!$G$532,AT11:AT22)+SUMIF($F$24:$F$79,'Info utili'!$G$532,AU24:AU79)+SUMIF($F$84:$F$102,'Info utili'!$G$532,AT84:AT102)+SUMIF($F$84:$F$102,'Info utili'!$G$532,AU84:AU102)+SUMIF($F$123:$F$131,'Info utili'!$G$532,AT123:AT131)+SUMIF($F$146:$F$224,'Info utili'!$G$532,AT146:AT224)+SUMIF($F$226:$F$281,'Info utili'!$G$532,AU226:AU281)+SUMIF($F$286:$F$304,'Info utili'!$G$532,AT286:AT304)+SUMIF($F$286:$F$304,'Info utili'!$G$532,AU286:AU304)+SUMIF($F$325:$F$333,'Info utili'!$G$532,AT325:AT333)+SUMIF($F$348:$F$426,'Info utili'!$G$532,AT348:AT426)+SUMIF($F$428:$F$483,'Info utili'!$G$532,AU428:AU483)+SUMIF($F$488:$F$506,'Info utili'!$G$532,AT488:AT506)+SUMIF($F$488:$F$506,'Info utili'!$G$532,AU488:AU506)+SUMIF($F$527:$F$535,'Info utili'!$G$532,AT527:AT535)+SUMIF($F$550:$F$611,'Info utili'!$G$532,AT550:AT611)+SUMIF($F$11:$F$22,'Info utili'!$G$537,AT11:AT22)+SUMIF($F$24:$F$79,'Info utili'!$G$537,AU24:AU79)+SUMIF($F$84:$F$102,'Info utili'!$G$537,AT84:AT102)+SUMIF($F$84:$F$102,'Info utili'!$G$537,AU84:AU102)+SUMIF($F$123:$F$131,'Info utili'!$G$537,AT123:AT131)+SUMIF($F$146:$F$224,'Info utili'!$G$537,AT146:AT224)+SUMIF($F$226:$F$281,'Info utili'!$G$537,AU226:AU281)+SUMIF($F$286:$F$304,'Info utili'!$G$537,AT286:AT304)+SUMIF($F$286:$F$304,'Info utili'!$G$537,AU286:AU304)+SUMIF($F$325:$F$333,'Info utili'!$G$537,AT325:AT333)+SUMIF($F$348:$F$426,'Info utili'!$G$537,AT348:AT426)+SUMIF($F$428:$F$483,'Info utili'!$G$537,AU428:AU483)+SUMIF($F$488:$F$506,'Info utili'!$G$537,AT488:AT506)+SUMIF($F$488:$F$506,'Info utili'!$G$537,AU488:AU506)+SUMIF($F$527:$F$535,'Info utili'!$G$537,AT527:AT535)+SUMIF($F$550:$F$611,'Info utili'!$G$537,AT550:AT611)</f>
        <v>0</v>
      </c>
      <c r="F648" s="1239">
        <f>SUMIF($F$11:$F$22,'Info utili'!$G$532,AV11:AV22)+SUMIF($F$24:$F$79,'Info utili'!$G$532,AX24:AX79)+SUMIF($F$84:$F$102,'Info utili'!$G$532,AW84:AW102)+SUMIF($F$84:$F$102,'Info utili'!$G$532,AX84:AX102)+SUMIF($F$123:$F$131,'Info utili'!$G$532,AV123:AV131)+SUMIF($F$146:$F$224,'Info utili'!$G$532,AV146:AV224)+SUMIF($F$226:$F$281,'Info utili'!$G$532,AX226:AX281)+SUMIF($F$286:$F$304,'Info utili'!$G$532,AW286:AW304)+SUMIF($F$286:$F$304,'Info utili'!$G$532,AX286:AX304)+SUMIF($F$325:$F$333,'Info utili'!$G$532,AV325:AV333)+SUMIF($F$348:$F$426,'Info utili'!$G$532,AV348:AV426)+SUMIF($F$428:$F$483,'Info utili'!$G$532,AX428:AX483)+SUMIF($F$488:$F$506,'Info utili'!$G$532,AW488:AW506)+SUMIF($F$488:$F$506,'Info utili'!$G$532,AX488:AX506)+SUMIF($F$527:$F$535,'Info utili'!$G$532,AV527:AV535)+SUMIF($F$550:$F$611,'Info utili'!$G$532,AV550:AV611)+SUMIF($F$11:$F$22,'Info utili'!$G$537,AV11:AV22)+SUMIF($F$24:$F$79,'Info utili'!$G$537,AX24:AX79)+SUMIF($F$84:$F$102,'Info utili'!$G$537,AW84:AW102)+SUMIF($F$84:$F$102,'Info utili'!$G$537,AX84:AX102)+SUMIF($F$123:$F$131,'Info utili'!$G$537,AV123:AV131)+SUMIF($F$146:$F$224,'Info utili'!$G$537,AV146:AV224)+SUMIF($F$226:$F$281,'Info utili'!$G$537,AX226:AX281)+SUMIF($F$286:$F$304,'Info utili'!$G$537,AW286:AW304)+SUMIF($F$286:$F$304,'Info utili'!$G$537,AX286:AX304)+SUMIF($F$325:$F$333,'Info utili'!$G$537,AV325:AV333)+SUMIF($F$348:$F$426,'Info utili'!$G$537,AV348:AV426)+SUMIF($F$428:$F$483,'Info utili'!$G$537,AX428:AX483)+SUMIF($F$488:$F$506,'Info utili'!$G$537,AW488:AW506)+SUMIF($F$488:$F$506,'Info utili'!$G$537,AX488:AX506)+SUMIF($F$527:$F$535,'Info utili'!$G$537,AV527:AV535)+SUMIF($F$550:$F$611,'Info utili'!$G$537,AV550:AV611)</f>
        <v>0</v>
      </c>
      <c r="G648" s="1239">
        <f>SUMIF($F$11:$F$22,'Info utili'!$G$532,AX11:AX22)+SUMIF($F$24:$F$79,'Info utili'!$G$532,BA24:BA79)+SUMIF($F$84:$F$102,'Info utili'!$G$532,AZ84:AZ102)+SUMIF($F$84:$F$102,'Info utili'!$G$532,BA84:BA102)+SUMIF($F$123:$F$131,'Info utili'!$G$532,AX123:AX131)+SUMIF($F$146:$F$224,'Info utili'!$G$532,AX146:AX224)+SUMIF($F$226:$F$281,'Info utili'!$G$532,BA226:BA281)+SUMIF($F$286:$F$304,'Info utili'!$G$532,AZ286:AZ304)+SUMIF($F$286:$F$304,'Info utili'!$G$532,BA286:BA304)+SUMIF($F$325:$F$333,'Info utili'!$G$532,AX325:AX333)+SUMIF($F$348:$F$426,'Info utili'!$G$532,AX348:AX426)+SUMIF($F$428:$F$483,'Info utili'!$G$532,BA428:BA483)+SUMIF($F$488:$F$506,'Info utili'!$G$532,AZ488:AZ506)+SUMIF($F$488:$F$506,'Info utili'!$G$532,BA488:BA506)+SUMIF($F$527:$F$535,'Info utili'!$G$532,AX527:AX535)+SUMIF($F$550:$F$611,'Info utili'!$G$532,AX550:AX611)+SUMIF($F$11:$F$22,'Info utili'!$G$537,AX11:AX22)+SUMIF($F$24:$F$79,'Info utili'!$G$537,BA24:BA79)+SUMIF($F$84:$F$102,'Info utili'!$G$537,AZ84:AZ102)+SUMIF($F$84:$F$102,'Info utili'!$G$537,BA84:BA102)+SUMIF($F$123:$F$131,'Info utili'!$G$537,AX123:AX131)+SUMIF($F$146:$F$224,'Info utili'!$G$537,AX146:AX224)+SUMIF($F$226:$F$281,'Info utili'!$G$537,BA226:BA281)+SUMIF($F$286:$F$304,'Info utili'!$G$537,AZ286:AZ304)+SUMIF($F$286:$F$304,'Info utili'!$G$537,BA286:BA304)+SUMIF($F$325:$F$333,'Info utili'!$G$537,AX325:AX333)+SUMIF($F$348:$F$426,'Info utili'!$G$537,AX348:AX426)+SUMIF($F$428:$F$483,'Info utili'!$G$537,BA428:BA483)+SUMIF($F$488:$F$506,'Info utili'!$G$537,AZ488:AZ506)+SUMIF($F$488:$F$506,'Info utili'!$G$537,BA488:BA506)+SUMIF($F$527:$F$535,'Info utili'!$G$537,AX527:AX535)+SUMIF($F$550:$F$611,'Info utili'!$G$537,AX550:AX611)</f>
        <v>0</v>
      </c>
      <c r="H648" s="1239">
        <v>0</v>
      </c>
      <c r="I648" s="1239">
        <v>0</v>
      </c>
      <c r="J648" s="1239">
        <v>0</v>
      </c>
      <c r="K648" s="1239">
        <v>0</v>
      </c>
      <c r="L648" s="1248">
        <f>SUMIF($F$11:$F$22,'Info utili'!$G$532,BB11:BB22)+SUMIF($F$24:$F$79,'Info utili'!$G$532,BG24:BG79)+SUMIF($F$84:$F$102,'Info utili'!$G$532,BF84:BF102)+SUMIF($F$84:$F$102,'Info utili'!$G$532,BG84:BG102)+SUMIF($F$123:$F$131,'Info utili'!$G$532,BB123:BB131)+SUMIF($F$146:$F$224,'Info utili'!$G$532,BB146:BB224)+SUMIF($F$226:$F$281,'Info utili'!$G$532,BG226:BG281)+SUMIF($F$286:$F$304,'Info utili'!$G$532,BF286:BF304)+SUMIF($F$286:$F$304,'Info utili'!$G$532,BG286:BG304)+SUMIF($F$325:$F$333,'Info utili'!$G$532,BB325:BB333)+SUMIF($F$348:$F$426,'Info utili'!$G$532,BB348:BB426)+SUMIF($F$428:$F$483,'Info utili'!$G$532,BG428:BG483)+SUMIF($F$488:$F$506,'Info utili'!$G$532,BF488:BF506)+SUMIF($F$488:$F$506,'Info utili'!$G$532,BG488:BG506)+SUMIF($F$527:$F$535,'Info utili'!$G$532,BB527:BB535)+SUMIF($F$550:$F$611,'Info utili'!$G$532,BB550:BB611)+SUMIF($F$11:$F$22,'Info utili'!$G$537,BB11:BB22)+SUMIF($F$24:$F$79,'Info utili'!$G$537,BG24:BG79)+SUMIF($F$84:$F$102,'Info utili'!$G$537,BF84:BF102)+SUMIF($F$84:$F$102,'Info utili'!$G$537,BG84:BG102)+SUMIF($F$123:$F$131,'Info utili'!$G$537,BB123:BB131)+SUMIF($F$146:$F$224,'Info utili'!$G$537,BB146:BB224)+SUMIF($F$226:$F$281,'Info utili'!$G$537,BG226:BG281)+SUMIF($F$286:$F$304,'Info utili'!$G$537,BF286:BF304)+SUMIF($F$286:$F$304,'Info utili'!$G$537,BG286:BG304)+SUMIF($F$325:$F$333,'Info utili'!$G$537,BB325:BB333)+SUMIF($F$348:$F$426,'Info utili'!$G$537,BB348:BB426)+SUMIF($F$428:$F$483,'Info utili'!$G$537,BG428:BG483)+SUMIF($F$488:$F$506,'Info utili'!$G$537,BF488:BF506)+SUMIF($F$488:$F$506,'Info utili'!$G$537,BG488:BG506)+SUMIF($F$527:$F$535,'Info utili'!$G$537,BB527:BB535)+SUMIF($F$550:$F$611,'Info utili'!$G$537,BB550:BB611)</f>
        <v>0</v>
      </c>
      <c r="M648" s="1237">
        <f>SUMIF($F$11:$F$22,'Info utili'!$G$532,BD11:BD22)+SUMIF($F$24:$F$79,'Info utili'!$G$532,BJ24:BJ79)+SUMIF($F$84:$F$102,'Info utili'!$G$532,BI84:BI102)+SUMIF($F$84:$F$102,'Info utili'!$G$532,BJ84:BJ102)+SUMIF($F$123:$F$131,'Info utili'!$G$532,BD123:BD131)+SUMIF($F$146:$F$224,'Info utili'!$G$532,BD146:BD224)+SUMIF($F$226:$F$281,'Info utili'!$G$532,BJ226:BJ281)+SUMIF($F$286:$F$304,'Info utili'!$G$532,BI286:BI304)+SUMIF($F$286:$F$304,'Info utili'!$G$532,BJ286:BJ304)+SUMIF($F$325:$F$333,'Info utili'!$G$532,BD325:BD333)+SUMIF($F$348:$F$426,'Info utili'!$G$532,BD348:BD426)+SUMIF($F$428:$F$483,'Info utili'!$G$532,BJ428:BJ483)+SUMIF($F$488:$F$506,'Info utili'!$G$532,BI488:BI506)+SUMIF($F$488:$F$506,'Info utili'!$G$532,BJ488:BJ506)+SUMIF($F$527:$F$535,'Info utili'!$G$532,BD527:BD535)+SUMIF($F$550:$F$611,'Info utili'!$G$532,BD550:BD611)+SUMIF($F$11:$F$22,'Info utili'!$G$537,BD11:BD22)+SUMIF($F$24:$F$79,'Info utili'!$G$537,BJ24:BJ79)+SUMIF($F$84:$F$102,'Info utili'!$G$537,BI84:BI102)+SUMIF($F$84:$F$102,'Info utili'!$G$537,BJ84:BJ102)+SUMIF($F$123:$F$131,'Info utili'!$G$537,BD123:BD131)+SUMIF($F$146:$F$224,'Info utili'!$G$537,BD146:BD224)+SUMIF($F$226:$F$281,'Info utili'!$G$537,BJ226:BJ281)+SUMIF($F$286:$F$304,'Info utili'!$G$537,BI286:BI304)+SUMIF($F$286:$F$304,'Info utili'!$G$537,BJ286:BJ304)+SUMIF($F$325:$F$333,'Info utili'!$G$537,BD325:BD333)+SUMIF($F$348:$F$426,'Info utili'!$G$537,BD348:BD426)+SUMIF($F$428:$F$483,'Info utili'!$G$537,BJ428:BJ483)+SUMIF($F$488:$F$506,'Info utili'!$G$537,BI488:BI506)+SUMIF($F$488:$F$506,'Info utili'!$G$537,BJ488:BJ506)+SUMIF($F$527:$F$535,'Info utili'!$G$537,BD527:BD535)+SUMIF($F$550:$F$611,'Info utili'!$G$537,BD550:BD611)</f>
        <v>0</v>
      </c>
      <c r="N648" s="1242">
        <f>SQRT(SUMPRODUCT(($F$11:$F$22='Info utili'!$G$532)*1,AA11:AA22,AA11:AA22)+SUMPRODUCT(($F$24:$F$79='Info utili'!$G$532)*1,AB24:AB79,AB24:AB79)+SUMPRODUCT(($F$84:$F$102='Info utili'!$G$532)*1,AA84:AA102,AA84:AA102)+SUMPRODUCT(($F$84:$F$102='Info utili'!$G$532)*1,AB84:AB102,AB84:AB102)+SUMPRODUCT(($F$123:$F$131='Info utili'!$G$532)*1,AA123:AA131,AA123:AA131)+SUMPRODUCT(($F$146:$F$224='Info utili'!$G$532)*1,AA146:AA224,AA146:AA224)+SUMPRODUCT(($F$226:$F$281='Info utili'!$G$532)*1,AB226:AB281,AB226:AB281)+SUMPRODUCT(($F$286:$F$304='Info utili'!$G$532)*1,AA286:AA304,AA286:AA304)+SUMPRODUCT(($F$286:$F$304='Info utili'!$G$532)*1,AB286:AB304,AB286:AB304)+SUMPRODUCT(($F$325:$F$333='Info utili'!$G$532)*1,AA325:AA333,AA325:AA333)+SUMPRODUCT(($F$348:$F$426='Info utili'!$G$532)*1,AA348:AA426,AA348:AA426)+SUMPRODUCT(($F$428:$F$483='Info utili'!$G$532)*1,AB428:AB483,AB428:AB483)+SUMPRODUCT(($F$488:$F$506='Info utili'!$G$532)*1,AA488:AA506,AA488:AA506)+SUMPRODUCT(($F$488:$F$506='Info utili'!$G$532)*1,AB488:AB506,AB488:AB506)+SUMPRODUCT(($F$527:$F$535='Info utili'!$G$532)*1,AA527:AA535,AA527:AA535)+SUMPRODUCT(($F$550:$F$611='Info utili'!$G$532)*1,AA550:AA611,AA550:AA611)+SUMPRODUCT(($F$11:$F$22='Info utili'!$G$537)*1,AA11:AA22,AA11:AA22)+SUMPRODUCT(($F$24:$F$79='Info utili'!$G$537)*1,AB24:AB79,AB24:AB79)+SUMPRODUCT(($F$84:$F$102='Info utili'!$G$537)*1,AA84:AA102,AA84:AA102)+SUMPRODUCT(($F$84:$F$102='Info utili'!$G$537)*1,AB84:AB102,AB84:AB102)+SUMPRODUCT(($F$123:$F$131='Info utili'!$G$537)*1,AA123:AA131,AA123:AA131)+SUMPRODUCT(($F$146:$F$224='Info utili'!$G$537)*1,AA146:AA224,AA146:AA224)+SUMPRODUCT(($F$226:$F$281='Info utili'!$G$537)*1,AB226:AB281,AB226:AB281)+SUMPRODUCT(($F$286:$F$304='Info utili'!$G$537)*1,AA286:AA304,AA286:AA304)+SUMPRODUCT(($F$286:$F$304='Info utili'!$G$537)*1,AB286:AB304,AB286:AB304)+SUMPRODUCT(($F$325:$F$333='Info utili'!$G$537)*1,AA325:AA333,AA325:AA333)+SUMPRODUCT(($F$348:$F$426='Info utili'!$G$537),AA348:AA426,AA348:AA426)+SUMPRODUCT(($F$428:$F$483='Info utili'!$G$537)*1,AB428:AB483,AB428:AB483)+SUMPRODUCT(($F$488:$F$506='Info utili'!$G$537)*1,AA488:AA506,AA488:AA506)+SUMPRODUCT(($F$488:$F$506='Info utili'!$G$537)*1,AB488:AB506,AB488:AB506)+SUMPRODUCT(($F$527:$F$535='Info utili'!$G$537)*1,AA527:AA535,AA527:AA535)+SUMPRODUCT(($F$550:$F$611='Info utili'!$G$537)*1,AA550:AA611,AA550:AA611))</f>
        <v>0</v>
      </c>
      <c r="O648" s="1241"/>
      <c r="Z648" s="1162"/>
      <c r="AE648" s="1162"/>
      <c r="AI648" s="1162"/>
      <c r="AN648" s="729"/>
      <c r="AO648" s="729"/>
      <c r="AP648" s="729"/>
      <c r="AQ648" s="729"/>
      <c r="AR648" s="729"/>
      <c r="AS648" s="729"/>
      <c r="AT648" s="729"/>
      <c r="AU648" s="729"/>
      <c r="AV648" s="729"/>
      <c r="AW648" s="729"/>
      <c r="AX648" s="729"/>
      <c r="AY648" s="729"/>
    </row>
    <row r="649" spans="2:51" s="39" customFormat="1" ht="12.75" customHeight="1" outlineLevel="1" x14ac:dyDescent="0.2">
      <c r="B649" s="1749" t="str">
        <f>+Energia!B156</f>
        <v>Emissioni dirette da  processi</v>
      </c>
      <c r="C649" s="1749"/>
      <c r="D649" s="1246" t="s">
        <v>101</v>
      </c>
      <c r="E649" s="1239"/>
      <c r="F649" s="1239"/>
      <c r="G649" s="1239"/>
      <c r="H649" s="1239"/>
      <c r="I649" s="1239"/>
      <c r="J649" s="1239"/>
      <c r="K649" s="1239"/>
      <c r="L649" s="1248"/>
      <c r="M649" s="1237"/>
      <c r="N649" s="1242"/>
      <c r="O649" s="1241"/>
      <c r="Z649" s="1162"/>
      <c r="AE649" s="1162"/>
      <c r="AI649" s="1162"/>
      <c r="AN649" s="729"/>
      <c r="AO649" s="729"/>
      <c r="AP649" s="729"/>
      <c r="AQ649" s="729"/>
      <c r="AR649" s="729"/>
      <c r="AS649" s="729"/>
      <c r="AT649" s="729"/>
      <c r="AU649" s="729"/>
      <c r="AV649" s="729"/>
      <c r="AW649" s="729"/>
      <c r="AX649" s="729"/>
      <c r="AY649" s="729"/>
    </row>
    <row r="650" spans="2:51" s="39" customFormat="1" ht="12.75" customHeight="1" outlineLevel="1" x14ac:dyDescent="0.2">
      <c r="B650" s="1749" t="str">
        <f>+Energia!B157</f>
        <v>Emissioni dirette da  fonti fugitive</v>
      </c>
      <c r="C650" s="1749"/>
      <c r="D650" s="1246" t="s">
        <v>102</v>
      </c>
      <c r="E650" s="1239"/>
      <c r="F650" s="1239"/>
      <c r="G650" s="1239"/>
      <c r="H650" s="1239"/>
      <c r="I650" s="1239"/>
      <c r="J650" s="1239"/>
      <c r="K650" s="1239"/>
      <c r="L650" s="1248"/>
      <c r="M650" s="1237"/>
      <c r="N650" s="1242"/>
      <c r="O650" s="1241"/>
      <c r="Z650" s="1162"/>
      <c r="AE650" s="1162"/>
      <c r="AI650" s="1162"/>
      <c r="AN650" s="729"/>
      <c r="AO650" s="729"/>
      <c r="AP650" s="729"/>
      <c r="AQ650" s="729"/>
      <c r="AR650" s="729"/>
      <c r="AS650" s="729"/>
      <c r="AT650" s="729"/>
      <c r="AU650" s="729"/>
      <c r="AV650" s="729"/>
      <c r="AW650" s="729"/>
      <c r="AX650" s="729"/>
      <c r="AY650" s="729"/>
    </row>
    <row r="651" spans="2:51" s="39" customFormat="1" ht="12.75" customHeight="1" outlineLevel="1" x14ac:dyDescent="0.2">
      <c r="B651" s="1766" t="s">
        <v>98</v>
      </c>
      <c r="C651" s="1767"/>
      <c r="D651" s="1768"/>
      <c r="E651" s="1236">
        <f t="shared" ref="E651:O651" si="235">SUM(E647:E650)</f>
        <v>0</v>
      </c>
      <c r="F651" s="1236">
        <f t="shared" si="235"/>
        <v>0</v>
      </c>
      <c r="G651" s="1236">
        <f t="shared" si="235"/>
        <v>0</v>
      </c>
      <c r="H651" s="1236">
        <f t="shared" si="235"/>
        <v>0</v>
      </c>
      <c r="I651" s="1236">
        <f t="shared" si="235"/>
        <v>0</v>
      </c>
      <c r="J651" s="1236">
        <f t="shared" si="235"/>
        <v>0</v>
      </c>
      <c r="K651" s="1236">
        <f t="shared" si="235"/>
        <v>0</v>
      </c>
      <c r="L651" s="1236">
        <f t="shared" si="235"/>
        <v>0</v>
      </c>
      <c r="M651" s="1247">
        <f t="shared" si="235"/>
        <v>0</v>
      </c>
      <c r="N651" s="1243">
        <f>SQRT(SUMSQ(N647:N650))</f>
        <v>0</v>
      </c>
      <c r="O651" s="1244">
        <f t="shared" si="235"/>
        <v>0</v>
      </c>
      <c r="Z651" s="1162"/>
      <c r="AE651" s="1162"/>
      <c r="AI651" s="1162"/>
      <c r="AN651" s="729"/>
      <c r="AO651" s="729"/>
      <c r="AP651" s="729"/>
      <c r="AQ651" s="729"/>
      <c r="AR651" s="729"/>
      <c r="AS651" s="729"/>
      <c r="AT651" s="729"/>
      <c r="AU651" s="729"/>
      <c r="AV651" s="729"/>
      <c r="AW651" s="729"/>
      <c r="AX651" s="729"/>
      <c r="AY651" s="729"/>
    </row>
    <row r="652" spans="2:51" s="39" customFormat="1" ht="12.75" customHeight="1" outlineLevel="1" x14ac:dyDescent="0.2">
      <c r="B652" s="1749" t="str">
        <f>+Energia!B159</f>
        <v xml:space="preserve">Emissioni indirette da consumo di elettricità </v>
      </c>
      <c r="C652" s="1749"/>
      <c r="D652" s="1246" t="s">
        <v>103</v>
      </c>
      <c r="E652" s="1239">
        <f>AS113+AS315+AS517</f>
        <v>0</v>
      </c>
      <c r="F652" s="1239">
        <f>AT113+AT315+AT517</f>
        <v>0</v>
      </c>
      <c r="G652" s="1239">
        <f>AU113+AU315+AU517</f>
        <v>0</v>
      </c>
      <c r="H652" s="1239">
        <v>0</v>
      </c>
      <c r="I652" s="1239">
        <v>0</v>
      </c>
      <c r="J652" s="1239">
        <v>0</v>
      </c>
      <c r="K652" s="1239">
        <v>0</v>
      </c>
      <c r="L652" s="1248">
        <f>AW113+AW315+AW517</f>
        <v>0</v>
      </c>
      <c r="M652" s="1237">
        <f>AX113+AX315+AX517</f>
        <v>0</v>
      </c>
      <c r="N652" s="1242">
        <f>SQRT(Z113^2+Z315^2+Z517^2)</f>
        <v>0</v>
      </c>
      <c r="O652" s="1240"/>
      <c r="Z652" s="1162"/>
      <c r="AE652" s="1162"/>
      <c r="AI652" s="1162"/>
      <c r="AN652" s="729"/>
      <c r="AO652" s="729"/>
      <c r="AP652" s="729"/>
      <c r="AQ652" s="729"/>
      <c r="AR652" s="729"/>
      <c r="AS652" s="729"/>
      <c r="AT652" s="729"/>
      <c r="AU652" s="729"/>
      <c r="AV652" s="729"/>
      <c r="AW652" s="729"/>
      <c r="AX652" s="729"/>
      <c r="AY652" s="729"/>
    </row>
    <row r="653" spans="2:51" s="39" customFormat="1" ht="12.75" customHeight="1" outlineLevel="1" x14ac:dyDescent="0.2">
      <c r="B653" s="1749" t="str">
        <f>+Energia!B160</f>
        <v xml:space="preserve">Emissioni indirette da consumo di vapore, calore o raffrescamento </v>
      </c>
      <c r="C653" s="1749"/>
      <c r="D653" s="1246" t="s">
        <v>104</v>
      </c>
      <c r="E653" s="1239"/>
      <c r="F653" s="1239"/>
      <c r="G653" s="1239"/>
      <c r="H653" s="1239"/>
      <c r="I653" s="1239"/>
      <c r="J653" s="1239"/>
      <c r="K653" s="1239"/>
      <c r="L653" s="1248"/>
      <c r="M653" s="1237"/>
      <c r="N653" s="1242"/>
      <c r="O653" s="1240"/>
      <c r="Z653" s="1162"/>
      <c r="AE653" s="1162"/>
      <c r="AI653" s="1162"/>
      <c r="AN653" s="729"/>
      <c r="AO653" s="729"/>
      <c r="AP653" s="729"/>
      <c r="AQ653" s="729"/>
      <c r="AR653" s="729"/>
      <c r="AS653" s="729"/>
      <c r="AT653" s="729"/>
      <c r="AU653" s="729"/>
      <c r="AV653" s="729"/>
      <c r="AW653" s="729"/>
      <c r="AX653" s="729"/>
      <c r="AY653" s="729"/>
    </row>
    <row r="654" spans="2:51" s="39" customFormat="1" ht="12.75" customHeight="1" outlineLevel="1" x14ac:dyDescent="0.2">
      <c r="B654" s="1766" t="s">
        <v>97</v>
      </c>
      <c r="C654" s="1767"/>
      <c r="D654" s="1768"/>
      <c r="E654" s="1236">
        <f t="shared" ref="E654:L654" si="236">SUM(E652:E653)</f>
        <v>0</v>
      </c>
      <c r="F654" s="1236">
        <f t="shared" si="236"/>
        <v>0</v>
      </c>
      <c r="G654" s="1236">
        <f t="shared" si="236"/>
        <v>0</v>
      </c>
      <c r="H654" s="1236">
        <f t="shared" si="236"/>
        <v>0</v>
      </c>
      <c r="I654" s="1236">
        <f t="shared" si="236"/>
        <v>0</v>
      </c>
      <c r="J654" s="1236">
        <f t="shared" si="236"/>
        <v>0</v>
      </c>
      <c r="K654" s="1236">
        <f t="shared" si="236"/>
        <v>0</v>
      </c>
      <c r="L654" s="1236">
        <f t="shared" si="236"/>
        <v>0</v>
      </c>
      <c r="M654" s="1247">
        <f>SUM(M652:M653)</f>
        <v>0</v>
      </c>
      <c r="N654" s="1243">
        <f>SQRT(SUMSQ(N652:N653))</f>
        <v>0</v>
      </c>
      <c r="O654" s="1244">
        <f>SUM(O652:O653)</f>
        <v>0</v>
      </c>
      <c r="Z654" s="1162"/>
      <c r="AE654" s="1162"/>
      <c r="AI654" s="1162"/>
      <c r="AN654" s="729"/>
      <c r="AO654" s="729"/>
      <c r="AP654" s="729"/>
      <c r="AQ654" s="729"/>
      <c r="AR654" s="729"/>
      <c r="AS654" s="729"/>
      <c r="AT654" s="729"/>
      <c r="AU654" s="729"/>
      <c r="AV654" s="729"/>
      <c r="AW654" s="729"/>
      <c r="AX654" s="729"/>
      <c r="AY654" s="729"/>
    </row>
    <row r="655" spans="2:51" s="39" customFormat="1" ht="12.75" customHeight="1" outlineLevel="1" x14ac:dyDescent="0.2">
      <c r="B655" s="1771" t="s">
        <v>2527</v>
      </c>
      <c r="C655" s="1772"/>
      <c r="D655" s="1772"/>
      <c r="E655" s="1772"/>
      <c r="F655" s="1772"/>
      <c r="G655" s="1772"/>
      <c r="H655" s="1772"/>
      <c r="I655" s="1772"/>
      <c r="J655" s="1772"/>
      <c r="K655" s="1772"/>
      <c r="L655" s="1772"/>
      <c r="M655" s="1772"/>
      <c r="N655" s="1772"/>
      <c r="O655" s="1773"/>
      <c r="Z655" s="1162"/>
      <c r="AE655" s="1162"/>
      <c r="AI655" s="1162"/>
      <c r="AN655" s="729"/>
      <c r="AO655" s="729"/>
      <c r="AP655" s="729"/>
      <c r="AQ655" s="729"/>
      <c r="AR655" s="729"/>
      <c r="AS655" s="729"/>
      <c r="AT655" s="729"/>
      <c r="AU655" s="729"/>
      <c r="AV655" s="729"/>
      <c r="AW655" s="729"/>
      <c r="AX655" s="729"/>
      <c r="AY655" s="729"/>
    </row>
    <row r="656" spans="2:51" s="39" customFormat="1" ht="12.75" customHeight="1" outlineLevel="1" x14ac:dyDescent="0.2">
      <c r="B656" s="1749" t="str">
        <f>+Energia!B163</f>
        <v xml:space="preserve">Beni o servizi acquistati </v>
      </c>
      <c r="C656" s="1749"/>
      <c r="D656" s="1246" t="s">
        <v>106</v>
      </c>
      <c r="E656" s="1239"/>
      <c r="F656" s="1239"/>
      <c r="G656" s="1239"/>
      <c r="H656" s="1239"/>
      <c r="I656" s="1239"/>
      <c r="J656" s="1239"/>
      <c r="K656" s="1239"/>
      <c r="L656" s="1248"/>
      <c r="M656" s="1237"/>
      <c r="N656" s="1242"/>
      <c r="O656" s="1240"/>
      <c r="Z656" s="1162"/>
      <c r="AE656" s="1162"/>
      <c r="AI656" s="1162"/>
      <c r="AN656" s="729"/>
      <c r="AO656" s="729"/>
      <c r="AP656" s="729"/>
      <c r="AQ656" s="729"/>
      <c r="AR656" s="729"/>
      <c r="AS656" s="729"/>
      <c r="AT656" s="729"/>
      <c r="AU656" s="729"/>
      <c r="AV656" s="729"/>
      <c r="AW656" s="729"/>
      <c r="AX656" s="729"/>
      <c r="AY656" s="729"/>
    </row>
    <row r="657" spans="2:51" s="39" customFormat="1" ht="12.75" customHeight="1" outlineLevel="1" x14ac:dyDescent="0.2">
      <c r="B657" s="1749" t="str">
        <f>+Energia!B164</f>
        <v xml:space="preserve">Beni di consumo </v>
      </c>
      <c r="C657" s="1749"/>
      <c r="D657" s="1246" t="s">
        <v>107</v>
      </c>
      <c r="E657" s="1239"/>
      <c r="F657" s="1239"/>
      <c r="G657" s="1239"/>
      <c r="H657" s="1239"/>
      <c r="I657" s="1239"/>
      <c r="J657" s="1239"/>
      <c r="K657" s="1239"/>
      <c r="L657" s="1248"/>
      <c r="M657" s="1237"/>
      <c r="N657" s="1242"/>
      <c r="O657" s="1240"/>
      <c r="Z657" s="1162"/>
      <c r="AE657" s="1162"/>
      <c r="AI657" s="1162"/>
      <c r="AN657" s="729"/>
      <c r="AO657" s="729"/>
      <c r="AP657" s="729"/>
      <c r="AQ657" s="729"/>
      <c r="AR657" s="729"/>
      <c r="AS657" s="729"/>
      <c r="AT657" s="729"/>
      <c r="AU657" s="729"/>
      <c r="AV657" s="729"/>
      <c r="AW657" s="729"/>
      <c r="AX657" s="729"/>
      <c r="AY657" s="729"/>
    </row>
    <row r="658" spans="2:51" s="39" customFormat="1" ht="12.75" customHeight="1" outlineLevel="1" x14ac:dyDescent="0.2">
      <c r="B658" s="1749" t="str">
        <f>+Energia!B165</f>
        <v xml:space="preserve">Emissioni dovute a combustibili e energia (non incluse nello scope 1 e 2) </v>
      </c>
      <c r="C658" s="1749"/>
      <c r="D658" s="1246" t="s">
        <v>108</v>
      </c>
      <c r="E658" s="1239">
        <f>SUMIF($F$11:$F$22,'Info utili'!$G$532,AS11:AS22)+SUMIF($F$24:$F$79,'Info utili'!$G$532,AT24:AT79)+SUMIF($F$84:$F$102,'Info utili'!$G$532,AS84:AS102)+SUMIF($F$123:$F$131,'Info utili'!$G$532,AS123:AS131)+SUMIF($F$146:$F$224,'Info utili'!$G$532,AS146:AS224)+SUMIF($F$226:$F$281,'Info utili'!$G$532,AT226:AT281)+SUMIF($F$286:$F$304,'Info utili'!$G$532,AS286:AS304)+SUMIF($F$325:$F$333,'Info utili'!$G$532,AS325:AS333)+SUMIF($F$348:$F$426,'Info utili'!$G$532,AS348:AS426)+SUMIF($F$428:$F$483,'Info utili'!$G$532,AT428:AT483)+SUMIF($F$488:$F$506,'Info utili'!$G$532,AS488:AS506)+SUMIF($F$527:$F$535,'Info utili'!$G$532,AS527:AS535)+SUMIF($F$550:$F$611,'Info utili'!$G$532,AS550:AS611)+SUMIF($F$11:$F$22,'Info utili'!$G$537,AS11:AS22)+SUMIF($F$24:$F$79,'Info utili'!$G$537,AT24:AT79)+SUMIF($F$84:$F$102,'Info utili'!$G$537,AS84:AS102)+SUMIF($F$123:$F$131,'Info utili'!$G$537,AS123:AS131)+SUMIF($F$146:$F$224,'Info utili'!$G$537,AS146:AS224)+SUMIF($F$226:$F$281,'Info utili'!$G$537,AT226:AT281)+SUMIF($F$286:$F$304,'Info utili'!$G$537,AS286:AS304)+SUMIF($F$325:$F$333,'Info utili'!$G$537,AS325:AS333)+SUMIF($F$348:$F$426,'Info utili'!$G$537,AS348:AS426)+SUMIF($F$428:$F$483,'Info utili'!$G$537,AT428:AT483)+SUMIF($F$488:$F$506,'Info utili'!$G$537,AS488:AS506)+SUMIF($F$527:$F$535,'Info utili'!$G$537,AS527:AS535)+SUMIF($F$550:$F$611,'Info utili'!$G$537,AS550:AS611)+AS121+AS323+AS525</f>
        <v>0</v>
      </c>
      <c r="F658" s="1239">
        <f>SUMIF($F$11:$F$22,'Info utili'!$G$532,AU11:AU22)+SUMIF($F$24:$F$79,'Info utili'!$G$532,AW24:AW79)+SUMIF($F$84:$F$102,'Info utili'!$G$532,AV84:AV102)+SUMIF($F$123:$F$131,'Info utili'!$G$532,AU123:AU131)+SUMIF($F$146:$F$224,'Info utili'!$G$532,AU146:AU224)+SUMIF($F$226:$F$281,'Info utili'!$G$532,AW226:AW281)+SUMIF($F$286:$F$304,'Info utili'!$G$532,AV286:AV304)+SUMIF($F$325:$F$333,'Info utili'!$G$532,AU325:AU333)+SUMIF($F$348:$F$426,'Info utili'!$G$532,AU348:AU426)+SUMIF($F$428:$F$483,'Info utili'!$G$532,AW428:AW483)+SUMIF($F$488:$F$506,'Info utili'!$G$532,AV488:AV506)+SUMIF($F$527:$F$535,'Info utili'!$G$532,AU527:AU535)+SUMIF($F$550:$F$611,'Info utili'!$G$532,AU550:AU611)+SUMIF($F$11:$F$22,'Info utili'!$G$537,AU11:AU22)+SUMIF($F$24:$F$79,'Info utili'!$G$537,AW24:AW79)+SUMIF($F$84:$F$102,'Info utili'!$G$537,AV84:AV102)+SUMIF($F$123:$F$131,'Info utili'!$G$537,AU123:AU131)+SUMIF($F$146:$F$224,'Info utili'!$G$537,AU146:AU224)+SUMIF($F$226:$F$281,'Info utili'!$G$537,AW226:AW281)+SUMIF($F$286:$F$304,'Info utili'!$G$537,AV286:AV304)+SUMIF($F$325:$F$333,'Info utili'!$G$537,AU325:AU333)+SUMIF($F$348:$F$426,'Info utili'!$G$537,AU348:AU426)+SUMIF($F$428:$F$483,'Info utili'!$G$537,AW428:AW483)+SUMIF($F$488:$F$506,'Info utili'!$G$537,AV488:AV506)+SUMIF($F$527:$F$535,'Info utili'!$G$537,AU527:AU535)+SUMIF($F$550:$F$611,'Info utili'!$G$537,AU550:AU611)+AT121+AT323+AT525</f>
        <v>0</v>
      </c>
      <c r="G658" s="1239">
        <f>SUMIF($F$11:$F$22,'Info utili'!$G$532,AW11:AW22)+SUMIF($F$24:$F$79,'Info utili'!$G$532,AZ24:AZ79)+SUMIF($F$84:$F$102,'Info utili'!$G$532,AY84:AY102)+SUMIF($F$123:$F$131,'Info utili'!$G$532,AW123:AW131)+SUMIF($F$146:$F$224,'Info utili'!$G$532,AW146:AW224)+SUMIF($F$226:$F$281,'Info utili'!$G$532,AZ226:AZ281)+SUMIF($F$286:$F$304,'Info utili'!$G$532,AY286:AY304)+SUMIF($F$325:$F$333,'Info utili'!$G$532,AW325:AW333)+SUMIF($F$348:$F$426,'Info utili'!$G$532,AW348:AW426)+SUMIF($F$428:$F$483,'Info utili'!$G$532,AZ428:AZ483)+SUMIF($F$488:$F$506,'Info utili'!$G$532,AY488:AY506)+SUMIF($F$527:$F$535,'Info utili'!$G$532,AW527:AW535)+SUMIF($F$550:$F$611,'Info utili'!$G$532,AW550:AW611)+SUMIF($F$11:$F$22,'Info utili'!$G$537,AW11:AW22)+SUMIF($F$24:$F$79,'Info utili'!$G$537,AZ24:AZ79)+SUMIF($F$84:$F$102,'Info utili'!$G$537,AY84:AY102)+SUMIF($F$123:$F$131,'Info utili'!$G$537,AW123:AW131)+SUMIF($F$146:$F$224,'Info utili'!$G$537,AW146:AW224)+SUMIF($F$226:$F$281,'Info utili'!$G$537,AZ226:AZ281)+SUMIF($F$286:$F$304,'Info utili'!$G$537,AY286:AY304)+SUMIF($F$325:$F$333,'Info utili'!$G$537,AW325:AW333)+SUMIF($F$348:$F$426,'Info utili'!$G$537,AW348:AW426)+SUMIF($F$428:$F$483,'Info utili'!$G$537,AZ428:AZ483)+SUMIF($F$488:$F$506,'Info utili'!$G$537,AY488:AY506)+SUMIF($F$527:$F$535,'Info utili'!$G$537,AW527:AW535)+SUMIF($F$550:$F$611,'Info utili'!$G$537,AW550:AW611)+AU121+AU323+AU525</f>
        <v>0</v>
      </c>
      <c r="H658" s="1239">
        <v>0</v>
      </c>
      <c r="I658" s="1239">
        <v>0</v>
      </c>
      <c r="J658" s="1239">
        <v>0</v>
      </c>
      <c r="K658" s="1239">
        <v>0</v>
      </c>
      <c r="L658" s="1248">
        <f>SUMIF($F$11:$F$22,'Info utili'!$G$532,BA11:BA22)+SUMIF($F$24:$F$79,'Info utili'!$G$532,BF24:BF79)+SUMIF($F$84:$F$102,'Info utili'!$G$532,BE84:BE102)+SUMIF($F$123:$F$131,'Info utili'!$G$532,BA123:BA131)+SUMIF($F$146:$F$224,'Info utili'!$G$532,BA146:BA224)+SUMIF($F$226:$F$281,'Info utili'!$G$532,BF226:BF281)+SUMIF($F$286:$F$304,'Info utili'!$G$532,BE286:BE304)+SUMIF($F$325:$F$333,'Info utili'!$G$532,BA325:BA333)+SUMIF($F$348:$F$426,'Info utili'!$G$532,BA348:BA426)+SUMIF($F$428:$F$483,'Info utili'!$G$532,BF428:BF483)+SUMIF($F$488:$F$506,'Info utili'!$G$532,BE488:BE506)+SUMIF($F$527:$F$535,'Info utili'!$G$532,BA527:BA535)+SUMIF($F$550:$F$611,'Info utili'!$G$532,BA550:BA611)+SUMIF($F$11:$F$22,'Info utili'!$G$537,BA11:BA22)+SUMIF($F$24:$F$79,'Info utili'!$G$537,BF24:BF79)+SUMIF($F$84:$F$102,'Info utili'!$G$537,BE84:BE102)+SUMIF($F$123:$F$131,'Info utili'!$G$537,BA123:BA131)+SUMIF($F$146:$F$224,'Info utili'!$G$537,BA146:BA224)+SUMIF($F$226:$F$281,'Info utili'!$G$537,BF226:BF281)+SUMIF($F$286:$F$304,'Info utili'!$G$537,BE286:BE304)+SUMIF($F$325:$F$333,'Info utili'!$G$537,BA325:BA333)+SUMIF($F$348:$F$426,'Info utili'!$G$537,BA348:BA426)+SUMIF($F$428:$F$483,'Info utili'!$G$537,BF428:BF483)+SUMIF($F$488:$F$506,'Info utili'!$G$537,BE488:BE506)+SUMIF($F$527:$F$535,'Info utili'!$G$537,BA527:BA535)+SUMIF($F$550:$F$611,'Info utili'!$G$537,BA550:BA611)+AW121+AW323+AW525</f>
        <v>0</v>
      </c>
      <c r="M658" s="1237">
        <f>SUMIF($F$11:$F$22,'Info utili'!$G$532,BC11:BC22)+SUMIF($F$24:$F$79,'Info utili'!$G$532,BI24:BI79)+SUMIF($F$84:$F$102,'Info utili'!$G$532,BH84:BH102)+SUMIF($F$123:$F$131,'Info utili'!$G$532,BC123:BC131)+SUMIF($F$146:$F$224,'Info utili'!$G$532,BC146:BC224)+SUMIF($F$226:$F$281,'Info utili'!$G$532,BI226:BI281)+SUMIF($F$286:$F$304,'Info utili'!$G$532,BH286:BH304)+SUMIF($F$325:$F$333,'Info utili'!$G$532,BC325:BC333)+SUMIF($F$348:$F$426,'Info utili'!$G$532,BC348:BC426)+SUMIF($F$428:$F$483,'Info utili'!$G$532,BI428:BI483)+SUMIF($F$488:$F$506,'Info utili'!$G$532,BH488:BH506)+SUMIF($F$527:$F$535,'Info utili'!$G$532,BC527:BC535)+SUMIF($F$550:$F$611,'Info utili'!$G$532,BC550:BC611)+SUMIF($F$11:$F$22,'Info utili'!$G$537,BC11:BC22)+SUMIF($F$24:$F$79,'Info utili'!$G$537,BI24:BI79)+SUMIF($F$84:$F$102,'Info utili'!$G$537,BH84:BH102)+SUMIF($F$123:$F$131,'Info utili'!$G$537,BC123:BC131)+SUMIF($F$146:$F$224,'Info utili'!$G$537,BC146:BC224)+SUMIF($F$226:$F$281,'Info utili'!$G$537,BI226:BI281)+SUMIF($F$286:$F$304,'Info utili'!$G$537,BH286:BH304)+SUMIF($F$325:$F$333,'Info utili'!$G$537,BC325:BC333)+SUMIF($F$348:$F$426,'Info utili'!$G$537,BC348:BC426)+SUMIF($F$428:$F$483,'Info utili'!$G$537,BI428:BI483)+SUMIF($F$488:$F$506,'Info utili'!$G$537,BH488:BH506)+SUMIF($F$527:$F$535,'Info utili'!$G$537,BC527:BC535)+SUMIF($F$550:$F$611,'Info utili'!$G$537,BC550:BC611)+AX121+AX323+AX525</f>
        <v>0</v>
      </c>
      <c r="N658" s="1242">
        <f>SQRT(SUMPRODUCT(($F$11:$F$22='Info utili'!$G$532)*1,Z11:Z22,Z11:Z22)+SUMPRODUCT(($F$24:$F$79='Info utili'!$G$532)*1,AA24:AA79,AA24:AA79)+SUMPRODUCT(($F$84:$F$102='Info utili'!$G$532)*1,Z84:Z102,Z84:Z102)+SUMPRODUCT(($F$123:$F$131='Info utili'!$G$532)*1,Z123:Z131,Z123:Z131)+SUMPRODUCT(($F$146:$F$224='Info utili'!$G$532)*1,Z146:Z224,Z146:Z224)+SUMPRODUCT(($F$226:$F$281='Info utili'!$G$532)*1,AA226:AA281,AA226:AA281)+SUMPRODUCT(($F$286:$F$304='Info utili'!$G$532)*1,Z286:Z304,Z286:Z304)+SUMPRODUCT(($F$325:$F$333='Info utili'!$G$532)*1,Z325:Z333,Z325:Z333)+SUMPRODUCT(($F$348:$F$426='Info utili'!$G$532)*1,Z348:Z426,Z348:Z426)+SUMPRODUCT(($F$428:$F$483='Info utili'!$G$532)*1,AA428:AA483,AA428:AA483)+SUMPRODUCT(($F$488:$F$506='Info utili'!$G$532)*1,Z488:Z506,Z488:Z506)+SUMPRODUCT(($F$527:$F$535='Info utili'!$G$532)*1,Z527:Z535,Z527:Z535)+SUMPRODUCT(($F$550:$F$611='Info utili'!$G$532)*1,Z550:Z611,Z550:Z611)+SUMPRODUCT(($F$11:$F$22='Info utili'!$G$537)*1,Z11:Z22,Z11:Z22)+SUMPRODUCT(($F$24:$F$79='Info utili'!$G$537)*1,AA24:AA79,AA24:AA79)+SUMPRODUCT(($F$84:$F$102='Info utili'!$G$537)*1,Z84:Z102,Z84:Z102)+SUMPRODUCT(($F$123:$F$131='Info utili'!$G$537)*1,Z123:Z131,Z123:Z131)+SUMPRODUCT(($F$146:$F$224='Info utili'!$G$537)*1,Z146:Z224,Z146:Z224)+SUMPRODUCT(($F$226:$F$281='Info utili'!$G$537)*1,AA226:AA281,AA226:AA281)+SUMPRODUCT(($F$286:$F$304='Info utili'!$G$537)*1,Z286:Z304,Z286:Z304)+SUMPRODUCT(($F$325:$F$333='Info utili'!$G$537)*1,Z325:Z333,Z325:Z333)+SUMPRODUCT(($F$348:$F$426='Info utili'!$G$537)*1,Z348:Z426,Z348:Z426)+SUMPRODUCT(($F$428:$F$483='Info utili'!$G$537)*1,AA428:AA483,AA428:AA483)+SUMPRODUCT(($F$488:$F$506='Info utili'!$G$537)*1,Z488:Z506,Z488:Z506)+SUMPRODUCT(($F$527:$F$535='Info utili'!$G$537)*1,Z527:Z535,Z527:Z535)+SUMPRODUCT(($F$550:$F$611='Info utili'!$G$537)*1,Z550:Z611,Z550:Z611)+Z121^2+Z323^2+Z525^2)</f>
        <v>0</v>
      </c>
      <c r="O658" s="1240"/>
      <c r="Z658" s="1162"/>
      <c r="AE658" s="1162"/>
      <c r="AI658" s="1162"/>
      <c r="AN658" s="729"/>
      <c r="AO658" s="729"/>
      <c r="AP658" s="729"/>
      <c r="AQ658" s="729"/>
      <c r="AR658" s="729"/>
      <c r="AS658" s="729"/>
      <c r="AT658" s="729"/>
      <c r="AU658" s="729"/>
      <c r="AV658" s="729"/>
      <c r="AW658" s="729"/>
      <c r="AX658" s="729"/>
      <c r="AY658" s="729"/>
    </row>
    <row r="659" spans="2:51" s="39" customFormat="1" ht="12.75" customHeight="1" outlineLevel="1" x14ac:dyDescent="0.2">
      <c r="B659" s="1749" t="str">
        <f>+Energia!B166</f>
        <v>Trasporto e distribuzione premanifattura</v>
      </c>
      <c r="C659" s="1749"/>
      <c r="D659" s="1246" t="s">
        <v>109</v>
      </c>
      <c r="E659" s="1239">
        <f>E660+E661</f>
        <v>0</v>
      </c>
      <c r="F659" s="1239">
        <f t="shared" ref="F659:M659" si="237">F660+F661</f>
        <v>0</v>
      </c>
      <c r="G659" s="1239">
        <f t="shared" si="237"/>
        <v>0</v>
      </c>
      <c r="H659" s="1239">
        <f t="shared" si="237"/>
        <v>0</v>
      </c>
      <c r="I659" s="1239">
        <f t="shared" si="237"/>
        <v>0</v>
      </c>
      <c r="J659" s="1239">
        <f t="shared" si="237"/>
        <v>0</v>
      </c>
      <c r="K659" s="1239">
        <f t="shared" si="237"/>
        <v>0</v>
      </c>
      <c r="L659" s="1248">
        <f t="shared" si="237"/>
        <v>0</v>
      </c>
      <c r="M659" s="1237">
        <f t="shared" si="237"/>
        <v>0</v>
      </c>
      <c r="N659" s="1242">
        <f>SQRT(N660^2+N661^2)</f>
        <v>0</v>
      </c>
      <c r="O659" s="1240"/>
      <c r="Z659" s="1162"/>
      <c r="AE659" s="1162"/>
      <c r="AI659" s="1162"/>
      <c r="AN659" s="729"/>
      <c r="AO659" s="729"/>
      <c r="AP659" s="729"/>
      <c r="AQ659" s="729"/>
      <c r="AR659" s="729"/>
      <c r="AS659" s="729"/>
      <c r="AT659" s="729"/>
      <c r="AU659" s="729"/>
      <c r="AV659" s="729"/>
      <c r="AW659" s="729"/>
      <c r="AX659" s="729"/>
      <c r="AY659" s="729"/>
    </row>
    <row r="660" spans="2:51" s="39" customFormat="1" ht="12.75" customHeight="1" outlineLevel="1" x14ac:dyDescent="0.2">
      <c r="B660" s="1829" t="s">
        <v>2655</v>
      </c>
      <c r="C660" s="1830"/>
      <c r="D660" s="1246"/>
      <c r="E660" s="1239">
        <f>SUMIF($F$11:$F$22,'Info utili'!$G$533,AS11:AS22)
+SUMIF($F$11:$F$22,'Info utili'!$G$533,AT11:AT22)
+SUMIF($F$24:$F$79,'Info utili'!$G$533,AS24:AS79)
+SUMIF($F$24:$F$79,'Info utili'!$G$533,AT24:AT79)
+SUMIF($F$24:$F$79,'Info utili'!$G$533,AU24:AU79)
+SUMIF($F$84:$F$102,'Info utili'!$G$533,AS84:AS102)
+SUMIF($F$84:$F$102,'Info utili'!$G$533,AT84:AT102)
+SUMIF($F$84:$F$102,'Info utili'!$G$533,AU84:AU102)
+SUMIF($F$123:$F$131,'Info utili'!$G$533,AS123:AS131)
+SUMIF($F$123:$F$131,'Info utili'!$G$533,AT123:AT131)
+SUMIF($F$133:$F$141,'Info utili'!$G$533,AS133:AS141)
+SUMIF($F$146:$F$224,'Info utili'!$G$533,AS146:AS224)
+SUMIF($F$146:$F$224,'Info utili'!$G$533,AT146:AT224)
+SUMIF($F$226:$F$281,'Info utili'!$G$533,AS226:AS281)
+SUMIF($F$226:$F$281,'Info utili'!$G$533,AT226:AT281)
+SUMIF($F$226:$F$281,'Info utili'!$G$533,AU226:AU281)
+SUMIF($F$286:$F$304,'Info utili'!$G$533,AS286:AS304)
+SUMIF($F$286:$F$304,'Info utili'!$G$533,AT286:AT304)
+SUMIF($F$286:$F$304,'Info utili'!$G$533,AU286:AU304)
+SUMIF($F$325:$F$333,'Info utili'!$G$533,AS325:AS333)
+SUMIF($F$325:$F$333,'Info utili'!$G$533,AT325:AT333)
+SUMIF($F$335:$F$343,'Info utili'!$G$533,AS335:AS343)
+SUMIF($F$348:$F$426,'Info utili'!$G$533,AS348:AS426)
+SUMIF($F$348:$F$426,'Info utili'!$G$533,AT348:AT426)
+SUMIF($F$428:$F$483,'Info utili'!$G$533,AS428:AS483)
+SUMIF($F$428:$F$483,'Info utili'!$G$533,AT428:AT483)
+SUMIF($F$428:$F$483,'Info utili'!$G$533,AU428:AU483)
+SUMIF($F$488:$F$506,'Info utili'!$G$533,AS488:AS506)
+SUMIF($F$488:$F$506,'Info utili'!$G$533,AT488:AT506)
+SUMIF($F$488:$F$506,'Info utili'!$G$533,AU488:AU506)
+SUMIF($F$527:$F$535,'Info utili'!$G$533,AS527:AS535)
+SUMIF($F$527:$F$535,'Info utili'!$G$533,AT527:AT535)
+SUMIF($F$537:$F$545,'Info utili'!$G$533,AS537:AS545)
+SUMIF($F$550:$F$611,'Info utili'!$G$533,AS550:AS611)
+SUMIF($F$550:$F$611,'Info utili'!$G$533,AT550:AT611)</f>
        <v>0</v>
      </c>
      <c r="F660" s="1239">
        <f>SUMIF($F$11:$F$22,'Info utili'!$G$533,AU11:AU22)
+SUMIF($F$11:$F$22,'Info utili'!$G$533,AV11:AV22)
+SUMIF($F$24:$F$79,'Info utili'!$G$533,AV24:AV79)
+SUMIF($F$24:$F$79,'Info utili'!$G$533,AW24:AW79)
+SUMIF($F$24:$F$79,'Info utili'!$G$533,AX24:AX79)
+SUMIF($F$84:$F$102,'Info utili'!$G$533,AV84:AV102)
+SUMIF($F$84:$F$102,'Info utili'!$G$533,AW84:AW102)
+SUMIF($F$84:$F$102,'Info utili'!$G$533,AX84:AX102)
+SUMIF($F$123:$F$131,'Info utili'!$G$533,AU123:AU131)
+SUMIF($F$123:$F$131,'Info utili'!$G$533,AV123:AV131)
+SUMIF($F$133:$F$141,'Info utili'!$G$533,AT133:AT141)
+SUMIF($F$146:$F$224,'Info utili'!$G$533,AU146:AU224)
+SUMIF($F$146:$F$224,'Info utili'!$G$533,AV146:AV224)
+SUMIF($F$226:$F$281,'Info utili'!$G$533,AV226:AV281)
+SUMIF($F$226:$F$281,'Info utili'!$G$533,AW226:AW281)
+SUMIF($F$226:$F$281,'Info utili'!$G$533,AX226:AX281)
+SUMIF($F$286:$F$304,'Info utili'!$G$533,AV286:AV304)
+SUMIF($F$286:$F$304,'Info utili'!$G$533,AW286:AW304)
+SUMIF($F$286:$F$304,'Info utili'!$G$533,AX286:AX304)
+SUMIF($F$325:$F$333,'Info utili'!$G$533,AU325:AU333)
+SUMIF($F$325:$F$333,'Info utili'!$G$533,AV325:AV333)
+SUMIF($F$335:$F$343,'Info utili'!$G$533,AT335:AT343)
+SUMIF($F$348:$F$426,'Info utili'!$G$533,AU348:AU426)
+SUMIF($F$348:$F$426,'Info utili'!$G$533,AV348:AV426)
+SUMIF($F$428:$F$483,'Info utili'!$G$533,AV428:AV483)
+SUMIF($F$428:$F$483,'Info utili'!$G$533,AW428:AW483)
+SUMIF($F$428:$F$483,'Info utili'!$G$533,AX428:AX483)
+SUMIF($F$488:$F$506,'Info utili'!$G$533,AV488:AV506)
+SUMIF($F$488:$F$506,'Info utili'!$G$533,AW488:AW506)
+SUMIF($F$488:$F$506,'Info utili'!$G$533,AX488:AX506)
+SUMIF($F$527:$F$535,'Info utili'!$G$533,AU527:AU535)
+SUMIF($F$527:$F$535,'Info utili'!$G$533,AV527:AV535)
+SUMIF($F$537:$F$545,'Info utili'!$G$533,AT537:AT545)
+SUMIF($F$550:$F$611,'Info utili'!$G$533,AU550:AU611)
+SUMIF($F$550:$F$611,'Info utili'!$G$533,AV550:AV611)</f>
        <v>0</v>
      </c>
      <c r="G660" s="1239">
        <f>SUMIF($F$11:$F$22,'Info utili'!$G$533,AW11:AW22)
+SUMIF($F$11:$F$22,'Info utili'!$G$533,AX11:AX22)
+SUMIF($F$24:$F$79,'Info utili'!$G$533,AY24:AY79)
+SUMIF($F$24:$F$79,'Info utili'!$G$533,AZ24:AZ79)
+SUMIF($F$24:$F$79,'Info utili'!$G$533,BA24:BA79)
+SUMIF($F$84:$F$102,'Info utili'!$G$533,AY84:AY102)
+SUMIF($F$84:$F$102,'Info utili'!$G$533,AZ84:AZ102)
+SUMIF($F$84:$F$102,'Info utili'!$G$533,BA84:BA102)
+SUMIF($F$123:$F$131,'Info utili'!$G$533,AW123:AW131)
+SUMIF($F$123:$F$131,'Info utili'!$G$533,AX123:AX131)
+SUMIF($F$133:$F$141,'Info utili'!$G$533,AU133:AU141)
+SUMIF($F$146:$F$224,'Info utili'!$G$533,AW146:AW224)
+SUMIF($F$146:$F$224,'Info utili'!$G$533,AX146:AX224)
+SUMIF($F$226:$F$281,'Info utili'!$G$533,AY226:AY281)
+SUMIF($F$226:$F$281,'Info utili'!$G$533,AZ226:AZ281)
+SUMIF($F$226:$F$281,'Info utili'!$G$533,BA226:BA281)
+SUMIF($F$286:$F$304,'Info utili'!$G$533,AY286:AY304)
+SUMIF($F$286:$F$304,'Info utili'!$G$533,AZ286:AZ304)
+SUMIF($F$286:$F$304,'Info utili'!$G$533,BA286:BA304)
+SUMIF($F$325:$F$333,'Info utili'!$G$533,AW325:AW333)
+SUMIF($F$325:$F$333,'Info utili'!$G$533,AX325:AX333)
+SUMIF($F$335:$F$343,'Info utili'!$G$533,AU335:AU343)
+SUMIF($F$348:$F$426,'Info utili'!$G$533,AW348:AW426)
+SUMIF($F$348:$F$426,'Info utili'!$G$533,AX348:AX426)
+SUMIF($F$428:$F$483,'Info utili'!$G$533,AY428:AY483)
+SUMIF($F$428:$F$483,'Info utili'!$G$533,AZ428:AZ483)
+SUMIF($F$428:$F$483,'Info utili'!$G$533,BA428:BA483)
+SUMIF($F$488:$F$506,'Info utili'!$G$533,AY488:AY506)
+SUMIF($F$488:$F$506,'Info utili'!$G$533,AZ488:AZ506)
+SUMIF($F$488:$F$506,'Info utili'!$G$533,BA488:BA506)
+SUMIF($F$527:$F$535,'Info utili'!$G$533,AW527:AW535)
+SUMIF($F$527:$F$535,'Info utili'!$G$533,AX527:AX535)
+SUMIF($F$537:$F$545,'Info utili'!$G$533,AU537:AU545)
+SUMIF($F$550:$F$611,'Info utili'!$G$533,AW550:AW611)
+SUMIF($F$550:$F$611,'Info utili'!$G$533,AX550:AX611)</f>
        <v>0</v>
      </c>
      <c r="H660" s="1239">
        <v>0</v>
      </c>
      <c r="I660" s="1239">
        <v>0</v>
      </c>
      <c r="J660" s="1239">
        <v>0</v>
      </c>
      <c r="K660" s="1239">
        <v>0</v>
      </c>
      <c r="L660" s="1248">
        <f>SUMIF($F$11:$F$22,'Info utili'!$G$533,BA11:BA22)
+SUMIF($F$11:$F$22,'Info utili'!$G$533,BB11:BB22)
+SUMIF('Info utili'!$G$533,#REF!)
+SUMIF($F$24:$F$79,'Info utili'!$G$533,BE24:BE79)
+SUMIF($F$24:$F$79,'Info utili'!$G$533,BF24:BF79)
+SUMIF($F$24:$F$79,'Info utili'!$G$533,BG24:BG79)
+SUMIF($F$84:$F$102,'Info utili'!$G$533,BE84:BE102)
+SUMIF($F$84:$F$102,'Info utili'!$G$533,BF84:BF102)
+SUMIF($F$84:$F$102,'Info utili'!$G$533,BG84:BG102)
+SUMIF('Info utili'!$G$533,#REF!)
+SUMIF($F$123:$F$131,'Info utili'!$G$533,BA123:BA131)
+SUMIF($F$123:$F$131,'Info utili'!$G$533,BB123:BB131)
+SUMIF('Info utili'!$G$533,#REF!)
+SUMIF($F$133:$F$141,'Info utili'!$G$533,AW133:AW141)
+SUMIF($F$146:$F$224,'Info utili'!$G$533,BA146:BA224)
+SUMIF($F$146:$F$224,'Info utili'!$G$533,BB146:BB224)
+SUMIF('Info utili'!$G$533,#REF!)
+SUMIF('Info utili'!$G$533,#REF!)
+SUMIF('Info utili'!$G$533,#REF!)
+SUMIF($F$226:$F$281,'Info utili'!$G$533,BE226:BE281)
+SUMIF($F$226:$F$281,'Info utili'!$G$533,BF226:BF281)
+SUMIF($F$226:$F$281,'Info utili'!$G$533,BG226:BG281)
+SUMIF($F$286:$F$304,'Info utili'!$G$533,BE286:BE304)
+SUMIF($F$286:$F$304,'Info utili'!$G$533,BF286:BF304)
+SUMIF($F$286:$F$304,'Info utili'!$G$533,BG286:BG304)
+SUMIF('Info utili'!$G$533,#REF!)
+SUMIF($F$325:$F$333,'Info utili'!$G$533,BA325:BA333)
+SUMIF($F$325:$F$333,'Info utili'!$G$533,BB325:BB333)
+SUMIF('Info utili'!$G$533,#REF!)
+SUMIF($F$335:$F$343,'Info utili'!$G$533,AW335:AW343)
+SUMIF($F$348:$F$426,'Info utili'!$G$533,BA348:BA426)
+SUMIF($F$348:$F$426,'Info utili'!$G$533,BB348:BB426)
+SUMIF('Info utili'!$G$533,#REF!)
+SUMIF('Info utili'!$G$533,#REF!)
+SUMIF('Info utili'!$G$533,#REF!)
+SUMIF($F$428:$F$483,'Info utili'!$G$533,BE428:BE483)
+SUMIF($F$428:$F$483,'Info utili'!$G$533,BF428:BF483)
+SUMIF($F$428:$F$483,'Info utili'!$G$533,BG428:BG483)
+SUMIF($F$488:$F$506,'Info utili'!$G$533,BE488:BE506)
+SUMIF($F$488:$F$506,'Info utili'!$G$533,BF488:BF506)
+SUMIF($F$488:$F$506,'Info utili'!$G$533,BG488:BG506)
+SUMIF('Info utili'!$G$533,#REF!)
+SUMIF($F$527:$F$535,'Info utili'!$G$533,BA527:BA535)
+SUMIF($F$527:$F$535,'Info utili'!$G$533,BB527:BB535)
+SUMIF('Info utili'!$G$533,#REF!)
+SUMIF($F$537:$F$545,'Info utili'!$G$533,AW537:AW545)
+SUMIF($F$550:$F$611,'Info utili'!$G$533,BA550:BA611)
+SUMIF('Info utili'!$G$533,#REF!)
+SUMIF($F$550:$F$611,'Info utili'!$G$533,BB550:BB611)
+SUMIF('Info utili'!$G$533,#REF!)</f>
        <v>0</v>
      </c>
      <c r="M660" s="1237">
        <f>SUMIF($F$11:$F$22,'Info utili'!$G$533,BC11:BC22)
+SUMIF($F$11:$F$22,'Info utili'!$G$533,BD11:BD22)
+SUMIF($F$24:$F$79,'Info utili'!$G$533,BH24:BH79)
+SUMIF($F$24:$F$79,'Info utili'!$G$533,BI24:BI79)
+SUMIF($F$24:$F$79,'Info utili'!$G$533,BJ24:BJ79)
+SUMIF($F$84:$F$102,'Info utili'!$G$533,BH84:BH102)
+SUMIF($F$84:$F$102,'Info utili'!$G$533,BI84:BI102)
+SUMIF($F$84:$F$102,'Info utili'!$G$533,BJ84:BJ102)
+SUMIF($F$123:$F$131,'Info utili'!$G$533,BC123:BC131)
+SUMIF($F$123:$F$131,'Info utili'!$G$533,BD123:BD131)
+SUMIF($F$133:$F$141,'Info utili'!$G$533,AX133:AX141)
+SUMIF($F$146:$F$224,'Info utili'!$G$533,BC146:BC224)
+SUMIF($F$146:$F$224,'Info utili'!$G$533,BD146:BD224)
+SUMIF($F$226:$F$281,'Info utili'!$G$533,BH226:BH281)
+SUMIF($F$226:$F$281,'Info utili'!$G$533,BI226:BI281)
+SUMIF($F$226:$F$281,'Info utili'!$G$533,BJ226:BJ281)
+SUMIF($F$286:$F$304,'Info utili'!$G$533,BH286:BH304)
+SUMIF($F$286:$F$304,'Info utili'!$G$533,BI286:BI304)
+SUMIF($F$286:$F$304,'Info utili'!$G$533,BJ286:BJ304)
+SUMIF($F$325:$F$333,'Info utili'!$G$533,BC325:BC333)
+SUMIF($F$325:$F$333,'Info utili'!$G$533,BD325:BD333)
+SUMIF($F$335:$F$343,'Info utili'!$G$533,AX335:AX343)
+SUMIF($F$348:$F$426,'Info utili'!$G$533,BC348:BC426)
+SUMIF($F$348:$F$426,'Info utili'!$G$533,BD348:BD426)
+SUMIF($F$428:$F$483,'Info utili'!$G$533,BH428:BH483)
+SUMIF($F$428:$F$483,'Info utili'!$G$533,BI428:BI483)
+SUMIF($F$428:$F$483,'Info utili'!$G$533,BJ428:BJ483)
+SUMIF($F$488:$F$506,'Info utili'!$G$533,BH488:BH506)
+SUMIF($F$488:$F$506,'Info utili'!$G$533,BI488:BI506)
+SUMIF($F$488:$F$506,'Info utili'!$G$533,BJ488:BJ506)
+SUMIF($F$527:$F$535,'Info utili'!$G$533,BC527:BC535)
+SUMIF($F$527:$F$535,'Info utili'!$G$533,BD527:BD535)
+SUMIF($F$537:$F$545,'Info utili'!$G$533,AX537:AX545)
+SUMIF($F$550:$F$611,'Info utili'!$G$533,BC550:BC611)
+SUMIF($F$550:$F$611,'Info utili'!$G$533,BD550:BD611)</f>
        <v>0</v>
      </c>
      <c r="N660" s="1242">
        <v>0</v>
      </c>
      <c r="O660" s="1240"/>
      <c r="Z660" s="1162"/>
      <c r="AE660" s="1162"/>
      <c r="AI660" s="1162"/>
      <c r="AN660" s="729"/>
      <c r="AO660" s="729"/>
      <c r="AP660" s="729"/>
      <c r="AQ660" s="729"/>
      <c r="AR660" s="729"/>
      <c r="AS660" s="729"/>
      <c r="AT660" s="729"/>
      <c r="AU660" s="729"/>
      <c r="AV660" s="729"/>
      <c r="AW660" s="729"/>
      <c r="AX660" s="729"/>
      <c r="AY660" s="729"/>
    </row>
    <row r="661" spans="2:51" s="39" customFormat="1" ht="12.75" customHeight="1" outlineLevel="1" x14ac:dyDescent="0.2">
      <c r="B661" s="1833" t="s">
        <v>2656</v>
      </c>
      <c r="C661" s="1834"/>
      <c r="D661" s="1246"/>
      <c r="E661" s="1239">
        <f>SUMIF($F$11:$F$22,'Info utili'!$G$538,AS11:AS22)
+SUMIF($F$11:$F$22,'Info utili'!$G$538,AT11:AT22)
+SUMIF($F$24:$F$79,'Info utili'!$G$538,AS24:AS79)
+SUMIF($F$24:$F$79,'Info utili'!$G$538,AT24:AT79)
+SUMIF($F$24:$F$79,'Info utili'!$G$538,AU24:AU79)
+SUMIF($F$84:$F$102,'Info utili'!$G$538,AS84:AS102)
+SUMIF($F$84:$F$102,'Info utili'!$G$538,AT84:AT102)
+SUMIF($F$84:$F$102,'Info utili'!$G$538,AU84:AU102)
+SUMIF($F$123:$F$131,'Info utili'!$G$538,AS123:AS131)
+SUMIF($F$123:$F$131,'Info utili'!$G$538,AT123:AT131)
+SUMIF($F$133:$F$141,'Info utili'!$G$538,AS133:AS141)
+SUMIF($F$146:$F$224,'Info utili'!$G$538,AS146:AS224)
+SUMIF($F$146:$F$224,'Info utili'!$G$538,AT146:AT224)
+SUMIF($F$226:$F$281,'Info utili'!$G$538,AS226:AS281)
+SUMIF($F$226:$F$281,'Info utili'!$G$538,AT226:AT281)
+SUMIF($F$226:$F$281,'Info utili'!$G$538,AU226:AU281)
+SUMIF($F$286:$F$304,'Info utili'!$G$538,AS286:AS304)
+SUMIF($F$286:$F$304,'Info utili'!$G$538,AT286:AT304)
+SUMIF($F$286:$F$304,'Info utili'!$G$538,AU286:AU304)
+SUMIF($F$325:$F$333,'Info utili'!$G$538,AS325:AS333)
+SUMIF($F$325:$F$333,'Info utili'!$G$538,AT325:AT333)
+SUMIF($F$335:$F$343,'Info utili'!$G$538,AS335:AS343)
+SUMIF($F$348:$F$426,'Info utili'!$G$538,AS348:AS426)
+SUMIF($F$348:$F$426,'Info utili'!$G$538,AT348:AT426)
+SUMIF($F$428:$F$483,'Info utili'!$G$538,AS428:AS483)
+SUMIF($F$428:$F$483,'Info utili'!$G$538,AT428:AT483)
+SUMIF($F$428:$F$483,'Info utili'!$G$538,AU428:AU483)
+SUMIF($F$488:$F$506,'Info utili'!$G$538,AS488:AS506)
+SUMIF($F$488:$F$506,'Info utili'!$G$538,AT488:AT506)
+SUMIF($F$488:$F$506,'Info utili'!$G$538,AU488:AU506)
+SUMIF($F$527:$F$535,'Info utili'!$G$538,AS527:AS535)
+SUMIF($F$527:$F$535,'Info utili'!$G$538,AT527:AT535)
+SUMIF($F$537:$F$545,'Info utili'!$G$538,AS537:AS545)
+SUMIF($F$550:$F$611,'Info utili'!$G$538,AS550:AS611)
+SUMIF($F$550:$F$611,'Info utili'!$G$538,AT550:AT611)</f>
        <v>0</v>
      </c>
      <c r="F661" s="1239">
        <f>SUMIF($F$11:$F$22,'Info utili'!$G$538,AU11:AU22)
+SUMIF($F$11:$F$22,'Info utili'!$G$538,AV11:AV22)
+SUMIF($F$24:$F$79,'Info utili'!$G$538,AV24:AV79)
+SUMIF($F$24:$F$79,'Info utili'!$G$538,AW24:AW79)
+SUMIF($F$24:$F$79,'Info utili'!$G$538,AX24:AX79)
+SUMIF($F$84:$F$102,'Info utili'!$G$538,AV84:AV102)
+SUMIF($F$84:$F$102,'Info utili'!$G$538,AW84:AW102)
+SUMIF($F$84:$F$102,'Info utili'!$G$538,AX84:AX102)
+SUMIF($F$123:$F$131,'Info utili'!$G$538,AU123:AU131)
+SUMIF($F$123:$F$131,'Info utili'!$G$538,AV123:AV131)
+SUMIF($F$133:$F$141,'Info utili'!$G$538,AT133:AT141)
+SUMIF($F$146:$F$224,'Info utili'!$G$538,AU146:AU224)
+SUMIF($F$146:$F$224,'Info utili'!$G$538,AV146:AV224)
+SUMIF($F$226:$F$281,'Info utili'!$G$538,AV226:AV281)
+SUMIF($F$226:$F$281,'Info utili'!$G$538,AW226:AW281)
+SUMIF($F$226:$F$281,'Info utili'!$G$538,AX226:AX281)
+SUMIF($F$286:$F$304,'Info utili'!$G$538,AV286:AV304)
+SUMIF($F$286:$F$304,'Info utili'!$G$538,AW286:AW304)
+SUMIF($F$286:$F$304,'Info utili'!$G$538,AX286:AX304)
+SUMIF($F$325:$F$333,'Info utili'!$G$538,AU325:AU333)
+SUMIF($F$325:$F$333,'Info utili'!$G$538,AV325:AV333)
+SUMIF($F$335:$F$343,'Info utili'!$G$538,AT335:AT343)
+SUMIF($F$348:$F$426,'Info utili'!$G$538,AU348:AU426)
+SUMIF($F$348:$F$426,'Info utili'!$G$538,AV348:AV426)
+SUMIF($F$428:$F$483,'Info utili'!$G$538,AV428:AV483)
+SUMIF($F$428:$F$483,'Info utili'!$G$538,AW428:AW483)
+SUMIF($F$428:$F$483,'Info utili'!$G$538,AX428:AX483)
+SUMIF($F$488:$F$506,'Info utili'!$G$538,AV488:AV506)
+SUMIF($F$488:$F$506,'Info utili'!$G$538,AW488:AW506)
+SUMIF($F$488:$F$506,'Info utili'!$G$538,AX488:AX506)
+SUMIF($F$527:$F$535,'Info utili'!$G$538,AU527:AU535)
+SUMIF($F$527:$F$535,'Info utili'!$G$538,AV527:AV535)
+SUMIF($F$537:$F$545,'Info utili'!$G$538,AT537:AT545)
+SUMIF($F$550:$F$611,'Info utili'!$G$538,AU550:AU611)
+SUMIF($F$550:$F$611,'Info utili'!$G$538,AV550:AV611)</f>
        <v>0</v>
      </c>
      <c r="G661" s="1239">
        <f>SUMIF($F$11:$F$22,'Info utili'!$G$538,AW11:AW22)
+SUMIF($F$11:$F$22,'Info utili'!$G$538,AX11:AX22)
+SUMIF($F$24:$F$79,'Info utili'!$G$538,AY24:AY79)
+SUMIF($F$24:$F$79,'Info utili'!$G$538,AZ24:AZ79)
+SUMIF($F$24:$F$79,'Info utili'!$G$538,BA24:BA79)
+SUMIF($F$84:$F$102,'Info utili'!$G$538,AY84:AY102)
+SUMIF($F$84:$F$102,'Info utili'!$G$538,AZ84:AZ102)
+SUMIF($F$84:$F$102,'Info utili'!$G$538,BA84:BA102)
+SUMIF($F$123:$F$131,'Info utili'!$G$538,AW123:AW131)
+SUMIF($F$123:$F$131,'Info utili'!$G$538,AX123:AX131)
+SUMIF($F$133:$F$141,'Info utili'!$G$538,AU133:AU141)
+SUMIF($F$146:$F$224,'Info utili'!$G$538,AW146:AW224)
+SUMIF($F$146:$F$224,'Info utili'!$G$538,AX146:AX224)
+SUMIF($F$226:$F$281,'Info utili'!$G$538,AY226:AY281)
+SUMIF($F$226:$F$281,'Info utili'!$G$538,AZ226:AZ281)
+SUMIF($F$226:$F$281,'Info utili'!$G$538,BA226:BA281)
+SUMIF($F$286:$F$304,'Info utili'!$G$538,AY286:AY304)
+SUMIF($F$286:$F$304,'Info utili'!$G$538,AZ286:AZ304)
+SUMIF($F$286:$F$304,'Info utili'!$G$538,BA286:BA304)
+SUMIF($F$325:$F$333,'Info utili'!$G$538,AW325:AW333)
+SUMIF($F$325:$F$333,'Info utili'!$G$538,AX325:AX333)
+SUMIF($F$335:$F$343,'Info utili'!$G$538,AU335:AU343)
+SUMIF($F$348:$F$426,'Info utili'!$G$538,AW348:AW426)
+SUMIF($F$348:$F$426,'Info utili'!$G$538,AX348:AX426)
+SUMIF($F$428:$F$483,'Info utili'!$G$538,AY428:AY483)
+SUMIF($F$428:$F$483,'Info utili'!$G$538,AZ428:AZ483)
+SUMIF($F$428:$F$483,'Info utili'!$G$538,BA428:BA483)
+SUMIF($F$488:$F$506,'Info utili'!$G$538,AY488:AY506)
+SUMIF($F$488:$F$506,'Info utili'!$G$538,AZ488:AZ506)
+SUMIF($F$488:$F$506,'Info utili'!$G$538,BA488:BA506)
+SUMIF($F$527:$F$535,'Info utili'!$G$538,AW527:AW535)
+SUMIF($F$527:$F$535,'Info utili'!$G$538,AX527:AX535)
+SUMIF($F$537:$F$545,'Info utili'!$G$538,AU537:AU545)
+SUMIF($F$550:$F$611,'Info utili'!$G$538,AW550:AW611)
+SUMIF($F$550:$F$611,'Info utili'!$G$538,AX550:AX611)</f>
        <v>0</v>
      </c>
      <c r="H661" s="1239">
        <v>0</v>
      </c>
      <c r="I661" s="1239">
        <v>0</v>
      </c>
      <c r="J661" s="1239">
        <v>0</v>
      </c>
      <c r="K661" s="1239">
        <v>0</v>
      </c>
      <c r="L661" s="1248">
        <f>SUMIF($F$11:$F$22,'Info utili'!$G$538,BA11:BA22)
+SUMIF($F$11:$F$22,'Info utili'!$G$538,BB11:BB22)
+SUMIF('Info utili'!$G$538,#REF!)
+SUMIF($F$24:$F$79,'Info utili'!$G$538,BE24:BE79)
+SUMIF($F$24:$F$79,'Info utili'!$G$538,BF24:BF79)
+SUMIF($F$24:$F$79,'Info utili'!$G$538,BG24:BG79)
+SUMIF($F$84:$F$102,'Info utili'!$G$538,BE84:BE102)
+SUMIF($F$84:$F$102,'Info utili'!$G$538,BF84:BF102)
+SUMIF($F$84:$F$102,'Info utili'!$G$538,BG84:BG102)
+SUMIF('Info utili'!$G$538,#REF!)
+SUMIF($F$123:$F$131,'Info utili'!$G$538,BA123:BA131)
+SUMIF($F$123:$F$131,'Info utili'!$G$538,BB123:BB131)
+SUMIF('Info utili'!$G$538,#REF!)
+SUMIF($F$133:$F$141,'Info utili'!$G$538,AW133:AW141)
+SUMIF($F$146:$F$224,'Info utili'!$G$538,BA146:BA224)
+SUMIF($F$146:$F$224,'Info utili'!$G$538,BB146:BB224)
+SUMIF('Info utili'!$G$538,#REF!)
+SUMIF('Info utili'!$G$538,#REF!)
+SUMIF('Info utili'!$G$538,#REF!)
+SUMIF($F$226:$F$281,'Info utili'!$G$538,BE226:BE281)
+SUMIF($F$226:$F$281,'Info utili'!$G$538,BF226:BF281)
+SUMIF($F$226:$F$281,'Info utili'!$G$538,BG226:BG281)
+SUMIF($F$286:$F$304,'Info utili'!$G$538,BE286:BE304)
+SUMIF($F$286:$F$304,'Info utili'!$G$538,BF286:BF304)
+SUMIF($F$286:$F$304,'Info utili'!$G$538,BG286:BG304)
+SUMIF('Info utili'!$G$538,#REF!)
+SUMIF($F$325:$F$333,'Info utili'!$G$538,BA325:BA333)
+SUMIF($F$325:$F$333,'Info utili'!$G$538,BB325:BB333)
+SUMIF('Info utili'!$G$538,#REF!)
+SUMIF($F$335:$F$343,'Info utili'!$G$538,AW335:AW343)
+SUMIF($F$348:$F$426,'Info utili'!$G$538,BA348:BA426)
+SUMIF($F$348:$F$426,'Info utili'!$G$538,BB348:BB426)
+SUMIF('Info utili'!$G$538,#REF!)
+SUMIF('Info utili'!$G$538,#REF!)
+SUMIF('Info utili'!$G$538,#REF!)
+SUMIF($F$428:$F$483,'Info utili'!$G$538,BE428:BE483)
+SUMIF($F$428:$F$483,'Info utili'!$G$538,BF428:BF483)
+SUMIF($F$428:$F$483,'Info utili'!$G$538,BG428:BG483)
+SUMIF($F$488:$F$506,'Info utili'!$G$538,BE488:BE506)
+SUMIF($F$488:$F$506,'Info utili'!$G$538,BF488:BF506)
+SUMIF($F$488:$F$506,'Info utili'!$G$538,BG488:BG506)
+SUMIF('Info utili'!$G$538,#REF!)
+SUMIF($F$527:$F$535,'Info utili'!$G$538,BA527:BA535)
+SUMIF($F$527:$F$535,'Info utili'!$G$538,BB527:BB535)
+SUMIF('Info utili'!$G$538,#REF!)
+SUMIF($F$537:$F$545,'Info utili'!$G$538,AW537:AW545)
+SUMIF($F$550:$F$611,'Info utili'!$G$538,BA550:BA611)
+SUMIF('Info utili'!$G$538,#REF!)
+SUMIF($F$550:$F$611,'Info utili'!$G$538,BB550:BB611)
+SUMIF('Info utili'!$G$538,#REF!)</f>
        <v>0</v>
      </c>
      <c r="M661" s="1237">
        <f>SUMIF($F$11:$F$22,'Info utili'!$G$538,BC11:BC22)
+SUMIF($F$11:$F$22,'Info utili'!$G$538,BD11:BD22)
+SUMIF($F$24:$F$79,'Info utili'!$G$538,BH24:BH79)
+SUMIF($F$24:$F$79,'Info utili'!$G$538,BI24:BI79)
+SUMIF($F$24:$F$79,'Info utili'!$G$538,BJ24:BJ79)
+SUMIF($F$84:$F$102,'Info utili'!$G$538,BH84:BH102)
+SUMIF($F$84:$F$102,'Info utili'!$G$538,BI84:BI102)
+SUMIF($F$84:$F$102,'Info utili'!$G$538,BJ84:BJ102)
+SUMIF($F$123:$F$131,'Info utili'!$G$538,BC123:BC131)
+SUMIF($F$123:$F$131,'Info utili'!$G$538,BD123:BD131)
+SUMIF($F$133:$F$141,'Info utili'!$G$538,AX133:AX141)
+SUMIF($F$146:$F$224,'Info utili'!$G$538,BC146:BC224)
+SUMIF($F$146:$F$224,'Info utili'!$G$538,BD146:BD224)
+SUMIF($F$226:$F$281,'Info utili'!$G$538,BH226:BH281)
+SUMIF($F$226:$F$281,'Info utili'!$G$538,BI226:BI281)
+SUMIF($F$226:$F$281,'Info utili'!$G$538,BJ226:BJ281)
+SUMIF($F$286:$F$304,'Info utili'!$G$538,BH286:BH304)
+SUMIF($F$286:$F$304,'Info utili'!$G$538,BI286:BI304)
+SUMIF($F$286:$F$304,'Info utili'!$G$538,BJ286:BJ304)
+SUMIF($F$325:$F$333,'Info utili'!$G$538,BC325:BC333)
+SUMIF($F$325:$F$333,'Info utili'!$G$538,BD325:BD333)
+SUMIF($F$335:$F$343,'Info utili'!$G$538,AX335:AX343)
+SUMIF($F$348:$F$426,'Info utili'!$G$538,BC348:BC426)
+SUMIF($F$348:$F$426,'Info utili'!$G$538,BD348:BD426)
+SUMIF($F$428:$F$483,'Info utili'!$G$538,BH428:BH483)
+SUMIF($F$428:$F$483,'Info utili'!$G$538,BI428:BI483)
+SUMIF($F$428:$F$483,'Info utili'!$G$538,BJ428:BJ483)
+SUMIF($F$488:$F$506,'Info utili'!$G$538,BH488:BH506)
+SUMIF($F$488:$F$506,'Info utili'!$G$538,BI488:BI506)
+SUMIF($F$488:$F$506,'Info utili'!$G$538,BJ488:BJ506)
+SUMIF($F$527:$F$535,'Info utili'!$G$538,BC527:BC535)
+SUMIF($F$527:$F$535,'Info utili'!$G$538,BD527:BD535)
+SUMIF($F$537:$F$545,'Info utili'!$G$538,AX537:AX545)
+SUMIF($F$550:$F$611,'Info utili'!$G$538,BC550:BC611)
+SUMIF($F$550:$F$611,'Info utili'!$G$538,BD550:BD611)</f>
        <v>0</v>
      </c>
      <c r="N661" s="1242">
        <v>0</v>
      </c>
      <c r="O661" s="1240"/>
      <c r="Z661" s="1162"/>
      <c r="AE661" s="1162"/>
      <c r="AI661" s="1162"/>
      <c r="AN661" s="729"/>
      <c r="AO661" s="729"/>
      <c r="AP661" s="729"/>
      <c r="AQ661" s="729"/>
      <c r="AR661" s="729"/>
      <c r="AS661" s="729"/>
      <c r="AT661" s="729"/>
      <c r="AU661" s="729"/>
      <c r="AV661" s="729"/>
      <c r="AW661" s="729"/>
      <c r="AX661" s="729"/>
      <c r="AY661" s="729"/>
    </row>
    <row r="662" spans="2:51" s="39" customFormat="1" ht="12.75" customHeight="1" outlineLevel="1" x14ac:dyDescent="0.2">
      <c r="B662" s="1749" t="str">
        <f>+Energia!B167</f>
        <v>Rifiuti prodotti</v>
      </c>
      <c r="C662" s="1749"/>
      <c r="D662" s="1246" t="s">
        <v>110</v>
      </c>
      <c r="E662" s="1239"/>
      <c r="F662" s="1239"/>
      <c r="G662" s="1239"/>
      <c r="H662" s="1239"/>
      <c r="I662" s="1239"/>
      <c r="J662" s="1239"/>
      <c r="K662" s="1239"/>
      <c r="L662" s="1248"/>
      <c r="M662" s="1237"/>
      <c r="N662" s="1242"/>
      <c r="O662" s="1240"/>
      <c r="Z662" s="1162"/>
      <c r="AE662" s="1162"/>
      <c r="AI662" s="1162"/>
      <c r="AN662" s="729"/>
      <c r="AO662" s="729"/>
      <c r="AP662" s="729"/>
      <c r="AQ662" s="729"/>
      <c r="AR662" s="729"/>
      <c r="AS662" s="729"/>
      <c r="AT662" s="729"/>
      <c r="AU662" s="729"/>
      <c r="AV662" s="729"/>
      <c r="AW662" s="729"/>
      <c r="AX662" s="729"/>
      <c r="AY662" s="729"/>
    </row>
    <row r="663" spans="2:51" s="39" customFormat="1" ht="12.75" customHeight="1" outlineLevel="1" x14ac:dyDescent="0.2">
      <c r="B663" s="1749" t="str">
        <f>+Energia!B168</f>
        <v>Viaggi di lavoro</v>
      </c>
      <c r="C663" s="1749"/>
      <c r="D663" s="1246" t="s">
        <v>111</v>
      </c>
      <c r="E663" s="1239"/>
      <c r="F663" s="1239"/>
      <c r="G663" s="1239"/>
      <c r="H663" s="1239"/>
      <c r="I663" s="1239"/>
      <c r="J663" s="1239"/>
      <c r="K663" s="1239"/>
      <c r="L663" s="1248"/>
      <c r="M663" s="1237"/>
      <c r="N663" s="1242"/>
      <c r="O663" s="1240"/>
      <c r="Z663" s="1162"/>
      <c r="AE663" s="1162"/>
      <c r="AI663" s="1162"/>
      <c r="AN663" s="729"/>
      <c r="AO663" s="729"/>
      <c r="AP663" s="729"/>
      <c r="AQ663" s="729"/>
      <c r="AR663" s="729"/>
      <c r="AS663" s="729"/>
      <c r="AT663" s="729"/>
      <c r="AU663" s="729"/>
      <c r="AV663" s="729"/>
      <c r="AW663" s="729"/>
      <c r="AX663" s="729"/>
      <c r="AY663" s="729"/>
    </row>
    <row r="664" spans="2:51" s="39" customFormat="1" ht="12.75" customHeight="1" outlineLevel="1" x14ac:dyDescent="0.2">
      <c r="B664" s="1749" t="str">
        <f>+Energia!B169</f>
        <v>Impiegati pendolari</v>
      </c>
      <c r="C664" s="1749"/>
      <c r="D664" s="1246" t="s">
        <v>112</v>
      </c>
      <c r="E664" s="1239"/>
      <c r="F664" s="1239"/>
      <c r="G664" s="1239"/>
      <c r="H664" s="1239"/>
      <c r="I664" s="1239"/>
      <c r="J664" s="1239"/>
      <c r="K664" s="1239"/>
      <c r="L664" s="1248"/>
      <c r="M664" s="1237"/>
      <c r="N664" s="1242"/>
      <c r="O664" s="1240"/>
      <c r="Z664" s="1162"/>
      <c r="AE664" s="1162"/>
      <c r="AI664" s="1162"/>
      <c r="AN664" s="729"/>
      <c r="AO664" s="729"/>
      <c r="AP664" s="729"/>
      <c r="AQ664" s="729"/>
      <c r="AR664" s="729"/>
      <c r="AS664" s="729"/>
      <c r="AT664" s="729"/>
      <c r="AU664" s="729"/>
      <c r="AV664" s="729"/>
      <c r="AW664" s="729"/>
      <c r="AX664" s="729"/>
      <c r="AY664" s="729"/>
    </row>
    <row r="665" spans="2:51" s="39" customFormat="1" ht="12.75" customHeight="1" outlineLevel="1" x14ac:dyDescent="0.2">
      <c r="B665" s="1749" t="str">
        <f>+Energia!B170</f>
        <v>Upstream leased assets</v>
      </c>
      <c r="C665" s="1749"/>
      <c r="D665" s="1246" t="s">
        <v>113</v>
      </c>
      <c r="E665" s="1239"/>
      <c r="F665" s="1239"/>
      <c r="G665" s="1239"/>
      <c r="H665" s="1239"/>
      <c r="I665" s="1239"/>
      <c r="J665" s="1239"/>
      <c r="K665" s="1239"/>
      <c r="L665" s="1248"/>
      <c r="M665" s="1237"/>
      <c r="N665" s="1242"/>
      <c r="O665" s="1240"/>
      <c r="Z665" s="1162"/>
      <c r="AE665" s="1162"/>
      <c r="AI665" s="1162"/>
      <c r="AN665" s="729"/>
      <c r="AO665" s="729"/>
      <c r="AP665" s="729"/>
      <c r="AQ665" s="729"/>
      <c r="AR665" s="729"/>
      <c r="AS665" s="729"/>
      <c r="AT665" s="729"/>
      <c r="AU665" s="729"/>
      <c r="AV665" s="729"/>
      <c r="AW665" s="729"/>
      <c r="AX665" s="729"/>
      <c r="AY665" s="729"/>
    </row>
    <row r="666" spans="2:51" s="39" customFormat="1" ht="12.75" customHeight="1" outlineLevel="1" x14ac:dyDescent="0.2">
      <c r="B666" s="1749" t="str">
        <f>+Energia!B171</f>
        <v>Altre emissioni indirette premanifattura</v>
      </c>
      <c r="C666" s="1749"/>
      <c r="D666" s="1238"/>
      <c r="E666" s="1239"/>
      <c r="F666" s="1239"/>
      <c r="G666" s="1239"/>
      <c r="H666" s="1239"/>
      <c r="I666" s="1239"/>
      <c r="J666" s="1239"/>
      <c r="K666" s="1239"/>
      <c r="L666" s="1248"/>
      <c r="M666" s="1237"/>
      <c r="N666" s="1242"/>
      <c r="O666" s="1240"/>
      <c r="Z666" s="1162"/>
      <c r="AE666" s="1162"/>
      <c r="AI666" s="1162"/>
      <c r="AN666" s="729"/>
      <c r="AO666" s="729"/>
      <c r="AP666" s="729"/>
      <c r="AQ666" s="729"/>
      <c r="AR666" s="729"/>
      <c r="AS666" s="729"/>
      <c r="AT666" s="729"/>
      <c r="AU666" s="729"/>
      <c r="AV666" s="729"/>
      <c r="AW666" s="729"/>
      <c r="AX666" s="729"/>
      <c r="AY666" s="729"/>
    </row>
    <row r="667" spans="2:51" s="39" customFormat="1" ht="12.75" customHeight="1" outlineLevel="1" x14ac:dyDescent="0.2">
      <c r="B667" s="1771" t="s">
        <v>2744</v>
      </c>
      <c r="C667" s="1772"/>
      <c r="D667" s="1772"/>
      <c r="E667" s="1772"/>
      <c r="F667" s="1772"/>
      <c r="G667" s="1772"/>
      <c r="H667" s="1772"/>
      <c r="I667" s="1772"/>
      <c r="J667" s="1772"/>
      <c r="K667" s="1772"/>
      <c r="L667" s="1772"/>
      <c r="M667" s="1772"/>
      <c r="N667" s="1772"/>
      <c r="O667" s="1773"/>
      <c r="Z667" s="1162"/>
      <c r="AE667" s="1162"/>
      <c r="AI667" s="1162"/>
      <c r="AN667" s="729"/>
      <c r="AO667" s="729"/>
      <c r="AP667" s="729"/>
      <c r="AQ667" s="729"/>
      <c r="AR667" s="729"/>
      <c r="AS667" s="729"/>
      <c r="AT667" s="729"/>
      <c r="AU667" s="729"/>
      <c r="AV667" s="729"/>
      <c r="AW667" s="729"/>
      <c r="AX667" s="729"/>
      <c r="AY667" s="729"/>
    </row>
    <row r="668" spans="2:51" s="39" customFormat="1" ht="12.75" customHeight="1" outlineLevel="1" x14ac:dyDescent="0.2">
      <c r="B668" s="1749" t="str">
        <f>+Energia!B173</f>
        <v>Trasporto di merci e distribuzione in fase d’uso e fine vita</v>
      </c>
      <c r="C668" s="1749"/>
      <c r="D668" s="1246" t="s">
        <v>114</v>
      </c>
      <c r="E668" s="1239">
        <f t="shared" ref="E668:M668" si="238">E669+E670</f>
        <v>0</v>
      </c>
      <c r="F668" s="1239">
        <f t="shared" si="238"/>
        <v>0</v>
      </c>
      <c r="G668" s="1239">
        <f t="shared" si="238"/>
        <v>0</v>
      </c>
      <c r="H668" s="1239">
        <f t="shared" si="238"/>
        <v>0</v>
      </c>
      <c r="I668" s="1239">
        <f t="shared" si="238"/>
        <v>0</v>
      </c>
      <c r="J668" s="1239">
        <f t="shared" si="238"/>
        <v>0</v>
      </c>
      <c r="K668" s="1239">
        <f t="shared" si="238"/>
        <v>0</v>
      </c>
      <c r="L668" s="1248">
        <f t="shared" si="238"/>
        <v>0</v>
      </c>
      <c r="M668" s="1237">
        <f t="shared" si="238"/>
        <v>0</v>
      </c>
      <c r="N668" s="1242">
        <f>SQRT(N669^2+N670^2)</f>
        <v>0</v>
      </c>
      <c r="O668" s="1240"/>
      <c r="Z668" s="1162"/>
      <c r="AE668" s="1162"/>
      <c r="AI668" s="1162"/>
      <c r="AN668" s="729"/>
      <c r="AO668" s="729"/>
      <c r="AP668" s="729"/>
      <c r="AQ668" s="729"/>
      <c r="AR668" s="729"/>
      <c r="AS668" s="729"/>
      <c r="AT668" s="729"/>
      <c r="AU668" s="729"/>
      <c r="AV668" s="729"/>
      <c r="AW668" s="729"/>
      <c r="AX668" s="729"/>
      <c r="AY668" s="729"/>
    </row>
    <row r="669" spans="2:51" s="39" customFormat="1" ht="12.75" customHeight="1" outlineLevel="1" x14ac:dyDescent="0.2">
      <c r="B669" s="1829" t="s">
        <v>2655</v>
      </c>
      <c r="C669" s="1830"/>
      <c r="D669" s="1246"/>
      <c r="E669" s="1239">
        <f>SUMIF($F$11:$F$22,'Info utili'!$G$534,AS11:AS22)
+SUMIF($F$11:$F$22,'Info utili'!$G$534,AT11:AT22)
+SUMIF($F$24:$F$79,'Info utili'!$G$534,AS24:AS79)
+SUMIF($F$24:$F$79,'Info utili'!$G$534,AT24:AT79)
+SUMIF($F$24:$F$79,'Info utili'!$G$534,AU24:AU79)
+SUMIF($F$84:$F$102,'Info utili'!$G$534,AS84:AS102)
+SUMIF($F$84:$F$102,'Info utili'!$G$534,AT84:AT102)
+SUMIF($F$84:$F$102,'Info utili'!$G$534,AU84:AU102)
+SUMIF($F$123:$F$131,'Info utili'!$G$534,AS123:AS131)
+SUMIF($F$123:$F$131,'Info utili'!$G$534,AT123:AT131)
+SUMIF($F$133:$F$141,'Info utili'!$G$534,AS133:AS141)
+SUMIF($F$146:$F$224,'Info utili'!$G$534,AS146:AS224)
+SUMIF($F$146:$F$224,'Info utili'!$G$534,AT146:AT224)
+SUMIF($F$226:$F$281,'Info utili'!$G$534,AS226:AS281)
+SUMIF($F$226:$F$281,'Info utili'!$G$534,AT226:AT281)
+SUMIF($F$226:$F$281,'Info utili'!$G$534,AU226:AU281)
+SUMIF($F$286:$F$304,'Info utili'!$G$534,AS286:AS304)
+SUMIF($F$286:$F$304,'Info utili'!$G$534,AT286:AT304)
+SUMIF($F$286:$F$304,'Info utili'!$G$534,AU286:AU304)
+SUMIF($F$325:$F$333,'Info utili'!$G$534,AS325:AS333)
+SUMIF($F$325:$F$333,'Info utili'!$G$534,AT325:AT333)
+SUMIF($F$335:$F$343,'Info utili'!$G$534,AS335:AS343)
+SUMIF($F$348:$F$426,'Info utili'!$G$534,AS348:AS426)
+SUMIF($F$348:$F$426,'Info utili'!$G$534,AT348:AT426)
+SUMIF($F$428:$F$483,'Info utili'!$G$534,AS428:AS483)
+SUMIF($F$428:$F$483,'Info utili'!$G$534,AT428:AT483)
+SUMIF($F$428:$F$483,'Info utili'!$G$534,AU428:AU483)
+SUMIF($F$488:$F$506,'Info utili'!$G$534,AS488:AS506)
+SUMIF($F$488:$F$506,'Info utili'!$G$534,AT488:AT506)
+SUMIF($F$488:$F$506,'Info utili'!$G$534,AU488:AU506)
+SUMIF($F$527:$F$535,'Info utili'!$G$534,AS527:AS535)
+SUMIF($F$527:$F$535,'Info utili'!$G$534,AT527:AT535)
+SUMIF($F$537:$F$545,'Info utili'!$G$534,AS537:AS545)
+SUMIF($F$550:$F$611,'Info utili'!$G$534,AS550:AS611)
+SUMIF($F$550:$F$611,'Info utili'!$G$534,AT550:AT611)</f>
        <v>0</v>
      </c>
      <c r="F669" s="1239">
        <f>SUMIF($F$11:$F$22,'Info utili'!$G$534,AU11:AU22)
+SUMIF($F$11:$F$22,'Info utili'!$G$534,AV11:AV22)
+SUMIF($F$24:$F$79,'Info utili'!$G$534,AV24:AV79)
+SUMIF($F$24:$F$79,'Info utili'!$G$534,AW24:AW79)
+SUMIF($F$24:$F$79,'Info utili'!$G$534,AX24:AX79)
+SUMIF($F$84:$F$102,'Info utili'!$G$534,AV84:AV102)
+SUMIF($F$84:$F$102,'Info utili'!$G$534,AW84:AW102)
+SUMIF($F$84:$F$102,'Info utili'!$G$534,AX84:AX102)
+SUMIF($F$123:$F$131,'Info utili'!$G$534,AU123:AU131)
+SUMIF($F$123:$F$131,'Info utili'!$G$534,AV123:AV131)
+SUMIF($F$133:$F$141,'Info utili'!$G$534,AT133:AT141)
+SUMIF($F$146:$F$224,'Info utili'!$G$534,AU146:AU224)
+SUMIF($F$146:$F$224,'Info utili'!$G$534,AV146:AV224)
+SUMIF($F$226:$F$281,'Info utili'!$G$534,AV226:AV281)
+SUMIF($F$226:$F$281,'Info utili'!$G$534,AW226:AW281)
+SUMIF($F$226:$F$281,'Info utili'!$G$534,AX226:AX281)
+SUMIF($F$286:$F$304,'Info utili'!$G$534,AV286:AV304)
+SUMIF($F$286:$F$304,'Info utili'!$G$534,AW286:AW304)
+SUMIF($F$286:$F$304,'Info utili'!$G$534,AX286:AX304)
+SUMIF($F$325:$F$333,'Info utili'!$G$534,AU325:AU333)
+SUMIF($F$325:$F$333,'Info utili'!$G$534,AV325:AV333)
+SUMIF($F$335:$F$343,'Info utili'!$G$534,AT335:AT343)
+SUMIF($F$348:$F$426,'Info utili'!$G$534,AU348:AU426)
+SUMIF($F$348:$F$426,'Info utili'!$G$534,AV348:AV426)
+SUMIF($F$428:$F$483,'Info utili'!$G$534,AV428:AV483)
+SUMIF($F$428:$F$483,'Info utili'!$G$534,AW428:AW483)
+SUMIF($F$428:$F$483,'Info utili'!$G$534,AX428:AX483)
+SUMIF($F$488:$F$506,'Info utili'!$G$534,AV488:AV506)
+SUMIF($F$488:$F$506,'Info utili'!$G$534,AW488:AW506)
+SUMIF($F$488:$F$506,'Info utili'!$G$534,AX488:AX506)
+SUMIF($F$527:$F$535,'Info utili'!$G$534,AU527:AU535)
+SUMIF($F$527:$F$535,'Info utili'!$G$534,AV527:AV535)
+SUMIF($F$537:$F$545,'Info utili'!$G$534,AT537:AT545)
+SUMIF($F$550:$F$611,'Info utili'!$G$534,AU550:AU611)
+SUMIF($F$550:$F$611,'Info utili'!$G$534,AV550:AV611)</f>
        <v>0</v>
      </c>
      <c r="G669" s="1239">
        <f>SUMIF($F$11:$F$22,'Info utili'!$G$534,AW11:AW22)
+SUMIF($F$11:$F$22,'Info utili'!$G$534,AX11:AX22)
+SUMIF($F$24:$F$79,'Info utili'!$G$534,AY24:AY79)
+SUMIF($F$24:$F$79,'Info utili'!$G$534,AZ24:AZ79)
+SUMIF($F$24:$F$79,'Info utili'!$G$534,BA24:BA79)
+SUMIF($F$84:$F$102,'Info utili'!$G$534,AY84:AY102)
+SUMIF($F$84:$F$102,'Info utili'!$G$534,AZ84:AZ102)
+SUMIF($F$84:$F$102,'Info utili'!$G$534,BA84:BA102)
+SUMIF($F$123:$F$131,'Info utili'!$G$534,AW123:AW131)
+SUMIF($F$123:$F$131,'Info utili'!$G$534,AX123:AX131)
+SUMIF($F$133:$F$141,'Info utili'!$G$534,AU133:AU141)
+SUMIF($F$146:$F$224,'Info utili'!$G$534,AW146:AW224)
+SUMIF($F$146:$F$224,'Info utili'!$G$534,AX146:AX224)
+SUMIF($F$226:$F$281,'Info utili'!$G$534,AY226:AY281)
+SUMIF($F$226:$F$281,'Info utili'!$G$534,AZ226:AZ281)
+SUMIF($F$226:$F$281,'Info utili'!$G$534,BA226:BA281)
+SUMIF($F$286:$F$304,'Info utili'!$G$534,AY286:AY304)
+SUMIF($F$286:$F$304,'Info utili'!$G$534,AZ286:AZ304)
+SUMIF($F$286:$F$304,'Info utili'!$G$534,BA286:BA304)
+SUMIF($F$325:$F$333,'Info utili'!$G$534,AW325:AW333)
+SUMIF($F$325:$F$333,'Info utili'!$G$534,AX325:AX333)
+SUMIF($F$335:$F$343,'Info utili'!$G$534,AU335:AU343)
+SUMIF($F$348:$F$426,'Info utili'!$G$534,AW348:AW426)
+SUMIF($F$348:$F$426,'Info utili'!$G$534,AX348:AX426)
+SUMIF($F$428:$F$483,'Info utili'!$G$534,AY428:AY483)
+SUMIF($F$428:$F$483,'Info utili'!$G$534,AZ428:AZ483)
+SUMIF($F$428:$F$483,'Info utili'!$G$534,BA428:BA483)
+SUMIF($F$488:$F$506,'Info utili'!$G$534,AY488:AY506)
+SUMIF($F$488:$F$506,'Info utili'!$G$534,AZ488:AZ506)
+SUMIF($F$488:$F$506,'Info utili'!$G$534,BA488:BA506)
+SUMIF($F$527:$F$535,'Info utili'!$G$534,AW527:AW535)
+SUMIF($F$527:$F$535,'Info utili'!$G$534,AX527:AX535)
+SUMIF($F$537:$F$545,'Info utili'!$G$534,AU537:AU545)
+SUMIF($F$550:$F$611,'Info utili'!$G$534,AW550:AW611)
+SUMIF($F$550:$F$611,'Info utili'!$G$534,AX550:AX611)</f>
        <v>0</v>
      </c>
      <c r="H669" s="1239">
        <v>0</v>
      </c>
      <c r="I669" s="1239">
        <v>0</v>
      </c>
      <c r="J669" s="1239">
        <v>0</v>
      </c>
      <c r="K669" s="1239">
        <v>0</v>
      </c>
      <c r="L669" s="1248">
        <f>SUMIF($F$11:$F$22,'Info utili'!$G$534,BA11:BA22)
+SUMIF($F$11:$F$22,'Info utili'!$G$534,BB11:BB22)
+SUMIF('Info utili'!$G$534,#REF!)
+SUMIF($F$24:$F$79,'Info utili'!$G$534,BE24:BE79)
+SUMIF($F$24:$F$79,'Info utili'!$G$534,BF24:BF79)
+SUMIF($F$24:$F$79,'Info utili'!$G$534,BG24:BG79)
+SUMIF($F$84:$F$102,'Info utili'!$G$534,BE84:BE102)
+SUMIF($F$84:$F$102,'Info utili'!$G$534,BF84:BF102)
+SUMIF($F$84:$F$102,'Info utili'!$G$534,BG84:BG102)
+SUMIF('Info utili'!$G$534,#REF!)
+SUMIF($F$123:$F$131,'Info utili'!$G$534,BA123:BA131)
+SUMIF($F$123:$F$131,'Info utili'!$G$534,BB123:BB131)
+SUMIF('Info utili'!$G$534,#REF!)
+SUMIF($F$133:$F$141,'Info utili'!$G$534,AW133:AW141)
+SUMIF($F$146:$F$224,'Info utili'!$G$534,BA146:BA224)
+SUMIF($F$146:$F$224,'Info utili'!$G$534,BB146:BB224)
+SUMIF('Info utili'!$G$534,#REF!)
+SUMIF('Info utili'!$G$534,#REF!)
+SUMIF('Info utili'!$G$534,#REF!)
+SUMIF($F$226:$F$281,'Info utili'!$G$534,BE226:BE281)
+SUMIF($F$226:$F$281,'Info utili'!$G$534,BF226:BF281)
+SUMIF($F$226:$F$281,'Info utili'!$G$534,BG226:BG281)
+SUMIF($F$286:$F$304,'Info utili'!$G$534,BE286:BE304)
+SUMIF($F$286:$F$304,'Info utili'!$G$534,BF286:BF304)
+SUMIF($F$286:$F$304,'Info utili'!$G$534,BG286:BG304)
+SUMIF('Info utili'!$G$534,#REF!)
+SUMIF($F$325:$F$333,'Info utili'!$G$534,BA325:BA333)
+SUMIF($F$325:$F$333,'Info utili'!$G$534,BB325:BB333)
+SUMIF('Info utili'!$G$534,#REF!)
+SUMIF($F$335:$F$343,'Info utili'!$G$534,AW335:AW343)
+SUMIF($F$348:$F$426,'Info utili'!$G$534,BA348:BA426)
+SUMIF($F$348:$F$426,'Info utili'!$G$534,BB348:BB426)
+SUMIF('Info utili'!$G$534,#REF!)
+SUMIF('Info utili'!$G$534,#REF!)
+SUMIF('Info utili'!$G$534,#REF!)
+SUMIF($F$428:$F$483,'Info utili'!$G$534,BE428:BE483)
+SUMIF($F$428:$F$483,'Info utili'!$G$534,BF428:BF483)
+SUMIF($F$428:$F$483,'Info utili'!$G$534,BG428:BG483)
+SUMIF($F$488:$F$506,'Info utili'!$G$534,BE488:BE506)
+SUMIF($F$488:$F$506,'Info utili'!$G$534,BF488:BF506)
+SUMIF($F$488:$F$506,'Info utili'!$G$534,BG488:BG506)
+SUMIF('Info utili'!$G$534,#REF!)
+SUMIF($F$527:$F$535,'Info utili'!$G$534,BA527:BA535)
+SUMIF($F$527:$F$535,'Info utili'!$G$534,BB527:BB535)
+SUMIF('Info utili'!$G$534,#REF!)
+SUMIF($F$537:$F$545,'Info utili'!$G$534,AW537:AW545)
+SUMIF($F$550:$F$611,'Info utili'!$G$534,BA550:BA611)
+SUMIF('Info utili'!$G$534,#REF!)
+SUMIF($F$550:$F$611,'Info utili'!$G$534,BB550:BB611)
+SUMIF('Info utili'!$G$534,#REF!)</f>
        <v>0</v>
      </c>
      <c r="M669" s="1237">
        <f>SUMIF($F$11:$F$22,'Info utili'!$G$534,BC11:BC22)
+SUMIF($F$11:$F$22,'Info utili'!$G$534,BD11:BD22)
+SUMIF($F$24:$F$79,'Info utili'!$G$534,BH24:BH79)
+SUMIF($F$24:$F$79,'Info utili'!$G$534,BI24:BI79)
+SUMIF($F$24:$F$79,'Info utili'!$G$534,BJ24:BJ79)
+SUMIF($F$84:$F$102,'Info utili'!$G$534,BH84:BH102)
+SUMIF($F$84:$F$102,'Info utili'!$G$534,BI84:BI102)
+SUMIF($F$84:$F$102,'Info utili'!$G$534,BJ84:BJ102)
+SUMIF($F$123:$F$131,'Info utili'!$G$534,BC123:BC131)
+SUMIF($F$123:$F$131,'Info utili'!$G$534,BD123:BD131)
+SUMIF($F$133:$F$141,'Info utili'!$G$534,AX133:AX141)
+SUMIF($F$146:$F$224,'Info utili'!$G$534,BC146:BC224)
+SUMIF($F$146:$F$224,'Info utili'!$G$534,BD146:BD224)
+SUMIF($F$226:$F$281,'Info utili'!$G$534,BH226:BH281)
+SUMIF($F$226:$F$281,'Info utili'!$G$534,BI226:BI281)
+SUMIF($F$226:$F$281,'Info utili'!$G$534,BJ226:BJ281)
+SUMIF($F$286:$F$304,'Info utili'!$G$534,BH286:BH304)
+SUMIF($F$286:$F$304,'Info utili'!$G$534,BI286:BI304)
+SUMIF($F$286:$F$304,'Info utili'!$G$534,BJ286:BJ304)
+SUMIF($F$325:$F$333,'Info utili'!$G$534,BC325:BC333)
+SUMIF($F$325:$F$333,'Info utili'!$G$534,BD325:BD333)
+SUMIF($F$335:$F$343,'Info utili'!$G$534,AX335:AX343)
+SUMIF($F$348:$F$426,'Info utili'!$G$534,BC348:BC426)
+SUMIF($F$348:$F$426,'Info utili'!$G$534,BD348:BD426)
+SUMIF($F$428:$F$483,'Info utili'!$G$534,BH428:BH483)
+SUMIF($F$428:$F$483,'Info utili'!$G$534,BI428:BI483)
+SUMIF($F$428:$F$483,'Info utili'!$G$534,BJ428:BJ483)
+SUMIF($F$488:$F$506,'Info utili'!$G$534,BH488:BH506)
+SUMIF($F$488:$F$506,'Info utili'!$G$534,BI488:BI506)
+SUMIF($F$488:$F$506,'Info utili'!$G$534,BJ488:BJ506)
+SUMIF($F$527:$F$535,'Info utili'!$G$534,BC527:BC535)
+SUMIF($F$527:$F$535,'Info utili'!$G$534,BD527:BD535)
+SUMIF($F$537:$F$545,'Info utili'!$G$534,AX537:AX545)
+SUMIF($F$550:$F$611,'Info utili'!$G$534,BC550:BC611)
+SUMIF($F$550:$F$611,'Info utili'!$G$534,BD550:BD611)</f>
        <v>0</v>
      </c>
      <c r="N669" s="1242">
        <v>0</v>
      </c>
      <c r="O669" s="1240"/>
      <c r="Z669" s="1162"/>
      <c r="AE669" s="1162"/>
      <c r="AI669" s="1162"/>
      <c r="AN669" s="729"/>
      <c r="AO669" s="729"/>
      <c r="AP669" s="729"/>
      <c r="AQ669" s="729"/>
      <c r="AR669" s="729"/>
      <c r="AS669" s="729"/>
      <c r="AT669" s="729"/>
      <c r="AU669" s="729"/>
      <c r="AV669" s="729"/>
      <c r="AW669" s="729"/>
      <c r="AX669" s="729"/>
      <c r="AY669" s="729"/>
    </row>
    <row r="670" spans="2:51" s="39" customFormat="1" ht="12.75" customHeight="1" outlineLevel="1" x14ac:dyDescent="0.2">
      <c r="B670" s="1833" t="s">
        <v>2656</v>
      </c>
      <c r="C670" s="1834"/>
      <c r="D670" s="1246"/>
      <c r="E670" s="1239">
        <f>SUMIF($F$11:$F$22,'Info utili'!$G$539,AS11:AS22)
+SUMIF($F$11:$F$22,'Info utili'!$G$539,AT11:AT22)
+SUMIF($F$24:$F$79,'Info utili'!$G$539,AS24:AS79)
+SUMIF($F$24:$F$79,'Info utili'!$G$539,AT24:AT79)
+SUMIF($F$24:$F$79,'Info utili'!$G$539,AU24:AU79)
+SUMIF($F$84:$F$102,'Info utili'!$G$539,AS84:AS102)
+SUMIF($F$84:$F$102,'Info utili'!$G$539,AT84:AT102)
+SUMIF($F$84:$F$102,'Info utili'!$G$539,AU84:AU102)
+SUMIF($F$123:$F$131,'Info utili'!$G$539,AS123:AS131)
+SUMIF($F$123:$F$131,'Info utili'!$G$539,AT123:AT131)
+SUMIF($F$133:$F$141,'Info utili'!$G$539,AS133:AS141)
+SUMIF($F$146:$F$224,'Info utili'!$G$539,AS146:AS224)
+SUMIF($F$146:$F$224,'Info utili'!$G$539,AT146:AT224)
+SUMIF($F$226:$F$281,'Info utili'!$G$539,AS226:AS281)
+SUMIF($F$226:$F$281,'Info utili'!$G$539,AT226:AT281)
+SUMIF($F$226:$F$281,'Info utili'!$G$539,AU226:AU281)
+SUMIF($F$286:$F$304,'Info utili'!$G$539,AS286:AS304)
+SUMIF($F$286:$F$304,'Info utili'!$G$539,AT286:AT304)
+SUMIF($F$286:$F$304,'Info utili'!$G$539,AU286:AU304)
+SUMIF($F$325:$F$333,'Info utili'!$G$539,AS325:AS333)
+SUMIF($F$325:$F$333,'Info utili'!$G$539,AT325:AT333)
+SUMIF($F$335:$F$343,'Info utili'!$G$539,AS335:AS343)
+SUMIF($F$348:$F$426,'Info utili'!$G$539,AS348:AS426)
+SUMIF($F$348:$F$426,'Info utili'!$G$539,AT348:AT426)
+SUMIF($F$428:$F$483,'Info utili'!$G$539,AS428:AS483)
+SUMIF($F$428:$F$483,'Info utili'!$G$539,AT428:AT483)
+SUMIF($F$428:$F$483,'Info utili'!$G$539,AU428:AU483)
+SUMIF($F$488:$F$506,'Info utili'!$G$539,AS488:AS506)
+SUMIF($F$488:$F$506,'Info utili'!$G$539,AT488:AT506)
+SUMIF($F$488:$F$506,'Info utili'!$G$539,AU488:AU506)
+SUMIF($F$527:$F$535,'Info utili'!$G$539,AS527:AS535)
+SUMIF($F$527:$F$535,'Info utili'!$G$539,AT527:AT535)
+SUMIF($F$537:$F$545,'Info utili'!$G$539,AS537:AS545)
+SUMIF($F$550:$F$611,'Info utili'!$G$539,AS550:AS611)
+SUMIF($F$550:$F$611,'Info utili'!$G$539,AT550:AT611)</f>
        <v>0</v>
      </c>
      <c r="F670" s="1239">
        <f>SUMIF($F$11:$F$22,'Info utili'!$G$539,AU11:AU22)
+SUMIF($F$11:$F$22,'Info utili'!$G$539,AV11:AV22)
+SUMIF($F$24:$F$79,'Info utili'!$G$539,AV24:AV79)
+SUMIF($F$24:$F$79,'Info utili'!$G$539,AW24:AW79)
+SUMIF($F$24:$F$79,'Info utili'!$G$539,AX24:AX79)
+SUMIF($F$84:$F$102,'Info utili'!$G$539,AV84:AV102)
+SUMIF($F$84:$F$102,'Info utili'!$G$539,AW84:AW102)
+SUMIF($F$84:$F$102,'Info utili'!$G$539,AX84:AX102)
+SUMIF($F$123:$F$131,'Info utili'!$G$539,AU123:AU131)
+SUMIF($F$123:$F$131,'Info utili'!$G$539,AV123:AV131)
+SUMIF($F$133:$F$141,'Info utili'!$G$539,AT133:AT141)
+SUMIF($F$146:$F$224,'Info utili'!$G$539,AU146:AU224)
+SUMIF($F$146:$F$224,'Info utili'!$G$539,AV146:AV224)
+SUMIF($F$226:$F$281,'Info utili'!$G$539,AV226:AV281)
+SUMIF($F$226:$F$281,'Info utili'!$G$539,AW226:AW281)
+SUMIF($F$226:$F$281,'Info utili'!$G$539,AX226:AX281)
+SUMIF($F$286:$F$304,'Info utili'!$G$539,AV286:AV304)
+SUMIF($F$286:$F$304,'Info utili'!$G$539,AW286:AW304)
+SUMIF($F$286:$F$304,'Info utili'!$G$539,AX286:AX304)
+SUMIF($F$325:$F$333,'Info utili'!$G$539,AU325:AU333)
+SUMIF($F$325:$F$333,'Info utili'!$G$539,AV325:AV333)
+SUMIF($F$335:$F$343,'Info utili'!$G$539,AT335:AT343)
+SUMIF($F$348:$F$426,'Info utili'!$G$539,AU348:AU426)
+SUMIF($F$348:$F$426,'Info utili'!$G$539,AV348:AV426)
+SUMIF($F$428:$F$483,'Info utili'!$G$539,AV428:AV483)
+SUMIF($F$428:$F$483,'Info utili'!$G$539,AW428:AW483)
+SUMIF($F$428:$F$483,'Info utili'!$G$539,AX428:AX483)
+SUMIF($F$488:$F$506,'Info utili'!$G$539,AV488:AV506)
+SUMIF($F$488:$F$506,'Info utili'!$G$539,AW488:AW506)
+SUMIF($F$488:$F$506,'Info utili'!$G$539,AX488:AX506)
+SUMIF($F$527:$F$535,'Info utili'!$G$539,AU527:AU535)
+SUMIF($F$527:$F$535,'Info utili'!$G$539,AV527:AV535)
+SUMIF($F$537:$F$545,'Info utili'!$G$539,AT537:AT545)
+SUMIF($F$550:$F$611,'Info utili'!$G$539,AU550:AU611)
+SUMIF($F$550:$F$611,'Info utili'!$G$539,AV550:AV611)</f>
        <v>0</v>
      </c>
      <c r="G670" s="1239">
        <f>SUMIF($F$11:$F$22,'Info utili'!$G$539,AW11:AW22)
+SUMIF($F$11:$F$22,'Info utili'!$G$539,AX11:AX22)
+SUMIF($F$24:$F$79,'Info utili'!$G$539,AY24:AY79)
+SUMIF($F$24:$F$79,'Info utili'!$G$539,AZ24:AZ79)
+SUMIF($F$24:$F$79,'Info utili'!$G$539,BA24:BA79)
+SUMIF($F$84:$F$102,'Info utili'!$G$539,AY84:AY102)
+SUMIF($F$84:$F$102,'Info utili'!$G$539,AZ84:AZ102)
+SUMIF($F$84:$F$102,'Info utili'!$G$539,BA84:BA102)
+SUMIF($F$123:$F$131,'Info utili'!$G$539,AW123:AW131)
+SUMIF($F$123:$F$131,'Info utili'!$G$539,AX123:AX131)
+SUMIF($F$133:$F$141,'Info utili'!$G$539,AU133:AU141)
+SUMIF($F$146:$F$224,'Info utili'!$G$539,AW146:AW224)
+SUMIF($F$146:$F$224,'Info utili'!$G$539,AX146:AX224)
+SUMIF($F$226:$F$281,'Info utili'!$G$539,AY226:AY281)
+SUMIF($F$226:$F$281,'Info utili'!$G$539,AZ226:AZ281)
+SUMIF($F$226:$F$281,'Info utili'!$G$539,BA226:BA281)
+SUMIF($F$286:$F$304,'Info utili'!$G$539,AY286:AY304)
+SUMIF($F$286:$F$304,'Info utili'!$G$539,AZ286:AZ304)
+SUMIF($F$286:$F$304,'Info utili'!$G$539,BA286:BA304)
+SUMIF($F$325:$F$333,'Info utili'!$G$539,AW325:AW333)
+SUMIF($F$325:$F$333,'Info utili'!$G$539,AX325:AX333)
+SUMIF($F$335:$F$343,'Info utili'!$G$539,AU335:AU343)
+SUMIF($F$348:$F$426,'Info utili'!$G$539,AW348:AW426)
+SUMIF($F$348:$F$426,'Info utili'!$G$539,AX348:AX426)
+SUMIF($F$428:$F$483,'Info utili'!$G$539,AY428:AY483)
+SUMIF($F$428:$F$483,'Info utili'!$G$539,AZ428:AZ483)
+SUMIF($F$428:$F$483,'Info utili'!$G$539,BA428:BA483)
+SUMIF($F$488:$F$506,'Info utili'!$G$539,AY488:AY506)
+SUMIF($F$488:$F$506,'Info utili'!$G$539,AZ488:AZ506)
+SUMIF($F$488:$F$506,'Info utili'!$G$539,BA488:BA506)
+SUMIF($F$527:$F$535,'Info utili'!$G$539,AW527:AW535)
+SUMIF($F$527:$F$535,'Info utili'!$G$539,AX527:AX535)
+SUMIF($F$537:$F$545,'Info utili'!$G$539,AU537:AU545)
+SUMIF($F$550:$F$611,'Info utili'!$G$539,AW550:AW611)
+SUMIF($F$550:$F$611,'Info utili'!$G$539,AX550:AX611)</f>
        <v>0</v>
      </c>
      <c r="H670" s="1239">
        <v>0</v>
      </c>
      <c r="I670" s="1239">
        <v>0</v>
      </c>
      <c r="J670" s="1239">
        <v>0</v>
      </c>
      <c r="K670" s="1239">
        <v>0</v>
      </c>
      <c r="L670" s="1248">
        <f>SUMIF($F$11:$F$22,'Info utili'!$G$539,BA11:BA22)
+SUMIF($F$11:$F$22,'Info utili'!$G$539,BB11:BB22)
+SUMIF('Info utili'!$G$539,#REF!)
+SUMIF($F$24:$F$79,'Info utili'!$G$539,BE24:BE79)
+SUMIF($F$24:$F$79,'Info utili'!$G$539,BF24:BF79)
+SUMIF($F$24:$F$79,'Info utili'!$G$539,BG24:BG79)
+SUMIF($F$84:$F$102,'Info utili'!$G$539,BE84:BE102)
+SUMIF($F$84:$F$102,'Info utili'!$G$539,BF84:BF102)
+SUMIF($F$84:$F$102,'Info utili'!$G$539,BG84:BG102)
+SUMIF('Info utili'!$G$539,#REF!)
+SUMIF($F$123:$F$131,'Info utili'!$G$539,BA123:BA131)
+SUMIF($F$123:$F$131,'Info utili'!$G$539,BB123:BB131)
+SUMIF('Info utili'!$G$539,#REF!)
+SUMIF($F$133:$F$141,'Info utili'!$G$539,AW133:AW141)
+SUMIF($F$146:$F$224,'Info utili'!$G$539,BA146:BA224)
+SUMIF($F$146:$F$224,'Info utili'!$G$539,BB146:BB224)
+SUMIF('Info utili'!$G$539,#REF!)
+SUMIF('Info utili'!$G$539,#REF!)
+SUMIF('Info utili'!$G$539,#REF!)
+SUMIF($F$226:$F$281,'Info utili'!$G$539,BE226:BE281)
+SUMIF($F$226:$F$281,'Info utili'!$G$539,BF226:BF281)
+SUMIF($F$226:$F$281,'Info utili'!$G$539,BG226:BG281)
+SUMIF($F$286:$F$304,'Info utili'!$G$539,BE286:BE304)
+SUMIF($F$286:$F$304,'Info utili'!$G$539,BF286:BF304)
+SUMIF($F$286:$F$304,'Info utili'!$G$539,BG286:BG304)
+SUMIF('Info utili'!$G$539,#REF!)
+SUMIF($F$325:$F$333,'Info utili'!$G$539,BA325:BA333)
+SUMIF($F$325:$F$333,'Info utili'!$G$539,BB325:BB333)
+SUMIF('Info utili'!$G$539,#REF!)
+SUMIF($F$335:$F$343,'Info utili'!$G$539,AW335:AW343)
+SUMIF($F$348:$F$426,'Info utili'!$G$539,BA348:BA426)
+SUMIF($F$348:$F$426,'Info utili'!$G$539,BB348:BB426)
+SUMIF('Info utili'!$G$539,#REF!)
+SUMIF('Info utili'!$G$539,#REF!)
+SUMIF('Info utili'!$G$539,#REF!)
+SUMIF($F$428:$F$483,'Info utili'!$G$539,BE428:BE483)
+SUMIF($F$428:$F$483,'Info utili'!$G$539,BF428:BF483)
+SUMIF($F$428:$F$483,'Info utili'!$G$539,BG428:BG483)
+SUMIF($F$488:$F$506,'Info utili'!$G$539,BE488:BE506)
+SUMIF($F$488:$F$506,'Info utili'!$G$539,BF488:BF506)
+SUMIF($F$488:$F$506,'Info utili'!$G$539,BG488:BG506)
+SUMIF('Info utili'!$G$539,#REF!)
+SUMIF($F$527:$F$535,'Info utili'!$G$539,BA527:BA535)
+SUMIF($F$527:$F$535,'Info utili'!$G$539,BB527:BB535)
+SUMIF('Info utili'!$G$539,#REF!)
+SUMIF($F$537:$F$545,'Info utili'!$G$539,AW537:AW545)
+SUMIF($F$550:$F$611,'Info utili'!$G$539,BA550:BA611)
+SUMIF('Info utili'!$G$539,#REF!)
+SUMIF($F$550:$F$611,'Info utili'!$G$539,BB550:BB611)
+SUMIF('Info utili'!$G$539,#REF!)</f>
        <v>0</v>
      </c>
      <c r="M670" s="1237">
        <f>SUMIF($F$11:$F$22,'Info utili'!$G$539,BC11:BC22)
+SUMIF($F$11:$F$22,'Info utili'!$G$539,BD11:BD22)
+SUMIF($F$24:$F$79,'Info utili'!$G$539,BH24:BH79)
+SUMIF($F$24:$F$79,'Info utili'!$G$539,BI24:BI79)
+SUMIF($F$24:$F$79,'Info utili'!$G$539,BJ24:BJ79)
+SUMIF($F$84:$F$102,'Info utili'!$G$539,BH84:BH102)
+SUMIF($F$84:$F$102,'Info utili'!$G$539,BI84:BI102)
+SUMIF($F$84:$F$102,'Info utili'!$G$539,BJ84:BJ102)
+SUMIF($F$123:$F$131,'Info utili'!$G$539,BC123:BC131)
+SUMIF($F$123:$F$131,'Info utili'!$G$539,BD123:BD131)
+SUMIF($F$133:$F$141,'Info utili'!$G$539,AX133:AX141)
+SUMIF($F$146:$F$224,'Info utili'!$G$539,BC146:BC224)
+SUMIF($F$146:$F$224,'Info utili'!$G$539,BD146:BD224)
+SUMIF($F$226:$F$281,'Info utili'!$G$539,BH226:BH281)
+SUMIF($F$226:$F$281,'Info utili'!$G$539,BI226:BI281)
+SUMIF($F$226:$F$281,'Info utili'!$G$539,BJ226:BJ281)
+SUMIF($F$286:$F$304,'Info utili'!$G$539,BH286:BH304)
+SUMIF($F$286:$F$304,'Info utili'!$G$539,BI286:BI304)
+SUMIF($F$286:$F$304,'Info utili'!$G$539,BJ286:BJ304)
+SUMIF($F$325:$F$333,'Info utili'!$G$539,BC325:BC333)
+SUMIF($F$325:$F$333,'Info utili'!$G$539,BD325:BD333)
+SUMIF($F$335:$F$343,'Info utili'!$G$539,AX335:AX343)
+SUMIF($F$348:$F$426,'Info utili'!$G$539,BC348:BC426)
+SUMIF($F$348:$F$426,'Info utili'!$G$539,BD348:BD426)
+SUMIF($F$428:$F$483,'Info utili'!$G$539,BH428:BH483)
+SUMIF($F$428:$F$483,'Info utili'!$G$539,BI428:BI483)
+SUMIF($F$428:$F$483,'Info utili'!$G$539,BJ428:BJ483)
+SUMIF($F$488:$F$506,'Info utili'!$G$539,BH488:BH506)
+SUMIF($F$488:$F$506,'Info utili'!$G$539,BI488:BI506)
+SUMIF($F$488:$F$506,'Info utili'!$G$539,BJ488:BJ506)
+SUMIF($F$527:$F$535,'Info utili'!$G$539,BC527:BC535)
+SUMIF($F$527:$F$535,'Info utili'!$G$539,BD527:BD535)
+SUMIF($F$537:$F$545,'Info utili'!$G$539,AX537:AX545)
+SUMIF($F$550:$F$611,'Info utili'!$G$539,BC550:BC611)
+SUMIF($F$550:$F$611,'Info utili'!$G$539,BD550:BD611)</f>
        <v>0</v>
      </c>
      <c r="N670" s="1242">
        <v>0</v>
      </c>
      <c r="O670" s="1240"/>
      <c r="Z670" s="1162"/>
      <c r="AE670" s="1162"/>
      <c r="AI670" s="1162"/>
      <c r="AN670" s="729"/>
      <c r="AO670" s="729"/>
      <c r="AP670" s="729"/>
      <c r="AQ670" s="729"/>
      <c r="AR670" s="729"/>
      <c r="AS670" s="729"/>
      <c r="AT670" s="729"/>
      <c r="AU670" s="729"/>
      <c r="AV670" s="729"/>
      <c r="AW670" s="729"/>
      <c r="AX670" s="729"/>
      <c r="AY670" s="729"/>
    </row>
    <row r="671" spans="2:51" s="39" customFormat="1" ht="12.75" customHeight="1" outlineLevel="1" x14ac:dyDescent="0.2">
      <c r="B671" s="1749" t="str">
        <f>+Energia!B174</f>
        <v>Lavorazioni dei prodotti venduti</v>
      </c>
      <c r="C671" s="1749"/>
      <c r="D671" s="1246" t="s">
        <v>115</v>
      </c>
      <c r="E671" s="1239"/>
      <c r="F671" s="1239"/>
      <c r="G671" s="1239"/>
      <c r="H671" s="1239"/>
      <c r="I671" s="1239"/>
      <c r="J671" s="1239"/>
      <c r="K671" s="1239"/>
      <c r="L671" s="1248"/>
      <c r="M671" s="1237"/>
      <c r="N671" s="1242"/>
      <c r="O671" s="1240"/>
      <c r="Z671" s="1162"/>
      <c r="AE671" s="1162"/>
      <c r="AI671" s="1162"/>
      <c r="AN671" s="729"/>
      <c r="AO671" s="729"/>
      <c r="AP671" s="729"/>
      <c r="AQ671" s="729"/>
      <c r="AR671" s="729"/>
      <c r="AS671" s="729"/>
      <c r="AT671" s="729"/>
      <c r="AU671" s="729"/>
      <c r="AV671" s="729"/>
      <c r="AW671" s="729"/>
      <c r="AX671" s="729"/>
      <c r="AY671" s="729"/>
    </row>
    <row r="672" spans="2:51" s="39" customFormat="1" ht="12.75" customHeight="1" outlineLevel="1" x14ac:dyDescent="0.2">
      <c r="B672" s="1749" t="str">
        <f>+Energia!B175</f>
        <v xml:space="preserve">Uso dei prodotto venduti  </v>
      </c>
      <c r="C672" s="1749"/>
      <c r="D672" s="1246" t="s">
        <v>116</v>
      </c>
      <c r="E672" s="1239"/>
      <c r="F672" s="1239"/>
      <c r="G672" s="1239"/>
      <c r="H672" s="1239"/>
      <c r="I672" s="1239"/>
      <c r="J672" s="1239"/>
      <c r="K672" s="1239"/>
      <c r="L672" s="1248"/>
      <c r="M672" s="1237"/>
      <c r="N672" s="1242"/>
      <c r="O672" s="1240"/>
      <c r="Z672" s="1162"/>
      <c r="AE672" s="1162"/>
      <c r="AI672" s="1162"/>
      <c r="AN672" s="729"/>
      <c r="AO672" s="729"/>
      <c r="AP672" s="729"/>
      <c r="AQ672" s="729"/>
      <c r="AR672" s="729"/>
      <c r="AS672" s="729"/>
      <c r="AT672" s="729"/>
      <c r="AU672" s="729"/>
      <c r="AV672" s="729"/>
      <c r="AW672" s="729"/>
      <c r="AX672" s="729"/>
      <c r="AY672" s="729"/>
    </row>
    <row r="673" spans="2:51" s="39" customFormat="1" ht="12.75" customHeight="1" outlineLevel="1" x14ac:dyDescent="0.2">
      <c r="B673" s="1749" t="str">
        <f>+Energia!B176</f>
        <v>Fine vita dei prodotti venduti</v>
      </c>
      <c r="C673" s="1749"/>
      <c r="D673" s="1246" t="s">
        <v>117</v>
      </c>
      <c r="E673" s="1239"/>
      <c r="F673" s="1239"/>
      <c r="G673" s="1239"/>
      <c r="H673" s="1239"/>
      <c r="I673" s="1239"/>
      <c r="J673" s="1239"/>
      <c r="K673" s="1239"/>
      <c r="L673" s="1248"/>
      <c r="M673" s="1237"/>
      <c r="N673" s="1242"/>
      <c r="O673" s="1240"/>
      <c r="Z673" s="1162"/>
      <c r="AE673" s="1162"/>
      <c r="AI673" s="1162"/>
      <c r="AN673" s="729"/>
      <c r="AO673" s="729"/>
      <c r="AP673" s="729"/>
      <c r="AQ673" s="729"/>
      <c r="AR673" s="729"/>
      <c r="AS673" s="729"/>
      <c r="AT673" s="729"/>
      <c r="AU673" s="729"/>
      <c r="AV673" s="729"/>
      <c r="AW673" s="729"/>
      <c r="AX673" s="729"/>
      <c r="AY673" s="729"/>
    </row>
    <row r="674" spans="2:51" s="39" customFormat="1" ht="12.75" customHeight="1" outlineLevel="1" x14ac:dyDescent="0.2">
      <c r="B674" s="1749" t="str">
        <f>+Energia!B177</f>
        <v>Downstream leased assets</v>
      </c>
      <c r="C674" s="1749"/>
      <c r="D674" s="1246" t="s">
        <v>118</v>
      </c>
      <c r="E674" s="1239"/>
      <c r="F674" s="1239"/>
      <c r="G674" s="1239"/>
      <c r="H674" s="1239"/>
      <c r="I674" s="1239"/>
      <c r="J674" s="1239"/>
      <c r="K674" s="1239"/>
      <c r="L674" s="1248"/>
      <c r="M674" s="1237"/>
      <c r="N674" s="1242"/>
      <c r="O674" s="1240"/>
      <c r="Z674" s="1162"/>
      <c r="AE674" s="1162"/>
      <c r="AI674" s="1162"/>
      <c r="AN674" s="729"/>
      <c r="AO674" s="729"/>
      <c r="AP674" s="729"/>
      <c r="AQ674" s="729"/>
      <c r="AR674" s="729"/>
      <c r="AS674" s="729"/>
      <c r="AT674" s="729"/>
      <c r="AU674" s="729"/>
      <c r="AV674" s="729"/>
      <c r="AW674" s="729"/>
      <c r="AX674" s="729"/>
      <c r="AY674" s="729"/>
    </row>
    <row r="675" spans="2:51" s="39" customFormat="1" ht="12.75" customHeight="1" outlineLevel="1" x14ac:dyDescent="0.2">
      <c r="B675" s="1749" t="str">
        <f>+Energia!B178</f>
        <v>Franchises</v>
      </c>
      <c r="C675" s="1749"/>
      <c r="D675" s="1246" t="s">
        <v>119</v>
      </c>
      <c r="E675" s="1239"/>
      <c r="F675" s="1239"/>
      <c r="G675" s="1239"/>
      <c r="H675" s="1239"/>
      <c r="I675" s="1239"/>
      <c r="J675" s="1239"/>
      <c r="K675" s="1239"/>
      <c r="L675" s="1248"/>
      <c r="M675" s="1237"/>
      <c r="N675" s="1242"/>
      <c r="O675" s="1240"/>
      <c r="Z675" s="1162"/>
      <c r="AE675" s="1162"/>
      <c r="AI675" s="1162"/>
      <c r="AN675" s="729"/>
      <c r="AO675" s="729"/>
      <c r="AP675" s="729"/>
      <c r="AQ675" s="729"/>
      <c r="AR675" s="729"/>
      <c r="AS675" s="729"/>
      <c r="AT675" s="729"/>
      <c r="AU675" s="729"/>
      <c r="AV675" s="729"/>
      <c r="AW675" s="729"/>
      <c r="AX675" s="729"/>
      <c r="AY675" s="729"/>
    </row>
    <row r="676" spans="2:51" s="39" customFormat="1" ht="12.75" customHeight="1" outlineLevel="1" x14ac:dyDescent="0.2">
      <c r="B676" s="1749" t="str">
        <f>+Energia!B179</f>
        <v>Investimenti</v>
      </c>
      <c r="C676" s="1749"/>
      <c r="D676" s="1246" t="s">
        <v>120</v>
      </c>
      <c r="E676" s="1239"/>
      <c r="F676" s="1239"/>
      <c r="G676" s="1239"/>
      <c r="H676" s="1239"/>
      <c r="I676" s="1239"/>
      <c r="J676" s="1239"/>
      <c r="K676" s="1239"/>
      <c r="L676" s="1248"/>
      <c r="M676" s="1237"/>
      <c r="N676" s="1242"/>
      <c r="O676" s="1240"/>
      <c r="Z676" s="1162"/>
      <c r="AE676" s="1162"/>
      <c r="AI676" s="1162"/>
      <c r="AN676" s="729"/>
      <c r="AO676" s="729"/>
      <c r="AP676" s="729"/>
      <c r="AQ676" s="729"/>
      <c r="AR676" s="729"/>
      <c r="AS676" s="729"/>
      <c r="AT676" s="729"/>
      <c r="AU676" s="729"/>
      <c r="AV676" s="729"/>
      <c r="AW676" s="729"/>
      <c r="AX676" s="729"/>
      <c r="AY676" s="729"/>
    </row>
    <row r="677" spans="2:51" s="39" customFormat="1" ht="12.75" customHeight="1" outlineLevel="1" x14ac:dyDescent="0.2">
      <c r="B677" s="1749" t="str">
        <f>+Energia!B180</f>
        <v xml:space="preserve">Altre emissioni indirette in fase d'uso e fine vita </v>
      </c>
      <c r="C677" s="1749"/>
      <c r="D677" s="1238"/>
      <c r="E677" s="1239"/>
      <c r="F677" s="1239"/>
      <c r="G677" s="1239"/>
      <c r="H677" s="1239"/>
      <c r="I677" s="1239"/>
      <c r="J677" s="1239"/>
      <c r="K677" s="1239"/>
      <c r="L677" s="1248"/>
      <c r="M677" s="1237"/>
      <c r="N677" s="1242"/>
      <c r="O677" s="1240"/>
      <c r="Z677" s="1162"/>
      <c r="AE677" s="1162"/>
      <c r="AI677" s="1162"/>
      <c r="AN677" s="729"/>
      <c r="AO677" s="729"/>
      <c r="AP677" s="729"/>
      <c r="AQ677" s="729"/>
      <c r="AR677" s="729"/>
      <c r="AS677" s="729"/>
      <c r="AT677" s="729"/>
      <c r="AU677" s="729"/>
      <c r="AV677" s="729"/>
      <c r="AW677" s="729"/>
      <c r="AX677" s="729"/>
      <c r="AY677" s="729"/>
    </row>
    <row r="678" spans="2:51" s="39" customFormat="1" ht="12.75" customHeight="1" outlineLevel="1" x14ac:dyDescent="0.2">
      <c r="B678" s="1766" t="s">
        <v>96</v>
      </c>
      <c r="C678" s="1767"/>
      <c r="D678" s="1768"/>
      <c r="E678" s="1236">
        <f>SUM(E656:E659,E662:E668,E671:E677)</f>
        <v>0</v>
      </c>
      <c r="F678" s="1236">
        <f t="shared" ref="F678:O678" si="239">SUM(F656:F659,F662:F668,F671:F677)</f>
        <v>0</v>
      </c>
      <c r="G678" s="1236">
        <f t="shared" si="239"/>
        <v>0</v>
      </c>
      <c r="H678" s="1236">
        <f t="shared" si="239"/>
        <v>0</v>
      </c>
      <c r="I678" s="1236">
        <f t="shared" si="239"/>
        <v>0</v>
      </c>
      <c r="J678" s="1236">
        <f>SUM(J656:J659,J662:J668,J671:J677)</f>
        <v>0</v>
      </c>
      <c r="K678" s="1236">
        <f t="shared" si="239"/>
        <v>0</v>
      </c>
      <c r="L678" s="1236">
        <f t="shared" si="239"/>
        <v>0</v>
      </c>
      <c r="M678" s="1247">
        <f t="shared" si="239"/>
        <v>0</v>
      </c>
      <c r="N678" s="1243">
        <f>SQRT(SUMSQ(N656:N659,N662:N668,N671:N677))</f>
        <v>0</v>
      </c>
      <c r="O678" s="1244">
        <f t="shared" si="239"/>
        <v>0</v>
      </c>
      <c r="Z678" s="1162"/>
      <c r="AE678" s="1162"/>
      <c r="AI678" s="1162"/>
      <c r="AN678" s="729"/>
      <c r="AO678" s="729"/>
      <c r="AP678" s="729"/>
      <c r="AQ678" s="729"/>
      <c r="AR678" s="729"/>
      <c r="AS678" s="729"/>
      <c r="AT678" s="729"/>
      <c r="AU678" s="729"/>
      <c r="AV678" s="729"/>
      <c r="AW678" s="729"/>
      <c r="AX678" s="729"/>
      <c r="AY678" s="729"/>
    </row>
    <row r="679" spans="2:51" s="39" customFormat="1" ht="12" customHeight="1" outlineLevel="1" x14ac:dyDescent="0.2">
      <c r="W679" s="1162"/>
      <c r="AB679" s="1162"/>
      <c r="AF679" s="1162"/>
      <c r="AK679" s="729"/>
      <c r="AL679" s="729"/>
      <c r="AM679" s="729"/>
      <c r="AN679" s="729"/>
      <c r="AO679" s="729"/>
      <c r="AP679" s="729"/>
      <c r="AQ679" s="729"/>
      <c r="AR679" s="729"/>
      <c r="AS679" s="729"/>
      <c r="AT679" s="729"/>
      <c r="AU679" s="729"/>
      <c r="AV679" s="729"/>
    </row>
    <row r="681" spans="2:51" s="39" customFormat="1" ht="15.75" customHeight="1" collapsed="1" x14ac:dyDescent="0.2">
      <c r="B681" s="1741" t="str">
        <f>+Energia!B184</f>
        <v xml:space="preserve">Panoramica delle categorie definite nella  ISO/TR 14069:2013 </v>
      </c>
      <c r="C681" s="1742"/>
      <c r="D681" s="1742"/>
      <c r="E681" s="1742"/>
      <c r="F681" s="1742"/>
      <c r="G681" s="1742"/>
      <c r="H681" s="1742"/>
      <c r="I681" s="1742"/>
      <c r="J681" s="1742"/>
      <c r="K681" s="1742"/>
      <c r="L681" s="1742"/>
      <c r="M681" s="1742"/>
      <c r="N681" s="1742"/>
      <c r="O681" s="1743"/>
      <c r="W681" s="1162"/>
      <c r="AB681" s="1162"/>
      <c r="AF681" s="1162"/>
      <c r="AK681" s="729"/>
      <c r="AL681" s="729"/>
      <c r="AM681" s="729"/>
      <c r="AN681" s="729"/>
      <c r="AO681" s="729"/>
      <c r="AP681" s="729"/>
      <c r="AQ681" s="729"/>
      <c r="AR681" s="729"/>
      <c r="AS681" s="729"/>
      <c r="AT681" s="729"/>
      <c r="AU681" s="729"/>
      <c r="AV681" s="729"/>
    </row>
    <row r="682" spans="2:51" s="39" customFormat="1" ht="12" outlineLevel="1" x14ac:dyDescent="0.2">
      <c r="Q682" s="1317"/>
      <c r="R682" s="1317"/>
      <c r="W682" s="1162"/>
      <c r="AB682" s="1162"/>
      <c r="AF682" s="1162"/>
      <c r="AK682" s="729"/>
      <c r="AL682" s="729"/>
      <c r="AM682" s="729"/>
      <c r="AN682" s="729"/>
      <c r="AO682" s="729"/>
      <c r="AP682" s="729"/>
      <c r="AQ682" s="729"/>
      <c r="AR682" s="729"/>
      <c r="AS682" s="729"/>
      <c r="AT682" s="729"/>
      <c r="AU682" s="729"/>
      <c r="AV682" s="729"/>
    </row>
    <row r="683" spans="2:51" s="39" customFormat="1" ht="28" outlineLevel="1" x14ac:dyDescent="0.2">
      <c r="B683" s="118"/>
      <c r="C683" s="118"/>
      <c r="D683" s="118"/>
      <c r="E683" s="1735" t="s">
        <v>2498</v>
      </c>
      <c r="F683" s="1737"/>
      <c r="G683" s="1737"/>
      <c r="H683" s="1737"/>
      <c r="I683" s="1737"/>
      <c r="J683" s="1737"/>
      <c r="K683" s="1737"/>
      <c r="L683" s="1737"/>
      <c r="M683" s="1736"/>
      <c r="N683" s="1433" t="s">
        <v>2743</v>
      </c>
      <c r="O683" s="1430" t="s">
        <v>2517</v>
      </c>
      <c r="Q683" s="1317"/>
      <c r="R683" s="1317"/>
      <c r="W683" s="1162"/>
      <c r="AB683" s="1162"/>
      <c r="AF683" s="1162"/>
      <c r="AK683" s="729"/>
      <c r="AL683" s="729"/>
      <c r="AM683" s="729"/>
      <c r="AN683" s="729"/>
      <c r="AO683" s="729"/>
      <c r="AP683" s="729"/>
      <c r="AQ683" s="729"/>
      <c r="AR683" s="729"/>
      <c r="AS683" s="729"/>
      <c r="AT683" s="729"/>
      <c r="AU683" s="729"/>
      <c r="AV683" s="729"/>
    </row>
    <row r="684" spans="2:51" s="39" customFormat="1" ht="42" outlineLevel="1" x14ac:dyDescent="0.2">
      <c r="B684" s="1735" t="str">
        <f>+Energia!B187</f>
        <v>Sorgenti di emissione</v>
      </c>
      <c r="C684" s="1736"/>
      <c r="D684" s="1432" t="s">
        <v>2500</v>
      </c>
      <c r="E684" s="1431" t="s">
        <v>666</v>
      </c>
      <c r="F684" s="1431" t="s">
        <v>667</v>
      </c>
      <c r="G684" s="1431" t="s">
        <v>668</v>
      </c>
      <c r="H684" s="1431" t="s">
        <v>2582</v>
      </c>
      <c r="I684" s="1431" t="s">
        <v>2584</v>
      </c>
      <c r="J684" s="1432" t="s">
        <v>69</v>
      </c>
      <c r="K684" s="1431" t="s">
        <v>673</v>
      </c>
      <c r="L684" s="1431" t="s">
        <v>2588</v>
      </c>
      <c r="M684" s="1431" t="s">
        <v>2586</v>
      </c>
      <c r="N684" s="1434" t="s">
        <v>669</v>
      </c>
      <c r="O684" s="1436" t="s">
        <v>69</v>
      </c>
      <c r="Q684" s="1317"/>
      <c r="R684" s="1317"/>
      <c r="W684" s="1162"/>
      <c r="AB684" s="1162"/>
      <c r="AF684" s="1162"/>
      <c r="AK684" s="729"/>
      <c r="AL684" s="729"/>
      <c r="AM684" s="729"/>
      <c r="AN684" s="729"/>
      <c r="AO684" s="729"/>
      <c r="AP684" s="729"/>
      <c r="AQ684" s="729"/>
      <c r="AR684" s="729"/>
      <c r="AS684" s="729"/>
      <c r="AT684" s="729"/>
      <c r="AU684" s="729"/>
      <c r="AV684" s="729"/>
    </row>
    <row r="685" spans="2:51" s="39" customFormat="1" ht="12.75" customHeight="1" outlineLevel="1" x14ac:dyDescent="0.2">
      <c r="B685" s="1733" t="str">
        <f>+Energia!B188</f>
        <v xml:space="preserve">Emissioni dirette da sorgenti di combustione stazionarie </v>
      </c>
      <c r="C685" s="1734"/>
      <c r="D685" s="1435">
        <v>1</v>
      </c>
      <c r="E685" s="1441"/>
      <c r="F685" s="1441"/>
      <c r="G685" s="1441"/>
      <c r="H685" s="1441"/>
      <c r="I685" s="1441"/>
      <c r="J685" s="1442"/>
      <c r="K685" s="1443"/>
      <c r="L685" s="1443"/>
      <c r="M685" s="1444"/>
      <c r="N685" s="1445"/>
      <c r="O685" s="1730" t="s">
        <v>2518</v>
      </c>
      <c r="Q685" s="1317"/>
      <c r="R685" s="1317"/>
      <c r="W685" s="1162"/>
      <c r="AB685" s="1162"/>
      <c r="AF685" s="1162"/>
      <c r="AK685" s="729"/>
      <c r="AL685" s="729"/>
      <c r="AM685" s="729"/>
      <c r="AN685" s="729"/>
      <c r="AO685" s="729"/>
      <c r="AP685" s="729"/>
      <c r="AQ685" s="729"/>
      <c r="AR685" s="729"/>
      <c r="AS685" s="729"/>
      <c r="AT685" s="729"/>
      <c r="AU685" s="729"/>
      <c r="AV685" s="729"/>
    </row>
    <row r="686" spans="2:51" s="39" customFormat="1" outlineLevel="1" x14ac:dyDescent="0.2">
      <c r="B686" s="1733" t="str">
        <f>+Energia!B189</f>
        <v>Emissioni dirette da sorgenti di combustione mobili</v>
      </c>
      <c r="C686" s="1734"/>
      <c r="D686" s="1435">
        <v>2</v>
      </c>
      <c r="E686" s="1441">
        <f>SUMIF($F$11:$F$22,'Info utili'!$G$532,AT11:AT22)+SUMIF($F$24:$F$79,'Info utili'!$G$532,AU24:AU79)+SUMIF($F$84:$F$102,'Info utili'!$G$532,AT84:AT102)+SUMIF($F$84:$F$102,'Info utili'!$G$532,AU84:AU102)+SUMIF($F$123:$F$131,'Info utili'!$G$532,AT123:AT131)+SUMIF($F$146:$F$224,'Info utili'!$G$532,AT146:AT224)+SUMIF($F$226:$F$281,'Info utili'!$G$532,AU226:AU281)+SUMIF($F$286:$F$304,'Info utili'!$G$532,AT286:AT304)+SUMIF($F$286:$F$304,'Info utili'!$G$532,AU286:AU304)+SUMIF($F$325:$F$333,'Info utili'!$G$532,AT325:AT333)+SUMIF($F$348:$F$426,'Info utili'!$G$532,AT348:AT426)+SUMIF($F$428:$F$483,'Info utili'!$G$532,AU428:AU483)+SUMIF($F$488:$F$506,'Info utili'!$G$532,AT488:AT506)+SUMIF($F$488:$F$506,'Info utili'!$G$532,AU488:AU506)+SUMIF($F$527:$F$535,'Info utili'!$G$532,AT527:AT535)+SUMIF($F$550:$F$611,'Info utili'!$G$532,AT550:AT611)+SUMIF($F$11:$F$22,'Info utili'!$G$537,AT11:AT22)+SUMIF($F$24:$F$79,'Info utili'!$G$537,AU24:AU79)+SUMIF($F$84:$F$102,'Info utili'!$G$537,AT84:AT102)+SUMIF($F$84:$F$102,'Info utili'!$G$537,AU84:AU102)+SUMIF($F$123:$F$131,'Info utili'!$G$537,AT123:AT131)+SUMIF($F$146:$F$224,'Info utili'!$G$537,AT146:AT224)+SUMIF($F$226:$F$281,'Info utili'!$G$537,AU226:AU281)+SUMIF($F$286:$F$304,'Info utili'!$G$537,AT286:AT304)+SUMIF($F$286:$F$304,'Info utili'!$G$537,AU286:AU304)+SUMIF($F$325:$F$333,'Info utili'!$G$537,AT325:AT333)+SUMIF($F$348:$F$426,'Info utili'!$G$537,AT348:AT426)+SUMIF($F$428:$F$483,'Info utili'!$G$537,AU428:AU483)+SUMIF($F$488:$F$506,'Info utili'!$G$537,AT488:AT506)+SUMIF($F$488:$F$506,'Info utili'!$G$537,AU488:AU506)+SUMIF($F$527:$F$535,'Info utili'!$G$537,AT527:AT535)+SUMIF($F$550:$F$611,'Info utili'!$G$537,AT550:AT611)</f>
        <v>0</v>
      </c>
      <c r="F686" s="1441">
        <f>SUMIF($F$11:$F$22,'Info utili'!$G$532,AV11:AV22)+SUMIF($F$24:$F$79,'Info utili'!$G$532,AX24:AX79)+SUMIF($F$84:$F$102,'Info utili'!$G$532,AW84:AW102)+SUMIF($F$84:$F$102,'Info utili'!$G$532,AX84:AX102)+SUMIF($F$123:$F$131,'Info utili'!$G$532,AV123:AV131)+SUMIF($F$146:$F$224,'Info utili'!$G$532,AV146:AV224)+SUMIF($F$226:$F$281,'Info utili'!$G$532,AX226:AX281)+SUMIF($F$286:$F$304,'Info utili'!$G$532,AW286:AW304)+SUMIF($F$286:$F$304,'Info utili'!$G$532,AX286:AX304)+SUMIF($F$325:$F$333,'Info utili'!$G$532,AV325:AV333)+SUMIF($F$348:$F$426,'Info utili'!$G$532,AV348:AV426)+SUMIF($F$428:$F$483,'Info utili'!$G$532,AX428:AX483)+SUMIF($F$488:$F$506,'Info utili'!$G$532,AW488:AW506)+SUMIF($F$488:$F$506,'Info utili'!$G$532,AX488:AX506)+SUMIF($F$527:$F$535,'Info utili'!$G$532,AV527:AV535)+SUMIF($F$550:$F$611,'Info utili'!$G$532,AV550:AV611)+SUMIF($F$11:$F$22,'Info utili'!$G$537,AV11:AV22)+SUMIF($F$24:$F$79,'Info utili'!$G$537,AX24:AX79)+SUMIF($F$84:$F$102,'Info utili'!$G$537,AW84:AW102)+SUMIF($F$84:$F$102,'Info utili'!$G$537,AX84:AX102)+SUMIF($F$123:$F$131,'Info utili'!$G$537,AV123:AV131)+SUMIF($F$146:$F$224,'Info utili'!$G$537,AV146:AV224)+SUMIF($F$226:$F$281,'Info utili'!$G$537,AX226:AX281)+SUMIF($F$286:$F$304,'Info utili'!$G$537,AW286:AW304)+SUMIF($F$286:$F$304,'Info utili'!$G$537,AX286:AX304)+SUMIF($F$325:$F$333,'Info utili'!$G$537,AV325:AV333)+SUMIF($F$348:$F$426,'Info utili'!$G$537,AV348:AV426)+SUMIF($F$428:$F$483,'Info utili'!$G$537,AX428:AX483)+SUMIF($F$488:$F$506,'Info utili'!$G$537,AW488:AW506)+SUMIF($F$488:$F$506,'Info utili'!$G$537,AX488:AX506)+SUMIF($F$527:$F$535,'Info utili'!$G$537,AV527:AV535)+SUMIF($F$550:$F$611,'Info utili'!$G$537,AV550:AV611)</f>
        <v>0</v>
      </c>
      <c r="G686" s="1441">
        <f>SUMIF($F$11:$F$22,'Info utili'!$G$532,AX11:AX22)+SUMIF($F$24:$F$79,'Info utili'!$G$532,BA24:BA79)+SUMIF($F$84:$F$102,'Info utili'!$G$532,AZ84:AZ102)+SUMIF($F$84:$F$102,'Info utili'!$G$532,BA84:BA102)+SUMIF($F$123:$F$131,'Info utili'!$G$532,AX123:AX131)+SUMIF($F$146:$F$224,'Info utili'!$G$532,AX146:AX224)+SUMIF($F$226:$F$281,'Info utili'!$G$532,BA226:BA281)+SUMIF($F$286:$F$304,'Info utili'!$G$532,AZ286:AZ304)+SUMIF($F$286:$F$304,'Info utili'!$G$532,BA286:BA304)+SUMIF($F$325:$F$333,'Info utili'!$G$532,AX325:AX333)+SUMIF($F$348:$F$426,'Info utili'!$G$532,AX348:AX426)+SUMIF($F$428:$F$483,'Info utili'!$G$532,BA428:BA483)+SUMIF($F$488:$F$506,'Info utili'!$G$532,AZ488:AZ506)+SUMIF($F$488:$F$506,'Info utili'!$G$532,BA488:BA506)+SUMIF($F$527:$F$535,'Info utili'!$G$532,AX527:AX535)+SUMIF($F$550:$F$611,'Info utili'!$G$532,AX550:AX611)+SUMIF($F$11:$F$22,'Info utili'!$G$537,AX11:AX22)+SUMIF($F$24:$F$79,'Info utili'!$G$537,BA24:BA79)+SUMIF($F$84:$F$102,'Info utili'!$G$537,AZ84:AZ102)+SUMIF($F$84:$F$102,'Info utili'!$G$537,BA84:BA102)+SUMIF($F$123:$F$131,'Info utili'!$G$537,AX123:AX131)+SUMIF($F$146:$F$224,'Info utili'!$G$537,AX146:AX224)+SUMIF($F$226:$F$281,'Info utili'!$G$537,BA226:BA281)+SUMIF($F$286:$F$304,'Info utili'!$G$537,AZ286:AZ304)+SUMIF($F$286:$F$304,'Info utili'!$G$537,BA286:BA304)+SUMIF($F$325:$F$333,'Info utili'!$G$537,AX325:AX333)+SUMIF($F$348:$F$426,'Info utili'!$G$537,AX348:AX426)+SUMIF($F$428:$F$483,'Info utili'!$G$537,BA428:BA483)+SUMIF($F$488:$F$506,'Info utili'!$G$537,AZ488:AZ506)+SUMIF($F$488:$F$506,'Info utili'!$G$537,BA488:BA506)+SUMIF($F$527:$F$535,'Info utili'!$G$537,AX527:AX535)+SUMIF($F$550:$F$611,'Info utili'!$G$537,AX550:AX611)</f>
        <v>0</v>
      </c>
      <c r="H686" s="1441">
        <v>0</v>
      </c>
      <c r="I686" s="1441">
        <v>0</v>
      </c>
      <c r="J686" s="1442">
        <f>SUMIF($F$11:$F$22,'Info utili'!$G$532,BB11:BB22)+SUMIF($F$24:$F$79,'Info utili'!$G$532,BG24:BG79)+SUMIF($F$84:$F$102,'Info utili'!$G$532,BF84:BF102)+SUMIF($F$84:$F$102,'Info utili'!$G$532,BG84:BG102)+SUMIF($F$123:$F$131,'Info utili'!$G$532,BB123:BB131)+SUMIF($F$146:$F$224,'Info utili'!$G$532,BB146:BB224)+SUMIF($F$226:$F$281,'Info utili'!$G$532,BG226:BG281)+SUMIF($F$286:$F$304,'Info utili'!$G$532,BF286:BF304)+SUMIF($F$286:$F$304,'Info utili'!$G$532,BG286:BG304)+SUMIF($F$325:$F$333,'Info utili'!$G$532,BB325:BB333)+SUMIF($F$348:$F$426,'Info utili'!$G$532,BB348:BB426)+SUMIF($F$428:$F$483,'Info utili'!$G$532,BG428:BG483)+SUMIF($F$488:$F$506,'Info utili'!$G$532,BF488:BF506)+SUMIF($F$488:$F$506,'Info utili'!$G$532,BG488:BG506)+SUMIF($F$527:$F$535,'Info utili'!$G$532,BB527:BB535)+SUMIF($F$550:$F$611,'Info utili'!$G$532,BB550:BB611)+SUMIF($F$11:$F$22,'Info utili'!$G$537,BB11:BB22)+SUMIF($F$24:$F$79,'Info utili'!$G$537,BG24:BG79)+SUMIF($F$84:$F$102,'Info utili'!$G$537,BF84:BF102)+SUMIF($F$84:$F$102,'Info utili'!$G$537,BG84:BG102)+SUMIF($F$123:$F$131,'Info utili'!$G$537,BB123:BB131)+SUMIF($F$146:$F$224,'Info utili'!$G$537,BB146:BB224)+SUMIF($F$226:$F$281,'Info utili'!$G$537,BG226:BG281)+SUMIF($F$286:$F$304,'Info utili'!$G$537,BF286:BF304)+SUMIF($F$286:$F$304,'Info utili'!$G$537,BG286:BG304)+SUMIF($F$325:$F$333,'Info utili'!$G$537,BB325:BB333)+SUMIF($F$348:$F$426,'Info utili'!$G$537,BB348:BB426)+SUMIF($F$428:$F$483,'Info utili'!$G$537,BG428:BG483)+SUMIF($F$488:$F$506,'Info utili'!$G$537,BF488:BF506)+SUMIF($F$488:$F$506,'Info utili'!$G$537,BG488:BG506)+SUMIF($F$527:$F$535,'Info utili'!$G$537,BB527:BB535)+SUMIF($F$550:$F$611,'Info utili'!$G$537,BB550:BB611)</f>
        <v>0</v>
      </c>
      <c r="K686" s="1443">
        <f>SUMIF($F$11:$F$22,'Info utili'!$G$532,BD11:BD22)+SUMIF($F$24:$F$79,'Info utili'!$G$532,BJ24:BJ79)+SUMIF($F$84:$F$102,'Info utili'!$G$532,BI84:BI102)+SUMIF($F$84:$F$102,'Info utili'!$G$532,BJ84:BJ102)+SUMIF($F$123:$F$131,'Info utili'!$G$532,BD123:BD131)+SUMIF($F$146:$F$224,'Info utili'!$G$532,BD146:BD224)+SUMIF($F$226:$F$281,'Info utili'!$G$532,BJ226:BJ281)+SUMIF($F$286:$F$304,'Info utili'!$G$532,BI286:BI304)+SUMIF($F$286:$F$304,'Info utili'!$G$532,BJ286:BJ304)+SUMIF($F$325:$F$333,'Info utili'!$G$532,BD325:BD333)+SUMIF($F$348:$F$426,'Info utili'!$G$532,BD348:BD426)+SUMIF($F$428:$F$483,'Info utili'!$G$532,BJ428:BJ483)+SUMIF($F$488:$F$506,'Info utili'!$G$532,BI488:BI506)+SUMIF($F$488:$F$506,'Info utili'!$G$532,BJ488:BJ506)+SUMIF($F$527:$F$535,'Info utili'!$G$532,BD527:BD535)+SUMIF($F$550:$F$611,'Info utili'!$G$532,BD550:BD611)+SUMIF($F$11:$F$22,'Info utili'!$G$537,BD11:BD22)+SUMIF($F$24:$F$79,'Info utili'!$G$537,BJ24:BJ79)+SUMIF($F$84:$F$102,'Info utili'!$G$537,BI84:BI102)+SUMIF($F$84:$F$102,'Info utili'!$G$537,BJ84:BJ102)+SUMIF($F$123:$F$131,'Info utili'!$G$537,BD123:BD131)+SUMIF($F$146:$F$224,'Info utili'!$G$537,BD146:BD224)+SUMIF($F$226:$F$281,'Info utili'!$G$537,BJ226:BJ281)+SUMIF($F$286:$F$304,'Info utili'!$G$537,BI286:BI304)+SUMIF($F$286:$F$304,'Info utili'!$G$537,BJ286:BJ304)+SUMIF($F$325:$F$333,'Info utili'!$G$537,BD325:BD333)+SUMIF($F$348:$F$426,'Info utili'!$G$537,BD348:BD426)+SUMIF($F$428:$F$483,'Info utili'!$G$537,BJ428:BJ483)+SUMIF($F$488:$F$506,'Info utili'!$G$537,BI488:BI506)+SUMIF($F$488:$F$506,'Info utili'!$G$537,BJ488:BJ506)+SUMIF($F$527:$F$535,'Info utili'!$G$537,BD527:BD535)+SUMIF($F$550:$F$611,'Info utili'!$G$537,BD550:BD611)</f>
        <v>0</v>
      </c>
      <c r="L686" s="1443">
        <v>0</v>
      </c>
      <c r="M686" s="1444">
        <f>SQRT(SUMPRODUCT(($F$11:$F$22='Info utili'!$G$532)*1,AA11:AA22,AA11:AA22)+SUMPRODUCT(($F$24:$F$79='Info utili'!$G$532)*1,AB24:AB79,AB24:AB79)+SUMPRODUCT(($F$84:$F$102='Info utili'!$G$532)*1,AA84:AA102,AA84:AA102)+SUMPRODUCT(($F$84:$F$102='Info utili'!$G$532)*1,AB84:AB102,AB84:AB102)+SUMPRODUCT(($F$123:$F$131='Info utili'!$G$532)*1,AA123:AA131,AA123:AA131)+SUMPRODUCT(($F$146:$F$224='Info utili'!$G$532)*1,AA146:AA224,AA146:AA224)+SUMPRODUCT(($F$226:$F$281='Info utili'!$G$532)*1,AB226:AB281,AB226:AB281)+SUMPRODUCT(($F$286:$F$304='Info utili'!$G$532)*1,AA286:AA304,AA286:AA304)+SUMPRODUCT(($F$286:$F$304='Info utili'!$G$532)*1,AB286:AB304,AB286:AB304)+SUMPRODUCT(($F$325:$F$333='Info utili'!$G$532)*1,AA325:AA333,AA325:AA333)+SUMPRODUCT(($F$348:$F$426='Info utili'!$G$532)*1,AA348:AA426,AA348:AA426)+SUMPRODUCT(($F$428:$F$483='Info utili'!$G$532)*1,AB428:AB483,AB428:AB483)+SUMPRODUCT(($F$488:$F$506='Info utili'!$G$532)*1,AA488:AA506,AA488:AA506)+SUMPRODUCT(($F$488:$F$506='Info utili'!$G$532)*1,AB488:AB506,AB488:AB506)+SUMPRODUCT(($F$527:$F$535='Info utili'!$G$532)*1,AA527:AA535,AA527:AA535)+SUMPRODUCT(($F$550:$F$611='Info utili'!$G$532)*1,AA550:AA611,AA550:AA611)+SUMPRODUCT(($F$11:$F$22='Info utili'!$G$537)*1,AA11:AA22,AA11:AA22)+SUMPRODUCT(($F$24:$F$79='Info utili'!$G$537)*1,AB24:AB79,AB24:AB79)+SUMPRODUCT(($F$84:$F$102='Info utili'!$G$537)*1,AA84:AA102,AA84:AA102)+SUMPRODUCT(($F$84:$F$102='Info utili'!$G$537)*1,AB84:AB102,AB84:AB102)+SUMPRODUCT(($F$123:$F$131='Info utili'!$G$537)*1,AA123:AA131,AA123:AA131)+SUMPRODUCT(($F$146:$F$224='Info utili'!$G$537)*1,AA146:AA224,AA146:AA224)+SUMPRODUCT(($F$226:$F$281='Info utili'!$G$537)*1,AB226:AB281,AB226:AB281)+SUMPRODUCT(($F$286:$F$304='Info utili'!$G$537)*1,AA286:AA304,AA286:AA304)+SUMPRODUCT(($F$286:$F$304='Info utili'!$G$537)*1,AB286:AB304,AB286:AB304)+SUMPRODUCT(($F$325:$F$333='Info utili'!$G$537)*1,AA325:AA333,AA325:AA333)+SUMPRODUCT(($F$348:$F$426='Info utili'!$G$537),AA348:AA426,AA348:AA426)+SUMPRODUCT(($F$428:$F$483='Info utili'!$G$537)*1,AB428:AB483,AB428:AB483)+SUMPRODUCT(($F$488:$F$506='Info utili'!$G$537)*1,AA488:AA506,AA488:AA506)+SUMPRODUCT(($F$488:$F$506='Info utili'!$G$537)*1,AB488:AB506,AB488:AB506)+SUMPRODUCT(($F$527:$F$535='Info utili'!$G$537)*1,AA527:AA535,AA527:AA535)+SUMPRODUCT(($F$550:$F$611='Info utili'!$G$537)*1,AA550:AA611,AA550:AA611))</f>
        <v>0</v>
      </c>
      <c r="N686" s="1445"/>
      <c r="O686" s="1731"/>
      <c r="Q686" s="1317"/>
      <c r="R686" s="1317"/>
      <c r="W686" s="1162"/>
      <c r="AB686" s="1162"/>
      <c r="AF686" s="1162"/>
      <c r="AK686" s="729"/>
      <c r="AL686" s="729"/>
      <c r="AM686" s="729"/>
      <c r="AN686" s="729"/>
      <c r="AO686" s="729"/>
      <c r="AP686" s="729"/>
      <c r="AQ686" s="729"/>
      <c r="AR686" s="729"/>
      <c r="AS686" s="729"/>
      <c r="AT686" s="729"/>
      <c r="AU686" s="729"/>
      <c r="AV686" s="729"/>
    </row>
    <row r="687" spans="2:51" s="39" customFormat="1" outlineLevel="1" x14ac:dyDescent="0.2">
      <c r="B687" s="1733" t="str">
        <f>+Energia!B190</f>
        <v>Emissioni dirette da  processi</v>
      </c>
      <c r="C687" s="1734"/>
      <c r="D687" s="1435">
        <v>3</v>
      </c>
      <c r="E687" s="1441"/>
      <c r="F687" s="1441"/>
      <c r="G687" s="1441"/>
      <c r="H687" s="1441"/>
      <c r="I687" s="1441"/>
      <c r="J687" s="1442"/>
      <c r="K687" s="1443"/>
      <c r="L687" s="1443"/>
      <c r="M687" s="1444"/>
      <c r="N687" s="1445"/>
      <c r="O687" s="1731"/>
      <c r="Q687" s="1317"/>
      <c r="R687" s="1317"/>
      <c r="W687" s="1162"/>
      <c r="AB687" s="1162"/>
      <c r="AF687" s="1162"/>
      <c r="AK687" s="729"/>
      <c r="AL687" s="729"/>
      <c r="AM687" s="729"/>
      <c r="AN687" s="729"/>
      <c r="AO687" s="729"/>
      <c r="AP687" s="729"/>
      <c r="AQ687" s="729"/>
      <c r="AR687" s="729"/>
      <c r="AS687" s="729"/>
      <c r="AT687" s="729"/>
      <c r="AU687" s="729"/>
      <c r="AV687" s="729"/>
    </row>
    <row r="688" spans="2:51" s="39" customFormat="1" outlineLevel="1" x14ac:dyDescent="0.2">
      <c r="B688" s="1733" t="str">
        <f>+Energia!B191</f>
        <v>Emissioni dirette da  fonti fugitive</v>
      </c>
      <c r="C688" s="1734"/>
      <c r="D688" s="1435">
        <v>4</v>
      </c>
      <c r="E688" s="1441"/>
      <c r="F688" s="1441"/>
      <c r="G688" s="1441"/>
      <c r="H688" s="1441"/>
      <c r="I688" s="1441"/>
      <c r="J688" s="1442"/>
      <c r="K688" s="1443"/>
      <c r="L688" s="1443"/>
      <c r="M688" s="1444"/>
      <c r="N688" s="1445"/>
      <c r="O688" s="1731"/>
      <c r="Q688" s="1317"/>
      <c r="R688" s="1317"/>
      <c r="W688" s="1162"/>
      <c r="AB688" s="1162"/>
      <c r="AF688" s="1162"/>
      <c r="AK688" s="729"/>
      <c r="AL688" s="729"/>
      <c r="AM688" s="729"/>
      <c r="AN688" s="729"/>
      <c r="AO688" s="729"/>
      <c r="AP688" s="729"/>
      <c r="AQ688" s="729"/>
      <c r="AR688" s="729"/>
      <c r="AS688" s="729"/>
      <c r="AT688" s="729"/>
      <c r="AU688" s="729"/>
      <c r="AV688" s="729"/>
    </row>
    <row r="689" spans="2:48" s="39" customFormat="1" outlineLevel="1" x14ac:dyDescent="0.2">
      <c r="B689" s="1733" t="str">
        <f>+Energia!B192</f>
        <v>Emissioni dirette da LULUCF</v>
      </c>
      <c r="C689" s="1734"/>
      <c r="D689" s="1435">
        <v>5</v>
      </c>
      <c r="E689" s="1441"/>
      <c r="F689" s="1441"/>
      <c r="G689" s="1441"/>
      <c r="H689" s="1441"/>
      <c r="I689" s="1441"/>
      <c r="J689" s="1442"/>
      <c r="K689" s="1443"/>
      <c r="L689" s="1443"/>
      <c r="M689" s="1444"/>
      <c r="N689" s="1446"/>
      <c r="O689" s="1731"/>
      <c r="Q689" s="1317"/>
      <c r="R689" s="1317"/>
      <c r="W689" s="1162"/>
      <c r="AB689" s="1162"/>
      <c r="AF689" s="1162"/>
      <c r="AK689" s="729"/>
      <c r="AL689" s="729"/>
      <c r="AM689" s="729"/>
      <c r="AN689" s="729"/>
      <c r="AO689" s="729"/>
      <c r="AP689" s="729"/>
      <c r="AQ689" s="729"/>
      <c r="AR689" s="729"/>
      <c r="AS689" s="729"/>
      <c r="AT689" s="729"/>
      <c r="AU689" s="729"/>
      <c r="AV689" s="729"/>
    </row>
    <row r="690" spans="2:48" s="39" customFormat="1" outlineLevel="1" x14ac:dyDescent="0.2">
      <c r="B690" s="1738" t="s">
        <v>98</v>
      </c>
      <c r="C690" s="1738"/>
      <c r="D690" s="1738"/>
      <c r="E690" s="1447">
        <f>SUM(E685:E689)</f>
        <v>0</v>
      </c>
      <c r="F690" s="1447">
        <f t="shared" ref="F690:N690" si="240">SUM(F685:F689)</f>
        <v>0</v>
      </c>
      <c r="G690" s="1447">
        <f t="shared" si="240"/>
        <v>0</v>
      </c>
      <c r="H690" s="1447">
        <f t="shared" si="240"/>
        <v>0</v>
      </c>
      <c r="I690" s="1447">
        <f t="shared" si="240"/>
        <v>0</v>
      </c>
      <c r="J690" s="1447">
        <f t="shared" si="240"/>
        <v>0</v>
      </c>
      <c r="K690" s="1448">
        <f t="shared" si="240"/>
        <v>0</v>
      </c>
      <c r="L690" s="1448">
        <f t="shared" si="240"/>
        <v>0</v>
      </c>
      <c r="M690" s="1449">
        <f>SQRT(SUMSQ(M685:M689))</f>
        <v>0</v>
      </c>
      <c r="N690" s="1450">
        <f t="shared" si="240"/>
        <v>0</v>
      </c>
      <c r="O690" s="1732"/>
      <c r="Q690" s="1317"/>
      <c r="R690" s="1317"/>
      <c r="W690" s="1162"/>
      <c r="AB690" s="1162"/>
      <c r="AF690" s="1162"/>
      <c r="AK690" s="729"/>
      <c r="AL690" s="729"/>
      <c r="AM690" s="729"/>
      <c r="AN690" s="729"/>
      <c r="AO690" s="729"/>
      <c r="AP690" s="729"/>
      <c r="AQ690" s="729"/>
      <c r="AR690" s="729"/>
      <c r="AS690" s="729"/>
      <c r="AT690" s="729"/>
      <c r="AU690" s="729"/>
      <c r="AV690" s="729"/>
    </row>
    <row r="691" spans="2:48" s="39" customFormat="1" outlineLevel="1" x14ac:dyDescent="0.2">
      <c r="B691" s="1733" t="str">
        <f>+Energia!B194</f>
        <v xml:space="preserve">Emissioni indirette da consumo di elettricità </v>
      </c>
      <c r="C691" s="1734"/>
      <c r="D691" s="1435">
        <v>6</v>
      </c>
      <c r="E691" s="1441">
        <f>AS113+AS315+AS517</f>
        <v>0</v>
      </c>
      <c r="F691" s="1441">
        <f>AT113+AT315+AT517</f>
        <v>0</v>
      </c>
      <c r="G691" s="1441">
        <f>AU113+AU315+AU517</f>
        <v>0</v>
      </c>
      <c r="H691" s="1441">
        <v>0</v>
      </c>
      <c r="I691" s="1441">
        <v>0</v>
      </c>
      <c r="J691" s="1442">
        <f>AW113+AW315+AW517</f>
        <v>0</v>
      </c>
      <c r="K691" s="1443">
        <f>AX113+AX315+AX517</f>
        <v>0</v>
      </c>
      <c r="L691" s="1443">
        <v>0</v>
      </c>
      <c r="M691" s="1444">
        <f>SQRT(Z113^2+Z315^2+Z517^2)</f>
        <v>0</v>
      </c>
      <c r="N691" s="1445"/>
      <c r="O691" s="1451"/>
      <c r="Q691" s="1317"/>
      <c r="R691" s="1317"/>
      <c r="W691" s="1162"/>
      <c r="AB691" s="1162"/>
      <c r="AF691" s="1162"/>
      <c r="AK691" s="729"/>
      <c r="AL691" s="729"/>
      <c r="AM691" s="729"/>
      <c r="AN691" s="729"/>
      <c r="AO691" s="729"/>
      <c r="AP691" s="729"/>
      <c r="AQ691" s="729"/>
      <c r="AR691" s="729"/>
      <c r="AS691" s="729"/>
      <c r="AT691" s="729"/>
      <c r="AU691" s="729"/>
      <c r="AV691" s="729"/>
    </row>
    <row r="692" spans="2:48" s="39" customFormat="1" outlineLevel="1" x14ac:dyDescent="0.2">
      <c r="B692" s="1733" t="str">
        <f>+Energia!B195</f>
        <v xml:space="preserve">Emissioni indirette da consumi di energia di rete (senza l'eletricita) </v>
      </c>
      <c r="C692" s="1734"/>
      <c r="D692" s="1435">
        <v>7</v>
      </c>
      <c r="E692" s="1441"/>
      <c r="F692" s="1441"/>
      <c r="G692" s="1441"/>
      <c r="H692" s="1441"/>
      <c r="I692" s="1441"/>
      <c r="J692" s="1442"/>
      <c r="K692" s="1443"/>
      <c r="L692" s="1443"/>
      <c r="M692" s="1444"/>
      <c r="N692" s="1445"/>
      <c r="O692" s="1445"/>
      <c r="Q692" s="1317"/>
      <c r="R692" s="1317"/>
      <c r="W692" s="1162"/>
      <c r="AB692" s="1162"/>
      <c r="AF692" s="1162"/>
      <c r="AK692" s="729"/>
      <c r="AL692" s="729"/>
      <c r="AM692" s="729"/>
      <c r="AN692" s="729"/>
      <c r="AO692" s="729"/>
      <c r="AP692" s="729"/>
      <c r="AQ692" s="729"/>
      <c r="AR692" s="729"/>
      <c r="AS692" s="729"/>
      <c r="AT692" s="729"/>
      <c r="AU692" s="729"/>
      <c r="AV692" s="729"/>
    </row>
    <row r="693" spans="2:48" s="39" customFormat="1" outlineLevel="1" x14ac:dyDescent="0.2">
      <c r="B693" s="1738" t="s">
        <v>97</v>
      </c>
      <c r="C693" s="1738"/>
      <c r="D693" s="1738"/>
      <c r="E693" s="1447">
        <f>SUM(E691:E692)</f>
        <v>0</v>
      </c>
      <c r="F693" s="1447">
        <f t="shared" ref="F693:O693" si="241">SUM(F691:F692)</f>
        <v>0</v>
      </c>
      <c r="G693" s="1447">
        <f t="shared" si="241"/>
        <v>0</v>
      </c>
      <c r="H693" s="1447">
        <f t="shared" si="241"/>
        <v>0</v>
      </c>
      <c r="I693" s="1447">
        <f t="shared" si="241"/>
        <v>0</v>
      </c>
      <c r="J693" s="1447">
        <f t="shared" si="241"/>
        <v>0</v>
      </c>
      <c r="K693" s="1448">
        <f t="shared" si="241"/>
        <v>0</v>
      </c>
      <c r="L693" s="1448">
        <f t="shared" si="241"/>
        <v>0</v>
      </c>
      <c r="M693" s="1449">
        <f>SQRT(SUMSQ(M691:M692))</f>
        <v>0</v>
      </c>
      <c r="N693" s="1450">
        <f t="shared" si="241"/>
        <v>0</v>
      </c>
      <c r="O693" s="1450">
        <f t="shared" si="241"/>
        <v>0</v>
      </c>
      <c r="Q693" s="1317"/>
      <c r="R693" s="1317"/>
      <c r="W693" s="1162"/>
      <c r="AB693" s="1162"/>
      <c r="AF693" s="1162"/>
      <c r="AK693" s="729"/>
      <c r="AL693" s="729"/>
      <c r="AM693" s="729"/>
      <c r="AN693" s="729"/>
      <c r="AO693" s="729"/>
      <c r="AP693" s="729"/>
      <c r="AQ693" s="729"/>
      <c r="AR693" s="729"/>
      <c r="AS693" s="729"/>
      <c r="AT693" s="729"/>
      <c r="AU693" s="729"/>
      <c r="AV693" s="729"/>
    </row>
    <row r="694" spans="2:48" s="39" customFormat="1" outlineLevel="1" x14ac:dyDescent="0.2">
      <c r="B694" s="1733" t="str">
        <f>+Energia!B197</f>
        <v>Emissioni dovute all'energia non coperte dalle sorgenti da 1 a 7</v>
      </c>
      <c r="C694" s="1734"/>
      <c r="D694" s="1435">
        <v>8</v>
      </c>
      <c r="E694" s="1441">
        <f>SUMIF($F$11:$F$22,'Info utili'!$G$532,AS11:AS22)+SUMIF($F$24:$F$79,'Info utili'!$G$532,AT24:AT79)+SUMIF($F$84:$F$102,'Info utili'!$G$532,AS84:AS102)+SUMIF($F$123:$F$131,'Info utili'!$G$532,AS123:AS131)+SUMIF($F$146:$F$224,'Info utili'!$G$532,AS146:AS224)+SUMIF($F$226:$F$281,'Info utili'!$G$532,AT226:AT281)+SUMIF($F$286:$F$304,'Info utili'!$G$532,AS286:AS304)+SUMIF($F$325:$F$333,'Info utili'!$G$532,AS325:AS333)+SUMIF($F$348:$F$426,'Info utili'!$G$532,AS348:AS426)+SUMIF($F$428:$F$483,'Info utili'!$G$532,AT428:AT483)+SUMIF($F$488:$F$506,'Info utili'!$G$532,AS488:AS506)+SUMIF($F$527:$F$535,'Info utili'!$G$532,AS527:AS535)+SUMIF($F$550:$F$611,'Info utili'!$G$532,AS550:AS611)+SUMIF($F$11:$F$22,'Info utili'!$G$537,AS11:AS22)+SUMIF($F$24:$F$79,'Info utili'!$G$537,AT24:AT79)+SUMIF($F$84:$F$102,'Info utili'!$G$537,AS84:AS102)+SUMIF($F$123:$F$131,'Info utili'!$G$537,AS123:AS131)+SUMIF($F$146:$F$224,'Info utili'!$G$537,AS146:AS224)+SUMIF($F$226:$F$281,'Info utili'!$G$537,AT226:AT281)+SUMIF($F$286:$F$304,'Info utili'!$G$537,AS286:AS304)+SUMIF($F$325:$F$333,'Info utili'!$G$537,AS325:AS333)+SUMIF($F$348:$F$426,'Info utili'!$G$537,AS348:AS426)+SUMIF($F$428:$F$483,'Info utili'!$G$537,AT428:AT483)+SUMIF($F$488:$F$506,'Info utili'!$G$537,AS488:AS506)+SUMIF($F$527:$F$535,'Info utili'!$G$537,AS527:AS535)+SUMIF($F$550:$F$611,'Info utili'!$G$537,AS550:AS611)+AS121+AS323+AS525</f>
        <v>0</v>
      </c>
      <c r="F694" s="1441">
        <f>SUMIF($F$11:$F$22,'Info utili'!$G$532,AU11:AU22)+SUMIF($F$24:$F$79,'Info utili'!$G$532,AW24:AW79)+SUMIF($F$84:$F$102,'Info utili'!$G$532,AV84:AV102)+SUMIF($F$123:$F$131,'Info utili'!$G$532,AU123:AU131)+SUMIF($F$146:$F$224,'Info utili'!$G$532,AU146:AU224)+SUMIF($F$226:$F$281,'Info utili'!$G$532,AW226:AW281)+SUMIF($F$286:$F$304,'Info utili'!$G$532,AV286:AV304)+SUMIF($F$325:$F$333,'Info utili'!$G$532,AU325:AU333)+SUMIF($F$348:$F$426,'Info utili'!$G$532,AU348:AU426)+SUMIF($F$428:$F$483,'Info utili'!$G$532,AW428:AW483)+SUMIF($F$488:$F$506,'Info utili'!$G$532,AV488:AV506)+SUMIF($F$527:$F$535,'Info utili'!$G$532,AU527:AU535)+SUMIF($F$550:$F$611,'Info utili'!$G$532,AU550:AU611)+SUMIF($F$11:$F$22,'Info utili'!$G$537,AU11:AU22)+SUMIF($F$24:$F$79,'Info utili'!$G$537,AW24:AW79)+SUMIF($F$84:$F$102,'Info utili'!$G$537,AV84:AV102)+SUMIF($F$123:$F$131,'Info utili'!$G$537,AU123:AU131)+SUMIF($F$146:$F$224,'Info utili'!$G$537,AU146:AU224)+SUMIF($F$226:$F$281,'Info utili'!$G$537,AW226:AW281)+SUMIF($F$286:$F$304,'Info utili'!$G$537,AV286:AV304)+SUMIF($F$325:$F$333,'Info utili'!$G$537,AU325:AU333)+SUMIF($F$348:$F$426,'Info utili'!$G$537,AU348:AU426)+SUMIF($F$428:$F$483,'Info utili'!$G$537,AW428:AW483)+SUMIF($F$488:$F$506,'Info utili'!$G$537,AV488:AV506)+SUMIF($F$527:$F$535,'Info utili'!$G$537,AU527:AU535)+SUMIF($F$550:$F$611,'Info utili'!$G$537,AU550:AU611)+AT121+AT323+AT525</f>
        <v>0</v>
      </c>
      <c r="G694" s="1441">
        <f>SUMIF($F$11:$F$22,'Info utili'!$G$532,AW11:AW22)+SUMIF($F$24:$F$79,'Info utili'!$G$532,AZ24:AZ79)+SUMIF($F$84:$F$102,'Info utili'!$G$532,AY84:AY102)+SUMIF($F$123:$F$131,'Info utili'!$G$532,AW123:AW131)+SUMIF($F$146:$F$224,'Info utili'!$G$532,AW146:AW224)+SUMIF($F$226:$F$281,'Info utili'!$G$532,AZ226:AZ281)+SUMIF($F$286:$F$304,'Info utili'!$G$532,AY286:AY304)+SUMIF($F$325:$F$333,'Info utili'!$G$532,AW325:AW333)+SUMIF($F$348:$F$426,'Info utili'!$G$532,AW348:AW426)+SUMIF($F$428:$F$483,'Info utili'!$G$532,AZ428:AZ483)+SUMIF($F$488:$F$506,'Info utili'!$G$532,AY488:AY506)+SUMIF($F$527:$F$535,'Info utili'!$G$532,AW527:AW535)+SUMIF($F$550:$F$611,'Info utili'!$G$532,AW550:AW611)+SUMIF($F$11:$F$22,'Info utili'!$G$537,AW11:AW22)+SUMIF($F$24:$F$79,'Info utili'!$G$537,AZ24:AZ79)+SUMIF($F$84:$F$102,'Info utili'!$G$537,AY84:AY102)+SUMIF($F$123:$F$131,'Info utili'!$G$537,AW123:AW131)+SUMIF($F$146:$F$224,'Info utili'!$G$537,AW146:AW224)+SUMIF($F$226:$F$281,'Info utili'!$G$537,AZ226:AZ281)+SUMIF($F$286:$F$304,'Info utili'!$G$537,AY286:AY304)+SUMIF($F$325:$F$333,'Info utili'!$G$537,AW325:AW333)+SUMIF($F$348:$F$426,'Info utili'!$G$537,AW348:AW426)+SUMIF($F$428:$F$483,'Info utili'!$G$537,AZ428:AZ483)+SUMIF($F$488:$F$506,'Info utili'!$G$537,AY488:AY506)+SUMIF($F$527:$F$535,'Info utili'!$G$537,AW527:AW535)+SUMIF($F$550:$F$611,'Info utili'!$G$537,AW550:AW611)+AU121+AU323+AU525</f>
        <v>0</v>
      </c>
      <c r="H694" s="1441">
        <v>0</v>
      </c>
      <c r="I694" s="1441">
        <v>0</v>
      </c>
      <c r="J694" s="1442">
        <f>SUMIF($F$11:$F$22,'Info utili'!$G$532,BA11:BA22)+SUMIF($F$24:$F$79,'Info utili'!$G$532,BF24:BF79)+SUMIF($F$84:$F$102,'Info utili'!$G$532,BE84:BE102)+SUMIF($F$123:$F$131,'Info utili'!$G$532,BA123:BA131)+SUMIF($F$146:$F$224,'Info utili'!$G$532,BA146:BA224)+SUMIF($F$226:$F$281,'Info utili'!$G$532,BF226:BF281)+SUMIF($F$286:$F$304,'Info utili'!$G$532,BE286:BE304)+SUMIF($F$325:$F$333,'Info utili'!$G$532,BA325:BA333)+SUMIF($F$348:$F$426,'Info utili'!$G$532,BA348:BA426)+SUMIF($F$428:$F$483,'Info utili'!$G$532,BF428:BF483)+SUMIF($F$488:$F$506,'Info utili'!$G$532,BE488:BE506)+SUMIF($F$527:$F$535,'Info utili'!$G$532,BA527:BA535)+SUMIF($F$550:$F$611,'Info utili'!$G$532,BA550:BA611)+SUMIF($F$11:$F$22,'Info utili'!$G$537,BA11:BA22)+SUMIF($F$24:$F$79,'Info utili'!$G$537,BF24:BF79)+SUMIF($F$84:$F$102,'Info utili'!$G$537,BE84:BE102)+SUMIF($F$123:$F$131,'Info utili'!$G$537,BA123:BA131)+SUMIF($F$146:$F$224,'Info utili'!$G$537,BA146:BA224)+SUMIF($F$226:$F$281,'Info utili'!$G$537,BF226:BF281)+SUMIF($F$286:$F$304,'Info utili'!$G$537,BE286:BE304)+SUMIF($F$325:$F$333,'Info utili'!$G$537,BA325:BA333)+SUMIF($F$348:$F$426,'Info utili'!$G$537,BA348:BA426)+SUMIF($F$428:$F$483,'Info utili'!$G$537,BF428:BF483)+SUMIF($F$488:$F$506,'Info utili'!$G$537,BE488:BE506)+SUMIF($F$527:$F$535,'Info utili'!$G$537,BA527:BA535)+SUMIF($F$550:$F$611,'Info utili'!$G$537,BA550:BA611)+AW121+AW323+AW525</f>
        <v>0</v>
      </c>
      <c r="K694" s="1443">
        <f>SUMIF($F$11:$F$22,'Info utili'!$G$532,BC11:BC22)+SUMIF($F$24:$F$79,'Info utili'!$G$532,BI24:BI79)+SUMIF($F$84:$F$102,'Info utili'!$G$532,BH84:BH102)+SUMIF($F$123:$F$131,'Info utili'!$G$532,BC123:BC131)+SUMIF($F$146:$F$224,'Info utili'!$G$532,BC146:BC224)+SUMIF($F$226:$F$281,'Info utili'!$G$532,BI226:BI281)+SUMIF($F$286:$F$304,'Info utili'!$G$532,BH286:BH304)+SUMIF($F$325:$F$333,'Info utili'!$G$532,BC325:BC333)+SUMIF($F$348:$F$426,'Info utili'!$G$532,BC348:BC426)+SUMIF($F$428:$F$483,'Info utili'!$G$532,BI428:BI483)+SUMIF($F$488:$F$506,'Info utili'!$G$532,BH488:BH506)+SUMIF($F$527:$F$535,'Info utili'!$G$532,BC527:BC535)+SUMIF($F$550:$F$611,'Info utili'!$G$532,BC550:BC611)+SUMIF($F$11:$F$22,'Info utili'!$G$537,BC11:BC22)+SUMIF($F$24:$F$79,'Info utili'!$G$537,BI24:BI79)+SUMIF($F$84:$F$102,'Info utili'!$G$537,BH84:BH102)+SUMIF($F$123:$F$131,'Info utili'!$G$537,BC123:BC131)+SUMIF($F$146:$F$224,'Info utili'!$G$537,BC146:BC224)+SUMIF($F$226:$F$281,'Info utili'!$G$537,BI226:BI281)+SUMIF($F$286:$F$304,'Info utili'!$G$537,BH286:BH304)+SUMIF($F$325:$F$333,'Info utili'!$G$537,BC325:BC333)+SUMIF($F$348:$F$426,'Info utili'!$G$537,BC348:BC426)+SUMIF($F$428:$F$483,'Info utili'!$G$537,BI428:BI483)+SUMIF($F$488:$F$506,'Info utili'!$G$537,BH488:BH506)+SUMIF($F$527:$F$535,'Info utili'!$G$537,BC527:BC535)+SUMIF($F$550:$F$611,'Info utili'!$G$537,BC550:BC611)+AX121+AX323+AX525</f>
        <v>0</v>
      </c>
      <c r="L694" s="1443">
        <v>0</v>
      </c>
      <c r="M694" s="1444">
        <f>SQRT(SUMPRODUCT(($F$11:$F$22='Info utili'!$G$532)*1,Z11:Z22,Z11:Z22)+SUMPRODUCT(($F$24:$F$79='Info utili'!$G$532)*1,AA24:AA79,AA24:AA79)+SUMPRODUCT(($F$84:$F$102='Info utili'!$G$532)*1,Z84:Z102,Z84:Z102)+SUMPRODUCT(($F$123:$F$131='Info utili'!$G$532)*1,Z123:Z131,Z123:Z131)+SUMPRODUCT(($F$146:$F$224='Info utili'!$G$532)*1,Z146:Z224,Z146:Z224)+SUMPRODUCT(($F$226:$F$281='Info utili'!$G$532)*1,AA226:AA281,AA226:AA281)+SUMPRODUCT(($F$286:$F$304='Info utili'!$G$532)*1,Z286:Z304,Z286:Z304)+SUMPRODUCT(($F$325:$F$333='Info utili'!$G$532)*1,Z325:Z333,Z325:Z333)+SUMPRODUCT(($F$348:$F$426='Info utili'!$G$532)*1,Z348:Z426,Z348:Z426)+SUMPRODUCT(($F$428:$F$483='Info utili'!$G$532)*1,AA428:AA483,AA428:AA483)+SUMPRODUCT(($F$488:$F$506='Info utili'!$G$532)*1,Z488:Z506,Z488:Z506)+SUMPRODUCT(($F$527:$F$535='Info utili'!$G$532)*1,Z527:Z535,Z527:Z535)+SUMPRODUCT(($F$550:$F$611='Info utili'!$G$532)*1,Z550:Z611,Z550:Z611)+SUMPRODUCT(($F$11:$F$22='Info utili'!$G$537)*1,Z11:Z22,Z11:Z22)+SUMPRODUCT(($F$24:$F$79='Info utili'!$G$537)*1,AA24:AA79,AA24:AA79)+SUMPRODUCT(($F$84:$F$102='Info utili'!$G$537)*1,Z84:Z102,Z84:Z102)+SUMPRODUCT(($F$123:$F$131='Info utili'!$G$537)*1,Z123:Z131,Z123:Z131)+SUMPRODUCT(($F$146:$F$224='Info utili'!$G$537)*1,Z146:Z224,Z146:Z224)+SUMPRODUCT(($F$226:$F$281='Info utili'!$G$537)*1,AA226:AA281,AA226:AA281)+SUMPRODUCT(($F$286:$F$304='Info utili'!$G$537)*1,Z286:Z304,Z286:Z304)+SUMPRODUCT(($F$325:$F$333='Info utili'!$G$537)*1,Z325:Z333,Z325:Z333)+SUMPRODUCT(($F$348:$F$426='Info utili'!$G$537)*1,Z348:Z426,Z348:Z426)+SUMPRODUCT(($F$428:$F$483='Info utili'!$G$537)*1,AA428:AA483,AA428:AA483)+SUMPRODUCT(($F$488:$F$506='Info utili'!$G$537)*1,Z488:Z506,Z488:Z506)+SUMPRODUCT(($F$527:$F$535='Info utili'!$G$537)*1,Z527:Z535,Z527:Z535)+SUMPRODUCT(($F$550:$F$611='Info utili'!$G$537)*1,Z550:Z611,Z550:Z611)+Z121^2+Z323^2+Z525^2)</f>
        <v>0</v>
      </c>
      <c r="N694" s="1445"/>
      <c r="O694" s="1445"/>
      <c r="Q694" s="1317"/>
      <c r="R694" s="1317"/>
      <c r="W694" s="1162"/>
      <c r="AB694" s="1162"/>
      <c r="AF694" s="1162"/>
      <c r="AK694" s="729"/>
      <c r="AL694" s="729"/>
      <c r="AM694" s="729"/>
      <c r="AN694" s="729"/>
      <c r="AO694" s="729"/>
      <c r="AP694" s="729"/>
      <c r="AQ694" s="729"/>
      <c r="AR694" s="729"/>
      <c r="AS694" s="729"/>
      <c r="AT694" s="729"/>
      <c r="AU694" s="729"/>
      <c r="AV694" s="729"/>
    </row>
    <row r="695" spans="2:48" s="39" customFormat="1" outlineLevel="1" x14ac:dyDescent="0.2">
      <c r="B695" s="1733" t="str">
        <f>+Energia!B198</f>
        <v>Beni acquistati</v>
      </c>
      <c r="C695" s="1734"/>
      <c r="D695" s="1435">
        <v>9</v>
      </c>
      <c r="E695" s="1441"/>
      <c r="F695" s="1441"/>
      <c r="G695" s="1441"/>
      <c r="H695" s="1441"/>
      <c r="I695" s="1441"/>
      <c r="J695" s="1442"/>
      <c r="K695" s="1443"/>
      <c r="L695" s="1443"/>
      <c r="M695" s="1444"/>
      <c r="N695" s="1445"/>
      <c r="O695" s="1445"/>
      <c r="Q695" s="1317"/>
      <c r="R695" s="1317"/>
      <c r="W695" s="1162"/>
      <c r="AB695" s="1162"/>
      <c r="AF695" s="1162"/>
      <c r="AK695" s="729"/>
      <c r="AL695" s="729"/>
      <c r="AM695" s="729"/>
      <c r="AN695" s="729"/>
      <c r="AO695" s="729"/>
      <c r="AP695" s="729"/>
      <c r="AQ695" s="729"/>
      <c r="AR695" s="729"/>
      <c r="AS695" s="729"/>
      <c r="AT695" s="729"/>
      <c r="AU695" s="729"/>
      <c r="AV695" s="729"/>
    </row>
    <row r="696" spans="2:48" s="39" customFormat="1" outlineLevel="1" x14ac:dyDescent="0.2">
      <c r="B696" s="1733" t="str">
        <f>+Energia!B199</f>
        <v>Beni di consumo</v>
      </c>
      <c r="C696" s="1734"/>
      <c r="D696" s="1435">
        <v>10</v>
      </c>
      <c r="E696" s="1441"/>
      <c r="F696" s="1441"/>
      <c r="G696" s="1441"/>
      <c r="H696" s="1441"/>
      <c r="I696" s="1441"/>
      <c r="J696" s="1442"/>
      <c r="K696" s="1443"/>
      <c r="L696" s="1443"/>
      <c r="M696" s="1444"/>
      <c r="N696" s="1445"/>
      <c r="O696" s="1445"/>
      <c r="Q696" s="1317"/>
      <c r="R696" s="1317"/>
      <c r="W696" s="1162"/>
      <c r="AB696" s="1162"/>
      <c r="AF696" s="1162"/>
      <c r="AK696" s="729"/>
      <c r="AL696" s="729"/>
      <c r="AM696" s="729"/>
      <c r="AN696" s="729"/>
      <c r="AO696" s="729"/>
      <c r="AP696" s="729"/>
      <c r="AQ696" s="729"/>
      <c r="AR696" s="729"/>
      <c r="AS696" s="729"/>
      <c r="AT696" s="729"/>
      <c r="AU696" s="729"/>
      <c r="AV696" s="729"/>
    </row>
    <row r="697" spans="2:48" s="39" customFormat="1" outlineLevel="1" x14ac:dyDescent="0.2">
      <c r="B697" s="1733" t="str">
        <f>+Energia!B200</f>
        <v xml:space="preserve">Rifiuti prodotti </v>
      </c>
      <c r="C697" s="1734"/>
      <c r="D697" s="1435">
        <v>11</v>
      </c>
      <c r="E697" s="1441"/>
      <c r="F697" s="1441"/>
      <c r="G697" s="1441"/>
      <c r="H697" s="1441"/>
      <c r="I697" s="1441"/>
      <c r="J697" s="1442"/>
      <c r="K697" s="1443"/>
      <c r="L697" s="1443"/>
      <c r="M697" s="1444"/>
      <c r="N697" s="1445"/>
      <c r="O697" s="1445"/>
      <c r="Q697" s="1317"/>
      <c r="R697" s="1317"/>
      <c r="W697" s="1162"/>
      <c r="AB697" s="1162"/>
      <c r="AF697" s="1162"/>
      <c r="AK697" s="729"/>
      <c r="AL697" s="729"/>
      <c r="AM697" s="729"/>
      <c r="AN697" s="729"/>
      <c r="AO697" s="729"/>
      <c r="AP697" s="729"/>
      <c r="AQ697" s="729"/>
      <c r="AR697" s="729"/>
      <c r="AS697" s="729"/>
      <c r="AT697" s="729"/>
      <c r="AU697" s="729"/>
      <c r="AV697" s="729"/>
    </row>
    <row r="698" spans="2:48" s="39" customFormat="1" outlineLevel="1" x14ac:dyDescent="0.2">
      <c r="B698" s="1733" t="str">
        <f>+Energia!B201</f>
        <v>Trasporto e distribuzione premanifattura</v>
      </c>
      <c r="C698" s="1734"/>
      <c r="D698" s="1435">
        <v>12</v>
      </c>
      <c r="E698" s="1441">
        <f t="shared" ref="E698:L698" si="242">E699+E700</f>
        <v>0</v>
      </c>
      <c r="F698" s="1441">
        <f t="shared" si="242"/>
        <v>0</v>
      </c>
      <c r="G698" s="1441">
        <f t="shared" si="242"/>
        <v>0</v>
      </c>
      <c r="H698" s="1441">
        <f t="shared" si="242"/>
        <v>0</v>
      </c>
      <c r="I698" s="1441">
        <f t="shared" si="242"/>
        <v>0</v>
      </c>
      <c r="J698" s="1442">
        <f t="shared" si="242"/>
        <v>0</v>
      </c>
      <c r="K698" s="1443">
        <f>K699+K700</f>
        <v>0</v>
      </c>
      <c r="L698" s="1443">
        <f t="shared" si="242"/>
        <v>0</v>
      </c>
      <c r="M698" s="1444">
        <f>SQRT(M699^2+M700^2)</f>
        <v>0</v>
      </c>
      <c r="N698" s="1445"/>
      <c r="O698" s="1445"/>
      <c r="Q698" s="1317"/>
      <c r="R698" s="1317"/>
      <c r="W698" s="1162"/>
      <c r="AB698" s="1162"/>
      <c r="AF698" s="1162"/>
      <c r="AK698" s="729"/>
      <c r="AL698" s="729"/>
      <c r="AM698" s="729"/>
      <c r="AN698" s="729"/>
      <c r="AO698" s="729"/>
      <c r="AP698" s="729"/>
      <c r="AQ698" s="729"/>
      <c r="AR698" s="729"/>
      <c r="AS698" s="729"/>
      <c r="AT698" s="729"/>
      <c r="AU698" s="729"/>
      <c r="AV698" s="729"/>
    </row>
    <row r="699" spans="2:48" s="39" customFormat="1" outlineLevel="1" x14ac:dyDescent="0.2">
      <c r="B699" s="1829" t="s">
        <v>2655</v>
      </c>
      <c r="C699" s="1830"/>
      <c r="D699" s="1435"/>
      <c r="E699" s="1441">
        <f>SUMIF($F$11:$F$22,'Info utili'!$G$533,AS11:AS22)
+SUMIF($F$11:$F$22,'Info utili'!$G$533,AT11:AT22)
+SUMIF($F$24:$F$79,'Info utili'!$G$533,AS24:AS79)
+SUMIF($F$24:$F$79,'Info utili'!$G$533,AT24:AT79)
+SUMIF($F$24:$F$79,'Info utili'!$G$533,AU24:AU79)
+SUMIF($F$84:$F$102,'Info utili'!$G$533,AS84:AS102)
+SUMIF($F$84:$F$102,'Info utili'!$G$533,AT84:AT102)
+SUMIF($F$84:$F$102,'Info utili'!$G$533,AU84:AU102)
+SUMIF($F$123:$F$131,'Info utili'!$G$533,AS123:AS131)
+SUMIF($F$123:$F$131,'Info utili'!$G$533,AT123:AT131)
+SUMIF($F$133:$F$141,'Info utili'!$G$533,AS133:AS141)
+SUMIF($F$146:$F$224,'Info utili'!$G$533,AS146:AS224)
+SUMIF($F$146:$F$224,'Info utili'!$G$533,AT146:AT224)
+SUMIF($F$226:$F$281,'Info utili'!$G$533,AS226:AS281)
+SUMIF($F$226:$F$281,'Info utili'!$G$533,AT226:AT281)
+SUMIF($F$226:$F$281,'Info utili'!$G$533,AU226:AU281)
+SUMIF($F$286:$F$304,'Info utili'!$G$533,AS286:AS304)
+SUMIF($F$286:$F$304,'Info utili'!$G$533,AT286:AT304)
+SUMIF($F$286:$F$304,'Info utili'!$G$533,AU286:AU304)
+SUMIF($F$325:$F$333,'Info utili'!$G$533,AS325:AS333)
+SUMIF($F$325:$F$333,'Info utili'!$G$533,AT325:AT333)
+SUMIF($F$335:$F$343,'Info utili'!$G$533,AS335:AS343)
+SUMIF($F$348:$F$426,'Info utili'!$G$533,AS348:AS426)
+SUMIF($F$348:$F$426,'Info utili'!$G$533,AT348:AT426)
+SUMIF($F$428:$F$483,'Info utili'!$G$533,AS428:AS483)
+SUMIF($F$428:$F$483,'Info utili'!$G$533,AT428:AT483)
+SUMIF($F$428:$F$483,'Info utili'!$G$533,AU428:AU483)
+SUMIF($F$488:$F$506,'Info utili'!$G$533,AS488:AS506)
+SUMIF($F$488:$F$506,'Info utili'!$G$533,AT488:AT506)
+SUMIF($F$488:$F$506,'Info utili'!$G$533,AU488:AU506)
+SUMIF($F$527:$F$535,'Info utili'!$G$533,AS527:AS535)
+SUMIF($F$527:$F$535,'Info utili'!$G$533,AT527:AT535)
+SUMIF($F$537:$F$545,'Info utili'!$G$533,AS537:AS545)
+SUMIF($F$550:$F$611,'Info utili'!$G$533,AS550:AS611)
+SUMIF($F$550:$F$611,'Info utili'!$G$533,AT550:AT611)</f>
        <v>0</v>
      </c>
      <c r="F699" s="1441">
        <f>SUMIF($F$11:$F$22,'Info utili'!$G$533,AU11:AU22)
+SUMIF($F$11:$F$22,'Info utili'!$G$533,AV11:AV22)
+SUMIF($F$24:$F$79,'Info utili'!$G$533,AV24:AV79)
+SUMIF($F$24:$F$79,'Info utili'!$G$533,AW24:AW79)
+SUMIF($F$24:$F$79,'Info utili'!$G$533,AX24:AX79)
+SUMIF($F$84:$F$102,'Info utili'!$G$533,AV84:AV102)
+SUMIF($F$84:$F$102,'Info utili'!$G$533,AW84:AW102)
+SUMIF($F$84:$F$102,'Info utili'!$G$533,AX84:AX102)
+SUMIF($F$123:$F$131,'Info utili'!$G$533,AU123:AU131)
+SUMIF($F$123:$F$131,'Info utili'!$G$533,AV123:AV131)
+SUMIF($F$133:$F$141,'Info utili'!$G$533,AT133:AT141)
+SUMIF($F$146:$F$224,'Info utili'!$G$533,AU146:AU224)
+SUMIF($F$146:$F$224,'Info utili'!$G$533,AV146:AV224)
+SUMIF($F$226:$F$281,'Info utili'!$G$533,AV226:AV281)
+SUMIF($F$226:$F$281,'Info utili'!$G$533,AW226:AW281)
+SUMIF($F$226:$F$281,'Info utili'!$G$533,AX226:AX281)
+SUMIF($F$286:$F$304,'Info utili'!$G$533,AV286:AV304)
+SUMIF($F$286:$F$304,'Info utili'!$G$533,AW286:AW304)
+SUMIF($F$286:$F$304,'Info utili'!$G$533,AX286:AX304)
+SUMIF($F$325:$F$333,'Info utili'!$G$533,AU325:AU333)
+SUMIF($F$325:$F$333,'Info utili'!$G$533,AV325:AV333)
+SUMIF($F$335:$F$343,'Info utili'!$G$533,AT335:AT343)
+SUMIF($F$348:$F$426,'Info utili'!$G$533,AU348:AU426)
+SUMIF($F$348:$F$426,'Info utili'!$G$533,AV348:AV426)
+SUMIF($F$428:$F$483,'Info utili'!$G$533,AV428:AV483)
+SUMIF($F$428:$F$483,'Info utili'!$G$533,AW428:AW483)
+SUMIF($F$428:$F$483,'Info utili'!$G$533,AX428:AX483)
+SUMIF($F$488:$F$506,'Info utili'!$G$533,AV488:AV506)
+SUMIF($F$488:$F$506,'Info utili'!$G$533,AW488:AW506)
+SUMIF($F$488:$F$506,'Info utili'!$G$533,AX488:AX506)
+SUMIF($F$527:$F$535,'Info utili'!$G$533,AU527:AU535)
+SUMIF($F$527:$F$535,'Info utili'!$G$533,AV527:AV535)
+SUMIF($F$537:$F$545,'Info utili'!$G$533,AT537:AT545)
+SUMIF($F$550:$F$611,'Info utili'!$G$533,AU550:AU611)
+SUMIF($F$550:$F$611,'Info utili'!$G$533,AV550:AV611)</f>
        <v>0</v>
      </c>
      <c r="G699" s="1441">
        <f>SUMIF($F$11:$F$22,'Info utili'!$G$533,AW11:AW22)
+SUMIF($F$11:$F$22,'Info utili'!$G$533,AX11:AX22)
+SUMIF($F$24:$F$79,'Info utili'!$G$533,AY24:AY79)
+SUMIF($F$24:$F$79,'Info utili'!$G$533,AZ24:AZ79)
+SUMIF($F$24:$F$79,'Info utili'!$G$533,BA24:BA79)
+SUMIF($F$84:$F$102,'Info utili'!$G$533,AY84:AY102)
+SUMIF($F$84:$F$102,'Info utili'!$G$533,AZ84:AZ102)
+SUMIF($F$84:$F$102,'Info utili'!$G$533,BA84:BA102)
+SUMIF($F$123:$F$131,'Info utili'!$G$533,AW123:AW131)
+SUMIF($F$123:$F$131,'Info utili'!$G$533,AX123:AX131)
+SUMIF($F$133:$F$141,'Info utili'!$G$533,AU133:AU141)
+SUMIF($F$146:$F$224,'Info utili'!$G$533,AW146:AW224)
+SUMIF($F$146:$F$224,'Info utili'!$G$533,AX146:AX224)
+SUMIF($F$226:$F$281,'Info utili'!$G$533,AY226:AY281)
+SUMIF($F$226:$F$281,'Info utili'!$G$533,AZ226:AZ281)
+SUMIF($F$226:$F$281,'Info utili'!$G$533,BA226:BA281)
+SUMIF($F$286:$F$304,'Info utili'!$G$533,AY286:AY304)
+SUMIF($F$286:$F$304,'Info utili'!$G$533,AZ286:AZ304)
+SUMIF($F$286:$F$304,'Info utili'!$G$533,BA286:BA304)
+SUMIF($F$325:$F$333,'Info utili'!$G$533,AW325:AW333)
+SUMIF($F$325:$F$333,'Info utili'!$G$533,AX325:AX333)
+SUMIF($F$335:$F$343,'Info utili'!$G$533,AU335:AU343)
+SUMIF($F$348:$F$426,'Info utili'!$G$533,AW348:AW426)
+SUMIF($F$348:$F$426,'Info utili'!$G$533,AX348:AX426)
+SUMIF($F$428:$F$483,'Info utili'!$G$533,AY428:AY483)
+SUMIF($F$428:$F$483,'Info utili'!$G$533,AZ428:AZ483)
+SUMIF($F$428:$F$483,'Info utili'!$G$533,BA428:BA483)
+SUMIF($F$488:$F$506,'Info utili'!$G$533,AY488:AY506)
+SUMIF($F$488:$F$506,'Info utili'!$G$533,AZ488:AZ506)
+SUMIF($F$488:$F$506,'Info utili'!$G$533,BA488:BA506)
+SUMIF($F$527:$F$535,'Info utili'!$G$533,AW527:AW535)
+SUMIF($F$527:$F$535,'Info utili'!$G$533,AX527:AX535)
+SUMIF($F$537:$F$545,'Info utili'!$G$533,AU537:AU545)
+SUMIF($F$550:$F$611,'Info utili'!$G$533,AW550:AW611)
+SUMIF($F$550:$F$611,'Info utili'!$G$533,AX550:AX611)</f>
        <v>0</v>
      </c>
      <c r="H699" s="1441">
        <v>0</v>
      </c>
      <c r="I699" s="1441">
        <v>0</v>
      </c>
      <c r="J699" s="1442">
        <f>SUMIF($F$11:$F$22,'Info utili'!$G$533,BA11:BA22)
+SUMIF($F$11:$F$22,'Info utili'!$G$533,BB11:BB22)
+SUMIF('Info utili'!$G$533,#REF!)
+SUMIF($F$24:$F$79,'Info utili'!$G$533,BE24:BE79)
+SUMIF($F$24:$F$79,'Info utili'!$G$533,BF24:BF79)
+SUMIF($F$24:$F$79,'Info utili'!$G$533,BG24:BG79)
+SUMIF($F$84:$F$102,'Info utili'!$G$533,BE84:BE102)
+SUMIF($F$84:$F$102,'Info utili'!$G$533,BF84:BF102)
+SUMIF($F$84:$F$102,'Info utili'!$G$533,BG84:BG102)
+SUMIF('Info utili'!$G$533,#REF!)
+SUMIF($F$123:$F$131,'Info utili'!$G$533,BA123:BA131)
+SUMIF($F$123:$F$131,'Info utili'!$G$533,BB123:BB131)
+SUMIF('Info utili'!$G$533,#REF!)
+SUMIF($F$133:$F$141,'Info utili'!$G$533,AW133:AW141)
+SUMIF($F$146:$F$224,'Info utili'!$G$533,BA146:BA224)
+SUMIF($F$146:$F$224,'Info utili'!$G$533,BB146:BB224)
+SUMIF('Info utili'!$G$533,#REF!)
+SUMIF('Info utili'!$G$533,#REF!)
+SUMIF('Info utili'!$G$533,#REF!)
+SUMIF($F$226:$F$281,'Info utili'!$G$533,BE226:BE281)
+SUMIF($F$226:$F$281,'Info utili'!$G$533,BF226:BF281)
+SUMIF($F$226:$F$281,'Info utili'!$G$533,BG226:BG281)
+SUMIF($F$286:$F$304,'Info utili'!$G$533,BE286:BE304)
+SUMIF($F$286:$F$304,'Info utili'!$G$533,BF286:BF304)
+SUMIF($F$286:$F$304,'Info utili'!$G$533,BG286:BG304)
+SUMIF('Info utili'!$G$533,#REF!)
+SUMIF($F$325:$F$333,'Info utili'!$G$533,BA325:BA333)
+SUMIF($F$325:$F$333,'Info utili'!$G$533,BB325:BB333)
+SUMIF('Info utili'!$G$533,#REF!)
+SUMIF($F$335:$F$343,'Info utili'!$G$533,AW335:AW343)
+SUMIF($F$348:$F$426,'Info utili'!$G$533,BA348:BA426)
+SUMIF($F$348:$F$426,'Info utili'!$G$533,BB348:BB426)
+SUMIF('Info utili'!$G$533,#REF!)
+SUMIF('Info utili'!$G$533,#REF!)
+SUMIF('Info utili'!$G$533,#REF!)
+SUMIF($F$428:$F$483,'Info utili'!$G$533,BE428:BE483)
+SUMIF($F$428:$F$483,'Info utili'!$G$533,BF428:BF483)
+SUMIF($F$428:$F$483,'Info utili'!$G$533,BG428:BG483)
+SUMIF($F$488:$F$506,'Info utili'!$G$533,BE488:BE506)
+SUMIF($F$488:$F$506,'Info utili'!$G$533,BF488:BF506)
+SUMIF($F$488:$F$506,'Info utili'!$G$533,BG488:BG506)
+SUMIF('Info utili'!$G$533,#REF!)
+SUMIF($F$527:$F$535,'Info utili'!$G$533,BA527:BA535)
+SUMIF($F$527:$F$535,'Info utili'!$G$533,BB527:BB535)
+SUMIF('Info utili'!$G$533,#REF!)
+SUMIF($F$537:$F$545,'Info utili'!$G$533,AW537:AW545)
+SUMIF($F$550:$F$611,'Info utili'!$G$533,BA550:BA611)
+SUMIF('Info utili'!$G$533,#REF!)
+SUMIF($F$550:$F$611,'Info utili'!$G$533,BB550:BB611)
+SUMIF('Info utili'!$G$533,#REF!)</f>
        <v>0</v>
      </c>
      <c r="K699" s="1443">
        <f>SUMIF($F$11:$F$22,'Info utili'!$G$533,BC11:BC22)
+SUMIF($F$11:$F$22,'Info utili'!$G$533,BD11:BD22)
+SUMIF($F$24:$F$79,'Info utili'!$G$533,BH24:BH79)
+SUMIF($F$24:$F$79,'Info utili'!$G$533,BI24:BI79)
+SUMIF($F$24:$F$79,'Info utili'!$G$533,BJ24:BJ79)
+SUMIF($F$84:$F$102,'Info utili'!$G$533,BH84:BH102)
+SUMIF($F$84:$F$102,'Info utili'!$G$533,BI84:BI102)
+SUMIF($F$84:$F$102,'Info utili'!$G$533,BJ84:BJ102)
+SUMIF($F$123:$F$131,'Info utili'!$G$533,BC123:BC131)
+SUMIF($F$123:$F$131,'Info utili'!$G$533,BD123:BD131)
+SUMIF($F$133:$F$141,'Info utili'!$G$533,AX133:AX141)
+SUMIF($F$146:$F$224,'Info utili'!$G$533,BC146:BC224)
+SUMIF($F$146:$F$224,'Info utili'!$G$533,BD146:BD224)
+SUMIF($F$226:$F$281,'Info utili'!$G$533,BH226:BH281)
+SUMIF($F$226:$F$281,'Info utili'!$G$533,BI226:BI281)
+SUMIF($F$226:$F$281,'Info utili'!$G$533,BJ226:BJ281)
+SUMIF($F$286:$F$304,'Info utili'!$G$533,BH286:BH304)
+SUMIF($F$286:$F$304,'Info utili'!$G$533,BI286:BI304)
+SUMIF($F$286:$F$304,'Info utili'!$G$533,BJ286:BJ304)
+SUMIF($F$325:$F$333,'Info utili'!$G$533,BC325:BC333)
+SUMIF($F$325:$F$333,'Info utili'!$G$533,BD325:BD333)
+SUMIF($F$335:$F$343,'Info utili'!$G$533,AX335:AX343)
+SUMIF($F$348:$F$426,'Info utili'!$G$533,BC348:BC426)
+SUMIF($F$348:$F$426,'Info utili'!$G$533,BD348:BD426)
+SUMIF($F$428:$F$483,'Info utili'!$G$533,BH428:BH483)
+SUMIF($F$428:$F$483,'Info utili'!$G$533,BI428:BI483)
+SUMIF($F$428:$F$483,'Info utili'!$G$533,BJ428:BJ483)
+SUMIF($F$488:$F$506,'Info utili'!$G$533,BH488:BH506)
+SUMIF($F$488:$F$506,'Info utili'!$G$533,BI488:BI506)
+SUMIF($F$488:$F$506,'Info utili'!$G$533,BJ488:BJ506)
+SUMIF($F$527:$F$535,'Info utili'!$G$533,BC527:BC535)
+SUMIF($F$527:$F$535,'Info utili'!$G$533,BD527:BD535)
+SUMIF($F$537:$F$545,'Info utili'!$G$533,AX537:AX545)
+SUMIF($F$550:$F$611,'Info utili'!$G$533,BC550:BC611)
+SUMIF($F$550:$F$611,'Info utili'!$G$533,BD550:BD611)</f>
        <v>0</v>
      </c>
      <c r="L699" s="1443">
        <v>0</v>
      </c>
      <c r="M699" s="1444">
        <v>0</v>
      </c>
      <c r="N699" s="1445"/>
      <c r="O699" s="1445"/>
      <c r="Q699" s="1317"/>
      <c r="R699" s="1317"/>
      <c r="W699" s="1162"/>
      <c r="AB699" s="1162"/>
      <c r="AF699" s="1162"/>
      <c r="AK699" s="729"/>
      <c r="AL699" s="729"/>
      <c r="AM699" s="729"/>
      <c r="AN699" s="729"/>
      <c r="AO699" s="729"/>
      <c r="AP699" s="729"/>
      <c r="AQ699" s="729"/>
      <c r="AR699" s="729"/>
      <c r="AS699" s="729"/>
      <c r="AT699" s="729"/>
      <c r="AU699" s="729"/>
      <c r="AV699" s="729"/>
    </row>
    <row r="700" spans="2:48" s="39" customFormat="1" outlineLevel="1" x14ac:dyDescent="0.2">
      <c r="B700" s="1831" t="s">
        <v>2656</v>
      </c>
      <c r="C700" s="1832"/>
      <c r="D700" s="1435"/>
      <c r="E700" s="1441">
        <f>SUMIF($F$11:$F$22,'Info utili'!$G$538,AS11:AS22)
+SUMIF($F$11:$F$22,'Info utili'!$G$538,AT11:AT22)
+SUMIF($F$24:$F$79,'Info utili'!$G$538,AS24:AS79)
+SUMIF($F$24:$F$79,'Info utili'!$G$538,AT24:AT79)
+SUMIF($F$24:$F$79,'Info utili'!$G$538,AU24:AU79)
+SUMIF($F$84:$F$102,'Info utili'!$G$538,AS84:AS102)
+SUMIF($F$84:$F$102,'Info utili'!$G$538,AT84:AT102)
+SUMIF($F$84:$F$102,'Info utili'!$G$538,AU84:AU102)
+SUMIF($F$123:$F$131,'Info utili'!$G$538,AS123:AS131)
+SUMIF($F$123:$F$131,'Info utili'!$G$538,AT123:AT131)
+SUMIF($F$133:$F$141,'Info utili'!$G$538,AS133:AS141)
+SUMIF($F$146:$F$224,'Info utili'!$G$538,AS146:AS224)
+SUMIF($F$146:$F$224,'Info utili'!$G$538,AT146:AT224)
+SUMIF($F$226:$F$281,'Info utili'!$G$538,AS226:AS281)
+SUMIF($F$226:$F$281,'Info utili'!$G$538,AT226:AT281)
+SUMIF($F$226:$F$281,'Info utili'!$G$538,AU226:AU281)
+SUMIF($F$286:$F$304,'Info utili'!$G$538,AS286:AS304)
+SUMIF($F$286:$F$304,'Info utili'!$G$538,AT286:AT304)
+SUMIF($F$286:$F$304,'Info utili'!$G$538,AU286:AU304)
+SUMIF($F$325:$F$333,'Info utili'!$G$538,AS325:AS333)
+SUMIF($F$325:$F$333,'Info utili'!$G$538,AT325:AT333)
+SUMIF($F$335:$F$343,'Info utili'!$G$538,AS335:AS343)
+SUMIF($F$348:$F$426,'Info utili'!$G$538,AS348:AS426)
+SUMIF($F$348:$F$426,'Info utili'!$G$538,AT348:AT426)
+SUMIF($F$428:$F$483,'Info utili'!$G$538,AS428:AS483)
+SUMIF($F$428:$F$483,'Info utili'!$G$538,AT428:AT483)
+SUMIF($F$428:$F$483,'Info utili'!$G$538,AU428:AU483)
+SUMIF($F$488:$F$506,'Info utili'!$G$538,AS488:AS506)
+SUMIF($F$488:$F$506,'Info utili'!$G$538,AT488:AT506)
+SUMIF($F$488:$F$506,'Info utili'!$G$538,AU488:AU506)
+SUMIF($F$527:$F$535,'Info utili'!$G$538,AS527:AS535)
+SUMIF($F$527:$F$535,'Info utili'!$G$538,AT527:AT535)
+SUMIF($F$537:$F$545,'Info utili'!$G$538,AS537:AS545)
+SUMIF($F$550:$F$611,'Info utili'!$G$538,AS550:AS611)
+SUMIF($F$550:$F$611,'Info utili'!$G$538,AT550:AT611)</f>
        <v>0</v>
      </c>
      <c r="F700" s="1441">
        <f>SUMIF($F$11:$F$22,'Info utili'!$G$538,AU11:AU22)
+SUMIF($F$11:$F$22,'Info utili'!$G$538,AV11:AV22)
+SUMIF($F$24:$F$79,'Info utili'!$G$538,AV24:AV79)
+SUMIF($F$24:$F$79,'Info utili'!$G$538,AW24:AW79)
+SUMIF($F$24:$F$79,'Info utili'!$G$538,AX24:AX79)
+SUMIF($F$84:$F$102,'Info utili'!$G$538,AV84:AV102)
+SUMIF($F$84:$F$102,'Info utili'!$G$538,AW84:AW102)
+SUMIF($F$84:$F$102,'Info utili'!$G$538,AX84:AX102)
+SUMIF($F$123:$F$131,'Info utili'!$G$538,AU123:AU131)
+SUMIF($F$123:$F$131,'Info utili'!$G$538,AV123:AV131)
+SUMIF($F$133:$F$141,'Info utili'!$G$538,AT133:AT141)
+SUMIF($F$146:$F$224,'Info utili'!$G$538,AU146:AU224)
+SUMIF($F$146:$F$224,'Info utili'!$G$538,AV146:AV224)
+SUMIF($F$226:$F$281,'Info utili'!$G$538,AV226:AV281)
+SUMIF($F$226:$F$281,'Info utili'!$G$538,AW226:AW281)
+SUMIF($F$226:$F$281,'Info utili'!$G$538,AX226:AX281)
+SUMIF($F$286:$F$304,'Info utili'!$G$538,AV286:AV304)
+SUMIF($F$286:$F$304,'Info utili'!$G$538,AW286:AW304)
+SUMIF($F$286:$F$304,'Info utili'!$G$538,AX286:AX304)
+SUMIF($F$325:$F$333,'Info utili'!$G$538,AU325:AU333)
+SUMIF($F$325:$F$333,'Info utili'!$G$538,AV325:AV333)
+SUMIF($F$335:$F$343,'Info utili'!$G$538,AT335:AT343)
+SUMIF($F$348:$F$426,'Info utili'!$G$538,AU348:AU426)
+SUMIF($F$348:$F$426,'Info utili'!$G$538,AV348:AV426)
+SUMIF($F$428:$F$483,'Info utili'!$G$538,AV428:AV483)
+SUMIF($F$428:$F$483,'Info utili'!$G$538,AW428:AW483)
+SUMIF($F$428:$F$483,'Info utili'!$G$538,AX428:AX483)
+SUMIF($F$488:$F$506,'Info utili'!$G$538,AV488:AV506)
+SUMIF($F$488:$F$506,'Info utili'!$G$538,AW488:AW506)
+SUMIF($F$488:$F$506,'Info utili'!$G$538,AX488:AX506)
+SUMIF($F$527:$F$535,'Info utili'!$G$538,AU527:AU535)
+SUMIF($F$527:$F$535,'Info utili'!$G$538,AV527:AV535)
+SUMIF($F$537:$F$545,'Info utili'!$G$538,AT537:AT545)
+SUMIF($F$550:$F$611,'Info utili'!$G$538,AU550:AU611)
+SUMIF($F$550:$F$611,'Info utili'!$G$538,AV550:AV611)</f>
        <v>0</v>
      </c>
      <c r="G700" s="1441">
        <f>SUMIF($F$11:$F$22,'Info utili'!$G$538,AW11:AW22)
+SUMIF($F$11:$F$22,'Info utili'!$G$538,AX11:AX22)
+SUMIF($F$24:$F$79,'Info utili'!$G$538,AY24:AY79)
+SUMIF($F$24:$F$79,'Info utili'!$G$538,AZ24:AZ79)
+SUMIF($F$24:$F$79,'Info utili'!$G$538,BA24:BA79)
+SUMIF($F$84:$F$102,'Info utili'!$G$538,AY84:AY102)
+SUMIF($F$84:$F$102,'Info utili'!$G$538,AZ84:AZ102)
+SUMIF($F$84:$F$102,'Info utili'!$G$538,BA84:BA102)
+SUMIF($F$123:$F$131,'Info utili'!$G$538,AW123:AW131)
+SUMIF($F$123:$F$131,'Info utili'!$G$538,AX123:AX131)
+SUMIF($F$133:$F$141,'Info utili'!$G$538,AU133:AU141)
+SUMIF($F$146:$F$224,'Info utili'!$G$538,AW146:AW224)
+SUMIF($F$146:$F$224,'Info utili'!$G$538,AX146:AX224)
+SUMIF($F$226:$F$281,'Info utili'!$G$538,AY226:AY281)
+SUMIF($F$226:$F$281,'Info utili'!$G$538,AZ226:AZ281)
+SUMIF($F$226:$F$281,'Info utili'!$G$538,BA226:BA281)
+SUMIF($F$286:$F$304,'Info utili'!$G$538,AY286:AY304)
+SUMIF($F$286:$F$304,'Info utili'!$G$538,AZ286:AZ304)
+SUMIF($F$286:$F$304,'Info utili'!$G$538,BA286:BA304)
+SUMIF($F$325:$F$333,'Info utili'!$G$538,AW325:AW333)
+SUMIF($F$325:$F$333,'Info utili'!$G$538,AX325:AX333)
+SUMIF($F$335:$F$343,'Info utili'!$G$538,AU335:AU343)
+SUMIF($F$348:$F$426,'Info utili'!$G$538,AW348:AW426)
+SUMIF($F$348:$F$426,'Info utili'!$G$538,AX348:AX426)
+SUMIF($F$428:$F$483,'Info utili'!$G$538,AY428:AY483)
+SUMIF($F$428:$F$483,'Info utili'!$G$538,AZ428:AZ483)
+SUMIF($F$428:$F$483,'Info utili'!$G$538,BA428:BA483)
+SUMIF($F$488:$F$506,'Info utili'!$G$538,AY488:AY506)
+SUMIF($F$488:$F$506,'Info utili'!$G$538,AZ488:AZ506)
+SUMIF($F$488:$F$506,'Info utili'!$G$538,BA488:BA506)
+SUMIF($F$527:$F$535,'Info utili'!$G$538,AW527:AW535)
+SUMIF($F$527:$F$535,'Info utili'!$G$538,AX527:AX535)
+SUMIF($F$537:$F$545,'Info utili'!$G$538,AU537:AU545)
+SUMIF($F$550:$F$611,'Info utili'!$G$538,AW550:AW611)
+SUMIF($F$550:$F$611,'Info utili'!$G$538,AX550:AX611)</f>
        <v>0</v>
      </c>
      <c r="H700" s="1441">
        <v>0</v>
      </c>
      <c r="I700" s="1441">
        <v>0</v>
      </c>
      <c r="J700" s="1442">
        <f>SUMIF($F$11:$F$22,'Info utili'!$G$538,BA11:BA22)
+SUMIF($F$11:$F$22,'Info utili'!$G$538,BB11:BB22)
+SUMIF('Info utili'!$G$538,#REF!)
+SUMIF($F$24:$F$79,'Info utili'!$G$538,BE24:BE79)
+SUMIF($F$24:$F$79,'Info utili'!$G$538,BF24:BF79)
+SUMIF($F$24:$F$79,'Info utili'!$G$538,BG24:BG79)
+SUMIF($F$84:$F$102,'Info utili'!$G$538,BE84:BE102)
+SUMIF($F$84:$F$102,'Info utili'!$G$538,BF84:BF102)
+SUMIF($F$84:$F$102,'Info utili'!$G$538,BG84:BG102)
+SUMIF('Info utili'!$G$538,#REF!)
+SUMIF($F$123:$F$131,'Info utili'!$G$538,BA123:BA131)
+SUMIF($F$123:$F$131,'Info utili'!$G$538,BB123:BB131)
+SUMIF('Info utili'!$G$538,#REF!)
+SUMIF($F$133:$F$141,'Info utili'!$G$538,AW133:AW141)
+SUMIF($F$146:$F$224,'Info utili'!$G$538,BA146:BA224)
+SUMIF($F$146:$F$224,'Info utili'!$G$538,BB146:BB224)
+SUMIF('Info utili'!$G$538,#REF!)
+SUMIF('Info utili'!$G$538,#REF!)
+SUMIF('Info utili'!$G$538,#REF!)
+SUMIF($F$226:$F$281,'Info utili'!$G$538,BE226:BE281)
+SUMIF($F$226:$F$281,'Info utili'!$G$538,BF226:BF281)
+SUMIF($F$226:$F$281,'Info utili'!$G$538,BG226:BG281)
+SUMIF($F$286:$F$304,'Info utili'!$G$538,BE286:BE304)
+SUMIF($F$286:$F$304,'Info utili'!$G$538,BF286:BF304)
+SUMIF($F$286:$F$304,'Info utili'!$G$538,BG286:BG304)
+SUMIF('Info utili'!$G$538,#REF!)
+SUMIF($F$325:$F$333,'Info utili'!$G$538,BA325:BA333)
+SUMIF($F$325:$F$333,'Info utili'!$G$538,BB325:BB333)
+SUMIF('Info utili'!$G$538,#REF!)
+SUMIF($F$335:$F$343,'Info utili'!$G$538,AW335:AW343)
+SUMIF($F$348:$F$426,'Info utili'!$G$538,BA348:BA426)
+SUMIF($F$348:$F$426,'Info utili'!$G$538,BB348:BB426)
+SUMIF('Info utili'!$G$538,#REF!)
+SUMIF('Info utili'!$G$538,#REF!)
+SUMIF('Info utili'!$G$538,#REF!)
+SUMIF($F$428:$F$483,'Info utili'!$G$538,BE428:BE483)
+SUMIF($F$428:$F$483,'Info utili'!$G$538,BF428:BF483)
+SUMIF($F$428:$F$483,'Info utili'!$G$538,BG428:BG483)
+SUMIF($F$488:$F$506,'Info utili'!$G$538,BE488:BE506)
+SUMIF($F$488:$F$506,'Info utili'!$G$538,BF488:BF506)
+SUMIF($F$488:$F$506,'Info utili'!$G$538,BG488:BG506)
+SUMIF('Info utili'!$G$538,#REF!)
+SUMIF($F$527:$F$535,'Info utili'!$G$538,BA527:BA535)
+SUMIF($F$527:$F$535,'Info utili'!$G$538,BB527:BB535)
+SUMIF('Info utili'!$G$538,#REF!)
+SUMIF($F$537:$F$545,'Info utili'!$G$538,AW537:AW545)
+SUMIF($F$550:$F$611,'Info utili'!$G$538,BA550:BA611)
+SUMIF('Info utili'!$G$538,#REF!)
+SUMIF($F$550:$F$611,'Info utili'!$G$538,BB550:BB611)
+SUMIF('Info utili'!$G$538,#REF!)</f>
        <v>0</v>
      </c>
      <c r="K700" s="1443">
        <f>SUMIF($F$11:$F$22,'Info utili'!$G$538,BC11:BC22)
+SUMIF($F$11:$F$22,'Info utili'!$G$538,BD11:BD22)
+SUMIF($F$24:$F$79,'Info utili'!$G$538,BH24:BH79)
+SUMIF($F$24:$F$79,'Info utili'!$G$538,BI24:BI79)
+SUMIF($F$24:$F$79,'Info utili'!$G$538,BJ24:BJ79)
+SUMIF($F$84:$F$102,'Info utili'!$G$538,BH84:BH102)
+SUMIF($F$84:$F$102,'Info utili'!$G$538,BI84:BI102)
+SUMIF($F$84:$F$102,'Info utili'!$G$538,BJ84:BJ102)
+SUMIF($F$123:$F$131,'Info utili'!$G$538,BC123:BC131)
+SUMIF($F$123:$F$131,'Info utili'!$G$538,BD123:BD131)
+SUMIF($F$133:$F$141,'Info utili'!$G$538,AX133:AX141)
+SUMIF($F$146:$F$224,'Info utili'!$G$538,BC146:BC224)
+SUMIF($F$146:$F$224,'Info utili'!$G$538,BD146:BD224)
+SUMIF($F$226:$F$281,'Info utili'!$G$538,BH226:BH281)
+SUMIF($F$226:$F$281,'Info utili'!$G$538,BI226:BI281)
+SUMIF($F$226:$F$281,'Info utili'!$G$538,BJ226:BJ281)
+SUMIF($F$286:$F$304,'Info utili'!$G$538,BH286:BH304)
+SUMIF($F$286:$F$304,'Info utili'!$G$538,BI286:BI304)
+SUMIF($F$286:$F$304,'Info utili'!$G$538,BJ286:BJ304)
+SUMIF($F$325:$F$333,'Info utili'!$G$538,BC325:BC333)
+SUMIF($F$325:$F$333,'Info utili'!$G$538,BD325:BD333)
+SUMIF($F$335:$F$343,'Info utili'!$G$538,AX335:AX343)
+SUMIF($F$348:$F$426,'Info utili'!$G$538,BC348:BC426)
+SUMIF($F$348:$F$426,'Info utili'!$G$538,BD348:BD426)
+SUMIF($F$428:$F$483,'Info utili'!$G$538,BH428:BH483)
+SUMIF($F$428:$F$483,'Info utili'!$G$538,BI428:BI483)
+SUMIF($F$428:$F$483,'Info utili'!$G$538,BJ428:BJ483)
+SUMIF($F$488:$F$506,'Info utili'!$G$538,BH488:BH506)
+SUMIF($F$488:$F$506,'Info utili'!$G$538,BI488:BI506)
+SUMIF($F$488:$F$506,'Info utili'!$G$538,BJ488:BJ506)
+SUMIF($F$527:$F$535,'Info utili'!$G$538,BC527:BC535)
+SUMIF($F$527:$F$535,'Info utili'!$G$538,BD527:BD535)
+SUMIF($F$537:$F$545,'Info utili'!$G$538,AX537:AX545)
+SUMIF($F$550:$F$611,'Info utili'!$G$538,BC550:BC611)
+SUMIF($F$550:$F$611,'Info utili'!$G$538,BD550:BD611)</f>
        <v>0</v>
      </c>
      <c r="L700" s="1443">
        <v>0</v>
      </c>
      <c r="M700" s="1444">
        <v>0</v>
      </c>
      <c r="N700" s="1445"/>
      <c r="O700" s="1445"/>
      <c r="Q700" s="1317"/>
      <c r="R700" s="1317"/>
      <c r="W700" s="1162"/>
      <c r="AB700" s="1162"/>
      <c r="AF700" s="1162"/>
      <c r="AK700" s="729"/>
      <c r="AL700" s="729"/>
      <c r="AM700" s="729"/>
      <c r="AN700" s="729"/>
      <c r="AO700" s="729"/>
      <c r="AP700" s="729"/>
      <c r="AQ700" s="729"/>
      <c r="AR700" s="729"/>
      <c r="AS700" s="729"/>
      <c r="AT700" s="729"/>
      <c r="AU700" s="729"/>
      <c r="AV700" s="729"/>
    </row>
    <row r="701" spans="2:48" s="39" customFormat="1" outlineLevel="1" x14ac:dyDescent="0.2">
      <c r="B701" s="1733" t="str">
        <f>+Energia!B202</f>
        <v>Viaggi di lavoro</v>
      </c>
      <c r="C701" s="1734"/>
      <c r="D701" s="1435">
        <v>13</v>
      </c>
      <c r="E701" s="1441"/>
      <c r="F701" s="1441"/>
      <c r="G701" s="1441"/>
      <c r="H701" s="1441"/>
      <c r="I701" s="1441"/>
      <c r="J701" s="1442"/>
      <c r="K701" s="1443"/>
      <c r="L701" s="1443"/>
      <c r="M701" s="1444"/>
      <c r="N701" s="1445"/>
      <c r="O701" s="1445"/>
      <c r="Q701" s="1317"/>
      <c r="R701" s="1317"/>
      <c r="W701" s="1162"/>
      <c r="AB701" s="1162"/>
      <c r="AF701" s="1162"/>
      <c r="AK701" s="729"/>
      <c r="AL701" s="729"/>
      <c r="AM701" s="729"/>
      <c r="AN701" s="729"/>
      <c r="AO701" s="729"/>
      <c r="AP701" s="729"/>
      <c r="AQ701" s="729"/>
      <c r="AR701" s="729"/>
      <c r="AS701" s="729"/>
      <c r="AT701" s="729"/>
      <c r="AU701" s="729"/>
      <c r="AV701" s="729"/>
    </row>
    <row r="702" spans="2:48" s="39" customFormat="1" outlineLevel="1" x14ac:dyDescent="0.2">
      <c r="B702" s="1733" t="str">
        <f>+Energia!B203</f>
        <v>Upstream leased assets</v>
      </c>
      <c r="C702" s="1734"/>
      <c r="D702" s="1435">
        <v>14</v>
      </c>
      <c r="E702" s="1441"/>
      <c r="F702" s="1441"/>
      <c r="G702" s="1441"/>
      <c r="H702" s="1441"/>
      <c r="I702" s="1441"/>
      <c r="J702" s="1442"/>
      <c r="K702" s="1443"/>
      <c r="L702" s="1443"/>
      <c r="M702" s="1444"/>
      <c r="N702" s="1445"/>
      <c r="O702" s="1445"/>
      <c r="Q702" s="1317"/>
      <c r="R702" s="1317"/>
      <c r="W702" s="1162"/>
      <c r="AB702" s="1162"/>
      <c r="AF702" s="1162"/>
      <c r="AK702" s="729"/>
      <c r="AL702" s="729"/>
      <c r="AM702" s="729"/>
      <c r="AN702" s="729"/>
      <c r="AO702" s="729"/>
      <c r="AP702" s="729"/>
      <c r="AQ702" s="729"/>
      <c r="AR702" s="729"/>
      <c r="AS702" s="729"/>
      <c r="AT702" s="729"/>
      <c r="AU702" s="729"/>
      <c r="AV702" s="729"/>
    </row>
    <row r="703" spans="2:48" s="39" customFormat="1" outlineLevel="1" x14ac:dyDescent="0.2">
      <c r="B703" s="1733" t="str">
        <f>+Energia!B204</f>
        <v>Investimenti</v>
      </c>
      <c r="C703" s="1734"/>
      <c r="D703" s="1435">
        <v>15</v>
      </c>
      <c r="E703" s="1441"/>
      <c r="F703" s="1441"/>
      <c r="G703" s="1441"/>
      <c r="H703" s="1441"/>
      <c r="I703" s="1441"/>
      <c r="J703" s="1442"/>
      <c r="K703" s="1443"/>
      <c r="L703" s="1443"/>
      <c r="M703" s="1444"/>
      <c r="N703" s="1445"/>
      <c r="O703" s="1445"/>
      <c r="Q703" s="1317"/>
      <c r="R703" s="1317"/>
      <c r="W703" s="1162"/>
      <c r="AB703" s="1162"/>
      <c r="AF703" s="1162"/>
      <c r="AK703" s="729"/>
      <c r="AL703" s="729"/>
      <c r="AM703" s="729"/>
      <c r="AN703" s="729"/>
      <c r="AO703" s="729"/>
      <c r="AP703" s="729"/>
      <c r="AQ703" s="729"/>
      <c r="AR703" s="729"/>
      <c r="AS703" s="729"/>
      <c r="AT703" s="729"/>
      <c r="AU703" s="729"/>
      <c r="AV703" s="729"/>
    </row>
    <row r="704" spans="2:48" s="39" customFormat="1" outlineLevel="1" x14ac:dyDescent="0.2">
      <c r="B704" s="1733" t="str">
        <f>+Energia!B205</f>
        <v xml:space="preserve">Trasporto di clienti e visitatori </v>
      </c>
      <c r="C704" s="1734"/>
      <c r="D704" s="1435">
        <v>16</v>
      </c>
      <c r="E704" s="1441"/>
      <c r="F704" s="1441"/>
      <c r="G704" s="1441"/>
      <c r="H704" s="1441"/>
      <c r="I704" s="1441"/>
      <c r="J704" s="1442"/>
      <c r="K704" s="1443"/>
      <c r="L704" s="1443"/>
      <c r="M704" s="1444"/>
      <c r="N704" s="1445"/>
      <c r="O704" s="1445"/>
      <c r="Q704" s="1317"/>
      <c r="R704" s="1317"/>
      <c r="W704" s="1162"/>
      <c r="AB704" s="1162"/>
      <c r="AF704" s="1162"/>
      <c r="AK704" s="729"/>
      <c r="AL704" s="729"/>
      <c r="AM704" s="729"/>
      <c r="AN704" s="729"/>
      <c r="AO704" s="729"/>
      <c r="AP704" s="729"/>
      <c r="AQ704" s="729"/>
      <c r="AR704" s="729"/>
      <c r="AS704" s="729"/>
      <c r="AT704" s="729"/>
      <c r="AU704" s="729"/>
      <c r="AV704" s="729"/>
    </row>
    <row r="705" spans="2:48" s="39" customFormat="1" outlineLevel="1" x14ac:dyDescent="0.2">
      <c r="B705" s="1733" t="str">
        <f>+Energia!B206</f>
        <v>Trasporto di merci e distribuzione in fase d’uso e fine vita</v>
      </c>
      <c r="C705" s="1734"/>
      <c r="D705" s="1435">
        <v>17</v>
      </c>
      <c r="E705" s="1441">
        <f t="shared" ref="E705:L705" si="243">E706+E707</f>
        <v>0</v>
      </c>
      <c r="F705" s="1441">
        <f t="shared" si="243"/>
        <v>0</v>
      </c>
      <c r="G705" s="1441">
        <f t="shared" si="243"/>
        <v>0</v>
      </c>
      <c r="H705" s="1441">
        <f t="shared" si="243"/>
        <v>0</v>
      </c>
      <c r="I705" s="1441">
        <f t="shared" si="243"/>
        <v>0</v>
      </c>
      <c r="J705" s="1442">
        <f t="shared" si="243"/>
        <v>0</v>
      </c>
      <c r="K705" s="1443">
        <f t="shared" si="243"/>
        <v>0</v>
      </c>
      <c r="L705" s="1443">
        <f t="shared" si="243"/>
        <v>0</v>
      </c>
      <c r="M705" s="1444">
        <f>SQRT(M706^2+M707^2)</f>
        <v>0</v>
      </c>
      <c r="N705" s="1445"/>
      <c r="O705" s="1445"/>
      <c r="Q705" s="1317"/>
      <c r="R705" s="1317"/>
      <c r="W705" s="1162"/>
      <c r="AB705" s="1162"/>
      <c r="AF705" s="1162"/>
      <c r="AK705" s="729"/>
      <c r="AL705" s="729"/>
      <c r="AM705" s="729"/>
      <c r="AN705" s="729"/>
      <c r="AO705" s="729"/>
      <c r="AP705" s="729"/>
      <c r="AQ705" s="729"/>
      <c r="AR705" s="729"/>
      <c r="AS705" s="729"/>
      <c r="AT705" s="729"/>
      <c r="AU705" s="729"/>
      <c r="AV705" s="729"/>
    </row>
    <row r="706" spans="2:48" s="39" customFormat="1" outlineLevel="1" x14ac:dyDescent="0.2">
      <c r="B706" s="1829" t="s">
        <v>2655</v>
      </c>
      <c r="C706" s="1830"/>
      <c r="D706" s="1435"/>
      <c r="E706" s="1441">
        <f>SUMIF($F$11:$F$22,'Info utili'!$G$534,AS11:AS22)
+SUMIF($F$11:$F$22,'Info utili'!$G$534,AT11:AT22)
+SUMIF($F$24:$F$79,'Info utili'!$G$534,AS24:AS79)
+SUMIF($F$24:$F$79,'Info utili'!$G$534,AT24:AT79)
+SUMIF($F$24:$F$79,'Info utili'!$G$534,AU24:AU79)
+SUMIF($F$84:$F$102,'Info utili'!$G$534,AS84:AS102)
+SUMIF($F$84:$F$102,'Info utili'!$G$534,AT84:AT102)
+SUMIF($F$84:$F$102,'Info utili'!$G$534,AU84:AU102)
+SUMIF($F$123:$F$131,'Info utili'!$G$534,AS123:AS131)
+SUMIF($F$123:$F$131,'Info utili'!$G$534,AT123:AT131)
+SUMIF($F$133:$F$141,'Info utili'!$G$534,AS133:AS141)
+SUMIF($F$146:$F$224,'Info utili'!$G$534,AS146:AS224)
+SUMIF($F$146:$F$224,'Info utili'!$G$534,AT146:AT224)
+SUMIF($F$226:$F$281,'Info utili'!$G$534,AS226:AS281)
+SUMIF($F$226:$F$281,'Info utili'!$G$534,AT226:AT281)
+SUMIF($F$226:$F$281,'Info utili'!$G$534,AU226:AU281)
+SUMIF($F$286:$F$304,'Info utili'!$G$534,AS286:AS304)
+SUMIF($F$286:$F$304,'Info utili'!$G$534,AT286:AT304)
+SUMIF($F$286:$F$304,'Info utili'!$G$534,AU286:AU304)
+SUMIF($F$325:$F$333,'Info utili'!$G$534,AS325:AS333)
+SUMIF($F$325:$F$333,'Info utili'!$G$534,AT325:AT333)
+SUMIF($F$335:$F$343,'Info utili'!$G$534,AS335:AS343)
+SUMIF($F$348:$F$426,'Info utili'!$G$534,AS348:AS426)
+SUMIF($F$348:$F$426,'Info utili'!$G$534,AT348:AT426)
+SUMIF($F$428:$F$483,'Info utili'!$G$534,AS428:AS483)
+SUMIF($F$428:$F$483,'Info utili'!$G$534,AT428:AT483)
+SUMIF($F$428:$F$483,'Info utili'!$G$534,AU428:AU483)
+SUMIF($F$488:$F$506,'Info utili'!$G$534,AS488:AS506)
+SUMIF($F$488:$F$506,'Info utili'!$G$534,AT488:AT506)
+SUMIF($F$488:$F$506,'Info utili'!$G$534,AU488:AU506)
+SUMIF($F$527:$F$535,'Info utili'!$G$534,AS527:AS535)
+SUMIF($F$527:$F$535,'Info utili'!$G$534,AT527:AT535)
+SUMIF($F$537:$F$545,'Info utili'!$G$534,AS537:AS545)
+SUMIF($F$550:$F$611,'Info utili'!$G$534,AS550:AS611)
+SUMIF($F$550:$F$611,'Info utili'!$G$534,AT550:AT611)</f>
        <v>0</v>
      </c>
      <c r="F706" s="1441">
        <f>SUMIF($F$11:$F$22,'Info utili'!$G$534,AU11:AU22)
+SUMIF($F$11:$F$22,'Info utili'!$G$534,AV11:AV22)
+SUMIF($F$24:$F$79,'Info utili'!$G$534,AV24:AV79)
+SUMIF($F$24:$F$79,'Info utili'!$G$534,AW24:AW79)
+SUMIF($F$24:$F$79,'Info utili'!$G$534,AX24:AX79)
+SUMIF($F$84:$F$102,'Info utili'!$G$534,AV84:AV102)
+SUMIF($F$84:$F$102,'Info utili'!$G$534,AW84:AW102)
+SUMIF($F$84:$F$102,'Info utili'!$G$534,AX84:AX102)
+SUMIF($F$123:$F$131,'Info utili'!$G$534,AU123:AU131)
+SUMIF($F$123:$F$131,'Info utili'!$G$534,AV123:AV131)
+SUMIF($F$133:$F$141,'Info utili'!$G$534,AT133:AT141)
+SUMIF($F$146:$F$224,'Info utili'!$G$534,AU146:AU224)
+SUMIF($F$146:$F$224,'Info utili'!$G$534,AV146:AV224)
+SUMIF($F$226:$F$281,'Info utili'!$G$534,AV226:AV281)
+SUMIF($F$226:$F$281,'Info utili'!$G$534,AW226:AW281)
+SUMIF($F$226:$F$281,'Info utili'!$G$534,AX226:AX281)
+SUMIF($F$286:$F$304,'Info utili'!$G$534,AV286:AV304)
+SUMIF($F$286:$F$304,'Info utili'!$G$534,AW286:AW304)
+SUMIF($F$286:$F$304,'Info utili'!$G$534,AX286:AX304)
+SUMIF($F$325:$F$333,'Info utili'!$G$534,AU325:AU333)
+SUMIF($F$325:$F$333,'Info utili'!$G$534,AV325:AV333)
+SUMIF($F$335:$F$343,'Info utili'!$G$534,AT335:AT343)
+SUMIF($F$348:$F$426,'Info utili'!$G$534,AU348:AU426)
+SUMIF($F$348:$F$426,'Info utili'!$G$534,AV348:AV426)
+SUMIF($F$428:$F$483,'Info utili'!$G$534,AV428:AV483)
+SUMIF($F$428:$F$483,'Info utili'!$G$534,AW428:AW483)
+SUMIF($F$428:$F$483,'Info utili'!$G$534,AX428:AX483)
+SUMIF($F$488:$F$506,'Info utili'!$G$534,AV488:AV506)
+SUMIF($F$488:$F$506,'Info utili'!$G$534,AW488:AW506)
+SUMIF($F$488:$F$506,'Info utili'!$G$534,AX488:AX506)
+SUMIF($F$527:$F$535,'Info utili'!$G$534,AU527:AU535)
+SUMIF($F$527:$F$535,'Info utili'!$G$534,AV527:AV535)
+SUMIF($F$537:$F$545,'Info utili'!$G$534,AT537:AT545)
+SUMIF($F$550:$F$611,'Info utili'!$G$534,AU550:AU611)
+SUMIF($F$550:$F$611,'Info utili'!$G$534,AV550:AV611)</f>
        <v>0</v>
      </c>
      <c r="G706" s="1441">
        <f>SUMIF($F$11:$F$22,'Info utili'!$G$534,AW11:AW22)
+SUMIF($F$11:$F$22,'Info utili'!$G$534,AX11:AX22)
+SUMIF($F$24:$F$79,'Info utili'!$G$534,AY24:AY79)
+SUMIF($F$24:$F$79,'Info utili'!$G$534,AZ24:AZ79)
+SUMIF($F$24:$F$79,'Info utili'!$G$534,BA24:BA79)
+SUMIF($F$84:$F$102,'Info utili'!$G$534,AY84:AY102)
+SUMIF($F$84:$F$102,'Info utili'!$G$534,AZ84:AZ102)
+SUMIF($F$84:$F$102,'Info utili'!$G$534,BA84:BA102)
+SUMIF($F$123:$F$131,'Info utili'!$G$534,AW123:AW131)
+SUMIF($F$123:$F$131,'Info utili'!$G$534,AX123:AX131)
+SUMIF($F$133:$F$141,'Info utili'!$G$534,AU133:AU141)
+SUMIF($F$146:$F$224,'Info utili'!$G$534,AW146:AW224)
+SUMIF($F$146:$F$224,'Info utili'!$G$534,AX146:AX224)
+SUMIF($F$226:$F$281,'Info utili'!$G$534,AY226:AY281)
+SUMIF($F$226:$F$281,'Info utili'!$G$534,AZ226:AZ281)
+SUMIF($F$226:$F$281,'Info utili'!$G$534,BA226:BA281)
+SUMIF($F$286:$F$304,'Info utili'!$G$534,AY286:AY304)
+SUMIF($F$286:$F$304,'Info utili'!$G$534,AZ286:AZ304)
+SUMIF($F$286:$F$304,'Info utili'!$G$534,BA286:BA304)
+SUMIF($F$325:$F$333,'Info utili'!$G$534,AW325:AW333)
+SUMIF($F$325:$F$333,'Info utili'!$G$534,AX325:AX333)
+SUMIF($F$335:$F$343,'Info utili'!$G$534,AU335:AU343)
+SUMIF($F$348:$F$426,'Info utili'!$G$534,AW348:AW426)
+SUMIF($F$348:$F$426,'Info utili'!$G$534,AX348:AX426)
+SUMIF($F$428:$F$483,'Info utili'!$G$534,AY428:AY483)
+SUMIF($F$428:$F$483,'Info utili'!$G$534,AZ428:AZ483)
+SUMIF($F$428:$F$483,'Info utili'!$G$534,BA428:BA483)
+SUMIF($F$488:$F$506,'Info utili'!$G$534,AY488:AY506)
+SUMIF($F$488:$F$506,'Info utili'!$G$534,AZ488:AZ506)
+SUMIF($F$488:$F$506,'Info utili'!$G$534,BA488:BA506)
+SUMIF($F$527:$F$535,'Info utili'!$G$534,AW527:AW535)
+SUMIF($F$527:$F$535,'Info utili'!$G$534,AX527:AX535)
+SUMIF($F$537:$F$545,'Info utili'!$G$534,AU537:AU545)
+SUMIF($F$550:$F$611,'Info utili'!$G$534,AW550:AW611)
+SUMIF($F$550:$F$611,'Info utili'!$G$534,AX550:AX611)</f>
        <v>0</v>
      </c>
      <c r="H706" s="1441">
        <v>0</v>
      </c>
      <c r="I706" s="1441">
        <v>0</v>
      </c>
      <c r="J706" s="1442">
        <f>SUMIF($F$11:$F$22,'Info utili'!$G$534,BA11:BA22)
+SUMIF($F$11:$F$22,'Info utili'!$G$534,BB11:BB22)
+SUMIF('Info utili'!$G$534,#REF!)
+SUMIF($F$24:$F$79,'Info utili'!$G$534,BE24:BE79)
+SUMIF($F$24:$F$79,'Info utili'!$G$534,BF24:BF79)
+SUMIF($F$24:$F$79,'Info utili'!$G$534,BG24:BG79)
+SUMIF($F$84:$F$102,'Info utili'!$G$534,BE84:BE102)
+SUMIF($F$84:$F$102,'Info utili'!$G$534,BF84:BF102)
+SUMIF($F$84:$F$102,'Info utili'!$G$534,BG84:BG102)
+SUMIF('Info utili'!$G$534,#REF!)
+SUMIF($F$123:$F$131,'Info utili'!$G$534,BA123:BA131)
+SUMIF($F$123:$F$131,'Info utili'!$G$534,BB123:BB131)
+SUMIF('Info utili'!$G$534,#REF!)
+SUMIF($F$133:$F$141,'Info utili'!$G$534,AW133:AW141)
+SUMIF($F$146:$F$224,'Info utili'!$G$534,BA146:BA224)
+SUMIF($F$146:$F$224,'Info utili'!$G$534,BB146:BB224)
+SUMIF('Info utili'!$G$534,#REF!)
+SUMIF('Info utili'!$G$534,#REF!)
+SUMIF('Info utili'!$G$534,#REF!)
+SUMIF($F$226:$F$281,'Info utili'!$G$534,BE226:BE281)
+SUMIF($F$226:$F$281,'Info utili'!$G$534,BF226:BF281)
+SUMIF($F$226:$F$281,'Info utili'!$G$534,BG226:BG281)
+SUMIF($F$286:$F$304,'Info utili'!$G$534,BE286:BE304)
+SUMIF($F$286:$F$304,'Info utili'!$G$534,BF286:BF304)
+SUMIF($F$286:$F$304,'Info utili'!$G$534,BG286:BG304)
+SUMIF('Info utili'!$G$534,#REF!)
+SUMIF($F$325:$F$333,'Info utili'!$G$534,BA325:BA333)
+SUMIF($F$325:$F$333,'Info utili'!$G$534,BB325:BB333)
+SUMIF('Info utili'!$G$534,#REF!)
+SUMIF($F$335:$F$343,'Info utili'!$G$534,AW335:AW343)
+SUMIF($F$348:$F$426,'Info utili'!$G$534,BA348:BA426)
+SUMIF($F$348:$F$426,'Info utili'!$G$534,BB348:BB426)
+SUMIF('Info utili'!$G$534,#REF!)
+SUMIF('Info utili'!$G$534,#REF!)
+SUMIF('Info utili'!$G$534,#REF!)
+SUMIF($F$428:$F$483,'Info utili'!$G$534,BE428:BE483)
+SUMIF($F$428:$F$483,'Info utili'!$G$534,BF428:BF483)
+SUMIF($F$428:$F$483,'Info utili'!$G$534,BG428:BG483)
+SUMIF($F$488:$F$506,'Info utili'!$G$534,BE488:BE506)
+SUMIF($F$488:$F$506,'Info utili'!$G$534,BF488:BF506)
+SUMIF($F$488:$F$506,'Info utili'!$G$534,BG488:BG506)
+SUMIF('Info utili'!$G$534,#REF!)
+SUMIF($F$527:$F$535,'Info utili'!$G$534,BA527:BA535)
+SUMIF($F$527:$F$535,'Info utili'!$G$534,BB527:BB535)
+SUMIF('Info utili'!$G$534,#REF!)
+SUMIF($F$537:$F$545,'Info utili'!$G$534,AW537:AW545)
+SUMIF($F$550:$F$611,'Info utili'!$G$534,BA550:BA611)
+SUMIF('Info utili'!$G$534,#REF!)
+SUMIF($F$550:$F$611,'Info utili'!$G$534,BB550:BB611)
+SUMIF('Info utili'!$G$534,#REF!)</f>
        <v>0</v>
      </c>
      <c r="K706" s="1443">
        <f>SUMIF($F$11:$F$22,'Info utili'!$G$534,BC11:BC22)
+SUMIF($F$11:$F$22,'Info utili'!$G$534,BD11:BD22)
+SUMIF($F$24:$F$79,'Info utili'!$G$534,BH24:BH79)
+SUMIF($F$24:$F$79,'Info utili'!$G$534,BI24:BI79)
+SUMIF($F$24:$F$79,'Info utili'!$G$534,BJ24:BJ79)
+SUMIF($F$84:$F$102,'Info utili'!$G$534,BH84:BH102)
+SUMIF($F$84:$F$102,'Info utili'!$G$534,BI84:BI102)
+SUMIF($F$84:$F$102,'Info utili'!$G$534,BJ84:BJ102)
+SUMIF($F$123:$F$131,'Info utili'!$G$534,BC123:BC131)
+SUMIF($F$123:$F$131,'Info utili'!$G$534,BD123:BD131)
+SUMIF($F$133:$F$141,'Info utili'!$G$534,AX133:AX141)
+SUMIF($F$146:$F$224,'Info utili'!$G$534,BC146:BC224)
+SUMIF($F$146:$F$224,'Info utili'!$G$534,BD146:BD224)
+SUMIF($F$226:$F$281,'Info utili'!$G$534,BH226:BH281)
+SUMIF($F$226:$F$281,'Info utili'!$G$534,BI226:BI281)
+SUMIF($F$226:$F$281,'Info utili'!$G$534,BJ226:BJ281)
+SUMIF($F$286:$F$304,'Info utili'!$G$534,BH286:BH304)
+SUMIF($F$286:$F$304,'Info utili'!$G$534,BI286:BI304)
+SUMIF($F$286:$F$304,'Info utili'!$G$534,BJ286:BJ304)
+SUMIF($F$325:$F$333,'Info utili'!$G$534,BC325:BC333)
+SUMIF($F$325:$F$333,'Info utili'!$G$534,BD325:BD333)
+SUMIF($F$335:$F$343,'Info utili'!$G$534,AX335:AX343)
+SUMIF($F$348:$F$426,'Info utili'!$G$534,BC348:BC426)
+SUMIF($F$348:$F$426,'Info utili'!$G$534,BD348:BD426)
+SUMIF($F$428:$F$483,'Info utili'!$G$534,BH428:BH483)
+SUMIF($F$428:$F$483,'Info utili'!$G$534,BI428:BI483)
+SUMIF($F$428:$F$483,'Info utili'!$G$534,BJ428:BJ483)
+SUMIF($F$488:$F$506,'Info utili'!$G$534,BH488:BH506)
+SUMIF($F$488:$F$506,'Info utili'!$G$534,BI488:BI506)
+SUMIF($F$488:$F$506,'Info utili'!$G$534,BJ488:BJ506)
+SUMIF($F$527:$F$535,'Info utili'!$G$534,BC527:BC535)
+SUMIF($F$527:$F$535,'Info utili'!$G$534,BD527:BD535)
+SUMIF($F$537:$F$545,'Info utili'!$G$534,AX537:AX545)
+SUMIF($F$550:$F$611,'Info utili'!$G$534,BC550:BC611)
+SUMIF($F$550:$F$611,'Info utili'!$G$534,BD550:BD611)</f>
        <v>0</v>
      </c>
      <c r="L706" s="1443">
        <v>0</v>
      </c>
      <c r="M706" s="1444">
        <v>0</v>
      </c>
      <c r="N706" s="1445"/>
      <c r="O706" s="1445"/>
      <c r="Q706" s="1317"/>
      <c r="R706" s="1317"/>
      <c r="W706" s="1162"/>
      <c r="AB706" s="1162"/>
      <c r="AF706" s="1162"/>
      <c r="AK706" s="729"/>
      <c r="AL706" s="729"/>
      <c r="AM706" s="729"/>
      <c r="AN706" s="729"/>
      <c r="AO706" s="729"/>
      <c r="AP706" s="729"/>
      <c r="AQ706" s="729"/>
      <c r="AR706" s="729"/>
      <c r="AS706" s="729"/>
      <c r="AT706" s="729"/>
      <c r="AU706" s="729"/>
      <c r="AV706" s="729"/>
    </row>
    <row r="707" spans="2:48" s="39" customFormat="1" outlineLevel="1" x14ac:dyDescent="0.2">
      <c r="B707" s="1831" t="s">
        <v>2656</v>
      </c>
      <c r="C707" s="1832"/>
      <c r="D707" s="1435"/>
      <c r="E707" s="1441">
        <f>SUMIF($F$11:$F$22,'Info utili'!$G$539,AS11:AS22)
+SUMIF($F$11:$F$22,'Info utili'!$G$539,AT11:AT22)
+SUMIF($F$24:$F$79,'Info utili'!$G$539,AS24:AS79)
+SUMIF($F$24:$F$79,'Info utili'!$G$539,AT24:AT79)
+SUMIF($F$24:$F$79,'Info utili'!$G$539,AU24:AU79)
+SUMIF($F$84:$F$102,'Info utili'!$G$539,AS84:AS102)
+SUMIF($F$84:$F$102,'Info utili'!$G$539,AT84:AT102)
+SUMIF($F$84:$F$102,'Info utili'!$G$539,AU84:AU102)
+SUMIF($F$123:$F$131,'Info utili'!$G$539,AS123:AS131)
+SUMIF($F$123:$F$131,'Info utili'!$G$539,AT123:AT131)
+SUMIF($F$133:$F$141,'Info utili'!$G$539,AS133:AS141)
+SUMIF($F$146:$F$224,'Info utili'!$G$539,AS146:AS224)
+SUMIF($F$146:$F$224,'Info utili'!$G$539,AT146:AT224)
+SUMIF($F$226:$F$281,'Info utili'!$G$539,AS226:AS281)
+SUMIF($F$226:$F$281,'Info utili'!$G$539,AT226:AT281)
+SUMIF($F$226:$F$281,'Info utili'!$G$539,AU226:AU281)
+SUMIF($F$286:$F$304,'Info utili'!$G$539,AS286:AS304)
+SUMIF($F$286:$F$304,'Info utili'!$G$539,AT286:AT304)
+SUMIF($F$286:$F$304,'Info utili'!$G$539,AU286:AU304)
+SUMIF($F$325:$F$333,'Info utili'!$G$539,AS325:AS333)
+SUMIF($F$325:$F$333,'Info utili'!$G$539,AT325:AT333)
+SUMIF($F$335:$F$343,'Info utili'!$G$539,AS335:AS343)
+SUMIF($F$348:$F$426,'Info utili'!$G$539,AS348:AS426)
+SUMIF($F$348:$F$426,'Info utili'!$G$539,AT348:AT426)
+SUMIF($F$428:$F$483,'Info utili'!$G$539,AS428:AS483)
+SUMIF($F$428:$F$483,'Info utili'!$G$539,AT428:AT483)
+SUMIF($F$428:$F$483,'Info utili'!$G$539,AU428:AU483)
+SUMIF($F$488:$F$506,'Info utili'!$G$539,AS488:AS506)
+SUMIF($F$488:$F$506,'Info utili'!$G$539,AT488:AT506)
+SUMIF($F$488:$F$506,'Info utili'!$G$539,AU488:AU506)
+SUMIF($F$527:$F$535,'Info utili'!$G$539,AS527:AS535)
+SUMIF($F$527:$F$535,'Info utili'!$G$539,AT527:AT535)
+SUMIF($F$537:$F$545,'Info utili'!$G$539,AS537:AS545)
+SUMIF($F$550:$F$611,'Info utili'!$G$539,AS550:AS611)
+SUMIF($F$550:$F$611,'Info utili'!$G$539,AT550:AT611)</f>
        <v>0</v>
      </c>
      <c r="F707" s="1441">
        <f>SUMIF($F$11:$F$22,'Info utili'!$G$539,AU11:AU22)
+SUMIF($F$11:$F$22,'Info utili'!$G$539,AV11:AV22)
+SUMIF($F$24:$F$79,'Info utili'!$G$539,AV24:AV79)
+SUMIF($F$24:$F$79,'Info utili'!$G$539,AW24:AW79)
+SUMIF($F$24:$F$79,'Info utili'!$G$539,AX24:AX79)
+SUMIF($F$84:$F$102,'Info utili'!$G$539,AV84:AV102)
+SUMIF($F$84:$F$102,'Info utili'!$G$539,AW84:AW102)
+SUMIF($F$84:$F$102,'Info utili'!$G$539,AX84:AX102)
+SUMIF($F$123:$F$131,'Info utili'!$G$539,AU123:AU131)
+SUMIF($F$123:$F$131,'Info utili'!$G$539,AV123:AV131)
+SUMIF($F$133:$F$141,'Info utili'!$G$539,AT133:AT141)
+SUMIF($F$146:$F$224,'Info utili'!$G$539,AU146:AU224)
+SUMIF($F$146:$F$224,'Info utili'!$G$539,AV146:AV224)
+SUMIF($F$226:$F$281,'Info utili'!$G$539,AV226:AV281)
+SUMIF($F$226:$F$281,'Info utili'!$G$539,AW226:AW281)
+SUMIF($F$226:$F$281,'Info utili'!$G$539,AX226:AX281)
+SUMIF($F$286:$F$304,'Info utili'!$G$539,AV286:AV304)
+SUMIF($F$286:$F$304,'Info utili'!$G$539,AW286:AW304)
+SUMIF($F$286:$F$304,'Info utili'!$G$539,AX286:AX304)
+SUMIF($F$325:$F$333,'Info utili'!$G$539,AU325:AU333)
+SUMIF($F$325:$F$333,'Info utili'!$G$539,AV325:AV333)
+SUMIF($F$335:$F$343,'Info utili'!$G$539,AT335:AT343)
+SUMIF($F$348:$F$426,'Info utili'!$G$539,AU348:AU426)
+SUMIF($F$348:$F$426,'Info utili'!$G$539,AV348:AV426)
+SUMIF($F$428:$F$483,'Info utili'!$G$539,AV428:AV483)
+SUMIF($F$428:$F$483,'Info utili'!$G$539,AW428:AW483)
+SUMIF($F$428:$F$483,'Info utili'!$G$539,AX428:AX483)
+SUMIF($F$488:$F$506,'Info utili'!$G$539,AV488:AV506)
+SUMIF($F$488:$F$506,'Info utili'!$G$539,AW488:AW506)
+SUMIF($F$488:$F$506,'Info utili'!$G$539,AX488:AX506)
+SUMIF($F$527:$F$535,'Info utili'!$G$539,AU527:AU535)
+SUMIF($F$527:$F$535,'Info utili'!$G$539,AV527:AV535)
+SUMIF($F$537:$F$545,'Info utili'!$G$539,AT537:AT545)
+SUMIF($F$550:$F$611,'Info utili'!$G$539,AU550:AU611)
+SUMIF($F$550:$F$611,'Info utili'!$G$539,AV550:AV611)</f>
        <v>0</v>
      </c>
      <c r="G707" s="1441">
        <f>SUMIF($F$11:$F$22,'Info utili'!$G$539,AW11:AW22)
+SUMIF($F$11:$F$22,'Info utili'!$G$539,AX11:AX22)
+SUMIF($F$24:$F$79,'Info utili'!$G$539,AY24:AY79)
+SUMIF($F$24:$F$79,'Info utili'!$G$539,AZ24:AZ79)
+SUMIF($F$24:$F$79,'Info utili'!$G$539,BA24:BA79)
+SUMIF($F$84:$F$102,'Info utili'!$G$539,AY84:AY102)
+SUMIF($F$84:$F$102,'Info utili'!$G$539,AZ84:AZ102)
+SUMIF($F$84:$F$102,'Info utili'!$G$539,BA84:BA102)
+SUMIF($F$123:$F$131,'Info utili'!$G$539,AW123:AW131)
+SUMIF($F$123:$F$131,'Info utili'!$G$539,AX123:AX131)
+SUMIF($F$133:$F$141,'Info utili'!$G$539,AU133:AU141)
+SUMIF($F$146:$F$224,'Info utili'!$G$539,AW146:AW224)
+SUMIF($F$146:$F$224,'Info utili'!$G$539,AX146:AX224)
+SUMIF($F$226:$F$281,'Info utili'!$G$539,AY226:AY281)
+SUMIF($F$226:$F$281,'Info utili'!$G$539,AZ226:AZ281)
+SUMIF($F$226:$F$281,'Info utili'!$G$539,BA226:BA281)
+SUMIF($F$286:$F$304,'Info utili'!$G$539,AY286:AY304)
+SUMIF($F$286:$F$304,'Info utili'!$G$539,AZ286:AZ304)
+SUMIF($F$286:$F$304,'Info utili'!$G$539,BA286:BA304)
+SUMIF($F$325:$F$333,'Info utili'!$G$539,AW325:AW333)
+SUMIF($F$325:$F$333,'Info utili'!$G$539,AX325:AX333)
+SUMIF($F$335:$F$343,'Info utili'!$G$539,AU335:AU343)
+SUMIF($F$348:$F$426,'Info utili'!$G$539,AW348:AW426)
+SUMIF($F$348:$F$426,'Info utili'!$G$539,AX348:AX426)
+SUMIF($F$428:$F$483,'Info utili'!$G$539,AY428:AY483)
+SUMIF($F$428:$F$483,'Info utili'!$G$539,AZ428:AZ483)
+SUMIF($F$428:$F$483,'Info utili'!$G$539,BA428:BA483)
+SUMIF($F$488:$F$506,'Info utili'!$G$539,AY488:AY506)
+SUMIF($F$488:$F$506,'Info utili'!$G$539,AZ488:AZ506)
+SUMIF($F$488:$F$506,'Info utili'!$G$539,BA488:BA506)
+SUMIF($F$527:$F$535,'Info utili'!$G$539,AW527:AW535)
+SUMIF($F$527:$F$535,'Info utili'!$G$539,AX527:AX535)
+SUMIF($F$537:$F$545,'Info utili'!$G$539,AU537:AU545)
+SUMIF($F$550:$F$611,'Info utili'!$G$539,AW550:AW611)
+SUMIF($F$550:$F$611,'Info utili'!$G$539,AX550:AX611)</f>
        <v>0</v>
      </c>
      <c r="H707" s="1441">
        <v>0</v>
      </c>
      <c r="I707" s="1441">
        <v>0</v>
      </c>
      <c r="J707" s="1442">
        <f>SUMIF($F$11:$F$22,'Info utili'!$G$539,BA11:BA22)
+SUMIF($F$11:$F$22,'Info utili'!$G$539,BB11:BB22)
+SUMIF('Info utili'!$G$539,#REF!)
+SUMIF($F$24:$F$79,'Info utili'!$G$539,BE24:BE79)
+SUMIF($F$24:$F$79,'Info utili'!$G$539,BF24:BF79)
+SUMIF($F$24:$F$79,'Info utili'!$G$539,BG24:BG79)
+SUMIF($F$84:$F$102,'Info utili'!$G$539,BE84:BE102)
+SUMIF($F$84:$F$102,'Info utili'!$G$539,BF84:BF102)
+SUMIF($F$84:$F$102,'Info utili'!$G$539,BG84:BG102)
+SUMIF('Info utili'!$G$539,#REF!)
+SUMIF($F$123:$F$131,'Info utili'!$G$539,BA123:BA131)
+SUMIF($F$123:$F$131,'Info utili'!$G$539,BB123:BB131)
+SUMIF('Info utili'!$G$539,#REF!)
+SUMIF($F$133:$F$141,'Info utili'!$G$539,AW133:AW141)
+SUMIF($F$146:$F$224,'Info utili'!$G$539,BA146:BA224)
+SUMIF($F$146:$F$224,'Info utili'!$G$539,BB146:BB224)
+SUMIF('Info utili'!$G$539,#REF!)
+SUMIF('Info utili'!$G$539,#REF!)
+SUMIF('Info utili'!$G$539,#REF!)
+SUMIF($F$226:$F$281,'Info utili'!$G$539,BE226:BE281)
+SUMIF($F$226:$F$281,'Info utili'!$G$539,BF226:BF281)
+SUMIF($F$226:$F$281,'Info utili'!$G$539,BG226:BG281)
+SUMIF($F$286:$F$304,'Info utili'!$G$539,BE286:BE304)
+SUMIF($F$286:$F$304,'Info utili'!$G$539,BF286:BF304)
+SUMIF($F$286:$F$304,'Info utili'!$G$539,BG286:BG304)
+SUMIF('Info utili'!$G$539,#REF!)
+SUMIF($F$325:$F$333,'Info utili'!$G$539,BA325:BA333)
+SUMIF($F$325:$F$333,'Info utili'!$G$539,BB325:BB333)
+SUMIF('Info utili'!$G$539,#REF!)
+SUMIF($F$335:$F$343,'Info utili'!$G$539,AW335:AW343)
+SUMIF($F$348:$F$426,'Info utili'!$G$539,BA348:BA426)
+SUMIF($F$348:$F$426,'Info utili'!$G$539,BB348:BB426)
+SUMIF('Info utili'!$G$539,#REF!)
+SUMIF('Info utili'!$G$539,#REF!)
+SUMIF('Info utili'!$G$539,#REF!)
+SUMIF($F$428:$F$483,'Info utili'!$G$539,BE428:BE483)
+SUMIF($F$428:$F$483,'Info utili'!$G$539,BF428:BF483)
+SUMIF($F$428:$F$483,'Info utili'!$G$539,BG428:BG483)
+SUMIF($F$488:$F$506,'Info utili'!$G$539,BE488:BE506)
+SUMIF($F$488:$F$506,'Info utili'!$G$539,BF488:BF506)
+SUMIF($F$488:$F$506,'Info utili'!$G$539,BG488:BG506)
+SUMIF('Info utili'!$G$539,#REF!)
+SUMIF($F$527:$F$535,'Info utili'!$G$539,BA527:BA535)
+SUMIF($F$527:$F$535,'Info utili'!$G$539,BB527:BB535)
+SUMIF('Info utili'!$G$539,#REF!)
+SUMIF($F$537:$F$545,'Info utili'!$G$539,AW537:AW545)
+SUMIF($F$550:$F$611,'Info utili'!$G$539,BA550:BA611)
+SUMIF('Info utili'!$G$539,#REF!)
+SUMIF($F$550:$F$611,'Info utili'!$G$539,BB550:BB611)
+SUMIF('Info utili'!$G$539,#REF!)</f>
        <v>0</v>
      </c>
      <c r="K707" s="1443">
        <f>SUMIF($F$11:$F$22,'Info utili'!$G$539,BC11:BC22)
+SUMIF($F$11:$F$22,'Info utili'!$G$539,BD11:BD22)
+SUMIF($F$24:$F$79,'Info utili'!$G$539,BH24:BH79)
+SUMIF($F$24:$F$79,'Info utili'!$G$539,BI24:BI79)
+SUMIF($F$24:$F$79,'Info utili'!$G$539,BJ24:BJ79)
+SUMIF($F$84:$F$102,'Info utili'!$G$539,BH84:BH102)
+SUMIF($F$84:$F$102,'Info utili'!$G$539,BI84:BI102)
+SUMIF($F$84:$F$102,'Info utili'!$G$539,BJ84:BJ102)
+SUMIF($F$123:$F$131,'Info utili'!$G$539,BC123:BC131)
+SUMIF($F$123:$F$131,'Info utili'!$G$539,BD123:BD131)
+SUMIF($F$133:$F$141,'Info utili'!$G$539,AX133:AX141)
+SUMIF($F$146:$F$224,'Info utili'!$G$539,BC146:BC224)
+SUMIF($F$146:$F$224,'Info utili'!$G$539,BD146:BD224)
+SUMIF($F$226:$F$281,'Info utili'!$G$539,BH226:BH281)
+SUMIF($F$226:$F$281,'Info utili'!$G$539,BI226:BI281)
+SUMIF($F$226:$F$281,'Info utili'!$G$539,BJ226:BJ281)
+SUMIF($F$286:$F$304,'Info utili'!$G$539,BH286:BH304)
+SUMIF($F$286:$F$304,'Info utili'!$G$539,BI286:BI304)
+SUMIF($F$286:$F$304,'Info utili'!$G$539,BJ286:BJ304)
+SUMIF($F$325:$F$333,'Info utili'!$G$539,BC325:BC333)
+SUMIF($F$325:$F$333,'Info utili'!$G$539,BD325:BD333)
+SUMIF($F$335:$F$343,'Info utili'!$G$539,AX335:AX343)
+SUMIF($F$348:$F$426,'Info utili'!$G$539,BC348:BC426)
+SUMIF($F$348:$F$426,'Info utili'!$G$539,BD348:BD426)
+SUMIF($F$428:$F$483,'Info utili'!$G$539,BH428:BH483)
+SUMIF($F$428:$F$483,'Info utili'!$G$539,BI428:BI483)
+SUMIF($F$428:$F$483,'Info utili'!$G$539,BJ428:BJ483)
+SUMIF($F$488:$F$506,'Info utili'!$G$539,BH488:BH506)
+SUMIF($F$488:$F$506,'Info utili'!$G$539,BI488:BI506)
+SUMIF($F$488:$F$506,'Info utili'!$G$539,BJ488:BJ506)
+SUMIF($F$527:$F$535,'Info utili'!$G$539,BC527:BC535)
+SUMIF($F$527:$F$535,'Info utili'!$G$539,BD527:BD535)
+SUMIF($F$537:$F$545,'Info utili'!$G$539,AX537:AX545)
+SUMIF($F$550:$F$611,'Info utili'!$G$539,BC550:BC611)
+SUMIF($F$550:$F$611,'Info utili'!$G$539,BD550:BD611)</f>
        <v>0</v>
      </c>
      <c r="L707" s="1443">
        <v>0</v>
      </c>
      <c r="M707" s="1444">
        <v>0</v>
      </c>
      <c r="N707" s="1445"/>
      <c r="O707" s="1445"/>
      <c r="Q707" s="1317"/>
      <c r="R707" s="1317"/>
      <c r="W707" s="1162"/>
      <c r="AB707" s="1162"/>
      <c r="AF707" s="1162"/>
      <c r="AK707" s="729"/>
      <c r="AL707" s="729"/>
      <c r="AM707" s="729"/>
      <c r="AN707" s="729"/>
      <c r="AO707" s="729"/>
      <c r="AP707" s="729"/>
      <c r="AQ707" s="729"/>
      <c r="AR707" s="729"/>
      <c r="AS707" s="729"/>
      <c r="AT707" s="729"/>
      <c r="AU707" s="729"/>
      <c r="AV707" s="729"/>
    </row>
    <row r="708" spans="2:48" s="39" customFormat="1" outlineLevel="1" x14ac:dyDescent="0.2">
      <c r="B708" s="1733" t="str">
        <f>+Energia!B207</f>
        <v xml:space="preserve">Uso dei prodotto venduti  </v>
      </c>
      <c r="C708" s="1734"/>
      <c r="D708" s="1435">
        <v>18</v>
      </c>
      <c r="E708" s="1441"/>
      <c r="F708" s="1441"/>
      <c r="G708" s="1441"/>
      <c r="H708" s="1441"/>
      <c r="I708" s="1441"/>
      <c r="J708" s="1442"/>
      <c r="K708" s="1443"/>
      <c r="L708" s="1443"/>
      <c r="M708" s="1444"/>
      <c r="N708" s="1445"/>
      <c r="O708" s="1445"/>
      <c r="Q708" s="1317"/>
      <c r="R708" s="1317"/>
      <c r="W708" s="1162"/>
      <c r="AB708" s="1162"/>
      <c r="AF708" s="1162"/>
      <c r="AK708" s="729"/>
      <c r="AL708" s="729"/>
      <c r="AM708" s="729"/>
      <c r="AN708" s="729"/>
      <c r="AO708" s="729"/>
      <c r="AP708" s="729"/>
      <c r="AQ708" s="729"/>
      <c r="AR708" s="729"/>
      <c r="AS708" s="729"/>
      <c r="AT708" s="729"/>
      <c r="AU708" s="729"/>
      <c r="AV708" s="729"/>
    </row>
    <row r="709" spans="2:48" s="39" customFormat="1" outlineLevel="1" x14ac:dyDescent="0.2">
      <c r="B709" s="1733" t="str">
        <f>+Energia!B208</f>
        <v>Fine vita dei prodotti venduti</v>
      </c>
      <c r="C709" s="1734"/>
      <c r="D709" s="1435">
        <v>19</v>
      </c>
      <c r="E709" s="1441"/>
      <c r="F709" s="1441"/>
      <c r="G709" s="1441"/>
      <c r="H709" s="1441"/>
      <c r="I709" s="1441"/>
      <c r="J709" s="1442"/>
      <c r="K709" s="1443"/>
      <c r="L709" s="1443"/>
      <c r="M709" s="1444"/>
      <c r="N709" s="1445"/>
      <c r="O709" s="1445"/>
      <c r="Q709" s="1317"/>
      <c r="R709" s="1317"/>
      <c r="W709" s="1162"/>
      <c r="AB709" s="1162"/>
      <c r="AF709" s="1162"/>
      <c r="AK709" s="729"/>
      <c r="AL709" s="729"/>
      <c r="AM709" s="729"/>
      <c r="AN709" s="729"/>
      <c r="AO709" s="729"/>
      <c r="AP709" s="729"/>
      <c r="AQ709" s="729"/>
      <c r="AR709" s="729"/>
      <c r="AS709" s="729"/>
      <c r="AT709" s="729"/>
      <c r="AU709" s="729"/>
      <c r="AV709" s="729"/>
    </row>
    <row r="710" spans="2:48" s="39" customFormat="1" outlineLevel="1" x14ac:dyDescent="0.2">
      <c r="B710" s="1733" t="str">
        <f>+Energia!B209</f>
        <v xml:space="preserve">Downstream franchises </v>
      </c>
      <c r="C710" s="1734"/>
      <c r="D710" s="1435">
        <v>20</v>
      </c>
      <c r="E710" s="1441"/>
      <c r="F710" s="1441"/>
      <c r="G710" s="1441"/>
      <c r="H710" s="1441"/>
      <c r="I710" s="1441"/>
      <c r="J710" s="1442"/>
      <c r="K710" s="1443"/>
      <c r="L710" s="1443"/>
      <c r="M710" s="1444"/>
      <c r="N710" s="1445"/>
      <c r="O710" s="1445"/>
      <c r="Q710" s="1317"/>
      <c r="R710" s="1317"/>
      <c r="W710" s="1162"/>
      <c r="AB710" s="1162"/>
      <c r="AF710" s="1162"/>
      <c r="AK710" s="729"/>
      <c r="AL710" s="729"/>
      <c r="AM710" s="729"/>
      <c r="AN710" s="729"/>
      <c r="AO710" s="729"/>
      <c r="AP710" s="729"/>
      <c r="AQ710" s="729"/>
      <c r="AR710" s="729"/>
      <c r="AS710" s="729"/>
      <c r="AT710" s="729"/>
      <c r="AU710" s="729"/>
      <c r="AV710" s="729"/>
    </row>
    <row r="711" spans="2:48" s="39" customFormat="1" outlineLevel="1" x14ac:dyDescent="0.2">
      <c r="B711" s="1733" t="str">
        <f>+Energia!B210</f>
        <v>Downstream leased assets</v>
      </c>
      <c r="C711" s="1734"/>
      <c r="D711" s="1435">
        <v>21</v>
      </c>
      <c r="E711" s="1441"/>
      <c r="F711" s="1441"/>
      <c r="G711" s="1441"/>
      <c r="H711" s="1441"/>
      <c r="I711" s="1441"/>
      <c r="J711" s="1442"/>
      <c r="K711" s="1443"/>
      <c r="L711" s="1443"/>
      <c r="M711" s="1444"/>
      <c r="N711" s="1445"/>
      <c r="O711" s="1445"/>
      <c r="Q711" s="1317"/>
      <c r="R711" s="1317"/>
      <c r="W711" s="1162"/>
      <c r="AB711" s="1162"/>
      <c r="AF711" s="1162"/>
      <c r="AK711" s="729"/>
      <c r="AL711" s="729"/>
      <c r="AM711" s="729"/>
      <c r="AN711" s="729"/>
      <c r="AO711" s="729"/>
      <c r="AP711" s="729"/>
      <c r="AQ711" s="729"/>
      <c r="AR711" s="729"/>
      <c r="AS711" s="729"/>
      <c r="AT711" s="729"/>
      <c r="AU711" s="729"/>
      <c r="AV711" s="729"/>
    </row>
    <row r="712" spans="2:48" s="39" customFormat="1" outlineLevel="1" x14ac:dyDescent="0.2">
      <c r="B712" s="1733" t="str">
        <f>+Energia!B211</f>
        <v>Impiegati pendolari</v>
      </c>
      <c r="C712" s="1734"/>
      <c r="D712" s="1435">
        <v>22</v>
      </c>
      <c r="E712" s="1441"/>
      <c r="F712" s="1441"/>
      <c r="G712" s="1441"/>
      <c r="H712" s="1441"/>
      <c r="I712" s="1441"/>
      <c r="J712" s="1442"/>
      <c r="K712" s="1443"/>
      <c r="L712" s="1443"/>
      <c r="M712" s="1444"/>
      <c r="N712" s="1445"/>
      <c r="O712" s="1445"/>
      <c r="Q712" s="1317"/>
      <c r="R712" s="1317"/>
      <c r="W712" s="1162"/>
      <c r="AB712" s="1162"/>
      <c r="AF712" s="1162"/>
      <c r="AK712" s="729"/>
      <c r="AL712" s="729"/>
      <c r="AM712" s="729"/>
      <c r="AN712" s="729"/>
      <c r="AO712" s="729"/>
      <c r="AP712" s="729"/>
      <c r="AQ712" s="729"/>
      <c r="AR712" s="729"/>
      <c r="AS712" s="729"/>
      <c r="AT712" s="729"/>
      <c r="AU712" s="729"/>
      <c r="AV712" s="729"/>
    </row>
    <row r="713" spans="2:48" s="39" customFormat="1" outlineLevel="1" x14ac:dyDescent="0.2">
      <c r="B713" s="1733" t="str">
        <f>+Energia!B212</f>
        <v xml:space="preserve">Altre emissioni indirette </v>
      </c>
      <c r="C713" s="1734"/>
      <c r="D713" s="1435">
        <v>23</v>
      </c>
      <c r="E713" s="1441"/>
      <c r="F713" s="1441"/>
      <c r="G713" s="1441"/>
      <c r="H713" s="1441"/>
      <c r="I713" s="1441"/>
      <c r="J713" s="1442"/>
      <c r="K713" s="1443"/>
      <c r="L713" s="1443"/>
      <c r="M713" s="1444"/>
      <c r="N713" s="1445"/>
      <c r="O713" s="1445"/>
      <c r="Q713" s="1317"/>
      <c r="R713" s="1317"/>
      <c r="W713" s="1162"/>
      <c r="AB713" s="1162"/>
      <c r="AF713" s="1162"/>
      <c r="AK713" s="729"/>
      <c r="AL713" s="729"/>
      <c r="AM713" s="729"/>
      <c r="AN713" s="729"/>
      <c r="AO713" s="729"/>
      <c r="AP713" s="729"/>
      <c r="AQ713" s="729"/>
      <c r="AR713" s="729"/>
      <c r="AS713" s="729"/>
      <c r="AT713" s="729"/>
      <c r="AU713" s="729"/>
      <c r="AV713" s="729"/>
    </row>
    <row r="714" spans="2:48" s="39" customFormat="1" outlineLevel="1" x14ac:dyDescent="0.2">
      <c r="B714" s="1738" t="s">
        <v>96</v>
      </c>
      <c r="C714" s="1738"/>
      <c r="D714" s="1738"/>
      <c r="E714" s="1447">
        <f t="shared" ref="E714:L714" si="244">SUM(E694:E698,E701:E705,E708:E713)</f>
        <v>0</v>
      </c>
      <c r="F714" s="1447">
        <f t="shared" si="244"/>
        <v>0</v>
      </c>
      <c r="G714" s="1447">
        <f t="shared" si="244"/>
        <v>0</v>
      </c>
      <c r="H714" s="1447">
        <f t="shared" si="244"/>
        <v>0</v>
      </c>
      <c r="I714" s="1447">
        <f t="shared" si="244"/>
        <v>0</v>
      </c>
      <c r="J714" s="1447">
        <f t="shared" si="244"/>
        <v>0</v>
      </c>
      <c r="K714" s="1448">
        <f t="shared" si="244"/>
        <v>0</v>
      </c>
      <c r="L714" s="1448">
        <f t="shared" si="244"/>
        <v>0</v>
      </c>
      <c r="M714" s="1449">
        <f>SQRT(SUMSQ(M694:M698,M701:M705,M708:M713))</f>
        <v>0</v>
      </c>
      <c r="N714" s="1450">
        <f>SUM(N694:N698,N701:N705,N708:N713)</f>
        <v>0</v>
      </c>
      <c r="O714" s="1450">
        <f>SUM(O694:O698,O701:O705,O708:O713)</f>
        <v>0</v>
      </c>
      <c r="Q714" s="1317"/>
      <c r="R714" s="1317"/>
      <c r="W714" s="1162"/>
      <c r="AB714" s="1162"/>
      <c r="AF714" s="1162"/>
      <c r="AK714" s="729"/>
      <c r="AL714" s="729"/>
      <c r="AM714" s="729"/>
      <c r="AN714" s="729"/>
      <c r="AO714" s="729"/>
      <c r="AP714" s="729"/>
      <c r="AQ714" s="729"/>
      <c r="AR714" s="729"/>
      <c r="AS714" s="729"/>
      <c r="AT714" s="729"/>
      <c r="AU714" s="729"/>
      <c r="AV714" s="729"/>
    </row>
    <row r="715" spans="2:48" s="39" customFormat="1" ht="12" outlineLevel="1" x14ac:dyDescent="0.2">
      <c r="Q715" s="1317"/>
      <c r="R715" s="1317"/>
      <c r="W715" s="1162"/>
      <c r="AB715" s="1162"/>
      <c r="AF715" s="1162"/>
      <c r="AK715" s="729"/>
      <c r="AL715" s="729"/>
      <c r="AM715" s="729"/>
      <c r="AN715" s="729"/>
      <c r="AO715" s="729"/>
      <c r="AP715" s="729"/>
      <c r="AQ715" s="729"/>
      <c r="AR715" s="729"/>
      <c r="AS715" s="729"/>
      <c r="AT715" s="729"/>
      <c r="AU715" s="729"/>
      <c r="AV715" s="729"/>
    </row>
    <row r="717" spans="2:48" ht="17" x14ac:dyDescent="0.2">
      <c r="B717" s="1649" t="s">
        <v>2768</v>
      </c>
    </row>
    <row r="718" spans="2:48" ht="17" x14ac:dyDescent="0.2">
      <c r="B718" s="1649" t="s">
        <v>2769</v>
      </c>
    </row>
    <row r="719" spans="2:48" ht="17" x14ac:dyDescent="0.2">
      <c r="B719" s="1650" t="s">
        <v>2770</v>
      </c>
    </row>
    <row r="720" spans="2:48" ht="16" x14ac:dyDescent="0.2">
      <c r="B720" s="1651" t="s">
        <v>2771</v>
      </c>
    </row>
    <row r="721" spans="2:2" ht="17" x14ac:dyDescent="0.2">
      <c r="B721" s="1649" t="s">
        <v>2772</v>
      </c>
    </row>
  </sheetData>
  <mergeCells count="727">
    <mergeCell ref="BC350:BD350"/>
    <mergeCell ref="BA350:BB350"/>
    <mergeCell ref="AW350:AX350"/>
    <mergeCell ref="BH449:BJ449"/>
    <mergeCell ref="BH477:BJ477"/>
    <mergeCell ref="BE449:BG449"/>
    <mergeCell ref="BE429:BG429"/>
    <mergeCell ref="BA383:BB383"/>
    <mergeCell ref="AS391:BD391"/>
    <mergeCell ref="AU383:AV383"/>
    <mergeCell ref="AS429:BD429"/>
    <mergeCell ref="AS447:BJ447"/>
    <mergeCell ref="BA417:BB417"/>
    <mergeCell ref="AS428:BJ428"/>
    <mergeCell ref="BC417:BD417"/>
    <mergeCell ref="AS383:AT383"/>
    <mergeCell ref="AS415:BD415"/>
    <mergeCell ref="AY477:BA477"/>
    <mergeCell ref="BB477:BD477"/>
    <mergeCell ref="BE477:BG477"/>
    <mergeCell ref="BE476:BG476"/>
    <mergeCell ref="BH430:BJ430"/>
    <mergeCell ref="AF11:AM11"/>
    <mergeCell ref="AF24:AQ24"/>
    <mergeCell ref="D4:E4"/>
    <mergeCell ref="F4:G4"/>
    <mergeCell ref="H4:I4"/>
    <mergeCell ref="J4:K4"/>
    <mergeCell ref="D5:E5"/>
    <mergeCell ref="F5:G5"/>
    <mergeCell ref="H5:I5"/>
    <mergeCell ref="J5:K5"/>
    <mergeCell ref="H6:I6"/>
    <mergeCell ref="J6:K6"/>
    <mergeCell ref="D6:E6"/>
    <mergeCell ref="F6:G6"/>
    <mergeCell ref="D7:E7"/>
    <mergeCell ref="F7:G7"/>
    <mergeCell ref="H7:I7"/>
    <mergeCell ref="L7:M7"/>
    <mergeCell ref="J7:K7"/>
    <mergeCell ref="BC605:BD605"/>
    <mergeCell ref="AU605:AV605"/>
    <mergeCell ref="BA565:BB565"/>
    <mergeCell ref="AS537:AX537"/>
    <mergeCell ref="AS564:AZ564"/>
    <mergeCell ref="AY575:AZ575"/>
    <mergeCell ref="AS563:BD563"/>
    <mergeCell ref="AW595:AX595"/>
    <mergeCell ref="AY595:AZ595"/>
    <mergeCell ref="AS604:AZ604"/>
    <mergeCell ref="AS603:BD603"/>
    <mergeCell ref="AS595:AT595"/>
    <mergeCell ref="BA605:BB605"/>
    <mergeCell ref="AU595:AV595"/>
    <mergeCell ref="AS551:AZ551"/>
    <mergeCell ref="AU575:AV575"/>
    <mergeCell ref="AW575:AX575"/>
    <mergeCell ref="BC565:BD565"/>
    <mergeCell ref="AU565:AV565"/>
    <mergeCell ref="BA575:BB575"/>
    <mergeCell ref="BC595:BD595"/>
    <mergeCell ref="BA585:BB585"/>
    <mergeCell ref="BA594:BB594"/>
    <mergeCell ref="AS573:BD573"/>
    <mergeCell ref="AW605:AX605"/>
    <mergeCell ref="AY605:AZ605"/>
    <mergeCell ref="AS605:AT605"/>
    <mergeCell ref="AF537:AI537"/>
    <mergeCell ref="AF563:AO563"/>
    <mergeCell ref="BA595:BB595"/>
    <mergeCell ref="AS529:AT529"/>
    <mergeCell ref="AS594:AZ594"/>
    <mergeCell ref="AS584:AZ584"/>
    <mergeCell ref="BA552:BB552"/>
    <mergeCell ref="AS565:AT565"/>
    <mergeCell ref="AY585:AZ585"/>
    <mergeCell ref="AY529:AZ529"/>
    <mergeCell ref="AW585:AX585"/>
    <mergeCell ref="AS552:AT552"/>
    <mergeCell ref="BA574:BB574"/>
    <mergeCell ref="AS585:AT585"/>
    <mergeCell ref="BA551:BB551"/>
    <mergeCell ref="AW552:AX552"/>
    <mergeCell ref="AS575:AT575"/>
    <mergeCell ref="AS574:AZ574"/>
    <mergeCell ref="AS593:BD593"/>
    <mergeCell ref="AS583:BD583"/>
    <mergeCell ref="AS539:AV539"/>
    <mergeCell ref="AW565:AX565"/>
    <mergeCell ref="AY565:AZ565"/>
    <mergeCell ref="AS550:BD550"/>
    <mergeCell ref="X488:AC488"/>
    <mergeCell ref="AF511:AI511"/>
    <mergeCell ref="X519:Z519"/>
    <mergeCell ref="BH490:BJ490"/>
    <mergeCell ref="BA604:BB604"/>
    <mergeCell ref="AY500:BA500"/>
    <mergeCell ref="BB500:BD500"/>
    <mergeCell ref="AV490:AX490"/>
    <mergeCell ref="AY552:AZ552"/>
    <mergeCell ref="AU585:AV585"/>
    <mergeCell ref="AS521:AV521"/>
    <mergeCell ref="AS511:AX511"/>
    <mergeCell ref="AS519:AX519"/>
    <mergeCell ref="AS527:BD527"/>
    <mergeCell ref="AU529:AV529"/>
    <mergeCell ref="AW529:AX529"/>
    <mergeCell ref="BC575:BD575"/>
    <mergeCell ref="BC529:BD529"/>
    <mergeCell ref="BC585:BD585"/>
    <mergeCell ref="BA584:BB584"/>
    <mergeCell ref="AU552:AV552"/>
    <mergeCell ref="AS200:AZ200"/>
    <mergeCell ref="AY201:AZ201"/>
    <mergeCell ref="AS201:AT201"/>
    <mergeCell ref="BC201:BD201"/>
    <mergeCell ref="AS215:AT215"/>
    <mergeCell ref="AS350:AT350"/>
    <mergeCell ref="AY350:AZ350"/>
    <mergeCell ref="BB228:BD228"/>
    <mergeCell ref="AS228:AU228"/>
    <mergeCell ref="AV228:AX228"/>
    <mergeCell ref="AY228:BA228"/>
    <mergeCell ref="AS214:AZ214"/>
    <mergeCell ref="AS227:BD227"/>
    <mergeCell ref="AS226:BJ226"/>
    <mergeCell ref="AS326:AZ326"/>
    <mergeCell ref="AS337:AV337"/>
    <mergeCell ref="BH228:BJ228"/>
    <mergeCell ref="BE246:BG246"/>
    <mergeCell ref="BE247:BG247"/>
    <mergeCell ref="BH275:BJ275"/>
    <mergeCell ref="BE275:BG275"/>
    <mergeCell ref="BH288:BJ288"/>
    <mergeCell ref="AU201:AV201"/>
    <mergeCell ref="AS213:BD213"/>
    <mergeCell ref="AF603:AO603"/>
    <mergeCell ref="AF550:AM550"/>
    <mergeCell ref="AF226:AQ226"/>
    <mergeCell ref="AS382:AZ382"/>
    <mergeCell ref="AV477:AX477"/>
    <mergeCell ref="AS403:AT403"/>
    <mergeCell ref="AS417:AT417"/>
    <mergeCell ref="AY403:AZ403"/>
    <mergeCell ref="AS402:AZ402"/>
    <mergeCell ref="AV430:AX430"/>
    <mergeCell ref="AF296:AQ296"/>
    <mergeCell ref="AS362:AZ362"/>
    <mergeCell ref="AS381:BD381"/>
    <mergeCell ref="AY373:AZ373"/>
    <mergeCell ref="BA373:BB373"/>
    <mergeCell ref="AS371:BD371"/>
    <mergeCell ref="AW403:AX403"/>
    <mergeCell ref="BA382:BB382"/>
    <mergeCell ref="AV288:AX288"/>
    <mergeCell ref="BA416:BB416"/>
    <mergeCell ref="AY430:BA430"/>
    <mergeCell ref="AS430:AU430"/>
    <mergeCell ref="AY363:AZ363"/>
    <mergeCell ref="AS361:BD361"/>
    <mergeCell ref="B637:C637"/>
    <mergeCell ref="B618:C619"/>
    <mergeCell ref="D618:F618"/>
    <mergeCell ref="H595:I595"/>
    <mergeCell ref="B623:C623"/>
    <mergeCell ref="H618:I618"/>
    <mergeCell ref="K618:L618"/>
    <mergeCell ref="B620:C620"/>
    <mergeCell ref="B624:C624"/>
    <mergeCell ref="B625:C625"/>
    <mergeCell ref="B626:C626"/>
    <mergeCell ref="B628:C628"/>
    <mergeCell ref="H605:I605"/>
    <mergeCell ref="B627:C627"/>
    <mergeCell ref="B621:C621"/>
    <mergeCell ref="B622:C622"/>
    <mergeCell ref="AS488:BJ488"/>
    <mergeCell ref="M564:N564"/>
    <mergeCell ref="N490:O490"/>
    <mergeCell ref="B548:O548"/>
    <mergeCell ref="H500:J500"/>
    <mergeCell ref="H477:J477"/>
    <mergeCell ref="AF415:AM415"/>
    <mergeCell ref="AF391:AO391"/>
    <mergeCell ref="AF381:AO381"/>
    <mergeCell ref="AF519:AI519"/>
    <mergeCell ref="AS500:AU500"/>
    <mergeCell ref="AV500:AX500"/>
    <mergeCell ref="AS392:AZ392"/>
    <mergeCell ref="BC393:BD393"/>
    <mergeCell ref="AS401:BD401"/>
    <mergeCell ref="BA402:BB402"/>
    <mergeCell ref="BA392:BB392"/>
    <mergeCell ref="BC383:BD383"/>
    <mergeCell ref="AW383:AX383"/>
    <mergeCell ref="AY383:AZ383"/>
    <mergeCell ref="AY393:AZ393"/>
    <mergeCell ref="BA393:BB393"/>
    <mergeCell ref="AU393:AV393"/>
    <mergeCell ref="AS393:AT393"/>
    <mergeCell ref="H585:I585"/>
    <mergeCell ref="H552:I552"/>
    <mergeCell ref="H529:I529"/>
    <mergeCell ref="H565:I565"/>
    <mergeCell ref="K565:L565"/>
    <mergeCell ref="M574:N574"/>
    <mergeCell ref="N552:O552"/>
    <mergeCell ref="N529:O529"/>
    <mergeCell ref="X550:AB550"/>
    <mergeCell ref="X583:AC583"/>
    <mergeCell ref="H575:I575"/>
    <mergeCell ref="K575:L575"/>
    <mergeCell ref="BA564:BB564"/>
    <mergeCell ref="BA529:BB529"/>
    <mergeCell ref="BA528:BB528"/>
    <mergeCell ref="AS528:AZ528"/>
    <mergeCell ref="AS489:BD489"/>
    <mergeCell ref="AS498:BJ498"/>
    <mergeCell ref="BE499:BG499"/>
    <mergeCell ref="BH500:BJ500"/>
    <mergeCell ref="X537:Z537"/>
    <mergeCell ref="X563:AC563"/>
    <mergeCell ref="AS513:AV513"/>
    <mergeCell ref="AS499:BD499"/>
    <mergeCell ref="BC552:BD552"/>
    <mergeCell ref="BE489:BG489"/>
    <mergeCell ref="BB490:BD490"/>
    <mergeCell ref="BE500:BG500"/>
    <mergeCell ref="BE490:BG490"/>
    <mergeCell ref="AS490:AU490"/>
    <mergeCell ref="AY490:BA490"/>
    <mergeCell ref="M382:N382"/>
    <mergeCell ref="X415:AB415"/>
    <mergeCell ref="AY247:BA247"/>
    <mergeCell ref="N288:O288"/>
    <mergeCell ref="N327:O327"/>
    <mergeCell ref="AS325:BD325"/>
    <mergeCell ref="P247:R247"/>
    <mergeCell ref="AV247:AX247"/>
    <mergeCell ref="AV275:AX275"/>
    <mergeCell ref="AY275:BA275"/>
    <mergeCell ref="X296:AD296"/>
    <mergeCell ref="BB275:BD275"/>
    <mergeCell ref="AW327:AX327"/>
    <mergeCell ref="AF286:AO286"/>
    <mergeCell ref="AS273:BJ273"/>
    <mergeCell ref="BA327:BB327"/>
    <mergeCell ref="AY298:BA298"/>
    <mergeCell ref="BB298:BD298"/>
    <mergeCell ref="BA403:BB403"/>
    <mergeCell ref="AW363:AX363"/>
    <mergeCell ref="BC373:BD373"/>
    <mergeCell ref="BA326:BB326"/>
    <mergeCell ref="AU373:AV373"/>
    <mergeCell ref="AW393:AX393"/>
    <mergeCell ref="P430:Q430"/>
    <mergeCell ref="P476:Q476"/>
    <mergeCell ref="BE430:BG430"/>
    <mergeCell ref="AS477:AU477"/>
    <mergeCell ref="P449:R449"/>
    <mergeCell ref="BB430:BD430"/>
    <mergeCell ref="X286:AC286"/>
    <mergeCell ref="X348:AB348"/>
    <mergeCell ref="AF348:AM348"/>
    <mergeCell ref="AF335:AI335"/>
    <mergeCell ref="X309:Z309"/>
    <mergeCell ref="X325:AB325"/>
    <mergeCell ref="AF325:AM325"/>
    <mergeCell ref="AF361:AO361"/>
    <mergeCell ref="AS373:AT373"/>
    <mergeCell ref="X371:AC371"/>
    <mergeCell ref="X361:AC361"/>
    <mergeCell ref="AS372:AZ372"/>
    <mergeCell ref="AU327:AV327"/>
    <mergeCell ref="AV298:AX298"/>
    <mergeCell ref="X317:Z317"/>
    <mergeCell ref="AF317:AI317"/>
    <mergeCell ref="Q327:R327"/>
    <mergeCell ref="BB449:BD449"/>
    <mergeCell ref="BA349:BB349"/>
    <mergeCell ref="AW373:AX373"/>
    <mergeCell ref="AS311:AV311"/>
    <mergeCell ref="AS309:AX309"/>
    <mergeCell ref="BA372:BB372"/>
    <mergeCell ref="X335:Z335"/>
    <mergeCell ref="S227:T227"/>
    <mergeCell ref="AS246:BD246"/>
    <mergeCell ref="BB247:BD247"/>
    <mergeCell ref="AS245:BJ245"/>
    <mergeCell ref="AS335:AX335"/>
    <mergeCell ref="AY327:AZ327"/>
    <mergeCell ref="AS317:AX317"/>
    <mergeCell ref="AU350:AV350"/>
    <mergeCell ref="BC363:BD363"/>
    <mergeCell ref="AS363:AT363"/>
    <mergeCell ref="BA363:BB363"/>
    <mergeCell ref="AS348:BD348"/>
    <mergeCell ref="AS349:AZ349"/>
    <mergeCell ref="BE288:BG288"/>
    <mergeCell ref="BA362:BB362"/>
    <mergeCell ref="AU363:AV363"/>
    <mergeCell ref="BH298:BJ298"/>
    <mergeCell ref="AS319:AV319"/>
    <mergeCell ref="Q417:R417"/>
    <mergeCell ref="AU181:AV181"/>
    <mergeCell ref="AS181:AT181"/>
    <mergeCell ref="X391:AC391"/>
    <mergeCell ref="X381:AC381"/>
    <mergeCell ref="X226:AD226"/>
    <mergeCell ref="H215:I215"/>
    <mergeCell ref="H201:I201"/>
    <mergeCell ref="AU403:AV403"/>
    <mergeCell ref="AS191:AT191"/>
    <mergeCell ref="AU191:AV191"/>
    <mergeCell ref="AS189:BD189"/>
    <mergeCell ref="BA190:BB190"/>
    <mergeCell ref="BC191:BD191"/>
    <mergeCell ref="AS288:AU288"/>
    <mergeCell ref="AF309:AI309"/>
    <mergeCell ref="AS327:AT327"/>
    <mergeCell ref="BC327:BD327"/>
    <mergeCell ref="X273:AD273"/>
    <mergeCell ref="BC215:BD215"/>
    <mergeCell ref="AS274:BD274"/>
    <mergeCell ref="AS247:AU247"/>
    <mergeCell ref="Q350:R350"/>
    <mergeCell ref="AF371:AO371"/>
    <mergeCell ref="Q618:T618"/>
    <mergeCell ref="K585:L585"/>
    <mergeCell ref="M594:N594"/>
    <mergeCell ref="J604:K604"/>
    <mergeCell ref="Q529:R529"/>
    <mergeCell ref="T448:U448"/>
    <mergeCell ref="S429:T429"/>
    <mergeCell ref="AF583:AO583"/>
    <mergeCell ref="X593:AC593"/>
    <mergeCell ref="X603:AC603"/>
    <mergeCell ref="AF593:AO593"/>
    <mergeCell ref="X498:AD498"/>
    <mergeCell ref="AF498:AQ498"/>
    <mergeCell ref="X527:AB527"/>
    <mergeCell ref="AF527:AM527"/>
    <mergeCell ref="X511:Z511"/>
    <mergeCell ref="AF488:AO488"/>
    <mergeCell ref="L477:N477"/>
    <mergeCell ref="Q490:R490"/>
    <mergeCell ref="Q552:R552"/>
    <mergeCell ref="J449:K449"/>
    <mergeCell ref="X573:AC573"/>
    <mergeCell ref="M584:N584"/>
    <mergeCell ref="AF573:AO573"/>
    <mergeCell ref="AW13:AX13"/>
    <mergeCell ref="AY13:AZ13"/>
    <mergeCell ref="AS148:AT148"/>
    <mergeCell ref="AW148:AX148"/>
    <mergeCell ref="AY148:AZ148"/>
    <mergeCell ref="BA148:BB148"/>
    <mergeCell ref="AS115:AX115"/>
    <mergeCell ref="AW125:AX125"/>
    <mergeCell ref="AY125:AZ125"/>
    <mergeCell ref="BA125:BB125"/>
    <mergeCell ref="AS124:AZ124"/>
    <mergeCell ref="AS94:BJ94"/>
    <mergeCell ref="BE86:BG86"/>
    <mergeCell ref="AS86:AU86"/>
    <mergeCell ref="AV86:AX86"/>
    <mergeCell ref="BA147:BB147"/>
    <mergeCell ref="AS147:AZ147"/>
    <mergeCell ref="AS135:AV135"/>
    <mergeCell ref="AS146:BD146"/>
    <mergeCell ref="BC148:BD148"/>
    <mergeCell ref="BB86:BD86"/>
    <mergeCell ref="AS25:BD25"/>
    <mergeCell ref="AS26:AU26"/>
    <mergeCell ref="AS44:BD44"/>
    <mergeCell ref="AS84:BJ84"/>
    <mergeCell ref="AF133:AI133"/>
    <mergeCell ref="AF94:AQ94"/>
    <mergeCell ref="AF123:AM123"/>
    <mergeCell ref="BH96:BJ96"/>
    <mergeCell ref="AV96:AX96"/>
    <mergeCell ref="AY96:BA96"/>
    <mergeCell ref="BB96:BD96"/>
    <mergeCell ref="AF115:AI115"/>
    <mergeCell ref="BE95:BG95"/>
    <mergeCell ref="BC125:BD125"/>
    <mergeCell ref="AY86:BA86"/>
    <mergeCell ref="BE96:BG96"/>
    <mergeCell ref="AS133:AX133"/>
    <mergeCell ref="AS96:AU96"/>
    <mergeCell ref="AS95:BD95"/>
    <mergeCell ref="AS123:BD123"/>
    <mergeCell ref="AS117:AV117"/>
    <mergeCell ref="AS109:AV109"/>
    <mergeCell ref="BA124:BB124"/>
    <mergeCell ref="AU125:AV125"/>
    <mergeCell ref="AF107:AI107"/>
    <mergeCell ref="AS125:AT125"/>
    <mergeCell ref="M170:N170"/>
    <mergeCell ref="P45:R45"/>
    <mergeCell ref="S25:T25"/>
    <mergeCell ref="X43:AD43"/>
    <mergeCell ref="X133:Z133"/>
    <mergeCell ref="X159:AC159"/>
    <mergeCell ref="T44:U44"/>
    <mergeCell ref="P72:Q72"/>
    <mergeCell ref="K125:L125"/>
    <mergeCell ref="B105:O105"/>
    <mergeCell ref="H26:I26"/>
    <mergeCell ref="H86:I86"/>
    <mergeCell ref="K86:L86"/>
    <mergeCell ref="J25:K25"/>
    <mergeCell ref="H73:J73"/>
    <mergeCell ref="J26:K26"/>
    <mergeCell ref="J45:K45"/>
    <mergeCell ref="H44:I44"/>
    <mergeCell ref="J44:K44"/>
    <mergeCell ref="H25:I25"/>
    <mergeCell ref="L73:N73"/>
    <mergeCell ref="H148:I148"/>
    <mergeCell ref="H161:I161"/>
    <mergeCell ref="K161:L161"/>
    <mergeCell ref="B2:O2"/>
    <mergeCell ref="B9:O9"/>
    <mergeCell ref="P26:Q26"/>
    <mergeCell ref="X71:AD71"/>
    <mergeCell ref="X24:AD24"/>
    <mergeCell ref="X11:AB11"/>
    <mergeCell ref="B144:O144"/>
    <mergeCell ref="B82:O82"/>
    <mergeCell ref="N86:O86"/>
    <mergeCell ref="Q125:R125"/>
    <mergeCell ref="H125:I125"/>
    <mergeCell ref="K13:L13"/>
    <mergeCell ref="H45:I45"/>
    <mergeCell ref="H13:I13"/>
    <mergeCell ref="N13:O13"/>
    <mergeCell ref="Q13:R13"/>
    <mergeCell ref="N125:O125"/>
    <mergeCell ref="H96:J96"/>
    <mergeCell ref="AS11:BD11"/>
    <mergeCell ref="BE25:BG25"/>
    <mergeCell ref="BH26:BJ26"/>
    <mergeCell ref="BE26:BG26"/>
    <mergeCell ref="BE44:BG44"/>
    <mergeCell ref="AS43:BJ43"/>
    <mergeCell ref="BH73:BJ73"/>
    <mergeCell ref="AF43:AQ43"/>
    <mergeCell ref="AF71:AQ71"/>
    <mergeCell ref="AY45:BA45"/>
    <mergeCell ref="BB45:BD45"/>
    <mergeCell ref="BB73:BD73"/>
    <mergeCell ref="AS45:AU45"/>
    <mergeCell ref="BA12:BB12"/>
    <mergeCell ref="AS12:AZ12"/>
    <mergeCell ref="BB26:BD26"/>
    <mergeCell ref="BA13:BB13"/>
    <mergeCell ref="AS13:AT13"/>
    <mergeCell ref="BC13:BD13"/>
    <mergeCell ref="AU13:AV13"/>
    <mergeCell ref="AY26:BA26"/>
    <mergeCell ref="AV45:AX45"/>
    <mergeCell ref="AS73:AU73"/>
    <mergeCell ref="AV73:AX73"/>
    <mergeCell ref="AS24:BJ24"/>
    <mergeCell ref="Q86:R86"/>
    <mergeCell ref="BE85:BG85"/>
    <mergeCell ref="BH86:BJ86"/>
    <mergeCell ref="BE45:BG45"/>
    <mergeCell ref="BE73:BG73"/>
    <mergeCell ref="AS85:BD85"/>
    <mergeCell ref="X94:AD94"/>
    <mergeCell ref="X169:AC169"/>
    <mergeCell ref="X107:Z107"/>
    <mergeCell ref="X84:AC84"/>
    <mergeCell ref="X115:Z115"/>
    <mergeCell ref="Q148:R148"/>
    <mergeCell ref="AS107:AX107"/>
    <mergeCell ref="X146:AB146"/>
    <mergeCell ref="X123:AB123"/>
    <mergeCell ref="AF146:AM146"/>
    <mergeCell ref="AY73:BA73"/>
    <mergeCell ref="AS72:BD72"/>
    <mergeCell ref="AS71:BJ71"/>
    <mergeCell ref="BE72:BG72"/>
    <mergeCell ref="BH45:BJ45"/>
    <mergeCell ref="AV26:AX26"/>
    <mergeCell ref="AF84:AO84"/>
    <mergeCell ref="AU148:AV148"/>
    <mergeCell ref="BA181:BB181"/>
    <mergeCell ref="AS179:BD179"/>
    <mergeCell ref="K148:L148"/>
    <mergeCell ref="K215:L215"/>
    <mergeCell ref="B211:O211"/>
    <mergeCell ref="AS159:BD159"/>
    <mergeCell ref="BE227:BG227"/>
    <mergeCell ref="Q215:R215"/>
    <mergeCell ref="X213:AB213"/>
    <mergeCell ref="BA161:BB161"/>
    <mergeCell ref="BA160:BB160"/>
    <mergeCell ref="BC161:BD161"/>
    <mergeCell ref="AY161:AZ161"/>
    <mergeCell ref="AW161:AX161"/>
    <mergeCell ref="BA191:BB191"/>
    <mergeCell ref="AW191:AX191"/>
    <mergeCell ref="AY191:AZ191"/>
    <mergeCell ref="AS169:BD169"/>
    <mergeCell ref="BA180:BB180"/>
    <mergeCell ref="M180:N180"/>
    <mergeCell ref="M190:N190"/>
    <mergeCell ref="N148:O148"/>
    <mergeCell ref="M160:N160"/>
    <mergeCell ref="BC171:BD171"/>
    <mergeCell ref="AS170:AZ170"/>
    <mergeCell ref="X179:AC179"/>
    <mergeCell ref="AF159:AO159"/>
    <mergeCell ref="X189:AC189"/>
    <mergeCell ref="AF199:AO199"/>
    <mergeCell ref="AF189:AO189"/>
    <mergeCell ref="AF169:AO169"/>
    <mergeCell ref="AF179:AO179"/>
    <mergeCell ref="BA171:BB171"/>
    <mergeCell ref="AY171:AZ171"/>
    <mergeCell ref="AW181:AX181"/>
    <mergeCell ref="AY181:AZ181"/>
    <mergeCell ref="AS161:AT161"/>
    <mergeCell ref="AS160:AZ160"/>
    <mergeCell ref="AS171:AT171"/>
    <mergeCell ref="AS199:BD199"/>
    <mergeCell ref="X199:AC199"/>
    <mergeCell ref="BC181:BD181"/>
    <mergeCell ref="AS190:AZ190"/>
    <mergeCell ref="AU171:AV171"/>
    <mergeCell ref="AS180:AZ180"/>
    <mergeCell ref="BA170:BB170"/>
    <mergeCell ref="H171:I171"/>
    <mergeCell ref="J227:K227"/>
    <mergeCell ref="J246:K246"/>
    <mergeCell ref="AW171:AX171"/>
    <mergeCell ref="AU161:AV161"/>
    <mergeCell ref="BA214:BB214"/>
    <mergeCell ref="K171:L171"/>
    <mergeCell ref="K181:L181"/>
    <mergeCell ref="AU215:AV215"/>
    <mergeCell ref="BA215:BB215"/>
    <mergeCell ref="AW201:AX201"/>
    <mergeCell ref="BA200:BB200"/>
    <mergeCell ref="BA201:BB201"/>
    <mergeCell ref="AF213:AM213"/>
    <mergeCell ref="AW215:AX215"/>
    <mergeCell ref="AY215:AZ215"/>
    <mergeCell ref="K191:L191"/>
    <mergeCell ref="H181:I181"/>
    <mergeCell ref="X245:AD245"/>
    <mergeCell ref="T246:U246"/>
    <mergeCell ref="AF245:AQ245"/>
    <mergeCell ref="J200:K200"/>
    <mergeCell ref="H191:I191"/>
    <mergeCell ref="N215:O215"/>
    <mergeCell ref="P228:Q228"/>
    <mergeCell ref="P274:Q274"/>
    <mergeCell ref="Q288:R288"/>
    <mergeCell ref="AF273:AQ273"/>
    <mergeCell ref="AS298:AU298"/>
    <mergeCell ref="BE228:BG228"/>
    <mergeCell ref="BH247:BJ247"/>
    <mergeCell ref="H247:I247"/>
    <mergeCell ref="J247:K247"/>
    <mergeCell ref="BE298:BG298"/>
    <mergeCell ref="AS296:BJ296"/>
    <mergeCell ref="AS297:BD297"/>
    <mergeCell ref="BE297:BG297"/>
    <mergeCell ref="BE274:BG274"/>
    <mergeCell ref="AY288:BA288"/>
    <mergeCell ref="AS286:BJ286"/>
    <mergeCell ref="BE287:BG287"/>
    <mergeCell ref="BB288:BD288"/>
    <mergeCell ref="AS287:BD287"/>
    <mergeCell ref="AS275:AU275"/>
    <mergeCell ref="H227:I227"/>
    <mergeCell ref="K288:L288"/>
    <mergeCell ref="H228:I228"/>
    <mergeCell ref="J228:K228"/>
    <mergeCell ref="H246:I246"/>
    <mergeCell ref="H373:I373"/>
    <mergeCell ref="K373:L373"/>
    <mergeCell ref="K363:L363"/>
    <mergeCell ref="H327:I327"/>
    <mergeCell ref="K327:L327"/>
    <mergeCell ref="K350:L350"/>
    <mergeCell ref="H363:I363"/>
    <mergeCell ref="H288:I288"/>
    <mergeCell ref="B284:O284"/>
    <mergeCell ref="B307:O307"/>
    <mergeCell ref="H350:I350"/>
    <mergeCell ref="N350:O350"/>
    <mergeCell ref="H298:J298"/>
    <mergeCell ref="B346:O346"/>
    <mergeCell ref="H275:J275"/>
    <mergeCell ref="M372:N372"/>
    <mergeCell ref="M362:N362"/>
    <mergeCell ref="L275:N275"/>
    <mergeCell ref="H383:I383"/>
    <mergeCell ref="K383:L383"/>
    <mergeCell ref="K552:L552"/>
    <mergeCell ref="B509:O509"/>
    <mergeCell ref="N417:O417"/>
    <mergeCell ref="B486:O486"/>
    <mergeCell ref="M392:N392"/>
    <mergeCell ref="H393:I393"/>
    <mergeCell ref="K393:L393"/>
    <mergeCell ref="B413:O413"/>
    <mergeCell ref="J402:K402"/>
    <mergeCell ref="H417:I417"/>
    <mergeCell ref="H429:I429"/>
    <mergeCell ref="J429:K429"/>
    <mergeCell ref="K417:L417"/>
    <mergeCell ref="H403:I403"/>
    <mergeCell ref="H490:I490"/>
    <mergeCell ref="H449:I449"/>
    <mergeCell ref="K490:L490"/>
    <mergeCell ref="J430:K430"/>
    <mergeCell ref="K529:L529"/>
    <mergeCell ref="H448:I448"/>
    <mergeCell ref="J448:K448"/>
    <mergeCell ref="H430:I430"/>
    <mergeCell ref="B640:C640"/>
    <mergeCell ref="B643:O643"/>
    <mergeCell ref="B648:C648"/>
    <mergeCell ref="K595:L595"/>
    <mergeCell ref="B616:O616"/>
    <mergeCell ref="B664:C664"/>
    <mergeCell ref="B665:C665"/>
    <mergeCell ref="B666:C666"/>
    <mergeCell ref="B667:O667"/>
    <mergeCell ref="B649:C649"/>
    <mergeCell ref="B650:C650"/>
    <mergeCell ref="B651:D651"/>
    <mergeCell ref="B652:C652"/>
    <mergeCell ref="E645:N645"/>
    <mergeCell ref="B646:C646"/>
    <mergeCell ref="B647:C647"/>
    <mergeCell ref="B639:C639"/>
    <mergeCell ref="B629:C629"/>
    <mergeCell ref="B630:C630"/>
    <mergeCell ref="B631:C631"/>
    <mergeCell ref="B632:C632"/>
    <mergeCell ref="B635:C635"/>
    <mergeCell ref="B636:C636"/>
    <mergeCell ref="B638:C638"/>
    <mergeCell ref="B701:C701"/>
    <mergeCell ref="B699:C699"/>
    <mergeCell ref="B700:C700"/>
    <mergeCell ref="B681:O681"/>
    <mergeCell ref="E683:M683"/>
    <mergeCell ref="B684:C684"/>
    <mergeCell ref="B685:C685"/>
    <mergeCell ref="O685:O690"/>
    <mergeCell ref="B686:C686"/>
    <mergeCell ref="B691:C691"/>
    <mergeCell ref="B692:C692"/>
    <mergeCell ref="B693:D693"/>
    <mergeCell ref="B694:C694"/>
    <mergeCell ref="B695:C695"/>
    <mergeCell ref="B696:C696"/>
    <mergeCell ref="B697:C697"/>
    <mergeCell ref="B675:C675"/>
    <mergeCell ref="B676:C676"/>
    <mergeCell ref="B677:C677"/>
    <mergeCell ref="B678:D678"/>
    <mergeCell ref="B674:C674"/>
    <mergeCell ref="B698:C698"/>
    <mergeCell ref="B687:C687"/>
    <mergeCell ref="B688:C688"/>
    <mergeCell ref="B689:C689"/>
    <mergeCell ref="B690:D690"/>
    <mergeCell ref="B673:C673"/>
    <mergeCell ref="B670:C670"/>
    <mergeCell ref="B669:C669"/>
    <mergeCell ref="B653:C653"/>
    <mergeCell ref="B654:D654"/>
    <mergeCell ref="B655:O655"/>
    <mergeCell ref="B656:C656"/>
    <mergeCell ref="B657:C657"/>
    <mergeCell ref="B658:C658"/>
    <mergeCell ref="B659:C659"/>
    <mergeCell ref="B662:C662"/>
    <mergeCell ref="B663:C663"/>
    <mergeCell ref="B660:C660"/>
    <mergeCell ref="B661:C661"/>
    <mergeCell ref="B668:C668"/>
    <mergeCell ref="B671:C671"/>
    <mergeCell ref="B672:C672"/>
    <mergeCell ref="B714:D714"/>
    <mergeCell ref="B702:C702"/>
    <mergeCell ref="B703:C703"/>
    <mergeCell ref="B704:C704"/>
    <mergeCell ref="B705:C705"/>
    <mergeCell ref="B708:C708"/>
    <mergeCell ref="B709:C709"/>
    <mergeCell ref="B710:C710"/>
    <mergeCell ref="B711:C711"/>
    <mergeCell ref="B712:C712"/>
    <mergeCell ref="B713:C713"/>
    <mergeCell ref="B706:C706"/>
    <mergeCell ref="B707:C707"/>
    <mergeCell ref="X447:AD447"/>
    <mergeCell ref="AF447:AQ447"/>
    <mergeCell ref="X428:AD428"/>
    <mergeCell ref="AF475:AQ475"/>
    <mergeCell ref="X475:AD475"/>
    <mergeCell ref="BC403:BD403"/>
    <mergeCell ref="AF401:AO401"/>
    <mergeCell ref="AS416:AZ416"/>
    <mergeCell ref="AS476:BD476"/>
    <mergeCell ref="AY449:BA449"/>
    <mergeCell ref="AV449:AX449"/>
    <mergeCell ref="AS475:BJ475"/>
    <mergeCell ref="AW417:AX417"/>
    <mergeCell ref="AF428:AQ428"/>
    <mergeCell ref="BE448:BG448"/>
    <mergeCell ref="X401:AC401"/>
    <mergeCell ref="AS449:AU449"/>
    <mergeCell ref="AS448:BD448"/>
    <mergeCell ref="AU417:AV417"/>
    <mergeCell ref="AY417:AZ417"/>
  </mergeCells>
  <phoneticPr fontId="4"/>
  <dataValidations count="16">
    <dataValidation type="list" allowBlank="1" showInputMessage="1" showErrorMessage="1" sqref="B329:B331 B127:B129 B290:B292 B88:B90 B15:B17 B217:B219 B352:B354 B150:B152 B531:B533 B492:B494 B419:B421 B554:B556" xr:uid="{00000000-0002-0000-0500-000000000000}">
      <formula1>combustibles</formula1>
    </dataValidation>
    <dataValidation type="list" allowBlank="1" showInputMessage="1" showErrorMessage="1" sqref="B221:B222 B19:B20 B154:B155 B356:B357 B423:B424 B558:B559" xr:uid="{00000000-0002-0000-0500-000001000000}">
      <formula1>biocombustibles</formula1>
    </dataValidation>
    <dataValidation type="list" allowBlank="1" showInputMessage="1" showErrorMessage="1" sqref="B193:B195 B395:B397 B597:B599" xr:uid="{00000000-0002-0000-0500-000002000000}">
      <formula1>fret_fluvial</formula1>
    </dataValidation>
    <dataValidation type="list" allowBlank="1" showInputMessage="1" showErrorMessage="1" sqref="B203:B205 B405:B407 B607:B609" xr:uid="{00000000-0002-0000-0500-000003000000}">
      <formula1>bassins</formula1>
    </dataValidation>
    <dataValidation type="list" allowBlank="1" showInputMessage="1" showErrorMessage="1" sqref="B339:B341 B137:B139 B541:B543" xr:uid="{00000000-0002-0000-0500-000004000000}">
      <formula1>fret_ferroviaire</formula1>
    </dataValidation>
    <dataValidation type="list" allowBlank="1" showInputMessage="1" showErrorMessage="1" sqref="B163:B165 B365:B367 B567:B569" xr:uid="{00000000-0002-0000-0500-000005000000}">
      <formula1>evp</formula1>
    </dataValidation>
    <dataValidation type="list" allowBlank="1" showInputMessage="1" showErrorMessage="1" sqref="B183:B185 B385:B387 B587:B589" xr:uid="{00000000-0002-0000-0500-000006000000}">
      <formula1>vraquier</formula1>
    </dataValidation>
    <dataValidation type="list" allowBlank="1" showInputMessage="1" showErrorMessage="1" sqref="B300:B302 B98:B100 B502:B504" xr:uid="{00000000-0002-0000-0500-000007000000}">
      <formula1>avion_fret</formula1>
    </dataValidation>
    <dataValidation type="list" allowBlank="1" showInputMessage="1" showErrorMessage="1" sqref="B47:B60 B432:B436 B28:B32 B230:B234 B249:B262 B451:B464" xr:uid="{00000000-0002-0000-0500-000008000000}">
      <formula1>fret_route</formula1>
    </dataValidation>
    <dataValidation type="list" allowBlank="1" showInputMessage="1" showErrorMessage="1" sqref="B277:B279 B75:B77 B479:B481" xr:uid="{00000000-0002-0000-0500-000009000000}">
      <formula1>cycles</formula1>
    </dataValidation>
    <dataValidation type="list" allowBlank="1" showInputMessage="1" showErrorMessage="1" sqref="B375:B377 B173:B175 B577:B579" xr:uid="{00000000-0002-0000-0500-00000A000000}">
      <formula1>cargos</formula1>
    </dataValidation>
    <dataValidation allowBlank="1" showInputMessage="1" showErrorMessage="1" sqref="C203:C210 C699:C700 B34 B465:B466 C10:C14 C617 C3 C7:C8 K5 E4 C607:C615 C660:C661 B236 C212:C216 C620:C642 C706:C707 C405:C412 B438 C414:C418 C680 C716:C65219 B46 B263:B264 C669:C670 C21:C126 C131:C149 C156:C201 C223:C328 C333:C351 C358:C403 C425:C530 C535:C553 C560:C605 B27 B61:B62" xr:uid="{00000000-0002-0000-0500-00000B000000}"/>
    <dataValidation type="list" allowBlank="1" showInputMessage="1" showErrorMessage="1" sqref="F385:F387 F395:F397 F607:F609 F193:F195 F329:F331 F203:F205 F127:F129 F300:F302 F290:F292 F173:F175 F277:F279 F365:F367 F98:F100 F237:F241 F356:F357 F88:F90 F352:F354 F230:F234 F75:F77 F163:F165 F221:F222 F35:F39 F154:F155 F249:F262 F150:F152 F28:F32 F217:F219 F19:F20 F47:F60 F265:F269 F15:F17 F63:F67 F375:F377 F183:F185 F587:F589 F597:F599 F492:F494 F577:F579 F502:F504 F419:F421 F479:F481 F567:F569 F439:F443 F558:F559 F554:F556 F432:F436 F423:F424 F451:F464 F405:F407 F467:F471 F531:F533" xr:uid="{00000000-0002-0000-0500-00000C000000}">
      <formula1>Liste_Fret</formula1>
    </dataValidation>
    <dataValidation type="list" allowBlank="1" showInputMessage="1" showErrorMessage="1" sqref="F339:F341 F137:F139 F541:F543" xr:uid="{00000000-0002-0000-0500-00000D000000}">
      <formula1>Liste_Fret_bis</formula1>
    </dataValidation>
    <dataValidation type="list" allowBlank="1" showInputMessage="1" showErrorMessage="1" sqref="F313 F111 F515" xr:uid="{00000000-0002-0000-0500-00000E000000}">
      <formula1>Liste_Fret_ter</formula1>
    </dataValidation>
    <dataValidation type="list" allowBlank="1" showInputMessage="1" showErrorMessage="1" sqref="B35:B39 B63:B67 B237:B241 B265:B269 B439:B443 B467:B471" xr:uid="{00000000-0002-0000-0500-00000F000000}">
      <formula1>fret_route_basecarbone</formula1>
    </dataValidation>
  </dataValidations>
  <hyperlinks>
    <hyperlink ref="F4" location="fret_aerien_entrant" display="Aérien entrant" xr:uid="{00000000-0004-0000-0500-000000000000}"/>
    <hyperlink ref="H4" location="fret_ferroviaire_entrant" display="Fer entrant" xr:uid="{00000000-0004-0000-0500-000001000000}"/>
    <hyperlink ref="J4" location="fret_maritime_entrant" display="Maritime entrant" xr:uid="{00000000-0004-0000-0500-000002000000}"/>
    <hyperlink ref="D7" location="fret_recap" display="Total" xr:uid="{00000000-0004-0000-0500-000003000000}"/>
    <hyperlink ref="D5" location="fret_routier_interne" display="route interne" xr:uid="{00000000-0004-0000-0500-000004000000}"/>
    <hyperlink ref="D6" location="fret_route_sortant" display="Routier sortant" xr:uid="{00000000-0004-0000-0500-000005000000}"/>
    <hyperlink ref="F6" location="fret_aerien_sortant" display="Aérien sortant" xr:uid="{00000000-0004-0000-0500-000006000000}"/>
    <hyperlink ref="J6" location="fret_maritime_sortant" display="Maritime sortant" xr:uid="{00000000-0004-0000-0500-000007000000}"/>
    <hyperlink ref="F5" location="fret_aerien_interne" display="Aérien interne" xr:uid="{00000000-0004-0000-0500-000008000000}"/>
    <hyperlink ref="H5" location="fret_ferroviaire_interne" display="ferroviaire interne" xr:uid="{00000000-0004-0000-0500-000009000000}"/>
    <hyperlink ref="H6" location="fret_ferroviaire_sortant" display="Ferroviaire sortant" xr:uid="{00000000-0004-0000-0500-00000A000000}"/>
    <hyperlink ref="J5" location="fret_maritime_interne" display="Maritime interne" xr:uid="{00000000-0004-0000-0500-00000B000000}"/>
    <hyperlink ref="J7" location="fret_GHGProtocol" display="GHG Protocol" xr:uid="{00000000-0004-0000-0500-00000C000000}"/>
    <hyperlink ref="L7:M7" location="fret_ISO14069" display="ISO 14069" xr:uid="{00000000-0004-0000-0500-00000D000000}"/>
    <hyperlink ref="B720" r:id="rId1" xr:uid="{00000000-0004-0000-0500-00000E000000}"/>
    <hyperlink ref="B719" r:id="rId2" xr:uid="{00000000-0004-0000-0500-00000F000000}"/>
    <hyperlink ref="D4" location="fret_routier_entrant" display="Routier entrant" xr:uid="{00000000-0004-0000-0500-000010000000}"/>
  </hyperlinks>
  <pageMargins left="0.78740157480314965" right="0.78740157480314965" top="0.98425196850393704" bottom="0.98425196850393704" header="0.51181102362204722" footer="0.51181102362204722"/>
  <pageSetup paperSize="9" orientation="landscape" horizontalDpi="4294967292" verticalDpi="4294967292"/>
  <headerFooter alignWithMargins="0">
    <oddFooter>&amp;LCalcul des émissions de gaz à effet de serre&amp;RRubrique &amp;A, page &amp;P, édité le &amp;D</oddFooter>
  </headerFooter>
  <rowBreaks count="4" manualBreakCount="4">
    <brk id="505" max="16383" man="1"/>
    <brk id="544" max="16383" man="1"/>
    <brk id="609" max="16383" man="1"/>
    <brk id="203" max="16383" man="1"/>
  </rowBreaks>
  <ignoredErrors>
    <ignoredError sqref="D674:D676" twoDigitTextYear="1"/>
  </ignoredErrors>
  <drawing r:id="rId3"/>
  <legacyDrawing r:id="rId4"/>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3">
    <tabColor theme="5"/>
    <outlinePr summaryBelow="0"/>
  </sheetPr>
  <dimension ref="A1:BJ481"/>
  <sheetViews>
    <sheetView showGridLines="0" workbookViewId="0">
      <pane xSplit="3" ySplit="9" topLeftCell="D14" activePane="bottomRight" state="frozenSplit"/>
      <selection pane="topRight" activeCell="E9" sqref="E9"/>
      <selection pane="bottomLeft" activeCell="A10" sqref="A10"/>
      <selection pane="bottomRight" activeCell="B19" sqref="B19"/>
    </sheetView>
  </sheetViews>
  <sheetFormatPr baseColWidth="10" defaultColWidth="10.83203125" defaultRowHeight="13" outlineLevelRow="1" x14ac:dyDescent="0.2"/>
  <cols>
    <col min="1" max="1" width="2.6640625" style="40" customWidth="1"/>
    <col min="2" max="2" width="52.6640625" style="40" customWidth="1"/>
    <col min="3" max="3" width="2.5" style="40" customWidth="1"/>
    <col min="4" max="5" width="12.33203125" style="40" customWidth="1"/>
    <col min="6" max="6" width="15.6640625" style="40" customWidth="1"/>
    <col min="7" max="7" width="13.6640625" style="40" bestFit="1" customWidth="1"/>
    <col min="8" max="9" width="12.33203125" style="40" customWidth="1"/>
    <col min="10" max="10" width="16.83203125" style="40" bestFit="1" customWidth="1"/>
    <col min="11" max="44" width="12.33203125" style="40" customWidth="1"/>
    <col min="45" max="62" width="12.33203125" style="602" customWidth="1"/>
    <col min="63" max="68" width="12.33203125" style="40" customWidth="1"/>
    <col min="69" max="16384" width="10.83203125" style="40"/>
  </cols>
  <sheetData>
    <row r="1" spans="2:62" s="39" customFormat="1" ht="12" x14ac:dyDescent="0.2">
      <c r="AS1" s="729"/>
      <c r="AT1" s="729"/>
      <c r="AU1" s="729"/>
      <c r="AV1" s="729"/>
      <c r="AW1" s="729"/>
      <c r="AX1" s="729"/>
      <c r="AY1" s="729"/>
      <c r="AZ1" s="729"/>
      <c r="BA1" s="729"/>
      <c r="BB1" s="729"/>
      <c r="BC1" s="729"/>
      <c r="BD1" s="729"/>
      <c r="BE1" s="729"/>
      <c r="BF1" s="729"/>
      <c r="BG1" s="729"/>
      <c r="BH1" s="729"/>
      <c r="BI1" s="729"/>
      <c r="BJ1" s="729"/>
    </row>
    <row r="2" spans="2:62" s="39" customFormat="1" ht="30" customHeight="1" x14ac:dyDescent="0.2">
      <c r="B2" s="1726" t="str">
        <f>Description!C21</f>
        <v>Trasporto persone</v>
      </c>
      <c r="C2" s="1726"/>
      <c r="D2" s="1726"/>
      <c r="E2" s="1726"/>
      <c r="F2" s="1726"/>
      <c r="G2" s="1726"/>
      <c r="H2" s="1726"/>
      <c r="I2" s="1726"/>
      <c r="J2" s="1726"/>
      <c r="K2" s="1726"/>
      <c r="L2" s="1726"/>
      <c r="M2" s="1726"/>
      <c r="N2" s="1726"/>
      <c r="O2" s="1726"/>
      <c r="AS2" s="729"/>
      <c r="AT2" s="729"/>
      <c r="AU2" s="729"/>
      <c r="AV2" s="729"/>
      <c r="AW2" s="729"/>
      <c r="AX2" s="729"/>
      <c r="AY2" s="729"/>
      <c r="AZ2" s="729"/>
      <c r="BA2" s="729"/>
      <c r="BB2" s="729"/>
      <c r="BC2" s="729"/>
      <c r="BD2" s="729"/>
      <c r="BE2" s="729"/>
      <c r="BF2" s="729"/>
      <c r="BG2" s="729"/>
      <c r="BH2" s="729"/>
      <c r="BI2" s="729"/>
      <c r="BJ2" s="729"/>
    </row>
    <row r="3" spans="2:62" s="313" customFormat="1" ht="14" x14ac:dyDescent="0.2">
      <c r="D3" s="41"/>
      <c r="E3" s="41"/>
      <c r="F3" s="41"/>
      <c r="H3" s="41"/>
      <c r="J3" s="41"/>
      <c r="L3" s="41"/>
      <c r="N3" s="41"/>
      <c r="AS3" s="777"/>
      <c r="AT3" s="777"/>
      <c r="AU3" s="777"/>
      <c r="AV3" s="777"/>
      <c r="AW3" s="777"/>
      <c r="AX3" s="777"/>
      <c r="AY3" s="777"/>
      <c r="AZ3" s="777"/>
      <c r="BA3" s="777"/>
      <c r="BB3" s="777"/>
      <c r="BC3" s="777"/>
      <c r="BD3" s="777"/>
      <c r="BE3" s="777"/>
      <c r="BF3" s="777"/>
      <c r="BG3" s="777"/>
      <c r="BH3" s="777"/>
      <c r="BI3" s="777"/>
      <c r="BJ3" s="777"/>
    </row>
    <row r="4" spans="2:62" s="313" customFormat="1" ht="14" x14ac:dyDescent="0.2">
      <c r="B4" s="119" t="s">
        <v>2531</v>
      </c>
      <c r="C4" s="353"/>
      <c r="D4" s="1797" t="s">
        <v>2658</v>
      </c>
      <c r="E4" s="1797"/>
      <c r="F4" s="1797" t="s">
        <v>2659</v>
      </c>
      <c r="G4" s="1797"/>
      <c r="H4" s="1797" t="s">
        <v>2666</v>
      </c>
      <c r="I4" s="1797"/>
      <c r="J4" s="1797" t="s">
        <v>77</v>
      </c>
      <c r="K4" s="1797"/>
      <c r="L4" s="1797" t="s">
        <v>2660</v>
      </c>
      <c r="M4" s="1797"/>
      <c r="N4" s="1797" t="s">
        <v>2662</v>
      </c>
      <c r="O4" s="1823"/>
      <c r="AS4" s="777"/>
      <c r="AT4" s="777"/>
      <c r="AU4" s="777"/>
      <c r="AV4" s="777"/>
      <c r="AW4" s="777"/>
      <c r="AX4" s="777"/>
      <c r="AY4" s="777"/>
      <c r="AZ4" s="777"/>
      <c r="BA4" s="777"/>
      <c r="BB4" s="777"/>
      <c r="BC4" s="777"/>
      <c r="BD4" s="777"/>
      <c r="BE4" s="777"/>
      <c r="BF4" s="777"/>
      <c r="BG4" s="777"/>
      <c r="BH4" s="777"/>
      <c r="BI4" s="777"/>
      <c r="BJ4" s="777"/>
    </row>
    <row r="5" spans="2:62" s="121" customFormat="1" ht="14" x14ac:dyDescent="0.2">
      <c r="B5" s="354"/>
      <c r="C5" s="166"/>
      <c r="D5" s="1824" t="s">
        <v>2657</v>
      </c>
      <c r="E5" s="1824"/>
      <c r="F5" s="1824"/>
      <c r="G5" s="1824"/>
      <c r="H5" s="1824"/>
      <c r="I5" s="1824"/>
      <c r="J5" s="1824"/>
      <c r="K5" s="1824"/>
      <c r="L5" s="1824"/>
      <c r="M5" s="1824"/>
      <c r="N5" s="1824"/>
      <c r="O5" s="1825"/>
      <c r="AS5" s="607"/>
      <c r="AT5" s="607"/>
      <c r="AU5" s="607"/>
      <c r="AV5" s="607"/>
      <c r="AW5" s="607"/>
      <c r="AX5" s="607"/>
      <c r="AY5" s="607"/>
      <c r="AZ5" s="607"/>
      <c r="BA5" s="607"/>
      <c r="BB5" s="607"/>
      <c r="BC5" s="607"/>
      <c r="BD5" s="607"/>
      <c r="BE5" s="607"/>
      <c r="BF5" s="607"/>
      <c r="BG5" s="607"/>
      <c r="BH5" s="607"/>
      <c r="BI5" s="607"/>
      <c r="BJ5" s="607"/>
    </row>
    <row r="6" spans="2:62" s="121" customFormat="1" ht="14" x14ac:dyDescent="0.2">
      <c r="B6" s="106" t="s">
        <v>3011</v>
      </c>
      <c r="C6" s="107"/>
      <c r="D6" s="1798" t="s">
        <v>44</v>
      </c>
      <c r="E6" s="1798"/>
      <c r="F6" s="1798"/>
      <c r="G6" s="1798"/>
      <c r="H6" s="1798"/>
      <c r="I6" s="1798"/>
      <c r="J6" s="1798" t="s">
        <v>121</v>
      </c>
      <c r="K6" s="1798"/>
      <c r="L6" s="1798" t="s">
        <v>132</v>
      </c>
      <c r="M6" s="1798"/>
      <c r="N6" s="172"/>
      <c r="O6" s="355"/>
      <c r="AS6" s="607"/>
      <c r="AT6" s="607"/>
      <c r="AU6" s="607"/>
      <c r="AV6" s="607"/>
      <c r="AW6" s="607"/>
      <c r="AX6" s="607"/>
      <c r="AY6" s="607"/>
      <c r="AZ6" s="607"/>
      <c r="BA6" s="607"/>
      <c r="BB6" s="607"/>
      <c r="BC6" s="607"/>
      <c r="BD6" s="607"/>
      <c r="BE6" s="607"/>
      <c r="BF6" s="607"/>
      <c r="BG6" s="607"/>
      <c r="BH6" s="607"/>
      <c r="BI6" s="607"/>
      <c r="BJ6" s="607"/>
    </row>
    <row r="7" spans="2:62" s="121" customFormat="1" ht="14" x14ac:dyDescent="0.2">
      <c r="B7" s="41"/>
      <c r="C7" s="41"/>
      <c r="D7" s="41"/>
      <c r="E7" s="41"/>
      <c r="F7" s="41"/>
      <c r="AS7" s="607"/>
      <c r="AT7" s="607"/>
      <c r="AU7" s="607"/>
      <c r="AV7" s="607"/>
      <c r="AW7" s="607"/>
      <c r="AX7" s="607"/>
      <c r="AY7" s="607"/>
      <c r="AZ7" s="607"/>
      <c r="BA7" s="607"/>
      <c r="BB7" s="607"/>
      <c r="BC7" s="607"/>
      <c r="BD7" s="607"/>
      <c r="BE7" s="607"/>
      <c r="BF7" s="607"/>
      <c r="BG7" s="607"/>
      <c r="BH7" s="607"/>
      <c r="BI7" s="607"/>
      <c r="BJ7" s="607"/>
    </row>
    <row r="8" spans="2:62" ht="28.5" customHeight="1" x14ac:dyDescent="0.2">
      <c r="B8" s="1837" t="s">
        <v>2663</v>
      </c>
      <c r="C8" s="1837"/>
      <c r="D8" s="1459" t="str">
        <f>'Beni durevoli'!D7</f>
        <v>Yes</v>
      </c>
      <c r="AP8" s="602"/>
      <c r="AQ8" s="602"/>
      <c r="AR8" s="602"/>
      <c r="BD8" s="40"/>
      <c r="BE8" s="40"/>
      <c r="BF8" s="40"/>
      <c r="BG8" s="40"/>
      <c r="BH8" s="40"/>
      <c r="BI8" s="40"/>
      <c r="BJ8" s="40"/>
    </row>
    <row r="9" spans="2:62" s="121" customFormat="1" ht="14" x14ac:dyDescent="0.2">
      <c r="B9" s="41"/>
      <c r="C9" s="41"/>
      <c r="D9" s="41"/>
      <c r="E9" s="41"/>
      <c r="F9" s="41"/>
      <c r="AS9" s="607"/>
      <c r="AT9" s="607"/>
      <c r="AU9" s="607"/>
      <c r="AV9" s="607"/>
      <c r="AW9" s="607"/>
      <c r="AX9" s="607"/>
      <c r="AY9" s="607"/>
      <c r="AZ9" s="607"/>
      <c r="BA9" s="607"/>
      <c r="BB9" s="607"/>
      <c r="BC9" s="607"/>
      <c r="BD9" s="607"/>
      <c r="BE9" s="607"/>
      <c r="BF9" s="607"/>
      <c r="BG9" s="607"/>
      <c r="BH9" s="607"/>
      <c r="BI9" s="607"/>
      <c r="BJ9" s="607"/>
    </row>
    <row r="10" spans="2:62" ht="16" x14ac:dyDescent="0.2">
      <c r="B10" s="1795" t="s">
        <v>3069</v>
      </c>
      <c r="C10" s="1795"/>
      <c r="D10" s="1795"/>
      <c r="E10" s="1795"/>
      <c r="F10" s="1795"/>
      <c r="G10" s="1795"/>
      <c r="H10" s="1795"/>
      <c r="I10" s="1795"/>
      <c r="J10" s="1795"/>
      <c r="K10" s="1795"/>
      <c r="L10" s="1795"/>
      <c r="M10" s="1795"/>
      <c r="N10" s="1795"/>
      <c r="O10" s="1795"/>
    </row>
    <row r="11" spans="2:62" outlineLevel="1" x14ac:dyDescent="0.2">
      <c r="H11" s="333"/>
    </row>
    <row r="12" spans="2:62" s="42" customFormat="1" outlineLevel="1" x14ac:dyDescent="0.2">
      <c r="B12" s="195" t="s">
        <v>2997</v>
      </c>
      <c r="C12" s="196"/>
      <c r="D12" s="500"/>
      <c r="E12" s="500"/>
      <c r="F12" s="196"/>
      <c r="G12" s="198"/>
      <c r="H12" s="198"/>
      <c r="I12" s="198"/>
      <c r="J12" s="198"/>
      <c r="K12" s="198"/>
      <c r="L12" s="198"/>
      <c r="M12" s="198"/>
      <c r="N12" s="198"/>
      <c r="O12" s="198"/>
      <c r="P12" s="198"/>
      <c r="Q12" s="198"/>
      <c r="R12" s="198"/>
      <c r="S12" s="198"/>
      <c r="T12" s="199"/>
      <c r="U12" s="40"/>
      <c r="V12" s="40"/>
      <c r="W12" s="40"/>
      <c r="X12" s="1746" t="s">
        <v>723</v>
      </c>
      <c r="Y12" s="1747"/>
      <c r="Z12" s="1747"/>
      <c r="AA12" s="1747"/>
      <c r="AB12" s="1748"/>
      <c r="AF12" s="1746" t="s">
        <v>2066</v>
      </c>
      <c r="AG12" s="1747"/>
      <c r="AH12" s="1747"/>
      <c r="AI12" s="1747"/>
      <c r="AJ12" s="1747"/>
      <c r="AK12" s="1747"/>
      <c r="AL12" s="1747"/>
      <c r="AM12" s="1748"/>
      <c r="AR12" s="40"/>
      <c r="AS12" s="1755" t="s">
        <v>2073</v>
      </c>
      <c r="AT12" s="1756"/>
      <c r="AU12" s="1756"/>
      <c r="AV12" s="1756"/>
      <c r="AW12" s="1756"/>
      <c r="AX12" s="1756"/>
      <c r="AY12" s="1756"/>
      <c r="AZ12" s="1756"/>
      <c r="BA12" s="1756"/>
      <c r="BB12" s="1756"/>
      <c r="BC12" s="1756"/>
      <c r="BD12" s="1757"/>
      <c r="BE12" s="605"/>
      <c r="BF12" s="605"/>
      <c r="BG12" s="605"/>
      <c r="BH12" s="605"/>
      <c r="BI12" s="605"/>
      <c r="BJ12" s="605"/>
    </row>
    <row r="13" spans="2:62" outlineLevel="1" x14ac:dyDescent="0.2">
      <c r="B13" s="200"/>
      <c r="C13" s="201"/>
      <c r="D13" s="503"/>
      <c r="E13" s="503"/>
      <c r="F13" s="201"/>
      <c r="G13" s="201"/>
      <c r="H13" s="201"/>
      <c r="I13" s="201"/>
      <c r="J13" s="201"/>
      <c r="K13" s="201"/>
      <c r="L13" s="201"/>
      <c r="M13" s="201"/>
      <c r="N13" s="201"/>
      <c r="O13" s="201"/>
      <c r="P13" s="201"/>
      <c r="Q13" s="201"/>
      <c r="R13" s="201"/>
      <c r="S13" s="201"/>
      <c r="T13" s="203"/>
      <c r="X13" s="216"/>
      <c r="Y13" s="217"/>
      <c r="Z13" s="217"/>
      <c r="AA13" s="217"/>
      <c r="AB13" s="218"/>
      <c r="AF13" s="216"/>
      <c r="AG13" s="217"/>
      <c r="AH13" s="217"/>
      <c r="AI13" s="217"/>
      <c r="AJ13" s="217"/>
      <c r="AK13" s="217"/>
      <c r="AL13" s="198"/>
      <c r="AM13" s="199"/>
      <c r="AR13" s="32"/>
      <c r="AS13" s="1758" t="s">
        <v>61</v>
      </c>
      <c r="AT13" s="1759"/>
      <c r="AU13" s="1759"/>
      <c r="AV13" s="1759"/>
      <c r="AW13" s="1759"/>
      <c r="AX13" s="1759"/>
      <c r="AY13" s="1759"/>
      <c r="AZ13" s="1759"/>
      <c r="BA13" s="1759" t="s">
        <v>61</v>
      </c>
      <c r="BB13" s="1760"/>
      <c r="BC13" s="730"/>
      <c r="BD13" s="731"/>
    </row>
    <row r="14" spans="2:62" s="32" customFormat="1" outlineLevel="1" x14ac:dyDescent="0.2">
      <c r="B14" s="507" t="s">
        <v>2906</v>
      </c>
      <c r="C14" s="504"/>
      <c r="D14" s="504" t="s">
        <v>56</v>
      </c>
      <c r="E14" s="504" t="s">
        <v>56</v>
      </c>
      <c r="F14" s="205" t="s">
        <v>2669</v>
      </c>
      <c r="G14" s="205" t="s">
        <v>2053</v>
      </c>
      <c r="H14" s="1744" t="s">
        <v>767</v>
      </c>
      <c r="I14" s="1835"/>
      <c r="J14" s="205" t="s">
        <v>2053</v>
      </c>
      <c r="K14" s="1744" t="s">
        <v>769</v>
      </c>
      <c r="L14" s="1835"/>
      <c r="M14" s="205" t="s">
        <v>2053</v>
      </c>
      <c r="N14" s="1744" t="s">
        <v>771</v>
      </c>
      <c r="O14" s="1835"/>
      <c r="P14" s="205" t="s">
        <v>2053</v>
      </c>
      <c r="Q14" s="1744" t="s">
        <v>770</v>
      </c>
      <c r="R14" s="1745"/>
      <c r="S14" s="503" t="s">
        <v>61</v>
      </c>
      <c r="T14" s="509" t="s">
        <v>61</v>
      </c>
      <c r="U14" s="40"/>
      <c r="V14" s="40"/>
      <c r="W14" s="40"/>
      <c r="X14" s="1633" t="s">
        <v>2605</v>
      </c>
      <c r="Y14" s="504" t="s">
        <v>2110</v>
      </c>
      <c r="Z14" s="504" t="s">
        <v>61</v>
      </c>
      <c r="AA14" s="504" t="s">
        <v>61</v>
      </c>
      <c r="AB14" s="509" t="s">
        <v>61</v>
      </c>
      <c r="AF14" s="507" t="s">
        <v>2065</v>
      </c>
      <c r="AG14" s="504" t="s">
        <v>61</v>
      </c>
      <c r="AH14" s="504" t="s">
        <v>61</v>
      </c>
      <c r="AI14" s="503" t="s">
        <v>61</v>
      </c>
      <c r="AJ14" s="504" t="s">
        <v>2558</v>
      </c>
      <c r="AK14" s="504" t="s">
        <v>61</v>
      </c>
      <c r="AL14" s="504" t="s">
        <v>61</v>
      </c>
      <c r="AM14" s="509" t="s">
        <v>61</v>
      </c>
      <c r="AS14" s="1764" t="s">
        <v>14</v>
      </c>
      <c r="AT14" s="1761"/>
      <c r="AU14" s="1761" t="s">
        <v>60</v>
      </c>
      <c r="AV14" s="1761"/>
      <c r="AW14" s="1761" t="s">
        <v>27</v>
      </c>
      <c r="AX14" s="1761"/>
      <c r="AY14" s="1761" t="s">
        <v>2074</v>
      </c>
      <c r="AZ14" s="1761"/>
      <c r="BA14" s="1762" t="s">
        <v>41</v>
      </c>
      <c r="BB14" s="1763"/>
      <c r="BC14" s="1764" t="s">
        <v>85</v>
      </c>
      <c r="BD14" s="1765"/>
      <c r="BE14" s="743"/>
      <c r="BF14" s="743"/>
      <c r="BG14" s="743"/>
      <c r="BH14" s="743"/>
      <c r="BI14" s="743"/>
      <c r="BJ14" s="743"/>
    </row>
    <row r="15" spans="2:62" s="32" customFormat="1" outlineLevel="1" x14ac:dyDescent="0.2">
      <c r="B15" s="507"/>
      <c r="C15" s="504"/>
      <c r="D15" s="504" t="s">
        <v>61</v>
      </c>
      <c r="E15" s="504" t="s">
        <v>63</v>
      </c>
      <c r="F15" s="208" t="s">
        <v>2054</v>
      </c>
      <c r="G15" s="212" t="s">
        <v>34</v>
      </c>
      <c r="H15" s="506" t="s">
        <v>768</v>
      </c>
      <c r="I15" s="506" t="s">
        <v>24</v>
      </c>
      <c r="J15" s="212" t="s">
        <v>2061</v>
      </c>
      <c r="K15" s="506" t="s">
        <v>768</v>
      </c>
      <c r="L15" s="506" t="s">
        <v>24</v>
      </c>
      <c r="M15" s="212" t="s">
        <v>2059</v>
      </c>
      <c r="N15" s="506" t="s">
        <v>768</v>
      </c>
      <c r="O15" s="506" t="s">
        <v>24</v>
      </c>
      <c r="P15" s="212" t="s">
        <v>15</v>
      </c>
      <c r="Q15" s="506" t="s">
        <v>768</v>
      </c>
      <c r="R15" s="506" t="s">
        <v>24</v>
      </c>
      <c r="S15" s="505" t="s">
        <v>768</v>
      </c>
      <c r="T15" s="274" t="s">
        <v>24</v>
      </c>
      <c r="U15" s="40"/>
      <c r="V15" s="40"/>
      <c r="W15" s="40"/>
      <c r="X15" s="1633" t="s">
        <v>2109</v>
      </c>
      <c r="Y15" s="504"/>
      <c r="Z15" s="506" t="s">
        <v>768</v>
      </c>
      <c r="AA15" s="506" t="s">
        <v>24</v>
      </c>
      <c r="AB15" s="219" t="s">
        <v>41</v>
      </c>
      <c r="AF15" s="507"/>
      <c r="AG15" s="506" t="s">
        <v>768</v>
      </c>
      <c r="AH15" s="506" t="s">
        <v>24</v>
      </c>
      <c r="AI15" s="223" t="s">
        <v>41</v>
      </c>
      <c r="AJ15" s="504"/>
      <c r="AK15" s="506" t="s">
        <v>768</v>
      </c>
      <c r="AL15" s="506" t="s">
        <v>24</v>
      </c>
      <c r="AM15" s="219" t="s">
        <v>41</v>
      </c>
      <c r="AR15" s="40"/>
      <c r="AS15" s="732" t="s">
        <v>768</v>
      </c>
      <c r="AT15" s="733" t="s">
        <v>24</v>
      </c>
      <c r="AU15" s="733" t="s">
        <v>768</v>
      </c>
      <c r="AV15" s="733" t="s">
        <v>24</v>
      </c>
      <c r="AW15" s="733" t="s">
        <v>768</v>
      </c>
      <c r="AX15" s="733" t="s">
        <v>24</v>
      </c>
      <c r="AY15" s="733" t="s">
        <v>768</v>
      </c>
      <c r="AZ15" s="733" t="s">
        <v>24</v>
      </c>
      <c r="BA15" s="734" t="s">
        <v>768</v>
      </c>
      <c r="BB15" s="735" t="s">
        <v>24</v>
      </c>
      <c r="BC15" s="732" t="s">
        <v>768</v>
      </c>
      <c r="BD15" s="736" t="s">
        <v>24</v>
      </c>
      <c r="BE15" s="743"/>
      <c r="BF15" s="743"/>
      <c r="BG15" s="743"/>
      <c r="BH15" s="743"/>
      <c r="BI15" s="743"/>
      <c r="BJ15" s="743"/>
    </row>
    <row r="16" spans="2:62" outlineLevel="1" x14ac:dyDescent="0.2">
      <c r="B16" s="200" t="s">
        <v>796</v>
      </c>
      <c r="C16" s="201"/>
      <c r="D16" s="262">
        <f>S16+T16</f>
        <v>0</v>
      </c>
      <c r="E16" s="265">
        <f>D16*12/44</f>
        <v>0</v>
      </c>
      <c r="F16" s="182"/>
      <c r="G16" s="182"/>
      <c r="H16" s="271">
        <f>VLOOKUP($B16,'Emissions factors'!$B$84:$K$147,2,FALSE)</f>
        <v>707.3</v>
      </c>
      <c r="I16" s="271">
        <f>VLOOKUP($B16,'Emissions factors'!$B$84:$K$147,3,FALSE)</f>
        <v>3008.5</v>
      </c>
      <c r="J16" s="182"/>
      <c r="K16" s="277">
        <f>VLOOKUP($B16,'Emissions factors'!$B$84:$K$147,4,FALSE)</f>
        <v>6.0859999999999997E-2</v>
      </c>
      <c r="L16" s="277">
        <f>VLOOKUP($B16,'Emissions factors'!$B$84:$K$147,5,FALSE)</f>
        <v>0.25307999999999997</v>
      </c>
      <c r="M16" s="182"/>
      <c r="N16" s="271">
        <f>VLOOKUP($B16,'Emissions factors'!$B$84:$K$147,6,FALSE)</f>
        <v>694.7</v>
      </c>
      <c r="O16" s="271">
        <f>VLOOKUP($B16,'Emissions factors'!$B$84:$K$147,7,FALSE)</f>
        <v>2957.6</v>
      </c>
      <c r="P16" s="182"/>
      <c r="Q16" s="277">
        <f>VLOOKUP($B16,'Emissions factors'!$B$84:$K$147,8,FALSE)</f>
        <v>0.53329999999999989</v>
      </c>
      <c r="R16" s="277">
        <f>VLOOKUP($B16,'Emissions factors'!$B$84:$K$147,9,FALSE)</f>
        <v>2.2637</v>
      </c>
      <c r="S16" s="210">
        <f>G16*H16+J16*K16+M16*N16+P16*Q16</f>
        <v>0</v>
      </c>
      <c r="T16" s="211">
        <f>G16*I16+J16*L16+M16*O16+P16*R16</f>
        <v>0</v>
      </c>
      <c r="U16" s="42"/>
      <c r="X16" s="282">
        <f>VLOOKUP($B16,'Emissions factors'!$B$84:$K$147,10,FALSE)</f>
        <v>0.05</v>
      </c>
      <c r="Y16" s="184"/>
      <c r="Z16" s="221">
        <f>S16*SQRT(X16^2+Y16^2)</f>
        <v>0</v>
      </c>
      <c r="AA16" s="221">
        <f>T16*SQRT(X16^2+Y16^2)</f>
        <v>0</v>
      </c>
      <c r="AB16" s="211">
        <f>SQRT(Z16^2+AA16^2)</f>
        <v>0</v>
      </c>
      <c r="AF16" s="184"/>
      <c r="AG16" s="221">
        <f>S16*AF16</f>
        <v>0</v>
      </c>
      <c r="AH16" s="224">
        <f>T16*AF16</f>
        <v>0</v>
      </c>
      <c r="AI16" s="210">
        <f>AG16+AH16</f>
        <v>0</v>
      </c>
      <c r="AJ16" s="184"/>
      <c r="AK16" s="221">
        <f>S16*AJ16</f>
        <v>0</v>
      </c>
      <c r="AL16" s="224">
        <f>T16*AJ16</f>
        <v>0</v>
      </c>
      <c r="AM16" s="211">
        <f>AK16+AL16</f>
        <v>0</v>
      </c>
      <c r="AS16" s="717">
        <f>G16*VLOOKUP($B16,'Emissions factors'!$B$84:$AQ$147,11,FALSE)+J16*VLOOKUP($B16,'Emissions factors'!$B$84:$AQ$147,13,FALSE)+M16*VLOOKUP($B16,'Emissions factors'!$B$84:$AQ$147,15,FALSE)+P16*VLOOKUP($B16,'Emissions factors'!$B$84:$AQ$147,17,FALSE)</f>
        <v>0</v>
      </c>
      <c r="AT16" s="718">
        <f>G16*VLOOKUP($B16,'Emissions factors'!$B$84:$AQ$147,12,FALSE)+J16*VLOOKUP($B16,'Emissions factors'!$B$84:$AQ$147,14,FALSE)+M16*VLOOKUP($B16,'Emissions factors'!$B$84:$AQ$147,16,FALSE)+P16*VLOOKUP($B16,'Emissions factors'!$B$84:$AQ$147,18,FALSE)</f>
        <v>0</v>
      </c>
      <c r="AU16" s="718">
        <f>G16*VLOOKUP($B16,'Emissions factors'!$B$84:$AQ$147,19,FALSE)+J16*VLOOKUP($B16,'Emissions factors'!$B$84:$AQ$147,21,FALSE)+M16*VLOOKUP($B16,'Emissions factors'!$B$84:$AQ$147,23,FALSE)+P16*VLOOKUP($B16,'Emissions factors'!$B$84:$AQ$147,25,FALSE)</f>
        <v>0</v>
      </c>
      <c r="AV16" s="718">
        <f>G16*VLOOKUP($B16,'Emissions factors'!$B$84:$AQ$147,20,FALSE)+J16*VLOOKUP($B16,'Emissions factors'!$B$84:$AQ$147,22,FALSE)+M16*VLOOKUP($B16,'Emissions factors'!$B$84:$AQ$147,24,FALSE)+P16*VLOOKUP($B16,'Emissions factors'!$B$84:$AQ$147,26,FALSE)</f>
        <v>0</v>
      </c>
      <c r="AW16" s="718">
        <f>G16*VLOOKUP($B16,'Emissions factors'!$B$84:$AQ$147,27,FALSE)+J16*VLOOKUP($B16,'Emissions factors'!$B$84:$AQ$147,29,FALSE)+M16*VLOOKUP($B16,'Emissions factors'!$B$84:$AQ$147,31,FALSE)+P16*VLOOKUP($B16,'Emissions factors'!$B$84:$AQ$147,33,FALSE)</f>
        <v>0</v>
      </c>
      <c r="AX16" s="718">
        <f>G16*VLOOKUP($B16,'Emissions factors'!$B$84:$AQ$147,28,FALSE)+J16*VLOOKUP($B16,'Emissions factors'!$B$84:$AQ$147,30,FALSE)+M16*VLOOKUP($B16,'Emissions factors'!$B$84:$AQ$147,32,FALSE)+P16*VLOOKUP($B16,'Emissions factors'!$B$84:$AQ$147,34,FALSE)</f>
        <v>0</v>
      </c>
      <c r="AY16" s="718">
        <v>0</v>
      </c>
      <c r="AZ16" s="718">
        <v>0</v>
      </c>
      <c r="BA16" s="719">
        <f t="shared" ref="BA16:BB19" si="0">S16</f>
        <v>0</v>
      </c>
      <c r="BB16" s="720">
        <f t="shared" si="0"/>
        <v>0</v>
      </c>
      <c r="BC16" s="718">
        <f>G16*VLOOKUP($B16,'Emissions factors'!$B$84:$AQ$147,35,FALSE)+J16*VLOOKUP($B16,'Emissions factors'!$B$84:$AQ$147,37,FALSE)+M16*VLOOKUP($B16,'Emissions factors'!$B$84:$AQ$147,39,FALSE)+P16*VLOOKUP($B16,'Emissions factors'!$B$84:$AQ$147,41,FALSE)</f>
        <v>0</v>
      </c>
      <c r="BD16" s="721">
        <f>G16*VLOOKUP($B16,'Emissions factors'!$B$84:$AQ$147,36,FALSE)+J16*VLOOKUP($B16,'Emissions factors'!$B$84:$AQ$147,38,FALSE)+M16*VLOOKUP($B16,'Emissions factors'!$B$84:$AQ$147,40,FALSE)+P16*VLOOKUP($B16,'Emissions factors'!$B$84:$AQ$147,42,FALSE)</f>
        <v>0</v>
      </c>
    </row>
    <row r="17" spans="2:62" outlineLevel="1" x14ac:dyDescent="0.2">
      <c r="B17" s="200" t="s">
        <v>805</v>
      </c>
      <c r="C17" s="201"/>
      <c r="D17" s="262">
        <f>S17+T17</f>
        <v>0</v>
      </c>
      <c r="E17" s="265">
        <f>D17*12/44</f>
        <v>0</v>
      </c>
      <c r="F17" s="185"/>
      <c r="G17" s="185"/>
      <c r="H17" s="271">
        <f>VLOOKUP($B17,'Emissions factors'!$B$84:$K$147,2,FALSE)</f>
        <v>775.9</v>
      </c>
      <c r="I17" s="271">
        <f>VLOOKUP($B17,'Emissions factors'!$B$84:$K$147,3,FALSE)</f>
        <v>2975.0299999999997</v>
      </c>
      <c r="J17" s="185"/>
      <c r="K17" s="277">
        <f>VLOOKUP($B17,'Emissions factors'!$B$84:$K$147,4,FALSE)</f>
        <v>6.7080000000000001E-2</v>
      </c>
      <c r="L17" s="277">
        <f>VLOOKUP($B17,'Emissions factors'!$B$84:$K$147,5,FALSE)</f>
        <v>0.25615399999999999</v>
      </c>
      <c r="M17" s="185"/>
      <c r="N17" s="271">
        <f>VLOOKUP($B17,'Emissions factors'!$B$84:$K$147,6,FALSE)</f>
        <v>783.2</v>
      </c>
      <c r="O17" s="271">
        <f>VLOOKUP($B17,'Emissions factors'!$B$84:$K$147,7,FALSE)</f>
        <v>2985.1400000000003</v>
      </c>
      <c r="P17" s="185"/>
      <c r="Q17" s="277">
        <f>VLOOKUP($B17,'Emissions factors'!$B$84:$K$147,8,FALSE)</f>
        <v>0.65529999999999988</v>
      </c>
      <c r="R17" s="277">
        <f>VLOOKUP($B17,'Emissions factors'!$B$84:$K$147,9,FALSE)</f>
        <v>2.5111300000000001</v>
      </c>
      <c r="S17" s="210">
        <f>G17*H17+J17*K17+M17*N17+P17*Q17</f>
        <v>0</v>
      </c>
      <c r="T17" s="211">
        <f>G17*I17+J17*L17+M17*O17+P17*R17</f>
        <v>0</v>
      </c>
      <c r="U17" s="42"/>
      <c r="X17" s="282">
        <f>VLOOKUP($B17,'Emissions factors'!$B$84:$K$147,10,FALSE)</f>
        <v>0.05</v>
      </c>
      <c r="Y17" s="187"/>
      <c r="Z17" s="221">
        <f t="shared" ref="Z17:Z22" si="1">S17*SQRT(X17^2+Y17^2)</f>
        <v>0</v>
      </c>
      <c r="AA17" s="221">
        <f t="shared" ref="AA17:AA22" si="2">T17*SQRT(X17^2+Y17^2)</f>
        <v>0</v>
      </c>
      <c r="AB17" s="211">
        <f t="shared" ref="AB17:AB22" si="3">SQRT(Z17^2+AA17^2)</f>
        <v>0</v>
      </c>
      <c r="AF17" s="187"/>
      <c r="AG17" s="221">
        <f>S17*AF17</f>
        <v>0</v>
      </c>
      <c r="AH17" s="224">
        <f>T17*AF17</f>
        <v>0</v>
      </c>
      <c r="AI17" s="210">
        <f>AG17+AH17</f>
        <v>0</v>
      </c>
      <c r="AJ17" s="187"/>
      <c r="AK17" s="221">
        <f>S17*AJ17</f>
        <v>0</v>
      </c>
      <c r="AL17" s="224">
        <f>T17*AJ17</f>
        <v>0</v>
      </c>
      <c r="AM17" s="211">
        <f>AK17+AL17</f>
        <v>0</v>
      </c>
      <c r="AS17" s="717">
        <f>G17*VLOOKUP($B17,'Emissions factors'!$B$84:$AQ$147,11,FALSE)+J17*VLOOKUP($B17,'Emissions factors'!$B$84:$AQ$147,13,FALSE)+M17*VLOOKUP($B17,'Emissions factors'!$B$84:$AQ$147,15,FALSE)+P17*VLOOKUP($B17,'Emissions factors'!$B$84:$AQ$147,17,FALSE)</f>
        <v>0</v>
      </c>
      <c r="AT17" s="718">
        <f>G17*VLOOKUP($B17,'Emissions factors'!$B$84:$AQ$147,12,FALSE)+J17*VLOOKUP($B17,'Emissions factors'!$B$84:$AQ$147,14,FALSE)+M17*VLOOKUP($B17,'Emissions factors'!$B$84:$AQ$147,16,FALSE)+P17*VLOOKUP($B17,'Emissions factors'!$B$84:$AQ$147,18,FALSE)</f>
        <v>0</v>
      </c>
      <c r="AU17" s="718">
        <f>G17*VLOOKUP($B17,'Emissions factors'!$B$84:$AQ$147,19,FALSE)+J17*VLOOKUP($B17,'Emissions factors'!$B$84:$AQ$147,21,FALSE)+M17*VLOOKUP($B17,'Emissions factors'!$B$84:$AQ$147,23,FALSE)+P17*VLOOKUP($B17,'Emissions factors'!$B$84:$AQ$147,25,FALSE)</f>
        <v>0</v>
      </c>
      <c r="AV17" s="718">
        <f>G17*VLOOKUP($B17,'Emissions factors'!$B$84:$AQ$147,20,FALSE)+J17*VLOOKUP($B17,'Emissions factors'!$B$84:$AQ$147,22,FALSE)+M17*VLOOKUP($B17,'Emissions factors'!$B$84:$AQ$147,24,FALSE)+P17*VLOOKUP($B17,'Emissions factors'!$B$84:$AQ$147,26,FALSE)</f>
        <v>0</v>
      </c>
      <c r="AW17" s="718">
        <f>G17*VLOOKUP($B17,'Emissions factors'!$B$84:$AQ$147,27,FALSE)+J17*VLOOKUP($B17,'Emissions factors'!$B$84:$AQ$147,29,FALSE)+M17*VLOOKUP($B17,'Emissions factors'!$B$84:$AQ$147,31,FALSE)+P17*VLOOKUP($B17,'Emissions factors'!$B$84:$AQ$147,33,FALSE)</f>
        <v>0</v>
      </c>
      <c r="AX17" s="718">
        <f>G17*VLOOKUP($B17,'Emissions factors'!$B$84:$AQ$147,28,FALSE)+J17*VLOOKUP($B17,'Emissions factors'!$B$84:$AQ$147,30,FALSE)+M17*VLOOKUP($B17,'Emissions factors'!$B$84:$AQ$147,32,FALSE)+P17*VLOOKUP($B17,'Emissions factors'!$B$84:$AQ$147,34,FALSE)</f>
        <v>0</v>
      </c>
      <c r="AY17" s="718">
        <v>0</v>
      </c>
      <c r="AZ17" s="718">
        <v>0</v>
      </c>
      <c r="BA17" s="719">
        <f t="shared" si="0"/>
        <v>0</v>
      </c>
      <c r="BB17" s="720">
        <f t="shared" si="0"/>
        <v>0</v>
      </c>
      <c r="BC17" s="718">
        <f>G17*VLOOKUP($B17,'Emissions factors'!$B$84:$AQ$147,35,FALSE)+J17*VLOOKUP($B17,'Emissions factors'!$B$84:$AQ$147,37,FALSE)+M17*VLOOKUP($B17,'Emissions factors'!$B$84:$AQ$147,39,FALSE)+P17*VLOOKUP($B17,'Emissions factors'!$B$84:$AQ$147,41,FALSE)</f>
        <v>0</v>
      </c>
      <c r="BD17" s="721">
        <f>G17*VLOOKUP($B17,'Emissions factors'!$B$84:$AQ$147,36,FALSE)+J17*VLOOKUP($B17,'Emissions factors'!$B$84:$AQ$147,38,FALSE)+M17*VLOOKUP($B17,'Emissions factors'!$B$84:$AQ$147,40,FALSE)+P17*VLOOKUP($B17,'Emissions factors'!$B$84:$AQ$147,42,FALSE)</f>
        <v>0</v>
      </c>
    </row>
    <row r="18" spans="2:62" outlineLevel="1" x14ac:dyDescent="0.2">
      <c r="B18" s="200" t="s">
        <v>803</v>
      </c>
      <c r="C18" s="201"/>
      <c r="D18" s="262">
        <f>S18+T18</f>
        <v>0</v>
      </c>
      <c r="E18" s="265">
        <f>D18*12/44</f>
        <v>0</v>
      </c>
      <c r="F18" s="185"/>
      <c r="G18" s="185"/>
      <c r="H18" s="271">
        <f>VLOOKUP($B18,'Emissions factors'!$B$84:$K$147,2,FALSE)</f>
        <v>1153.9000000000001</v>
      </c>
      <c r="I18" s="271">
        <f>VLOOKUP($B18,'Emissions factors'!$B$84:$K$147,3,FALSE)</f>
        <v>2228.6959999999999</v>
      </c>
      <c r="J18" s="185"/>
      <c r="K18" s="277">
        <f>VLOOKUP($B18,'Emissions factors'!$B$84:$K$147,4,FALSE)</f>
        <v>0.1023</v>
      </c>
      <c r="L18" s="277">
        <f>VLOOKUP($B18,'Emissions factors'!$B$84:$K$147,5,FALSE)</f>
        <v>0.19462700000000002</v>
      </c>
      <c r="M18" s="185"/>
      <c r="N18" s="271">
        <f>VLOOKUP($B18,'Emissions factors'!$B$84:$K$147,6,FALSE)</f>
        <v>1178.0999999999999</v>
      </c>
      <c r="O18" s="271">
        <f>VLOOKUP($B18,'Emissions factors'!$B$84:$K$147,7,FALSE)</f>
        <v>2269.11</v>
      </c>
      <c r="P18" s="185"/>
      <c r="Q18" s="277">
        <f>VLOOKUP($B18,'Emissions factors'!$B$84:$K$147,8,FALSE)</f>
        <v>0.97550000000000003</v>
      </c>
      <c r="R18" s="277">
        <f>VLOOKUP($B18,'Emissions factors'!$B$84:$K$147,9,FALSE)</f>
        <v>1.87584</v>
      </c>
      <c r="S18" s="210">
        <f>G18*H18+J18*K18+M18*N18+P18*Q18</f>
        <v>0</v>
      </c>
      <c r="T18" s="211">
        <f>G18*I18+J18*L18+M18*O18+P18*R18</f>
        <v>0</v>
      </c>
      <c r="U18" s="42"/>
      <c r="X18" s="282">
        <f>VLOOKUP($B18,'Emissions factors'!$B$84:$K$147,10,FALSE)</f>
        <v>0.05</v>
      </c>
      <c r="Y18" s="187"/>
      <c r="Z18" s="221">
        <f t="shared" si="1"/>
        <v>0</v>
      </c>
      <c r="AA18" s="221">
        <f t="shared" si="2"/>
        <v>0</v>
      </c>
      <c r="AB18" s="211">
        <f t="shared" si="3"/>
        <v>0</v>
      </c>
      <c r="AF18" s="187"/>
      <c r="AG18" s="221">
        <f>S18*AF18</f>
        <v>0</v>
      </c>
      <c r="AH18" s="224">
        <f>T18*AF18</f>
        <v>0</v>
      </c>
      <c r="AI18" s="210">
        <f>AG18+AH18</f>
        <v>0</v>
      </c>
      <c r="AJ18" s="187"/>
      <c r="AK18" s="221">
        <f>S18*AJ18</f>
        <v>0</v>
      </c>
      <c r="AL18" s="224">
        <f>T18*AJ18</f>
        <v>0</v>
      </c>
      <c r="AM18" s="211">
        <f>AK18+AL18</f>
        <v>0</v>
      </c>
      <c r="AS18" s="717">
        <f>G18*VLOOKUP($B18,'Emissions factors'!$B$84:$AQ$147,11,FALSE)+J18*VLOOKUP($B18,'Emissions factors'!$B$84:$AQ$147,13,FALSE)+M18*VLOOKUP($B18,'Emissions factors'!$B$84:$AQ$147,15,FALSE)+P18*VLOOKUP($B18,'Emissions factors'!$B$84:$AQ$147,17,FALSE)</f>
        <v>0</v>
      </c>
      <c r="AT18" s="718">
        <f>G18*VLOOKUP($B18,'Emissions factors'!$B$84:$AQ$147,12,FALSE)+J18*VLOOKUP($B18,'Emissions factors'!$B$84:$AQ$147,14,FALSE)+M18*VLOOKUP($B18,'Emissions factors'!$B$84:$AQ$147,16,FALSE)+P18*VLOOKUP($B18,'Emissions factors'!$B$84:$AQ$147,18,FALSE)</f>
        <v>0</v>
      </c>
      <c r="AU18" s="718">
        <f>G18*VLOOKUP($B18,'Emissions factors'!$B$84:$AQ$147,19,FALSE)+J18*VLOOKUP($B18,'Emissions factors'!$B$84:$AQ$147,21,FALSE)+M18*VLOOKUP($B18,'Emissions factors'!$B$84:$AQ$147,23,FALSE)+P18*VLOOKUP($B18,'Emissions factors'!$B$84:$AQ$147,25,FALSE)</f>
        <v>0</v>
      </c>
      <c r="AV18" s="718">
        <f>G18*VLOOKUP($B18,'Emissions factors'!$B$84:$AQ$147,20,FALSE)+J18*VLOOKUP($B18,'Emissions factors'!$B$84:$AQ$147,22,FALSE)+M18*VLOOKUP($B18,'Emissions factors'!$B$84:$AQ$147,24,FALSE)+P18*VLOOKUP($B18,'Emissions factors'!$B$84:$AQ$147,26,FALSE)</f>
        <v>0</v>
      </c>
      <c r="AW18" s="718">
        <f>G18*VLOOKUP($B18,'Emissions factors'!$B$84:$AQ$147,27,FALSE)+J18*VLOOKUP($B18,'Emissions factors'!$B$84:$AQ$147,29,FALSE)+M18*VLOOKUP($B18,'Emissions factors'!$B$84:$AQ$147,31,FALSE)+P18*VLOOKUP($B18,'Emissions factors'!$B$84:$AQ$147,33,FALSE)</f>
        <v>0</v>
      </c>
      <c r="AX18" s="718">
        <f>G18*VLOOKUP($B18,'Emissions factors'!$B$84:$AQ$147,28,FALSE)+J18*VLOOKUP($B18,'Emissions factors'!$B$84:$AQ$147,30,FALSE)+M18*VLOOKUP($B18,'Emissions factors'!$B$84:$AQ$147,32,FALSE)+P18*VLOOKUP($B18,'Emissions factors'!$B$84:$AQ$147,34,FALSE)</f>
        <v>0</v>
      </c>
      <c r="AY18" s="718">
        <v>0</v>
      </c>
      <c r="AZ18" s="718">
        <v>0</v>
      </c>
      <c r="BA18" s="719">
        <f t="shared" si="0"/>
        <v>0</v>
      </c>
      <c r="BB18" s="720">
        <f t="shared" si="0"/>
        <v>0</v>
      </c>
      <c r="BC18" s="718">
        <f>G18*VLOOKUP($B18,'Emissions factors'!$B$84:$AQ$147,35,FALSE)+J18*VLOOKUP($B18,'Emissions factors'!$B$84:$AQ$147,37,FALSE)+M18*VLOOKUP($B18,'Emissions factors'!$B$84:$AQ$147,39,FALSE)+P18*VLOOKUP($B18,'Emissions factors'!$B$84:$AQ$147,41,FALSE)</f>
        <v>0</v>
      </c>
      <c r="BD18" s="721">
        <f>G18*VLOOKUP($B18,'Emissions factors'!$B$84:$AQ$147,36,FALSE)+J18*VLOOKUP($B18,'Emissions factors'!$B$84:$AQ$147,38,FALSE)+M18*VLOOKUP($B18,'Emissions factors'!$B$84:$AQ$147,40,FALSE)+P18*VLOOKUP($B18,'Emissions factors'!$B$84:$AQ$147,42,FALSE)</f>
        <v>0</v>
      </c>
    </row>
    <row r="19" spans="2:62" outlineLevel="1" x14ac:dyDescent="0.2">
      <c r="B19" s="200" t="s">
        <v>3138</v>
      </c>
      <c r="C19" s="201"/>
      <c r="D19" s="262">
        <f>S19+T19</f>
        <v>0</v>
      </c>
      <c r="E19" s="265">
        <f>D19*12/44</f>
        <v>0</v>
      </c>
      <c r="F19" s="188"/>
      <c r="G19" s="188"/>
      <c r="H19" s="271">
        <f>VLOOKUP($B19,'Emissions factors'!$B$84:$K$147,2,FALSE)</f>
        <v>775.9</v>
      </c>
      <c r="I19" s="271">
        <f>VLOOKUP($B19,'Emissions factors'!$B$84:$K$147,3,FALSE)</f>
        <v>3150</v>
      </c>
      <c r="J19" s="188"/>
      <c r="K19" s="277">
        <f>VLOOKUP($B19,'Emissions factors'!$B$84:$K$147,4,FALSE)</f>
        <v>6.7080000000000001E-2</v>
      </c>
      <c r="L19" s="277">
        <f>VLOOKUP($B19,'Emissions factors'!$B$84:$K$147,5,FALSE)</f>
        <v>0.26500000000000001</v>
      </c>
      <c r="M19" s="188"/>
      <c r="N19" s="271">
        <f>VLOOKUP($B19,'Emissions factors'!$B$84:$K$147,6,FALSE)</f>
        <v>783.2</v>
      </c>
      <c r="O19" s="271">
        <f>VLOOKUP($B19,'Emissions factors'!$B$84:$K$147,7,FALSE)</f>
        <v>3080</v>
      </c>
      <c r="P19" s="188"/>
      <c r="Q19" s="277">
        <f>VLOOKUP($B19,'Emissions factors'!$B$84:$K$147,8,FALSE)</f>
        <v>0.651756</v>
      </c>
      <c r="R19" s="277">
        <f>VLOOKUP($B19,'Emissions factors'!$B$84:$K$147,9,FALSE)</f>
        <v>2.6459999999999999</v>
      </c>
      <c r="S19" s="210">
        <f>G19*H19+J19*K19+M19*N19+P19*Q19</f>
        <v>0</v>
      </c>
      <c r="T19" s="211">
        <f>G19*I19+J19*L19+M19*O19+P19*R19</f>
        <v>0</v>
      </c>
      <c r="U19" s="42"/>
      <c r="X19" s="282">
        <f>VLOOKUP($B19,'Emissions factors'!$B$84:$K$147,10,FALSE)</f>
        <v>0</v>
      </c>
      <c r="Y19" s="190"/>
      <c r="Z19" s="221">
        <f t="shared" si="1"/>
        <v>0</v>
      </c>
      <c r="AA19" s="221">
        <f t="shared" si="2"/>
        <v>0</v>
      </c>
      <c r="AB19" s="211">
        <f t="shared" si="3"/>
        <v>0</v>
      </c>
      <c r="AF19" s="190"/>
      <c r="AG19" s="221">
        <f>S19*AF19</f>
        <v>0</v>
      </c>
      <c r="AH19" s="224">
        <f>T19*AF19</f>
        <v>0</v>
      </c>
      <c r="AI19" s="210">
        <f>AG19+AH19</f>
        <v>0</v>
      </c>
      <c r="AJ19" s="190"/>
      <c r="AK19" s="221">
        <f>S19*AJ19</f>
        <v>0</v>
      </c>
      <c r="AL19" s="224">
        <f>T19*AJ19</f>
        <v>0</v>
      </c>
      <c r="AM19" s="211">
        <f>AK19+AL19</f>
        <v>0</v>
      </c>
      <c r="AS19" s="717">
        <f>G19*VLOOKUP($B19,'Emissions factors'!$B$84:$AQ$147,11,FALSE)+J19*VLOOKUP($B19,'Emissions factors'!$B$84:$AQ$147,13,FALSE)+M19*VLOOKUP($B19,'Emissions factors'!$B$84:$AQ$147,15,FALSE)+P19*VLOOKUP($B19,'Emissions factors'!$B$84:$AQ$147,17,FALSE)</f>
        <v>0</v>
      </c>
      <c r="AT19" s="718">
        <f>G19*VLOOKUP($B19,'Emissions factors'!$B$84:$AQ$147,12,FALSE)+J19*VLOOKUP($B19,'Emissions factors'!$B$84:$AQ$147,14,FALSE)+M19*VLOOKUP($B19,'Emissions factors'!$B$84:$AQ$147,16,FALSE)+P19*VLOOKUP($B19,'Emissions factors'!$B$84:$AQ$147,18,FALSE)</f>
        <v>0</v>
      </c>
      <c r="AU19" s="718">
        <f>G19*VLOOKUP($B19,'Emissions factors'!$B$84:$AQ$147,19,FALSE)+J19*VLOOKUP($B19,'Emissions factors'!$B$84:$AQ$147,21,FALSE)+M19*VLOOKUP($B19,'Emissions factors'!$B$84:$AQ$147,23,FALSE)+P19*VLOOKUP($B19,'Emissions factors'!$B$84:$AQ$147,25,FALSE)</f>
        <v>0</v>
      </c>
      <c r="AV19" s="718">
        <f>G19*VLOOKUP($B19,'Emissions factors'!$B$84:$AQ$147,20,FALSE)+J19*VLOOKUP($B19,'Emissions factors'!$B$84:$AQ$147,22,FALSE)+M19*VLOOKUP($B19,'Emissions factors'!$B$84:$AQ$147,24,FALSE)+P19*VLOOKUP($B19,'Emissions factors'!$B$84:$AQ$147,26,FALSE)</f>
        <v>0</v>
      </c>
      <c r="AW19" s="718">
        <f>G19*VLOOKUP($B19,'Emissions factors'!$B$84:$AQ$147,27,FALSE)+J19*VLOOKUP($B19,'Emissions factors'!$B$84:$AQ$147,29,FALSE)+M19*VLOOKUP($B19,'Emissions factors'!$B$84:$AQ$147,31,FALSE)+P19*VLOOKUP($B19,'Emissions factors'!$B$84:$AQ$147,33,FALSE)</f>
        <v>0</v>
      </c>
      <c r="AX19" s="718">
        <f>G19*VLOOKUP($B19,'Emissions factors'!$B$84:$AQ$147,28,FALSE)+J19*VLOOKUP($B19,'Emissions factors'!$B$84:$AQ$147,30,FALSE)+M19*VLOOKUP($B19,'Emissions factors'!$B$84:$AQ$147,32,FALSE)+P19*VLOOKUP($B19,'Emissions factors'!$B$84:$AQ$147,34,FALSE)</f>
        <v>0</v>
      </c>
      <c r="AY19" s="718">
        <v>0</v>
      </c>
      <c r="AZ19" s="718">
        <v>0</v>
      </c>
      <c r="BA19" s="719">
        <f t="shared" si="0"/>
        <v>0</v>
      </c>
      <c r="BB19" s="720">
        <f t="shared" si="0"/>
        <v>0</v>
      </c>
      <c r="BC19" s="718">
        <f>G19*VLOOKUP($B19,'Emissions factors'!$B$84:$AQ$147,35,FALSE)+J19*VLOOKUP($B19,'Emissions factors'!$B$84:$AQ$147,37,FALSE)+M19*VLOOKUP($B19,'Emissions factors'!$B$84:$AQ$147,39,FALSE)+P19*VLOOKUP($B19,'Emissions factors'!$B$84:$AQ$147,41,FALSE)</f>
        <v>0</v>
      </c>
      <c r="BD19" s="721">
        <f>G19*VLOOKUP($B19,'Emissions factors'!$B$84:$AQ$147,36,FALSE)+J19*VLOOKUP($B19,'Emissions factors'!$B$84:$AQ$147,38,FALSE)+M19*VLOOKUP($B19,'Emissions factors'!$B$84:$AQ$147,40,FALSE)+P19*VLOOKUP($B19,'Emissions factors'!$B$84:$AQ$147,42,FALSE)</f>
        <v>0</v>
      </c>
    </row>
    <row r="20" spans="2:62" outlineLevel="1" x14ac:dyDescent="0.2">
      <c r="B20" s="200"/>
      <c r="C20" s="201"/>
      <c r="D20" s="263"/>
      <c r="E20" s="265"/>
      <c r="F20" s="201"/>
      <c r="G20" s="201"/>
      <c r="H20" s="263"/>
      <c r="I20" s="263"/>
      <c r="J20" s="201"/>
      <c r="K20" s="263"/>
      <c r="L20" s="263"/>
      <c r="M20" s="201"/>
      <c r="N20" s="263"/>
      <c r="O20" s="263"/>
      <c r="P20" s="201"/>
      <c r="Q20" s="263"/>
      <c r="R20" s="263"/>
      <c r="S20" s="210"/>
      <c r="T20" s="211"/>
      <c r="X20" s="282"/>
      <c r="Y20" s="201"/>
      <c r="Z20" s="221"/>
      <c r="AA20" s="221"/>
      <c r="AB20" s="211"/>
      <c r="AF20" s="213"/>
      <c r="AG20" s="221"/>
      <c r="AH20" s="224"/>
      <c r="AI20" s="224"/>
      <c r="AJ20" s="214"/>
      <c r="AK20" s="221"/>
      <c r="AL20" s="224"/>
      <c r="AM20" s="211"/>
      <c r="AS20" s="717"/>
      <c r="AT20" s="718"/>
      <c r="AU20" s="718"/>
      <c r="AV20" s="718"/>
      <c r="AW20" s="718"/>
      <c r="AX20" s="718"/>
      <c r="AY20" s="718"/>
      <c r="AZ20" s="718"/>
      <c r="BA20" s="719"/>
      <c r="BB20" s="720"/>
      <c r="BC20" s="717"/>
      <c r="BD20" s="721"/>
    </row>
    <row r="21" spans="2:62" outlineLevel="1" x14ac:dyDescent="0.2">
      <c r="B21" s="200" t="s">
        <v>834</v>
      </c>
      <c r="C21" s="201"/>
      <c r="D21" s="262">
        <f>S21+T21</f>
        <v>0</v>
      </c>
      <c r="E21" s="265">
        <f>D21*12/44</f>
        <v>0</v>
      </c>
      <c r="F21" s="182"/>
      <c r="G21" s="182"/>
      <c r="H21" s="271">
        <f>VLOOKUP($B21,'Emissions factors'!$B$152:$K$165,2,FALSE)</f>
        <v>1134.9000000000001</v>
      </c>
      <c r="I21" s="271">
        <f>VLOOKUP($B21,'Emissions factors'!$B$152:$K$165,3,FALSE)</f>
        <v>0</v>
      </c>
      <c r="J21" s="182"/>
      <c r="K21" s="277">
        <f>VLOOKUP($B21,'Emissions factors'!$B$152:$K$165,4,FALSE)</f>
        <v>0.10988999999999999</v>
      </c>
      <c r="L21" s="277">
        <f>VLOOKUP($B21,'Emissions factors'!$B$152:$K$165,5,FALSE)</f>
        <v>0</v>
      </c>
      <c r="M21" s="182"/>
      <c r="N21" s="271">
        <f>VLOOKUP($B21,'Emissions factors'!$B$152:$K$165,6,FALSE)</f>
        <v>1278.0999999999999</v>
      </c>
      <c r="O21" s="271">
        <f>VLOOKUP($B21,'Emissions factors'!$B$152:$K$165,7,FALSE)</f>
        <v>0</v>
      </c>
      <c r="P21" s="182"/>
      <c r="Q21" s="277">
        <f>VLOOKUP($B21,'Emissions factors'!$B$152:$K$165,8,FALSE)</f>
        <v>1.0113000000000001</v>
      </c>
      <c r="R21" s="277">
        <f>VLOOKUP($B21,'Emissions factors'!$B$152:$K$165,9,FALSE)</f>
        <v>0</v>
      </c>
      <c r="S21" s="210">
        <f>G21*H21+J21*K21+M21*N21+P21*Q21</f>
        <v>0</v>
      </c>
      <c r="T21" s="211">
        <f>G21*I21+J21*L21+M21*O21+P21*R21</f>
        <v>0</v>
      </c>
      <c r="U21" s="42"/>
      <c r="X21" s="282">
        <f>VLOOKUP($B21,'Emissions factors'!$B$152:$K$165,10,FALSE)</f>
        <v>0.2</v>
      </c>
      <c r="Y21" s="184"/>
      <c r="Z21" s="221">
        <f t="shared" si="1"/>
        <v>0</v>
      </c>
      <c r="AA21" s="221">
        <f t="shared" si="2"/>
        <v>0</v>
      </c>
      <c r="AB21" s="211">
        <f t="shared" si="3"/>
        <v>0</v>
      </c>
      <c r="AF21" s="184"/>
      <c r="AG21" s="221">
        <f>S21*AF21</f>
        <v>0</v>
      </c>
      <c r="AH21" s="224">
        <f>T21*AF21</f>
        <v>0</v>
      </c>
      <c r="AI21" s="210">
        <f>AG21+AH21</f>
        <v>0</v>
      </c>
      <c r="AJ21" s="184"/>
      <c r="AK21" s="221">
        <f>S21*AJ21</f>
        <v>0</v>
      </c>
      <c r="AL21" s="224">
        <f>T21*AJ21</f>
        <v>0</v>
      </c>
      <c r="AM21" s="211">
        <f>AK21+AL21</f>
        <v>0</v>
      </c>
      <c r="AS21" s="717">
        <f>G21*VLOOKUP($B21,'Emissions factors'!$B$152:$AQ$165,11,FALSE)+J21*VLOOKUP($B21,'Emissions factors'!$B$152:$AQ$165,13,FALSE)+M21*VLOOKUP($B21,'Emissions factors'!$B$152:$AQ$165,15,FALSE)+P21*VLOOKUP($B21,'Emissions factors'!$B$152:$AQ$165,17,FALSE)</f>
        <v>0</v>
      </c>
      <c r="AT21" s="718">
        <f>G21*VLOOKUP($B21,'Emissions factors'!$B$152:$AQ$165,12,FALSE)+J21*VLOOKUP($B21,'Emissions factors'!$B$152:$AQ$165,14,FALSE)+M21*VLOOKUP($B21,'Emissions factors'!$B$152:$AQ$165,16,FALSE)+P21*VLOOKUP($B21,'Emissions factors'!$B$152:$AQ$165,18,FALSE)</f>
        <v>0</v>
      </c>
      <c r="AU21" s="718">
        <f>G21*VLOOKUP($B21,'Emissions factors'!$B$152:$AQ$165,19,FALSE)+J21*VLOOKUP($B21,'Emissions factors'!$B$152:$AQ$165,21,FALSE)+M21*VLOOKUP($B21,'Emissions factors'!$B$152:$AQ$165,23,FALSE)+P21*VLOOKUP($B21,'Emissions factors'!$B$152:$AQ$165,25,FALSE)</f>
        <v>0</v>
      </c>
      <c r="AV21" s="718">
        <f>G21*VLOOKUP($B21,'Emissions factors'!$B$152:$AQ$165,20,FALSE)+J21*VLOOKUP($B21,'Emissions factors'!$B$152:$AQ$165,22,FALSE)+M21*VLOOKUP($B21,'Emissions factors'!$B$152:$AQ$165,24,FALSE)+P21*VLOOKUP($B21,'Emissions factors'!$B$152:$AQ$165,26,FALSE)</f>
        <v>0</v>
      </c>
      <c r="AW21" s="718">
        <f>G21*VLOOKUP($B21,'Emissions factors'!$B$152:$AQ$165,27,FALSE)+J21*VLOOKUP($B21,'Emissions factors'!$B$152:$AQ$165,29,FALSE)+M21*VLOOKUP($B21,'Emissions factors'!$B$152:$AQ$165,31,FALSE)+P21*VLOOKUP($B21,'Emissions factors'!$B$152:$AQ$165,33,FALSE)</f>
        <v>0</v>
      </c>
      <c r="AX21" s="718">
        <f>G21*VLOOKUP($B21,'Emissions factors'!$B$152:$AQ$165,28,FALSE)+J21*VLOOKUP($B21,'Emissions factors'!$B$152:$AQ$165,30,FALSE)+M21*VLOOKUP($B21,'Emissions factors'!$B$152:$AQ$165,32,FALSE)+P21*VLOOKUP($B21,'Emissions factors'!$B$152:$AQ$165,34,FALSE)</f>
        <v>0</v>
      </c>
      <c r="AY21" s="718">
        <v>0</v>
      </c>
      <c r="AZ21" s="718">
        <v>0</v>
      </c>
      <c r="BA21" s="719">
        <f>S21</f>
        <v>0</v>
      </c>
      <c r="BB21" s="720">
        <f>T21</f>
        <v>0</v>
      </c>
      <c r="BC21" s="717">
        <f>G21*VLOOKUP($B21,'Emissions factors'!$B$152:$AQ$165,35,FALSE)+J21*VLOOKUP($B21,'Emissions factors'!$B$152:$AQ$165,37,FALSE)+M21*VLOOKUP($B21,'Emissions factors'!$B$152:$AQ$165,39,FALSE)+P21*VLOOKUP($B21,'Emissions factors'!$B$152:$AQ$165,41,FALSE)</f>
        <v>0</v>
      </c>
      <c r="BD21" s="721">
        <f>G21*VLOOKUP($B21,'Emissions factors'!$B$152:$AQ$165,36,FALSE)+J21*VLOOKUP($B21,'Emissions factors'!$B$152:$AQ$165,38,FALSE)+M21*VLOOKUP($B21,'Emissions factors'!$B$152:$AQ$165,40,FALSE)+P21*VLOOKUP($B21,'Emissions factors'!$B$152:$AQ$165,42,FALSE)</f>
        <v>0</v>
      </c>
    </row>
    <row r="22" spans="2:62" outlineLevel="1" x14ac:dyDescent="0.2">
      <c r="B22" s="200" t="s">
        <v>839</v>
      </c>
      <c r="C22" s="201"/>
      <c r="D22" s="262">
        <f>S22+T22</f>
        <v>0</v>
      </c>
      <c r="E22" s="265">
        <f>D22*12/44</f>
        <v>0</v>
      </c>
      <c r="F22" s="188"/>
      <c r="G22" s="188"/>
      <c r="H22" s="271">
        <f>VLOOKUP($B22,'Emissions factors'!$B$152:$K$165,2,FALSE)</f>
        <v>41.2</v>
      </c>
      <c r="I22" s="271">
        <f>VLOOKUP($B22,'Emissions factors'!$B$152:$K$165,3,FALSE)</f>
        <v>72.599999999999994</v>
      </c>
      <c r="J22" s="188"/>
      <c r="K22" s="277">
        <f>VLOOKUP($B22,'Emissions factors'!$B$152:$K$165,4,FALSE)</f>
        <v>1.068E-2</v>
      </c>
      <c r="L22" s="277">
        <f>VLOOKUP($B22,'Emissions factors'!$B$152:$K$165,5,FALSE)</f>
        <v>1.8800000000000001E-2</v>
      </c>
      <c r="M22" s="188"/>
      <c r="N22" s="271">
        <f>VLOOKUP($B22,'Emissions factors'!$B$152:$K$165,6,FALSE)</f>
        <v>0</v>
      </c>
      <c r="O22" s="271">
        <f>VLOOKUP($B22,'Emissions factors'!$B$152:$K$165,7,FALSE)</f>
        <v>0</v>
      </c>
      <c r="P22" s="188"/>
      <c r="Q22" s="277">
        <f>VLOOKUP($B22,'Emissions factors'!$B$152:$K$165,8,FALSE)</f>
        <v>0</v>
      </c>
      <c r="R22" s="277">
        <f>VLOOKUP($B22,'Emissions factors'!$B$152:$K$165,9,FALSE)</f>
        <v>0</v>
      </c>
      <c r="S22" s="210">
        <f>G22*H22+J22*K22+M22*N22+P22*Q22</f>
        <v>0</v>
      </c>
      <c r="T22" s="211">
        <f>G22*I22+J22*L22+M22*O22+P22*R22</f>
        <v>0</v>
      </c>
      <c r="U22" s="42"/>
      <c r="X22" s="282">
        <f>VLOOKUP($B22,'Emissions factors'!$B$152:$K$165,10,FALSE)</f>
        <v>0.5</v>
      </c>
      <c r="Y22" s="190"/>
      <c r="Z22" s="221">
        <f t="shared" si="1"/>
        <v>0</v>
      </c>
      <c r="AA22" s="221">
        <f t="shared" si="2"/>
        <v>0</v>
      </c>
      <c r="AB22" s="211">
        <f t="shared" si="3"/>
        <v>0</v>
      </c>
      <c r="AF22" s="190"/>
      <c r="AG22" s="221">
        <f>S22*AF22</f>
        <v>0</v>
      </c>
      <c r="AH22" s="224">
        <f>T22*AF22</f>
        <v>0</v>
      </c>
      <c r="AI22" s="210">
        <f>AG22+AH22</f>
        <v>0</v>
      </c>
      <c r="AJ22" s="190"/>
      <c r="AK22" s="221">
        <f>S22*AJ22</f>
        <v>0</v>
      </c>
      <c r="AL22" s="224">
        <f>T22*AJ22</f>
        <v>0</v>
      </c>
      <c r="AM22" s="211">
        <f>AK22+AL22</f>
        <v>0</v>
      </c>
      <c r="AS22" s="717">
        <f>G22*VLOOKUP($B22,'Emissions factors'!$B$152:$AQ$165,11,FALSE)+J22*VLOOKUP($B22,'Emissions factors'!$B$152:$AQ$165,13,FALSE)+M22*VLOOKUP($B22,'Emissions factors'!$B$152:$AQ$165,15,FALSE)+P22*VLOOKUP($B22,'Emissions factors'!$B$152:$AQ$165,17,FALSE)</f>
        <v>0</v>
      </c>
      <c r="AT22" s="718">
        <f>G22*VLOOKUP($B22,'Emissions factors'!$B$152:$AQ$165,12,FALSE)+J22*VLOOKUP($B22,'Emissions factors'!$B$152:$AQ$165,14,FALSE)+M22*VLOOKUP($B22,'Emissions factors'!$B$152:$AQ$165,16,FALSE)+P22*VLOOKUP($B22,'Emissions factors'!$B$152:$AQ$165,18,FALSE)</f>
        <v>0</v>
      </c>
      <c r="AU22" s="718">
        <f>G22*VLOOKUP($B22,'Emissions factors'!$B$152:$AQ$165,19,FALSE)+J22*VLOOKUP($B22,'Emissions factors'!$B$152:$AQ$165,21,FALSE)+M22*VLOOKUP($B22,'Emissions factors'!$B$152:$AQ$165,23,FALSE)+P22*VLOOKUP($B22,'Emissions factors'!$B$152:$AQ$165,25,FALSE)</f>
        <v>0</v>
      </c>
      <c r="AV22" s="718">
        <f>G22*VLOOKUP($B22,'Emissions factors'!$B$152:$AQ$165,20,FALSE)+J22*VLOOKUP($B22,'Emissions factors'!$B$152:$AQ$165,22,FALSE)+M22*VLOOKUP($B22,'Emissions factors'!$B$152:$AQ$165,24,FALSE)+P22*VLOOKUP($B22,'Emissions factors'!$B$152:$AQ$165,26,FALSE)</f>
        <v>0</v>
      </c>
      <c r="AW22" s="718">
        <f>G22*VLOOKUP($B22,'Emissions factors'!$B$152:$AQ$165,27,FALSE)+J22*VLOOKUP($B22,'Emissions factors'!$B$152:$AQ$165,29,FALSE)+M22*VLOOKUP($B22,'Emissions factors'!$B$152:$AQ$165,31,FALSE)+P22*VLOOKUP($B22,'Emissions factors'!$B$152:$AQ$165,33,FALSE)</f>
        <v>0</v>
      </c>
      <c r="AX22" s="718">
        <f>G22*VLOOKUP($B22,'Emissions factors'!$B$152:$AQ$165,28,FALSE)+J22*VLOOKUP($B22,'Emissions factors'!$B$152:$AQ$165,30,FALSE)+M22*VLOOKUP($B22,'Emissions factors'!$B$152:$AQ$165,32,FALSE)+P22*VLOOKUP($B22,'Emissions factors'!$B$152:$AQ$165,34,FALSE)</f>
        <v>0</v>
      </c>
      <c r="AY22" s="718">
        <v>0</v>
      </c>
      <c r="AZ22" s="718">
        <v>0</v>
      </c>
      <c r="BA22" s="719">
        <f>S22</f>
        <v>0</v>
      </c>
      <c r="BB22" s="720">
        <f>T22</f>
        <v>0</v>
      </c>
      <c r="BC22" s="717">
        <f>G22*VLOOKUP($B22,'Emissions factors'!$B$152:$AQ$165,35,FALSE)+J22*VLOOKUP($B22,'Emissions factors'!$B$152:$AQ$165,37,FALSE)+M22*VLOOKUP($B22,'Emissions factors'!$B$152:$AQ$165,39,FALSE)+P22*VLOOKUP($B22,'Emissions factors'!$B$152:$AQ$165,41,FALSE)</f>
        <v>0</v>
      </c>
      <c r="BD22" s="721">
        <f>G22*VLOOKUP($B22,'Emissions factors'!$B$152:$AQ$165,36,FALSE)+J22*VLOOKUP($B22,'Emissions factors'!$B$152:$AQ$165,38,FALSE)+M22*VLOOKUP($B22,'Emissions factors'!$B$152:$AQ$165,40,FALSE)+P22*VLOOKUP($B22,'Emissions factors'!$B$152:$AQ$165,42,FALSE)</f>
        <v>0</v>
      </c>
    </row>
    <row r="23" spans="2:62" outlineLevel="1" x14ac:dyDescent="0.2">
      <c r="B23" s="213"/>
      <c r="C23" s="214"/>
      <c r="D23" s="275"/>
      <c r="E23" s="268"/>
      <c r="F23" s="214"/>
      <c r="G23" s="214"/>
      <c r="H23" s="214"/>
      <c r="I23" s="214"/>
      <c r="J23" s="214"/>
      <c r="K23" s="214"/>
      <c r="L23" s="214"/>
      <c r="M23" s="214"/>
      <c r="N23" s="214"/>
      <c r="O23" s="214"/>
      <c r="P23" s="214"/>
      <c r="Q23" s="214"/>
      <c r="R23" s="214"/>
      <c r="S23" s="463"/>
      <c r="T23" s="215"/>
      <c r="X23" s="213"/>
      <c r="Y23" s="214"/>
      <c r="Z23" s="227"/>
      <c r="AA23" s="227"/>
      <c r="AB23" s="215"/>
      <c r="AF23" s="200"/>
      <c r="AG23" s="504"/>
      <c r="AH23" s="504"/>
      <c r="AI23" s="210"/>
      <c r="AJ23" s="201"/>
      <c r="AK23" s="221"/>
      <c r="AL23" s="221"/>
      <c r="AM23" s="222"/>
      <c r="AS23" s="717"/>
      <c r="AT23" s="718"/>
      <c r="AU23" s="718"/>
      <c r="AV23" s="718"/>
      <c r="AW23" s="718"/>
      <c r="AX23" s="718"/>
      <c r="AY23" s="718"/>
      <c r="AZ23" s="718"/>
      <c r="BA23" s="719"/>
      <c r="BB23" s="720"/>
      <c r="BC23" s="722"/>
      <c r="BD23" s="723"/>
    </row>
    <row r="24" spans="2:62" outlineLevel="1" x14ac:dyDescent="0.2">
      <c r="B24" s="253" t="s">
        <v>2828</v>
      </c>
      <c r="C24" s="254"/>
      <c r="D24" s="264">
        <f>SUM(D16:D23)</f>
        <v>0</v>
      </c>
      <c r="E24" s="267">
        <f>SUM(E16:E23)</f>
        <v>0</v>
      </c>
      <c r="F24" s="255"/>
      <c r="G24" s="256"/>
      <c r="H24" s="256"/>
      <c r="I24" s="256"/>
      <c r="J24" s="256"/>
      <c r="K24" s="256"/>
      <c r="L24" s="256"/>
      <c r="M24" s="256"/>
      <c r="N24" s="256"/>
      <c r="O24" s="256"/>
      <c r="P24" s="256"/>
      <c r="Q24" s="256"/>
      <c r="R24" s="256"/>
      <c r="S24" s="259">
        <f>SUM(S16:S23)</f>
        <v>0</v>
      </c>
      <c r="T24" s="257">
        <f>SUM(T16:T23)</f>
        <v>0</v>
      </c>
      <c r="X24" s="253"/>
      <c r="Y24" s="254"/>
      <c r="Z24" s="260">
        <f>SQRT(SUMSQ(Z16:Z23))</f>
        <v>0</v>
      </c>
      <c r="AA24" s="260">
        <f>SQRT(SUMSQ(AA16:AA23))</f>
        <v>0</v>
      </c>
      <c r="AB24" s="257">
        <f>SQRT(SUMSQ(AB16:AB23))</f>
        <v>0</v>
      </c>
      <c r="AF24" s="258"/>
      <c r="AG24" s="260">
        <f>SUM(AG16:AG23)</f>
        <v>0</v>
      </c>
      <c r="AH24" s="260">
        <f>SUM(AH16:AH23)</f>
        <v>0</v>
      </c>
      <c r="AI24" s="259">
        <f>SUM(AI16:AI23)</f>
        <v>0</v>
      </c>
      <c r="AJ24" s="254"/>
      <c r="AK24" s="260">
        <f>SUM(AK16:AK23)</f>
        <v>0</v>
      </c>
      <c r="AL24" s="260">
        <f>SUM(AL16:AL23)</f>
        <v>0</v>
      </c>
      <c r="AM24" s="257">
        <f>SUM(AM16:AM23)</f>
        <v>0</v>
      </c>
      <c r="AS24" s="724">
        <f t="shared" ref="AS24:BD24" si="4">SUM(AS16:AS23)</f>
        <v>0</v>
      </c>
      <c r="AT24" s="725">
        <f t="shared" si="4"/>
        <v>0</v>
      </c>
      <c r="AU24" s="725">
        <f t="shared" si="4"/>
        <v>0</v>
      </c>
      <c r="AV24" s="725">
        <f t="shared" si="4"/>
        <v>0</v>
      </c>
      <c r="AW24" s="725">
        <f t="shared" si="4"/>
        <v>0</v>
      </c>
      <c r="AX24" s="725">
        <f t="shared" si="4"/>
        <v>0</v>
      </c>
      <c r="AY24" s="725">
        <f t="shared" si="4"/>
        <v>0</v>
      </c>
      <c r="AZ24" s="725">
        <f t="shared" si="4"/>
        <v>0</v>
      </c>
      <c r="BA24" s="726">
        <f t="shared" si="4"/>
        <v>0</v>
      </c>
      <c r="BB24" s="727">
        <f t="shared" si="4"/>
        <v>0</v>
      </c>
      <c r="BC24" s="724">
        <f t="shared" si="4"/>
        <v>0</v>
      </c>
      <c r="BD24" s="728">
        <f t="shared" si="4"/>
        <v>0</v>
      </c>
    </row>
    <row r="25" spans="2:62" outlineLevel="1" x14ac:dyDescent="0.2">
      <c r="P25" s="42"/>
    </row>
    <row r="26" spans="2:62" ht="28" outlineLevel="1" x14ac:dyDescent="0.2">
      <c r="B26" s="1656" t="s">
        <v>2931</v>
      </c>
      <c r="C26" s="196"/>
      <c r="D26" s="500"/>
      <c r="E26" s="500"/>
      <c r="F26" s="196"/>
      <c r="G26" s="198"/>
      <c r="H26" s="198"/>
      <c r="I26" s="198"/>
      <c r="J26" s="198"/>
      <c r="K26" s="198"/>
      <c r="L26" s="198"/>
      <c r="M26" s="198"/>
      <c r="N26" s="198"/>
      <c r="O26" s="198"/>
      <c r="P26" s="198"/>
      <c r="Q26" s="199"/>
      <c r="X26" s="1746" t="s">
        <v>723</v>
      </c>
      <c r="Y26" s="1747"/>
      <c r="Z26" s="1747"/>
      <c r="AA26" s="1747"/>
      <c r="AB26" s="1747"/>
      <c r="AC26" s="1747"/>
      <c r="AD26" s="1748"/>
      <c r="AF26" s="1746" t="s">
        <v>2066</v>
      </c>
      <c r="AG26" s="1747"/>
      <c r="AH26" s="1747"/>
      <c r="AI26" s="1747"/>
      <c r="AJ26" s="1747"/>
      <c r="AK26" s="1747"/>
      <c r="AL26" s="1747"/>
      <c r="AM26" s="1747"/>
      <c r="AN26" s="1747"/>
      <c r="AO26" s="1747"/>
      <c r="AP26" s="1747"/>
      <c r="AQ26" s="1748"/>
      <c r="AS26" s="1755" t="s">
        <v>2073</v>
      </c>
      <c r="AT26" s="1756"/>
      <c r="AU26" s="1756"/>
      <c r="AV26" s="1756"/>
      <c r="AW26" s="1756"/>
      <c r="AX26" s="1756"/>
      <c r="AY26" s="1756"/>
      <c r="AZ26" s="1756"/>
      <c r="BA26" s="1756"/>
      <c r="BB26" s="1756"/>
      <c r="BC26" s="1756"/>
      <c r="BD26" s="1756"/>
      <c r="BE26" s="1756"/>
      <c r="BF26" s="1756"/>
      <c r="BG26" s="1756"/>
      <c r="BH26" s="1756"/>
      <c r="BI26" s="1756"/>
      <c r="BJ26" s="1757"/>
    </row>
    <row r="27" spans="2:62" outlineLevel="1" x14ac:dyDescent="0.2">
      <c r="B27" s="417"/>
      <c r="C27" s="225"/>
      <c r="D27" s="503"/>
      <c r="E27" s="503"/>
      <c r="F27" s="201"/>
      <c r="G27" s="201"/>
      <c r="H27" s="201"/>
      <c r="I27" s="201"/>
      <c r="J27" s="201"/>
      <c r="K27" s="201"/>
      <c r="L27" s="201"/>
      <c r="M27" s="201"/>
      <c r="N27" s="201"/>
      <c r="O27" s="1745" t="s">
        <v>2646</v>
      </c>
      <c r="P27" s="1745"/>
      <c r="Q27" s="508" t="s">
        <v>2639</v>
      </c>
      <c r="X27" s="507"/>
      <c r="Y27" s="504"/>
      <c r="Z27" s="504"/>
      <c r="AA27" s="504"/>
      <c r="AB27" s="504"/>
      <c r="AC27" s="504"/>
      <c r="AD27" s="508" t="s">
        <v>2639</v>
      </c>
      <c r="AE27" s="42"/>
      <c r="AF27" s="216"/>
      <c r="AG27" s="503"/>
      <c r="AH27" s="503"/>
      <c r="AI27" s="503"/>
      <c r="AJ27" s="504"/>
      <c r="AK27" s="504" t="s">
        <v>2639</v>
      </c>
      <c r="AL27" s="217"/>
      <c r="AM27" s="503"/>
      <c r="AN27" s="503"/>
      <c r="AO27" s="503"/>
      <c r="AP27" s="504"/>
      <c r="AQ27" s="508" t="s">
        <v>2639</v>
      </c>
      <c r="AS27" s="1758" t="s">
        <v>61</v>
      </c>
      <c r="AT27" s="1759"/>
      <c r="AU27" s="1759"/>
      <c r="AV27" s="1759"/>
      <c r="AW27" s="1759"/>
      <c r="AX27" s="1759"/>
      <c r="AY27" s="1759"/>
      <c r="AZ27" s="1759"/>
      <c r="BA27" s="1759"/>
      <c r="BB27" s="1759"/>
      <c r="BC27" s="1759"/>
      <c r="BD27" s="1759"/>
      <c r="BE27" s="1759" t="s">
        <v>61</v>
      </c>
      <c r="BF27" s="1759"/>
      <c r="BG27" s="1760"/>
      <c r="BH27" s="730"/>
      <c r="BI27" s="785"/>
      <c r="BJ27" s="731"/>
    </row>
    <row r="28" spans="2:62" outlineLevel="1" x14ac:dyDescent="0.2">
      <c r="B28" s="507"/>
      <c r="C28" s="504"/>
      <c r="D28" s="504" t="s">
        <v>56</v>
      </c>
      <c r="E28" s="504" t="s">
        <v>56</v>
      </c>
      <c r="F28" s="205" t="s">
        <v>2669</v>
      </c>
      <c r="G28" s="205" t="s">
        <v>2670</v>
      </c>
      <c r="H28" s="205" t="s">
        <v>2671</v>
      </c>
      <c r="I28" s="205" t="s">
        <v>2672</v>
      </c>
      <c r="J28" s="205" t="s">
        <v>1424</v>
      </c>
      <c r="K28" s="1838" t="s">
        <v>1281</v>
      </c>
      <c r="L28" s="1839"/>
      <c r="M28" s="1839"/>
      <c r="N28" s="503" t="s">
        <v>61</v>
      </c>
      <c r="O28" s="503" t="s">
        <v>61</v>
      </c>
      <c r="P28" s="503" t="s">
        <v>61</v>
      </c>
      <c r="Q28" s="508" t="s">
        <v>30</v>
      </c>
      <c r="X28" s="1633" t="s">
        <v>2605</v>
      </c>
      <c r="Y28" s="504" t="s">
        <v>2110</v>
      </c>
      <c r="Z28" s="504" t="s">
        <v>61</v>
      </c>
      <c r="AA28" s="504" t="s">
        <v>61</v>
      </c>
      <c r="AB28" s="504" t="s">
        <v>61</v>
      </c>
      <c r="AC28" s="503" t="s">
        <v>61</v>
      </c>
      <c r="AD28" s="508" t="s">
        <v>30</v>
      </c>
      <c r="AE28" s="42"/>
      <c r="AF28" s="507" t="s">
        <v>2065</v>
      </c>
      <c r="AG28" s="504" t="s">
        <v>61</v>
      </c>
      <c r="AH28" s="504" t="s">
        <v>61</v>
      </c>
      <c r="AI28" s="504" t="s">
        <v>61</v>
      </c>
      <c r="AJ28" s="503" t="s">
        <v>61</v>
      </c>
      <c r="AK28" s="504" t="s">
        <v>30</v>
      </c>
      <c r="AL28" s="504" t="s">
        <v>2558</v>
      </c>
      <c r="AM28" s="504" t="s">
        <v>61</v>
      </c>
      <c r="AN28" s="504" t="s">
        <v>61</v>
      </c>
      <c r="AO28" s="504" t="s">
        <v>61</v>
      </c>
      <c r="AP28" s="503" t="s">
        <v>61</v>
      </c>
      <c r="AQ28" s="508" t="s">
        <v>30</v>
      </c>
      <c r="AS28" s="1764" t="s">
        <v>14</v>
      </c>
      <c r="AT28" s="1761"/>
      <c r="AU28" s="1761"/>
      <c r="AV28" s="1761" t="s">
        <v>60</v>
      </c>
      <c r="AW28" s="1761"/>
      <c r="AX28" s="1761"/>
      <c r="AY28" s="1761" t="s">
        <v>27</v>
      </c>
      <c r="AZ28" s="1761"/>
      <c r="BA28" s="1761"/>
      <c r="BB28" s="1761" t="s">
        <v>2074</v>
      </c>
      <c r="BC28" s="1761"/>
      <c r="BD28" s="1761"/>
      <c r="BE28" s="1762" t="s">
        <v>41</v>
      </c>
      <c r="BF28" s="1762"/>
      <c r="BG28" s="1763"/>
      <c r="BH28" s="1764" t="s">
        <v>85</v>
      </c>
      <c r="BI28" s="1761"/>
      <c r="BJ28" s="1765"/>
    </row>
    <row r="29" spans="2:62" outlineLevel="1" x14ac:dyDescent="0.2">
      <c r="B29" s="1636"/>
      <c r="C29" s="419"/>
      <c r="D29" s="504" t="s">
        <v>61</v>
      </c>
      <c r="E29" s="504" t="s">
        <v>63</v>
      </c>
      <c r="F29" s="208" t="s">
        <v>2054</v>
      </c>
      <c r="G29" s="212" t="s">
        <v>2601</v>
      </c>
      <c r="H29" s="208" t="s">
        <v>2673</v>
      </c>
      <c r="I29" s="208" t="s">
        <v>2674</v>
      </c>
      <c r="J29" s="212" t="s">
        <v>2675</v>
      </c>
      <c r="K29" s="506" t="s">
        <v>1279</v>
      </c>
      <c r="L29" s="506" t="s">
        <v>768</v>
      </c>
      <c r="M29" s="506" t="s">
        <v>24</v>
      </c>
      <c r="N29" s="505" t="s">
        <v>1279</v>
      </c>
      <c r="O29" s="505" t="s">
        <v>768</v>
      </c>
      <c r="P29" s="505" t="s">
        <v>24</v>
      </c>
      <c r="Q29" s="508" t="s">
        <v>61</v>
      </c>
      <c r="X29" s="1633" t="s">
        <v>2109</v>
      </c>
      <c r="Y29" s="504"/>
      <c r="Z29" s="506" t="s">
        <v>1279</v>
      </c>
      <c r="AA29" s="506" t="s">
        <v>768</v>
      </c>
      <c r="AB29" s="506" t="s">
        <v>24</v>
      </c>
      <c r="AC29" s="223" t="s">
        <v>41</v>
      </c>
      <c r="AD29" s="508" t="s">
        <v>61</v>
      </c>
      <c r="AE29" s="42"/>
      <c r="AF29" s="507"/>
      <c r="AG29" s="506" t="s">
        <v>1279</v>
      </c>
      <c r="AH29" s="506" t="s">
        <v>768</v>
      </c>
      <c r="AI29" s="506" t="s">
        <v>24</v>
      </c>
      <c r="AJ29" s="223" t="s">
        <v>41</v>
      </c>
      <c r="AK29" s="504" t="s">
        <v>61</v>
      </c>
      <c r="AL29" s="504"/>
      <c r="AM29" s="506" t="s">
        <v>1279</v>
      </c>
      <c r="AN29" s="506" t="s">
        <v>768</v>
      </c>
      <c r="AO29" s="506" t="s">
        <v>24</v>
      </c>
      <c r="AP29" s="223" t="s">
        <v>41</v>
      </c>
      <c r="AQ29" s="508" t="s">
        <v>61</v>
      </c>
      <c r="AS29" s="732" t="s">
        <v>1279</v>
      </c>
      <c r="AT29" s="733" t="s">
        <v>768</v>
      </c>
      <c r="AU29" s="733" t="s">
        <v>24</v>
      </c>
      <c r="AV29" s="733" t="s">
        <v>1279</v>
      </c>
      <c r="AW29" s="733" t="s">
        <v>768</v>
      </c>
      <c r="AX29" s="733" t="s">
        <v>24</v>
      </c>
      <c r="AY29" s="733" t="s">
        <v>1279</v>
      </c>
      <c r="AZ29" s="733" t="s">
        <v>768</v>
      </c>
      <c r="BA29" s="733" t="s">
        <v>24</v>
      </c>
      <c r="BB29" s="733" t="s">
        <v>1279</v>
      </c>
      <c r="BC29" s="733" t="s">
        <v>768</v>
      </c>
      <c r="BD29" s="733" t="s">
        <v>24</v>
      </c>
      <c r="BE29" s="734" t="s">
        <v>1279</v>
      </c>
      <c r="BF29" s="734" t="s">
        <v>768</v>
      </c>
      <c r="BG29" s="735" t="s">
        <v>24</v>
      </c>
      <c r="BH29" s="732" t="s">
        <v>1279</v>
      </c>
      <c r="BI29" s="733" t="s">
        <v>768</v>
      </c>
      <c r="BJ29" s="736" t="s">
        <v>24</v>
      </c>
    </row>
    <row r="30" spans="2:62" outlineLevel="1" x14ac:dyDescent="0.2">
      <c r="B30" s="200" t="s">
        <v>1429</v>
      </c>
      <c r="C30" s="201"/>
      <c r="D30" s="262">
        <f>N30+O30+P30</f>
        <v>0</v>
      </c>
      <c r="E30" s="265">
        <f>D30*12/44</f>
        <v>0</v>
      </c>
      <c r="F30" s="559"/>
      <c r="G30" s="182"/>
      <c r="H30" s="561">
        <v>220</v>
      </c>
      <c r="I30" s="561">
        <v>2</v>
      </c>
      <c r="J30" s="561">
        <f>VLOOKUP($B30,'Emissions factors'!$B$1481:$H$1501,2,FALSE)</f>
        <v>20</v>
      </c>
      <c r="K30" s="560">
        <f>VLOOKUP($B30,'Emissions factors'!$B$1481:$H$1501,4,FALSE)</f>
        <v>0.04</v>
      </c>
      <c r="L30" s="560">
        <f>VLOOKUP($B30,'Emissions factors'!$B$1481:$H$1501,5,FALSE)</f>
        <v>2.1975765614538123E-2</v>
      </c>
      <c r="M30" s="560">
        <f>VLOOKUP($B30,'Emissions factors'!$B$1481:$H$1501,6,FALSE)</f>
        <v>0.15411772404018367</v>
      </c>
      <c r="N30" s="465">
        <f>G30*H30*I30*J30*K30</f>
        <v>0</v>
      </c>
      <c r="O30" s="465">
        <f>G30*H30*I30*J30*L30</f>
        <v>0</v>
      </c>
      <c r="P30" s="465">
        <f>G30*H30*I30*J30*M30</f>
        <v>0</v>
      </c>
      <c r="Q30" s="222">
        <f>IF(OR(F30='Info utili'!$I$532,F30='Info utili'!$I$537),P30,0)</f>
        <v>0</v>
      </c>
      <c r="X30" s="282">
        <f>VLOOKUP($B30,'Emissions factors'!$B$1481:$H$1501,7,FALSE)</f>
        <v>0.15582284331872945</v>
      </c>
      <c r="Y30" s="183"/>
      <c r="Z30" s="221">
        <f>N30*SQRT(X30^2+Y30^2)</f>
        <v>0</v>
      </c>
      <c r="AA30" s="221">
        <f>O30*SQRT(X30^2+Y30^2)</f>
        <v>0</v>
      </c>
      <c r="AB30" s="221">
        <f>P30*SQRT(X30^2+Y30^2)</f>
        <v>0</v>
      </c>
      <c r="AC30" s="210">
        <f>SQRT(SUMSQ(Z30:AB30))</f>
        <v>0</v>
      </c>
      <c r="AD30" s="222">
        <f>Q30*SQRT(X30^2+Y30^2)</f>
        <v>0</v>
      </c>
      <c r="AF30" s="184"/>
      <c r="AG30" s="221">
        <f>N30*AF30</f>
        <v>0</v>
      </c>
      <c r="AH30" s="221">
        <f>O30*AF30</f>
        <v>0</v>
      </c>
      <c r="AI30" s="221">
        <f>P30*AF30</f>
        <v>0</v>
      </c>
      <c r="AJ30" s="210">
        <f>SUM(AG30:AI30)</f>
        <v>0</v>
      </c>
      <c r="AK30" s="221">
        <f>Q30*AF30</f>
        <v>0</v>
      </c>
      <c r="AL30" s="184"/>
      <c r="AM30" s="221">
        <f>N30*AL30</f>
        <v>0</v>
      </c>
      <c r="AN30" s="221">
        <f>O30*AL30</f>
        <v>0</v>
      </c>
      <c r="AO30" s="221">
        <f>P30*AL30</f>
        <v>0</v>
      </c>
      <c r="AP30" s="210">
        <f>SUM(AM30:AO30)</f>
        <v>0</v>
      </c>
      <c r="AQ30" s="222">
        <f>Q30*AL30</f>
        <v>0</v>
      </c>
      <c r="AS30" s="717"/>
      <c r="AT30" s="718"/>
      <c r="AU30" s="718"/>
      <c r="AV30" s="718"/>
      <c r="AW30" s="718"/>
      <c r="AX30" s="718"/>
      <c r="AY30" s="718"/>
      <c r="AZ30" s="718"/>
      <c r="BA30" s="718"/>
      <c r="BB30" s="718"/>
      <c r="BC30" s="718"/>
      <c r="BD30" s="718"/>
      <c r="BE30" s="719">
        <f t="shared" ref="BE30:BG33" si="5">N30</f>
        <v>0</v>
      </c>
      <c r="BF30" s="719">
        <f t="shared" si="5"/>
        <v>0</v>
      </c>
      <c r="BG30" s="720">
        <f t="shared" si="5"/>
        <v>0</v>
      </c>
      <c r="BH30" s="717"/>
      <c r="BI30" s="718"/>
      <c r="BJ30" s="721"/>
    </row>
    <row r="31" spans="2:62" outlineLevel="1" x14ac:dyDescent="0.2">
      <c r="B31" s="200" t="s">
        <v>1431</v>
      </c>
      <c r="C31" s="201"/>
      <c r="D31" s="262">
        <f>N31+O31+P31</f>
        <v>0</v>
      </c>
      <c r="E31" s="265">
        <f>D31*12/44</f>
        <v>0</v>
      </c>
      <c r="F31" s="442"/>
      <c r="G31" s="185"/>
      <c r="H31" s="562">
        <v>220</v>
      </c>
      <c r="I31" s="562">
        <v>2</v>
      </c>
      <c r="J31" s="562">
        <f>VLOOKUP($B31,'Emissions factors'!$B$1481:$H$1501,2,FALSE)</f>
        <v>12</v>
      </c>
      <c r="K31" s="560">
        <f>VLOOKUP($B31,'Emissions factors'!$B$1481:$H$1501,4,FALSE)</f>
        <v>4.0257816972106009E-2</v>
      </c>
      <c r="L31" s="560">
        <f>VLOOKUP($B31,'Emissions factors'!$B$1481:$H$1501,5,FALSE)</f>
        <v>3.5724346305220547E-2</v>
      </c>
      <c r="M31" s="560">
        <f>VLOOKUP($B31,'Emissions factors'!$B$1481:$H$1501,6,FALSE)</f>
        <v>0.24946225377811615</v>
      </c>
      <c r="N31" s="465">
        <f>G31*H31*I31*J31*K31</f>
        <v>0</v>
      </c>
      <c r="O31" s="465">
        <f>G31*H31*I31*J31*L31</f>
        <v>0</v>
      </c>
      <c r="P31" s="465">
        <f>G31*H31*I31*J31*M31</f>
        <v>0</v>
      </c>
      <c r="Q31" s="222">
        <f>IF(OR(F31='Info utili'!$I$532,F31='Info utili'!$I$537),P31,0)</f>
        <v>0</v>
      </c>
      <c r="X31" s="282">
        <f>VLOOKUP($B31,'Emissions factors'!$B$1481:$H$1501,7,FALSE)</f>
        <v>0.13711031579802554</v>
      </c>
      <c r="Y31" s="186"/>
      <c r="Z31" s="221">
        <f>N31*SQRT(X31^2+Y31^2)</f>
        <v>0</v>
      </c>
      <c r="AA31" s="221">
        <f>O31*SQRT(X31^2+Y31^2)</f>
        <v>0</v>
      </c>
      <c r="AB31" s="221">
        <f>P31*SQRT(X31^2+Y31^2)</f>
        <v>0</v>
      </c>
      <c r="AC31" s="210">
        <f>SQRT(SUMSQ(Z31:AB31))</f>
        <v>0</v>
      </c>
      <c r="AD31" s="222">
        <f>Q31*SQRT(X31^2+Y31^2)</f>
        <v>0</v>
      </c>
      <c r="AF31" s="187"/>
      <c r="AG31" s="221">
        <f>N31*AF31</f>
        <v>0</v>
      </c>
      <c r="AH31" s="221">
        <f>O31*AF31</f>
        <v>0</v>
      </c>
      <c r="AI31" s="221">
        <f>P31*AF31</f>
        <v>0</v>
      </c>
      <c r="AJ31" s="210">
        <f>SUM(AG31:AI31)</f>
        <v>0</v>
      </c>
      <c r="AK31" s="221">
        <f>Q31*AF31</f>
        <v>0</v>
      </c>
      <c r="AL31" s="187"/>
      <c r="AM31" s="221">
        <f>N31*AL31</f>
        <v>0</v>
      </c>
      <c r="AN31" s="221">
        <f>O31*AL31</f>
        <v>0</v>
      </c>
      <c r="AO31" s="221">
        <f>P31*AL31</f>
        <v>0</v>
      </c>
      <c r="AP31" s="210">
        <f>SUM(AM31:AO31)</f>
        <v>0</v>
      </c>
      <c r="AQ31" s="222">
        <f>Q31*AL31</f>
        <v>0</v>
      </c>
      <c r="AS31" s="717"/>
      <c r="AT31" s="718"/>
      <c r="AU31" s="718"/>
      <c r="AV31" s="718"/>
      <c r="AW31" s="718"/>
      <c r="AX31" s="718"/>
      <c r="AY31" s="718"/>
      <c r="AZ31" s="718"/>
      <c r="BA31" s="718"/>
      <c r="BB31" s="718"/>
      <c r="BC31" s="718"/>
      <c r="BD31" s="718"/>
      <c r="BE31" s="719">
        <f t="shared" si="5"/>
        <v>0</v>
      </c>
      <c r="BF31" s="719">
        <f t="shared" si="5"/>
        <v>0</v>
      </c>
      <c r="BG31" s="720">
        <f t="shared" si="5"/>
        <v>0</v>
      </c>
      <c r="BH31" s="717"/>
      <c r="BI31" s="718"/>
      <c r="BJ31" s="721"/>
    </row>
    <row r="32" spans="2:62" outlineLevel="1" x14ac:dyDescent="0.2">
      <c r="B32" s="200" t="s">
        <v>1432</v>
      </c>
      <c r="C32" s="201"/>
      <c r="D32" s="262">
        <f>N32+O32+P32</f>
        <v>0</v>
      </c>
      <c r="E32" s="265">
        <f>D32*12/44</f>
        <v>0</v>
      </c>
      <c r="F32" s="442"/>
      <c r="G32" s="185"/>
      <c r="H32" s="562">
        <v>220</v>
      </c>
      <c r="I32" s="562">
        <v>2</v>
      </c>
      <c r="J32" s="562">
        <f>VLOOKUP($B32,'Emissions factors'!$B$1481:$H$1501,2,FALSE)</f>
        <v>8.5</v>
      </c>
      <c r="K32" s="560">
        <f>VLOOKUP($B32,'Emissions factors'!$B$1481:$H$1501,4,FALSE)</f>
        <v>4.0257816972106009E-2</v>
      </c>
      <c r="L32" s="560">
        <f>VLOOKUP($B32,'Emissions factors'!$B$1481:$H$1501,5,FALSE)</f>
        <v>3.9296780935742605E-2</v>
      </c>
      <c r="M32" s="560">
        <f>VLOOKUP($B32,'Emissions factors'!$B$1481:$H$1501,6,FALSE)</f>
        <v>0.27440847915592781</v>
      </c>
      <c r="N32" s="465">
        <f>G32*H32*I32*J32*K32</f>
        <v>0</v>
      </c>
      <c r="O32" s="465">
        <f>G32*H32*I32*J32*L32</f>
        <v>0</v>
      </c>
      <c r="P32" s="465">
        <f>G32*H32*I32*J32*M32</f>
        <v>0</v>
      </c>
      <c r="Q32" s="222">
        <f>IF(OR(F32='Info utili'!$I$532,F32='Info utili'!$I$537),P32,0)</f>
        <v>0</v>
      </c>
      <c r="X32" s="282">
        <f>VLOOKUP($B32,'Emissions factors'!$B$1481:$H$1501,7,FALSE)</f>
        <v>0.13412035286792282</v>
      </c>
      <c r="Y32" s="186"/>
      <c r="Z32" s="221">
        <f>N32*SQRT(X32^2+Y32^2)</f>
        <v>0</v>
      </c>
      <c r="AA32" s="221">
        <f>O32*SQRT(X32^2+Y32^2)</f>
        <v>0</v>
      </c>
      <c r="AB32" s="221">
        <f>P32*SQRT(X32^2+Y32^2)</f>
        <v>0</v>
      </c>
      <c r="AC32" s="210">
        <f>SQRT(SUMSQ(Z32:AB32))</f>
        <v>0</v>
      </c>
      <c r="AD32" s="222">
        <f>Q32*SQRT(X32^2+Y32^2)</f>
        <v>0</v>
      </c>
      <c r="AF32" s="187"/>
      <c r="AG32" s="221">
        <f>N32*AF32</f>
        <v>0</v>
      </c>
      <c r="AH32" s="221">
        <f>O32*AF32</f>
        <v>0</v>
      </c>
      <c r="AI32" s="221">
        <f>P32*AF32</f>
        <v>0</v>
      </c>
      <c r="AJ32" s="210">
        <f>SUM(AG32:AI32)</f>
        <v>0</v>
      </c>
      <c r="AK32" s="221">
        <f>Q32*AF32</f>
        <v>0</v>
      </c>
      <c r="AL32" s="187"/>
      <c r="AM32" s="221">
        <f>N32*AL32</f>
        <v>0</v>
      </c>
      <c r="AN32" s="221">
        <f>O32*AL32</f>
        <v>0</v>
      </c>
      <c r="AO32" s="221">
        <f>P32*AL32</f>
        <v>0</v>
      </c>
      <c r="AP32" s="210">
        <f>SUM(AM32:AO32)</f>
        <v>0</v>
      </c>
      <c r="AQ32" s="222">
        <f>Q32*AL32</f>
        <v>0</v>
      </c>
      <c r="AS32" s="717"/>
      <c r="AT32" s="718"/>
      <c r="AU32" s="718"/>
      <c r="AV32" s="718"/>
      <c r="AW32" s="718"/>
      <c r="AX32" s="718"/>
      <c r="AY32" s="718"/>
      <c r="AZ32" s="718"/>
      <c r="BA32" s="718"/>
      <c r="BB32" s="718"/>
      <c r="BC32" s="718"/>
      <c r="BD32" s="718"/>
      <c r="BE32" s="719">
        <f t="shared" si="5"/>
        <v>0</v>
      </c>
      <c r="BF32" s="719">
        <f t="shared" si="5"/>
        <v>0</v>
      </c>
      <c r="BG32" s="720">
        <f t="shared" si="5"/>
        <v>0</v>
      </c>
      <c r="BH32" s="717"/>
      <c r="BI32" s="718"/>
      <c r="BJ32" s="721"/>
    </row>
    <row r="33" spans="2:62" outlineLevel="1" x14ac:dyDescent="0.2">
      <c r="B33" s="200" t="s">
        <v>3160</v>
      </c>
      <c r="C33" s="201"/>
      <c r="D33" s="262">
        <f>N33+O33+P33</f>
        <v>0</v>
      </c>
      <c r="E33" s="265">
        <f>D33*12/44</f>
        <v>0</v>
      </c>
      <c r="F33" s="443"/>
      <c r="G33" s="188"/>
      <c r="H33" s="563">
        <v>220</v>
      </c>
      <c r="I33" s="563">
        <v>2</v>
      </c>
      <c r="J33" s="563">
        <f>VLOOKUP($B33,'Emissions factors'!$B$1481:$H$1501,2,FALSE)</f>
        <v>0</v>
      </c>
      <c r="K33" s="560">
        <f>VLOOKUP($B33,'Emissions factors'!$B$1481:$H$1501,4,FALSE)</f>
        <v>4.0257816972106009E-2</v>
      </c>
      <c r="L33" s="560">
        <f>VLOOKUP($B33,'Emissions factors'!$B$1481:$H$1501,5,FALSE)</f>
        <v>3.9296780935742605E-2</v>
      </c>
      <c r="M33" s="560">
        <f>VLOOKUP($B33,'Emissions factors'!$B$1481:$H$1501,6,FALSE)</f>
        <v>0.23599999999999999</v>
      </c>
      <c r="N33" s="465">
        <f>G33*H33*I33*J33*K33</f>
        <v>0</v>
      </c>
      <c r="O33" s="465">
        <f>G33*H33*I33*J33*L33</f>
        <v>0</v>
      </c>
      <c r="P33" s="465">
        <f>G33*H33*I33*J33*M33</f>
        <v>0</v>
      </c>
      <c r="Q33" s="222">
        <f>IF(OR(F33='Info utili'!$I$532,F33='Info utili'!$I$537),P33,0)</f>
        <v>0</v>
      </c>
      <c r="X33" s="282">
        <f>VLOOKUP($B33,'Emissions factors'!$B$1481:$H$1501,7,FALSE)</f>
        <v>0</v>
      </c>
      <c r="Y33" s="189"/>
      <c r="Z33" s="221">
        <f>N33*SQRT(X33^2+Y33^2)</f>
        <v>0</v>
      </c>
      <c r="AA33" s="221">
        <f>O33*SQRT(X33^2+Y33^2)</f>
        <v>0</v>
      </c>
      <c r="AB33" s="221">
        <f>P33*SQRT(X33^2+Y33^2)</f>
        <v>0</v>
      </c>
      <c r="AC33" s="210">
        <f>SQRT(SUMSQ(Z33:AB33))</f>
        <v>0</v>
      </c>
      <c r="AD33" s="222">
        <f>Q33*SQRT(X33^2+Y33^2)</f>
        <v>0</v>
      </c>
      <c r="AF33" s="190"/>
      <c r="AG33" s="221">
        <f>N33*AF33</f>
        <v>0</v>
      </c>
      <c r="AH33" s="221">
        <f>O33*AF33</f>
        <v>0</v>
      </c>
      <c r="AI33" s="221">
        <f>P33*AF33</f>
        <v>0</v>
      </c>
      <c r="AJ33" s="210">
        <f>SUM(AG33:AI33)</f>
        <v>0</v>
      </c>
      <c r="AK33" s="221">
        <f>Q33*AF33</f>
        <v>0</v>
      </c>
      <c r="AL33" s="190"/>
      <c r="AM33" s="221">
        <f>N33*AL33</f>
        <v>0</v>
      </c>
      <c r="AN33" s="221">
        <f>O33*AL33</f>
        <v>0</v>
      </c>
      <c r="AO33" s="221">
        <f>P33*AL33</f>
        <v>0</v>
      </c>
      <c r="AP33" s="210">
        <f>SUM(AM33:AO33)</f>
        <v>0</v>
      </c>
      <c r="AQ33" s="222">
        <f>Q33*AL33</f>
        <v>0</v>
      </c>
      <c r="AS33" s="717"/>
      <c r="AT33" s="718"/>
      <c r="AU33" s="718"/>
      <c r="AV33" s="718"/>
      <c r="AW33" s="718"/>
      <c r="AX33" s="718"/>
      <c r="AY33" s="718"/>
      <c r="AZ33" s="718"/>
      <c r="BA33" s="718"/>
      <c r="BB33" s="718"/>
      <c r="BC33" s="718"/>
      <c r="BD33" s="718"/>
      <c r="BE33" s="719">
        <f t="shared" si="5"/>
        <v>0</v>
      </c>
      <c r="BF33" s="719">
        <f t="shared" si="5"/>
        <v>0</v>
      </c>
      <c r="BG33" s="720">
        <f t="shared" si="5"/>
        <v>0</v>
      </c>
      <c r="BH33" s="717"/>
      <c r="BI33" s="718"/>
      <c r="BJ33" s="721"/>
    </row>
    <row r="34" spans="2:62" outlineLevel="1" x14ac:dyDescent="0.2">
      <c r="B34" s="200"/>
      <c r="C34" s="201"/>
      <c r="D34" s="263"/>
      <c r="E34" s="266"/>
      <c r="F34" s="201"/>
      <c r="G34" s="201"/>
      <c r="H34" s="201"/>
      <c r="I34" s="201"/>
      <c r="J34" s="201"/>
      <c r="K34" s="201"/>
      <c r="L34" s="201"/>
      <c r="M34" s="201"/>
      <c r="N34" s="201"/>
      <c r="O34" s="201"/>
      <c r="P34" s="221"/>
      <c r="Q34" s="222"/>
      <c r="X34" s="200"/>
      <c r="Y34" s="201"/>
      <c r="Z34" s="201"/>
      <c r="AA34" s="201"/>
      <c r="AB34" s="201"/>
      <c r="AC34" s="210"/>
      <c r="AD34" s="211"/>
      <c r="AF34" s="213"/>
      <c r="AG34" s="214"/>
      <c r="AH34" s="214"/>
      <c r="AI34" s="214"/>
      <c r="AJ34" s="463"/>
      <c r="AK34" s="413"/>
      <c r="AL34" s="214"/>
      <c r="AM34" s="214"/>
      <c r="AN34" s="214"/>
      <c r="AO34" s="214"/>
      <c r="AP34" s="463"/>
      <c r="AQ34" s="466"/>
      <c r="AS34" s="717"/>
      <c r="AT34" s="718"/>
      <c r="AU34" s="718"/>
      <c r="AV34" s="718"/>
      <c r="AW34" s="718"/>
      <c r="AX34" s="718"/>
      <c r="AY34" s="718"/>
      <c r="AZ34" s="718"/>
      <c r="BA34" s="718"/>
      <c r="BB34" s="718"/>
      <c r="BC34" s="718"/>
      <c r="BD34" s="718"/>
      <c r="BE34" s="719"/>
      <c r="BF34" s="719"/>
      <c r="BG34" s="720"/>
      <c r="BH34" s="722"/>
      <c r="BI34" s="786"/>
      <c r="BJ34" s="723"/>
    </row>
    <row r="35" spans="2:62" outlineLevel="1" x14ac:dyDescent="0.2">
      <c r="B35" s="253" t="s">
        <v>2828</v>
      </c>
      <c r="C35" s="254"/>
      <c r="D35" s="264">
        <f>SUM(D30:D34)</f>
        <v>0</v>
      </c>
      <c r="E35" s="267">
        <f>SUM(E30:E34)</f>
        <v>0</v>
      </c>
      <c r="F35" s="254"/>
      <c r="G35" s="254"/>
      <c r="H35" s="254"/>
      <c r="I35" s="254"/>
      <c r="J35" s="254"/>
      <c r="K35" s="254"/>
      <c r="L35" s="254"/>
      <c r="M35" s="254"/>
      <c r="N35" s="259">
        <f>SUM(N30:N34)</f>
        <v>0</v>
      </c>
      <c r="O35" s="259">
        <f>SUM(O30:O34)</f>
        <v>0</v>
      </c>
      <c r="P35" s="259">
        <f>SUM(P30:P34)</f>
        <v>0</v>
      </c>
      <c r="Q35" s="428">
        <f>SUM(Q30:Q34)</f>
        <v>0</v>
      </c>
      <c r="X35" s="258"/>
      <c r="Y35" s="256"/>
      <c r="Z35" s="260">
        <f>SQRT(SUMSQ(Z30:Z34))</f>
        <v>0</v>
      </c>
      <c r="AA35" s="260">
        <f>SQRT(SUMSQ(AA30:AA34))</f>
        <v>0</v>
      </c>
      <c r="AB35" s="260">
        <f>SQRT(SUMSQ(AB30:AB34))</f>
        <v>0</v>
      </c>
      <c r="AC35" s="259">
        <f>SQRT(SUMSQ(AC30:AC34))</f>
        <v>0</v>
      </c>
      <c r="AD35" s="428">
        <f>SQRT(SUMSQ(AD30:AD34))</f>
        <v>0</v>
      </c>
      <c r="AF35" s="258"/>
      <c r="AG35" s="260">
        <f>SUM(AG30:AG34)</f>
        <v>0</v>
      </c>
      <c r="AH35" s="260">
        <f>SUM(AH30:AH34)</f>
        <v>0</v>
      </c>
      <c r="AI35" s="260">
        <f>SUM(AI30:AI34)</f>
        <v>0</v>
      </c>
      <c r="AJ35" s="259">
        <f>SUM(AJ30:AJ34)</f>
        <v>0</v>
      </c>
      <c r="AK35" s="260">
        <f>SUM(AK30:AK34)</f>
        <v>0</v>
      </c>
      <c r="AL35" s="256"/>
      <c r="AM35" s="260">
        <f>SUM(AM30:AM34)</f>
        <v>0</v>
      </c>
      <c r="AN35" s="260">
        <f>SUM(AN30:AN34)</f>
        <v>0</v>
      </c>
      <c r="AO35" s="260">
        <f>SUM(AO30:AO34)</f>
        <v>0</v>
      </c>
      <c r="AP35" s="259">
        <f>SUM(AP30:AP34)</f>
        <v>0</v>
      </c>
      <c r="AQ35" s="428">
        <f>SUM(AQ30:AQ34)</f>
        <v>0</v>
      </c>
      <c r="AS35" s="724">
        <f t="shared" ref="AS35:BJ35" si="6">SUM(AS30:AS34)</f>
        <v>0</v>
      </c>
      <c r="AT35" s="725">
        <f t="shared" si="6"/>
        <v>0</v>
      </c>
      <c r="AU35" s="725">
        <f t="shared" si="6"/>
        <v>0</v>
      </c>
      <c r="AV35" s="725">
        <f t="shared" si="6"/>
        <v>0</v>
      </c>
      <c r="AW35" s="725">
        <f t="shared" si="6"/>
        <v>0</v>
      </c>
      <c r="AX35" s="725">
        <f t="shared" si="6"/>
        <v>0</v>
      </c>
      <c r="AY35" s="725">
        <f t="shared" si="6"/>
        <v>0</v>
      </c>
      <c r="AZ35" s="725">
        <f t="shared" si="6"/>
        <v>0</v>
      </c>
      <c r="BA35" s="725">
        <f t="shared" si="6"/>
        <v>0</v>
      </c>
      <c r="BB35" s="725">
        <f t="shared" si="6"/>
        <v>0</v>
      </c>
      <c r="BC35" s="725">
        <f t="shared" si="6"/>
        <v>0</v>
      </c>
      <c r="BD35" s="725">
        <f t="shared" si="6"/>
        <v>0</v>
      </c>
      <c r="BE35" s="726">
        <f t="shared" si="6"/>
        <v>0</v>
      </c>
      <c r="BF35" s="726">
        <f t="shared" si="6"/>
        <v>0</v>
      </c>
      <c r="BG35" s="727">
        <f t="shared" si="6"/>
        <v>0</v>
      </c>
      <c r="BH35" s="724">
        <f t="shared" si="6"/>
        <v>0</v>
      </c>
      <c r="BI35" s="725">
        <f t="shared" si="6"/>
        <v>0</v>
      </c>
      <c r="BJ35" s="728">
        <f t="shared" si="6"/>
        <v>0</v>
      </c>
    </row>
    <row r="36" spans="2:62" outlineLevel="1" x14ac:dyDescent="0.2">
      <c r="K36" s="314"/>
      <c r="AC36" s="330"/>
    </row>
    <row r="37" spans="2:62" ht="28" outlineLevel="1" x14ac:dyDescent="0.2">
      <c r="B37" s="1656" t="s">
        <v>2932</v>
      </c>
      <c r="C37" s="196"/>
      <c r="D37" s="500"/>
      <c r="E37" s="500"/>
      <c r="F37" s="196"/>
      <c r="G37" s="198"/>
      <c r="H37" s="552"/>
      <c r="I37" s="552"/>
      <c r="J37" s="552"/>
      <c r="K37" s="552"/>
      <c r="L37" s="552"/>
      <c r="M37" s="552"/>
      <c r="N37" s="199"/>
      <c r="X37" s="1746" t="s">
        <v>723</v>
      </c>
      <c r="Y37" s="1747"/>
      <c r="Z37" s="1747"/>
      <c r="AA37" s="1747"/>
      <c r="AB37" s="1747"/>
      <c r="AC37" s="1747"/>
      <c r="AD37" s="1748"/>
      <c r="AF37" s="1746" t="s">
        <v>2066</v>
      </c>
      <c r="AG37" s="1747"/>
      <c r="AH37" s="1747"/>
      <c r="AI37" s="1747"/>
      <c r="AJ37" s="1747"/>
      <c r="AK37" s="1747"/>
      <c r="AL37" s="1747"/>
      <c r="AM37" s="1747"/>
      <c r="AN37" s="1747"/>
      <c r="AO37" s="1747"/>
      <c r="AP37" s="1747"/>
      <c r="AQ37" s="1748"/>
      <c r="AS37" s="1755" t="s">
        <v>2073</v>
      </c>
      <c r="AT37" s="1756"/>
      <c r="AU37" s="1756"/>
      <c r="AV37" s="1756"/>
      <c r="AW37" s="1756"/>
      <c r="AX37" s="1756"/>
      <c r="AY37" s="1756"/>
      <c r="AZ37" s="1756"/>
      <c r="BA37" s="1756"/>
      <c r="BB37" s="1756"/>
      <c r="BC37" s="1756"/>
      <c r="BD37" s="1756"/>
      <c r="BE37" s="1756"/>
      <c r="BF37" s="1756"/>
      <c r="BG37" s="1756"/>
      <c r="BH37" s="1756"/>
      <c r="BI37" s="1756"/>
      <c r="BJ37" s="1757"/>
    </row>
    <row r="38" spans="2:62" outlineLevel="1" x14ac:dyDescent="0.2">
      <c r="B38" s="417"/>
      <c r="C38" s="225"/>
      <c r="D38" s="503"/>
      <c r="E38" s="503"/>
      <c r="F38" s="201"/>
      <c r="G38" s="201"/>
      <c r="H38" s="201"/>
      <c r="I38" s="201"/>
      <c r="J38" s="201"/>
      <c r="K38" s="201"/>
      <c r="L38" s="1745" t="s">
        <v>2646</v>
      </c>
      <c r="M38" s="1745"/>
      <c r="N38" s="508" t="s">
        <v>2639</v>
      </c>
      <c r="X38" s="507"/>
      <c r="Y38" s="504"/>
      <c r="Z38" s="504"/>
      <c r="AA38" s="504"/>
      <c r="AB38" s="504"/>
      <c r="AC38" s="504"/>
      <c r="AD38" s="508" t="s">
        <v>2639</v>
      </c>
      <c r="AE38" s="42"/>
      <c r="AF38" s="216"/>
      <c r="AG38" s="503"/>
      <c r="AH38" s="503"/>
      <c r="AI38" s="503"/>
      <c r="AJ38" s="504"/>
      <c r="AK38" s="504" t="s">
        <v>2639</v>
      </c>
      <c r="AL38" s="217"/>
      <c r="AM38" s="503"/>
      <c r="AN38" s="503"/>
      <c r="AO38" s="503"/>
      <c r="AP38" s="504"/>
      <c r="AQ38" s="508" t="s">
        <v>2639</v>
      </c>
      <c r="AS38" s="1758" t="s">
        <v>61</v>
      </c>
      <c r="AT38" s="1759"/>
      <c r="AU38" s="1759"/>
      <c r="AV38" s="1759"/>
      <c r="AW38" s="1759"/>
      <c r="AX38" s="1759"/>
      <c r="AY38" s="1759"/>
      <c r="AZ38" s="1759"/>
      <c r="BA38" s="1759"/>
      <c r="BB38" s="1759"/>
      <c r="BC38" s="1759"/>
      <c r="BD38" s="1759"/>
      <c r="BE38" s="1759" t="s">
        <v>61</v>
      </c>
      <c r="BF38" s="1759"/>
      <c r="BG38" s="1760"/>
      <c r="BH38" s="730"/>
      <c r="BI38" s="785"/>
      <c r="BJ38" s="731"/>
    </row>
    <row r="39" spans="2:62" outlineLevel="1" x14ac:dyDescent="0.2">
      <c r="B39" s="507"/>
      <c r="C39" s="504"/>
      <c r="D39" s="504" t="s">
        <v>56</v>
      </c>
      <c r="E39" s="504" t="s">
        <v>56</v>
      </c>
      <c r="F39" s="205" t="s">
        <v>2669</v>
      </c>
      <c r="G39" s="205"/>
      <c r="H39" s="201"/>
      <c r="I39" s="551" t="s">
        <v>1281</v>
      </c>
      <c r="J39" s="201"/>
      <c r="K39" s="503" t="s">
        <v>61</v>
      </c>
      <c r="L39" s="503" t="s">
        <v>61</v>
      </c>
      <c r="M39" s="503" t="s">
        <v>61</v>
      </c>
      <c r="N39" s="508" t="s">
        <v>30</v>
      </c>
      <c r="X39" s="1633" t="s">
        <v>2605</v>
      </c>
      <c r="Y39" s="504" t="s">
        <v>2110</v>
      </c>
      <c r="Z39" s="504" t="s">
        <v>61</v>
      </c>
      <c r="AA39" s="504" t="s">
        <v>61</v>
      </c>
      <c r="AB39" s="504" t="s">
        <v>61</v>
      </c>
      <c r="AC39" s="503" t="s">
        <v>61</v>
      </c>
      <c r="AD39" s="508" t="s">
        <v>30</v>
      </c>
      <c r="AE39" s="42"/>
      <c r="AF39" s="507" t="s">
        <v>2065</v>
      </c>
      <c r="AG39" s="504" t="s">
        <v>61</v>
      </c>
      <c r="AH39" s="504" t="s">
        <v>61</v>
      </c>
      <c r="AI39" s="504" t="s">
        <v>61</v>
      </c>
      <c r="AJ39" s="503" t="s">
        <v>61</v>
      </c>
      <c r="AK39" s="504" t="s">
        <v>30</v>
      </c>
      <c r="AL39" s="504" t="s">
        <v>2558</v>
      </c>
      <c r="AM39" s="504" t="s">
        <v>61</v>
      </c>
      <c r="AN39" s="504" t="s">
        <v>61</v>
      </c>
      <c r="AO39" s="504" t="s">
        <v>61</v>
      </c>
      <c r="AP39" s="503" t="s">
        <v>61</v>
      </c>
      <c r="AQ39" s="508" t="s">
        <v>30</v>
      </c>
      <c r="AS39" s="1764" t="s">
        <v>14</v>
      </c>
      <c r="AT39" s="1761"/>
      <c r="AU39" s="1761"/>
      <c r="AV39" s="1761" t="s">
        <v>60</v>
      </c>
      <c r="AW39" s="1761"/>
      <c r="AX39" s="1761"/>
      <c r="AY39" s="1761" t="s">
        <v>27</v>
      </c>
      <c r="AZ39" s="1761"/>
      <c r="BA39" s="1761"/>
      <c r="BB39" s="1761" t="s">
        <v>2074</v>
      </c>
      <c r="BC39" s="1761"/>
      <c r="BD39" s="1761"/>
      <c r="BE39" s="1762" t="s">
        <v>41</v>
      </c>
      <c r="BF39" s="1762"/>
      <c r="BG39" s="1763"/>
      <c r="BH39" s="1764" t="s">
        <v>85</v>
      </c>
      <c r="BI39" s="1761"/>
      <c r="BJ39" s="1765"/>
    </row>
    <row r="40" spans="2:62" outlineLevel="1" x14ac:dyDescent="0.2">
      <c r="B40" s="1636"/>
      <c r="C40" s="419"/>
      <c r="D40" s="504" t="s">
        <v>61</v>
      </c>
      <c r="E40" s="504" t="s">
        <v>63</v>
      </c>
      <c r="F40" s="208" t="s">
        <v>2054</v>
      </c>
      <c r="G40" s="208" t="s">
        <v>2635</v>
      </c>
      <c r="H40" s="506" t="s">
        <v>1279</v>
      </c>
      <c r="I40" s="506" t="s">
        <v>768</v>
      </c>
      <c r="J40" s="506" t="s">
        <v>24</v>
      </c>
      <c r="K40" s="505" t="s">
        <v>1279</v>
      </c>
      <c r="L40" s="505" t="s">
        <v>768</v>
      </c>
      <c r="M40" s="505" t="s">
        <v>24</v>
      </c>
      <c r="N40" s="508" t="s">
        <v>61</v>
      </c>
      <c r="X40" s="1633" t="s">
        <v>2109</v>
      </c>
      <c r="Y40" s="504"/>
      <c r="Z40" s="506" t="s">
        <v>1279</v>
      </c>
      <c r="AA40" s="506" t="s">
        <v>768</v>
      </c>
      <c r="AB40" s="506" t="s">
        <v>24</v>
      </c>
      <c r="AC40" s="223" t="s">
        <v>41</v>
      </c>
      <c r="AD40" s="508" t="s">
        <v>61</v>
      </c>
      <c r="AE40" s="42"/>
      <c r="AF40" s="507"/>
      <c r="AG40" s="506" t="s">
        <v>1279</v>
      </c>
      <c r="AH40" s="506" t="s">
        <v>768</v>
      </c>
      <c r="AI40" s="506" t="s">
        <v>24</v>
      </c>
      <c r="AJ40" s="223" t="s">
        <v>41</v>
      </c>
      <c r="AK40" s="504" t="s">
        <v>61</v>
      </c>
      <c r="AL40" s="504"/>
      <c r="AM40" s="506" t="s">
        <v>1279</v>
      </c>
      <c r="AN40" s="506" t="s">
        <v>768</v>
      </c>
      <c r="AO40" s="506" t="s">
        <v>24</v>
      </c>
      <c r="AP40" s="223" t="s">
        <v>41</v>
      </c>
      <c r="AQ40" s="508" t="s">
        <v>61</v>
      </c>
      <c r="AS40" s="732" t="s">
        <v>1279</v>
      </c>
      <c r="AT40" s="733" t="s">
        <v>768</v>
      </c>
      <c r="AU40" s="733" t="s">
        <v>24</v>
      </c>
      <c r="AV40" s="733" t="s">
        <v>1279</v>
      </c>
      <c r="AW40" s="733" t="s">
        <v>768</v>
      </c>
      <c r="AX40" s="733" t="s">
        <v>24</v>
      </c>
      <c r="AY40" s="733" t="s">
        <v>1279</v>
      </c>
      <c r="AZ40" s="733" t="s">
        <v>768</v>
      </c>
      <c r="BA40" s="733" t="s">
        <v>24</v>
      </c>
      <c r="BB40" s="733" t="s">
        <v>1279</v>
      </c>
      <c r="BC40" s="733" t="s">
        <v>768</v>
      </c>
      <c r="BD40" s="733" t="s">
        <v>24</v>
      </c>
      <c r="BE40" s="734" t="s">
        <v>1279</v>
      </c>
      <c r="BF40" s="734" t="s">
        <v>768</v>
      </c>
      <c r="BG40" s="735" t="s">
        <v>24</v>
      </c>
      <c r="BH40" s="732" t="s">
        <v>1279</v>
      </c>
      <c r="BI40" s="733" t="s">
        <v>768</v>
      </c>
      <c r="BJ40" s="736" t="s">
        <v>24</v>
      </c>
    </row>
    <row r="41" spans="2:62" outlineLevel="1" x14ac:dyDescent="0.2">
      <c r="B41" s="200" t="s">
        <v>3160</v>
      </c>
      <c r="C41" s="201"/>
      <c r="D41" s="262">
        <f>K41+L41+M41</f>
        <v>315.55459790784857</v>
      </c>
      <c r="E41" s="265">
        <f>D41*12/44</f>
        <v>86.060344883958706</v>
      </c>
      <c r="F41" s="559" t="s">
        <v>2421</v>
      </c>
      <c r="G41" s="185">
        <v>1000</v>
      </c>
      <c r="H41" s="560">
        <f>VLOOKUP($B41,'Emissions factors'!$B$1481:$H$1501,4,FALSE)</f>
        <v>4.0257816972106009E-2</v>
      </c>
      <c r="I41" s="560">
        <f>VLOOKUP($B41,'Emissions factors'!$B$1481:$H$1501,5,FALSE)</f>
        <v>3.9296780935742605E-2</v>
      </c>
      <c r="J41" s="560">
        <f>VLOOKUP($B41,'Emissions factors'!$B$1481:$H$1501,6,FALSE)</f>
        <v>0.23599999999999999</v>
      </c>
      <c r="K41" s="465">
        <f>G41*H41</f>
        <v>40.257816972106006</v>
      </c>
      <c r="L41" s="465">
        <f>G41*I41</f>
        <v>39.296780935742603</v>
      </c>
      <c r="M41" s="465">
        <f>G41*J41</f>
        <v>236</v>
      </c>
      <c r="N41" s="222">
        <f>IF(OR(F41='Info utili'!$I$532,F41='Info utili'!$I$537),M41,0)</f>
        <v>236</v>
      </c>
      <c r="X41" s="282">
        <f>VLOOKUP($B41,'Emissions factors'!$B$1481:$H$1501,7,FALSE)</f>
        <v>0</v>
      </c>
      <c r="Y41" s="183"/>
      <c r="Z41" s="221">
        <f>K41*SQRT(X41^2+Y41^2)</f>
        <v>0</v>
      </c>
      <c r="AA41" s="221">
        <f>L41*SQRT(X41^2+Y41^2)</f>
        <v>0</v>
      </c>
      <c r="AB41" s="221">
        <f>M41*SQRT(X41^2+Y41^2)</f>
        <v>0</v>
      </c>
      <c r="AC41" s="210">
        <f>SQRT(SUMSQ(Z41:AB41))</f>
        <v>0</v>
      </c>
      <c r="AD41" s="222">
        <f>N41*SQRT(X41^2+Y41^2)</f>
        <v>0</v>
      </c>
      <c r="AF41" s="184"/>
      <c r="AG41" s="221">
        <f>K41*AF41</f>
        <v>0</v>
      </c>
      <c r="AH41" s="221">
        <f>L41*AF41</f>
        <v>0</v>
      </c>
      <c r="AI41" s="221">
        <f>M41*AF41</f>
        <v>0</v>
      </c>
      <c r="AJ41" s="210">
        <f>SUM(AG41:AI41)</f>
        <v>0</v>
      </c>
      <c r="AK41" s="221">
        <f>N41*AF41</f>
        <v>0</v>
      </c>
      <c r="AL41" s="184"/>
      <c r="AM41" s="221">
        <f>K41*AL41</f>
        <v>0</v>
      </c>
      <c r="AN41" s="221">
        <f>L41*AL41</f>
        <v>0</v>
      </c>
      <c r="AO41" s="221">
        <f>M41*AL41</f>
        <v>0</v>
      </c>
      <c r="AP41" s="210">
        <f>SUM(AM41:AO41)</f>
        <v>0</v>
      </c>
      <c r="AQ41" s="222">
        <f>N41*AL41</f>
        <v>0</v>
      </c>
      <c r="AS41" s="717"/>
      <c r="AT41" s="718"/>
      <c r="AU41" s="718"/>
      <c r="AV41" s="718"/>
      <c r="AW41" s="718"/>
      <c r="AX41" s="718"/>
      <c r="AY41" s="718"/>
      <c r="AZ41" s="718"/>
      <c r="BA41" s="718"/>
      <c r="BB41" s="718"/>
      <c r="BC41" s="718"/>
      <c r="BD41" s="718"/>
      <c r="BE41" s="719">
        <f t="shared" ref="BE41:BG44" si="7">K41</f>
        <v>40.257816972106006</v>
      </c>
      <c r="BF41" s="719">
        <f t="shared" si="7"/>
        <v>39.296780935742603</v>
      </c>
      <c r="BG41" s="720">
        <f t="shared" si="7"/>
        <v>236</v>
      </c>
      <c r="BH41" s="717"/>
      <c r="BI41" s="718"/>
      <c r="BJ41" s="721"/>
    </row>
    <row r="42" spans="2:62" outlineLevel="1" x14ac:dyDescent="0.2">
      <c r="B42" s="200" t="s">
        <v>3170</v>
      </c>
      <c r="C42" s="201"/>
      <c r="D42" s="262">
        <f>K42+L42+M42</f>
        <v>244.02</v>
      </c>
      <c r="E42" s="265">
        <f>D42*12/44</f>
        <v>66.550909090909101</v>
      </c>
      <c r="F42" s="442" t="s">
        <v>2421</v>
      </c>
      <c r="G42" s="185">
        <v>1000</v>
      </c>
      <c r="H42" s="560">
        <f>VLOOKUP($B42,'Emissions factors'!$B$1481:$H$1501,4,FALSE)</f>
        <v>0.04</v>
      </c>
      <c r="I42" s="560">
        <f>VLOOKUP($B42,'Emissions factors'!$B$1481:$H$1501,5,FALSE)</f>
        <v>4.3020000000000003E-2</v>
      </c>
      <c r="J42" s="560">
        <f>VLOOKUP($B42,'Emissions factors'!$B$1481:$H$1501,6,FALSE)</f>
        <v>0.161</v>
      </c>
      <c r="K42" s="465">
        <f>G42*H42</f>
        <v>40</v>
      </c>
      <c r="L42" s="465">
        <f>G42*I42</f>
        <v>43.02</v>
      </c>
      <c r="M42" s="465">
        <f>G42*J42</f>
        <v>161</v>
      </c>
      <c r="N42" s="222">
        <f>IF(OR(F42='Info utili'!$I$532,F42='Info utili'!$I$537),M42,0)</f>
        <v>161</v>
      </c>
      <c r="X42" s="282">
        <f>VLOOKUP($B42,'Emissions factors'!$B$1481:$H$1501,7,FALSE)</f>
        <v>0</v>
      </c>
      <c r="Y42" s="186"/>
      <c r="Z42" s="221">
        <f>K42*SQRT(X42^2+Y42^2)</f>
        <v>0</v>
      </c>
      <c r="AA42" s="221">
        <f>L42*SQRT(X42^2+Y42^2)</f>
        <v>0</v>
      </c>
      <c r="AB42" s="221">
        <f>M42*SQRT(X42^2+Y42^2)</f>
        <v>0</v>
      </c>
      <c r="AC42" s="210">
        <f>SQRT(SUMSQ(Z42:AB42))</f>
        <v>0</v>
      </c>
      <c r="AD42" s="222">
        <f>N42*SQRT(X42^2+Y42^2)</f>
        <v>0</v>
      </c>
      <c r="AF42" s="187"/>
      <c r="AG42" s="221">
        <f>K42*AF42</f>
        <v>0</v>
      </c>
      <c r="AH42" s="221">
        <f>L42*AF42</f>
        <v>0</v>
      </c>
      <c r="AI42" s="221">
        <f>M42*AF42</f>
        <v>0</v>
      </c>
      <c r="AJ42" s="210">
        <f>SUM(AG42:AI42)</f>
        <v>0</v>
      </c>
      <c r="AK42" s="221">
        <f>N42*AF42</f>
        <v>0</v>
      </c>
      <c r="AL42" s="187"/>
      <c r="AM42" s="221">
        <f>K42*AL42</f>
        <v>0</v>
      </c>
      <c r="AN42" s="221">
        <f>L42*AL42</f>
        <v>0</v>
      </c>
      <c r="AO42" s="221">
        <f>M42*AL42</f>
        <v>0</v>
      </c>
      <c r="AP42" s="210">
        <f>SUM(AM42:AO42)</f>
        <v>0</v>
      </c>
      <c r="AQ42" s="222">
        <f>N42*AL42</f>
        <v>0</v>
      </c>
      <c r="AS42" s="717"/>
      <c r="AT42" s="718"/>
      <c r="AU42" s="718"/>
      <c r="AV42" s="718"/>
      <c r="AW42" s="718"/>
      <c r="AX42" s="718"/>
      <c r="AY42" s="718"/>
      <c r="AZ42" s="718"/>
      <c r="BA42" s="718"/>
      <c r="BB42" s="718"/>
      <c r="BC42" s="718"/>
      <c r="BD42" s="718"/>
      <c r="BE42" s="719">
        <f t="shared" si="7"/>
        <v>40</v>
      </c>
      <c r="BF42" s="719">
        <f t="shared" si="7"/>
        <v>43.02</v>
      </c>
      <c r="BG42" s="720">
        <f t="shared" si="7"/>
        <v>161</v>
      </c>
      <c r="BH42" s="717"/>
      <c r="BI42" s="718"/>
      <c r="BJ42" s="721"/>
    </row>
    <row r="43" spans="2:62" outlineLevel="1" x14ac:dyDescent="0.2">
      <c r="B43" s="200" t="s">
        <v>3252</v>
      </c>
      <c r="C43" s="201"/>
      <c r="D43" s="262">
        <f>K43+L43+M43</f>
        <v>220.02</v>
      </c>
      <c r="E43" s="265">
        <f>D43*12/44</f>
        <v>60.005454545454548</v>
      </c>
      <c r="F43" s="442" t="s">
        <v>2424</v>
      </c>
      <c r="G43" s="185">
        <v>1000</v>
      </c>
      <c r="H43" s="560">
        <f>VLOOKUP($B43,'Emissions factors'!$B$1481:$H$1501,4,FALSE)</f>
        <v>0.04</v>
      </c>
      <c r="I43" s="560">
        <f>VLOOKUP($B43,'Emissions factors'!$B$1481:$H$1501,5,FALSE)</f>
        <v>4.3020000000000003E-2</v>
      </c>
      <c r="J43" s="560">
        <f>VLOOKUP($B43,'Emissions factors'!$B$1481:$H$1501,6,FALSE)</f>
        <v>0.13700000000000001</v>
      </c>
      <c r="K43" s="465">
        <f>G43*H43</f>
        <v>40</v>
      </c>
      <c r="L43" s="465">
        <f>G43*I43</f>
        <v>43.02</v>
      </c>
      <c r="M43" s="465">
        <f>G43*J43</f>
        <v>137</v>
      </c>
      <c r="N43" s="222">
        <f>IF(OR(F43='Info utili'!$I$532,F43='Info utili'!$I$537),M43,0)</f>
        <v>0</v>
      </c>
      <c r="X43" s="282">
        <f>VLOOKUP($B43,'Emissions factors'!$B$1481:$H$1501,7,FALSE)</f>
        <v>0</v>
      </c>
      <c r="Y43" s="186"/>
      <c r="Z43" s="221">
        <f>K43*SQRT(X43^2+Y43^2)</f>
        <v>0</v>
      </c>
      <c r="AA43" s="221">
        <f>L43*SQRT(X43^2+Y43^2)</f>
        <v>0</v>
      </c>
      <c r="AB43" s="221">
        <f>M43*SQRT(X43^2+Y43^2)</f>
        <v>0</v>
      </c>
      <c r="AC43" s="210">
        <f>SQRT(SUMSQ(Z43:AB43))</f>
        <v>0</v>
      </c>
      <c r="AD43" s="222">
        <f>N43*SQRT(X43^2+Y43^2)</f>
        <v>0</v>
      </c>
      <c r="AF43" s="187"/>
      <c r="AG43" s="221">
        <f>K43*AF43</f>
        <v>0</v>
      </c>
      <c r="AH43" s="221">
        <f>L43*AF43</f>
        <v>0</v>
      </c>
      <c r="AI43" s="221">
        <f>M43*AF43</f>
        <v>0</v>
      </c>
      <c r="AJ43" s="210">
        <f>SUM(AG43:AI43)</f>
        <v>0</v>
      </c>
      <c r="AK43" s="221">
        <f>N43*AF43</f>
        <v>0</v>
      </c>
      <c r="AL43" s="187"/>
      <c r="AM43" s="221">
        <f>K43*AL43</f>
        <v>0</v>
      </c>
      <c r="AN43" s="221">
        <f>L43*AL43</f>
        <v>0</v>
      </c>
      <c r="AO43" s="221">
        <f>M43*AL43</f>
        <v>0</v>
      </c>
      <c r="AP43" s="210">
        <f>SUM(AM43:AO43)</f>
        <v>0</v>
      </c>
      <c r="AQ43" s="222">
        <f>N43*AL43</f>
        <v>0</v>
      </c>
      <c r="AS43" s="717"/>
      <c r="AT43" s="718"/>
      <c r="AU43" s="718"/>
      <c r="AV43" s="718"/>
      <c r="AW43" s="718"/>
      <c r="AX43" s="718"/>
      <c r="AY43" s="718"/>
      <c r="AZ43" s="718"/>
      <c r="BA43" s="718"/>
      <c r="BB43" s="718"/>
      <c r="BC43" s="718"/>
      <c r="BD43" s="718"/>
      <c r="BE43" s="719">
        <f t="shared" si="7"/>
        <v>40</v>
      </c>
      <c r="BF43" s="719">
        <f t="shared" si="7"/>
        <v>43.02</v>
      </c>
      <c r="BG43" s="720">
        <f t="shared" si="7"/>
        <v>137</v>
      </c>
      <c r="BH43" s="717"/>
      <c r="BI43" s="718"/>
      <c r="BJ43" s="721"/>
    </row>
    <row r="44" spans="2:62" outlineLevel="1" x14ac:dyDescent="0.2">
      <c r="B44" s="200" t="s">
        <v>3160</v>
      </c>
      <c r="C44" s="201"/>
      <c r="D44" s="262">
        <f>K44+L44+M44</f>
        <v>315.55459790784857</v>
      </c>
      <c r="E44" s="265">
        <f>D44*12/44</f>
        <v>86.060344883958706</v>
      </c>
      <c r="F44" s="443" t="s">
        <v>2431</v>
      </c>
      <c r="G44" s="185">
        <v>1000</v>
      </c>
      <c r="H44" s="560">
        <f>VLOOKUP($B44,'Emissions factors'!$B$1481:$H$1501,4,FALSE)</f>
        <v>4.0257816972106009E-2</v>
      </c>
      <c r="I44" s="560">
        <f>VLOOKUP($B44,'Emissions factors'!$B$1481:$H$1501,5,FALSE)</f>
        <v>3.9296780935742605E-2</v>
      </c>
      <c r="J44" s="560">
        <f>VLOOKUP($B44,'Emissions factors'!$B$1481:$H$1501,6,FALSE)</f>
        <v>0.23599999999999999</v>
      </c>
      <c r="K44" s="465">
        <f>G44*H44</f>
        <v>40.257816972106006</v>
      </c>
      <c r="L44" s="465">
        <f>G44*I44</f>
        <v>39.296780935742603</v>
      </c>
      <c r="M44" s="465">
        <f>G44*J44</f>
        <v>236</v>
      </c>
      <c r="N44" s="222">
        <f>IF(OR(F44='Info utili'!$I$532,F44='Info utili'!$I$537),M44,0)</f>
        <v>0</v>
      </c>
      <c r="X44" s="282">
        <f>VLOOKUP($B44,'Emissions factors'!$B$1481:$H$1501,7,FALSE)</f>
        <v>0</v>
      </c>
      <c r="Y44" s="189"/>
      <c r="Z44" s="221">
        <f>K44*SQRT(X44^2+Y44^2)</f>
        <v>0</v>
      </c>
      <c r="AA44" s="221">
        <f>L44*SQRT(X44^2+Y44^2)</f>
        <v>0</v>
      </c>
      <c r="AB44" s="221">
        <f>M44*SQRT(X44^2+Y44^2)</f>
        <v>0</v>
      </c>
      <c r="AC44" s="210">
        <f>SQRT(SUMSQ(Z44:AB44))</f>
        <v>0</v>
      </c>
      <c r="AD44" s="222">
        <f>N44*SQRT(X44^2+Y44^2)</f>
        <v>0</v>
      </c>
      <c r="AF44" s="190"/>
      <c r="AG44" s="221">
        <f>K44*AF44</f>
        <v>0</v>
      </c>
      <c r="AH44" s="221">
        <f>L44*AF44</f>
        <v>0</v>
      </c>
      <c r="AI44" s="221">
        <f>M44*AF44</f>
        <v>0</v>
      </c>
      <c r="AJ44" s="210">
        <f>SUM(AG44:AI44)</f>
        <v>0</v>
      </c>
      <c r="AK44" s="221">
        <f>N44*AF44</f>
        <v>0</v>
      </c>
      <c r="AL44" s="190"/>
      <c r="AM44" s="221">
        <f>K44*AL44</f>
        <v>0</v>
      </c>
      <c r="AN44" s="221">
        <f>L44*AL44</f>
        <v>0</v>
      </c>
      <c r="AO44" s="221">
        <f>M44*AL44</f>
        <v>0</v>
      </c>
      <c r="AP44" s="210">
        <f>SUM(AM44:AO44)</f>
        <v>0</v>
      </c>
      <c r="AQ44" s="222">
        <f>N44*AL44</f>
        <v>0</v>
      </c>
      <c r="AS44" s="717"/>
      <c r="AT44" s="718"/>
      <c r="AU44" s="718"/>
      <c r="AV44" s="718"/>
      <c r="AW44" s="718"/>
      <c r="AX44" s="718"/>
      <c r="AY44" s="718"/>
      <c r="AZ44" s="718"/>
      <c r="BA44" s="718"/>
      <c r="BB44" s="718"/>
      <c r="BC44" s="718"/>
      <c r="BD44" s="718"/>
      <c r="BE44" s="719">
        <f t="shared" si="7"/>
        <v>40.257816972106006</v>
      </c>
      <c r="BF44" s="719">
        <f t="shared" si="7"/>
        <v>39.296780935742603</v>
      </c>
      <c r="BG44" s="720">
        <f t="shared" si="7"/>
        <v>236</v>
      </c>
      <c r="BH44" s="717"/>
      <c r="BI44" s="718"/>
      <c r="BJ44" s="721"/>
    </row>
    <row r="45" spans="2:62" outlineLevel="1" x14ac:dyDescent="0.2">
      <c r="B45" s="200"/>
      <c r="C45" s="201"/>
      <c r="D45" s="263"/>
      <c r="E45" s="266"/>
      <c r="F45" s="201"/>
      <c r="G45" s="201"/>
      <c r="H45" s="201"/>
      <c r="I45" s="201"/>
      <c r="J45" s="201"/>
      <c r="K45" s="201"/>
      <c r="L45" s="201"/>
      <c r="M45" s="221"/>
      <c r="N45" s="222"/>
      <c r="X45" s="200"/>
      <c r="Y45" s="201"/>
      <c r="Z45" s="201"/>
      <c r="AA45" s="201"/>
      <c r="AB45" s="201"/>
      <c r="AC45" s="210"/>
      <c r="AD45" s="211"/>
      <c r="AF45" s="213"/>
      <c r="AG45" s="214"/>
      <c r="AH45" s="214"/>
      <c r="AI45" s="214"/>
      <c r="AJ45" s="463"/>
      <c r="AK45" s="413"/>
      <c r="AL45" s="214"/>
      <c r="AM45" s="214"/>
      <c r="AN45" s="214"/>
      <c r="AO45" s="214"/>
      <c r="AP45" s="463"/>
      <c r="AQ45" s="466"/>
      <c r="AS45" s="717"/>
      <c r="AT45" s="718"/>
      <c r="AU45" s="718"/>
      <c r="AV45" s="718"/>
      <c r="AW45" s="718"/>
      <c r="AX45" s="718"/>
      <c r="AY45" s="718"/>
      <c r="AZ45" s="718"/>
      <c r="BA45" s="718"/>
      <c r="BB45" s="718"/>
      <c r="BC45" s="718"/>
      <c r="BD45" s="718"/>
      <c r="BE45" s="719"/>
      <c r="BF45" s="719"/>
      <c r="BG45" s="720"/>
      <c r="BH45" s="722"/>
      <c r="BI45" s="786"/>
      <c r="BJ45" s="723"/>
    </row>
    <row r="46" spans="2:62" outlineLevel="1" x14ac:dyDescent="0.2">
      <c r="B46" s="253" t="s">
        <v>2828</v>
      </c>
      <c r="C46" s="254"/>
      <c r="D46" s="264">
        <f>SUM(D41:D45)</f>
        <v>1095.1491958156971</v>
      </c>
      <c r="E46" s="267">
        <f>SUM(E41:E45)</f>
        <v>298.67705340428103</v>
      </c>
      <c r="F46" s="254"/>
      <c r="G46" s="254"/>
      <c r="H46" s="254"/>
      <c r="I46" s="254"/>
      <c r="J46" s="254"/>
      <c r="K46" s="259">
        <f>SUM(K41:K45)</f>
        <v>160.51563394421203</v>
      </c>
      <c r="L46" s="259">
        <f>SUM(L41:L45)</f>
        <v>164.6335618714852</v>
      </c>
      <c r="M46" s="259">
        <f>SUM(M41:M45)</f>
        <v>770</v>
      </c>
      <c r="N46" s="428">
        <f>SUM(N41:N45)</f>
        <v>397</v>
      </c>
      <c r="X46" s="258"/>
      <c r="Y46" s="256"/>
      <c r="Z46" s="260">
        <f>SQRT(SUMSQ(Z41:Z45))</f>
        <v>0</v>
      </c>
      <c r="AA46" s="260">
        <f>SQRT(SUMSQ(AA41:AA45))</f>
        <v>0</v>
      </c>
      <c r="AB46" s="260">
        <f>SQRT(SUMSQ(AB41:AB45))</f>
        <v>0</v>
      </c>
      <c r="AC46" s="259">
        <f>SQRT(SUMSQ(AC41:AC45))</f>
        <v>0</v>
      </c>
      <c r="AD46" s="428">
        <f>SQRT(SUMSQ(AD41:AD45))</f>
        <v>0</v>
      </c>
      <c r="AF46" s="258"/>
      <c r="AG46" s="260">
        <f>SUM(AG41:AG45)</f>
        <v>0</v>
      </c>
      <c r="AH46" s="260">
        <f>SUM(AH41:AH45)</f>
        <v>0</v>
      </c>
      <c r="AI46" s="260">
        <f>SUM(AI41:AI45)</f>
        <v>0</v>
      </c>
      <c r="AJ46" s="259">
        <f>SUM(AJ41:AJ45)</f>
        <v>0</v>
      </c>
      <c r="AK46" s="260">
        <f>SUM(AK41:AK45)</f>
        <v>0</v>
      </c>
      <c r="AL46" s="256"/>
      <c r="AM46" s="260">
        <f>SUM(AM41:AM45)</f>
        <v>0</v>
      </c>
      <c r="AN46" s="260">
        <f>SUM(AN41:AN45)</f>
        <v>0</v>
      </c>
      <c r="AO46" s="260">
        <f>SUM(AO41:AO45)</f>
        <v>0</v>
      </c>
      <c r="AP46" s="259">
        <f>SUM(AP41:AP45)</f>
        <v>0</v>
      </c>
      <c r="AQ46" s="428">
        <f>SUM(AQ41:AQ45)</f>
        <v>0</v>
      </c>
      <c r="AS46" s="724">
        <f t="shared" ref="AS46:BJ46" si="8">SUM(AS41:AS45)</f>
        <v>0</v>
      </c>
      <c r="AT46" s="725">
        <f t="shared" si="8"/>
        <v>0</v>
      </c>
      <c r="AU46" s="725">
        <f t="shared" si="8"/>
        <v>0</v>
      </c>
      <c r="AV46" s="725">
        <f t="shared" si="8"/>
        <v>0</v>
      </c>
      <c r="AW46" s="725">
        <f t="shared" si="8"/>
        <v>0</v>
      </c>
      <c r="AX46" s="725">
        <f t="shared" si="8"/>
        <v>0</v>
      </c>
      <c r="AY46" s="725">
        <f t="shared" si="8"/>
        <v>0</v>
      </c>
      <c r="AZ46" s="725">
        <f t="shared" si="8"/>
        <v>0</v>
      </c>
      <c r="BA46" s="725">
        <f t="shared" si="8"/>
        <v>0</v>
      </c>
      <c r="BB46" s="725">
        <f t="shared" si="8"/>
        <v>0</v>
      </c>
      <c r="BC46" s="725">
        <f t="shared" si="8"/>
        <v>0</v>
      </c>
      <c r="BD46" s="725">
        <f t="shared" si="8"/>
        <v>0</v>
      </c>
      <c r="BE46" s="726">
        <f t="shared" si="8"/>
        <v>160.51563394421203</v>
      </c>
      <c r="BF46" s="726">
        <f t="shared" si="8"/>
        <v>164.6335618714852</v>
      </c>
      <c r="BG46" s="727">
        <f t="shared" si="8"/>
        <v>770</v>
      </c>
      <c r="BH46" s="724">
        <f t="shared" si="8"/>
        <v>0</v>
      </c>
      <c r="BI46" s="725">
        <f t="shared" si="8"/>
        <v>0</v>
      </c>
      <c r="BJ46" s="728">
        <f t="shared" si="8"/>
        <v>0</v>
      </c>
    </row>
    <row r="47" spans="2:62" outlineLevel="1" x14ac:dyDescent="0.2">
      <c r="H47" s="333"/>
      <c r="AC47" s="330"/>
    </row>
    <row r="48" spans="2:62" ht="14" outlineLevel="1" x14ac:dyDescent="0.2">
      <c r="B48" s="1656" t="s">
        <v>3251</v>
      </c>
      <c r="C48" s="196"/>
      <c r="D48" s="500"/>
      <c r="E48" s="500"/>
      <c r="F48" s="196"/>
      <c r="G48" s="198"/>
      <c r="H48" s="198"/>
      <c r="I48" s="198"/>
      <c r="J48" s="198"/>
      <c r="K48" s="198"/>
      <c r="L48" s="198"/>
      <c r="M48" s="198"/>
      <c r="N48" s="199"/>
      <c r="X48" s="1746" t="s">
        <v>723</v>
      </c>
      <c r="Y48" s="1747"/>
      <c r="Z48" s="1747"/>
      <c r="AA48" s="1747"/>
      <c r="AB48" s="1747"/>
      <c r="AC48" s="1747"/>
      <c r="AD48" s="1748"/>
      <c r="AF48" s="1746" t="s">
        <v>2066</v>
      </c>
      <c r="AG48" s="1747"/>
      <c r="AH48" s="1747"/>
      <c r="AI48" s="1747"/>
      <c r="AJ48" s="1747"/>
      <c r="AK48" s="1747"/>
      <c r="AL48" s="1747"/>
      <c r="AM48" s="1747"/>
      <c r="AN48" s="1747"/>
      <c r="AO48" s="1747"/>
      <c r="AP48" s="1747"/>
      <c r="AQ48" s="1748"/>
      <c r="AS48" s="1755" t="s">
        <v>2073</v>
      </c>
      <c r="AT48" s="1756"/>
      <c r="AU48" s="1756"/>
      <c r="AV48" s="1756"/>
      <c r="AW48" s="1756"/>
      <c r="AX48" s="1756"/>
      <c r="AY48" s="1756"/>
      <c r="AZ48" s="1756"/>
      <c r="BA48" s="1756"/>
      <c r="BB48" s="1756"/>
      <c r="BC48" s="1756"/>
      <c r="BD48" s="1756"/>
      <c r="BE48" s="1756"/>
      <c r="BF48" s="1756"/>
      <c r="BG48" s="1756"/>
      <c r="BH48" s="1756"/>
      <c r="BI48" s="1756"/>
      <c r="BJ48" s="1757"/>
    </row>
    <row r="49" spans="2:62" outlineLevel="1" x14ac:dyDescent="0.2">
      <c r="B49" s="200"/>
      <c r="C49" s="201"/>
      <c r="D49" s="503"/>
      <c r="E49" s="503"/>
      <c r="F49" s="201"/>
      <c r="G49" s="201"/>
      <c r="H49" s="201"/>
      <c r="I49" s="201"/>
      <c r="J49" s="201"/>
      <c r="K49" s="201"/>
      <c r="L49" s="1745" t="s">
        <v>2646</v>
      </c>
      <c r="M49" s="1745"/>
      <c r="N49" s="508" t="s">
        <v>2639</v>
      </c>
      <c r="X49" s="507"/>
      <c r="Y49" s="504"/>
      <c r="Z49" s="504"/>
      <c r="AA49" s="504"/>
      <c r="AB49" s="504"/>
      <c r="AC49" s="504"/>
      <c r="AD49" s="508" t="s">
        <v>2639</v>
      </c>
      <c r="AE49" s="42"/>
      <c r="AF49" s="216"/>
      <c r="AG49" s="503"/>
      <c r="AH49" s="503"/>
      <c r="AI49" s="503"/>
      <c r="AJ49" s="504"/>
      <c r="AK49" s="504" t="s">
        <v>2639</v>
      </c>
      <c r="AL49" s="217"/>
      <c r="AM49" s="503"/>
      <c r="AN49" s="503"/>
      <c r="AO49" s="503"/>
      <c r="AP49" s="504"/>
      <c r="AQ49" s="508" t="s">
        <v>2639</v>
      </c>
      <c r="AS49" s="1758" t="s">
        <v>61</v>
      </c>
      <c r="AT49" s="1759"/>
      <c r="AU49" s="1759"/>
      <c r="AV49" s="1759"/>
      <c r="AW49" s="1759"/>
      <c r="AX49" s="1759"/>
      <c r="AY49" s="1759"/>
      <c r="AZ49" s="1759"/>
      <c r="BA49" s="1759"/>
      <c r="BB49" s="1759"/>
      <c r="BC49" s="1759"/>
      <c r="BD49" s="1759"/>
      <c r="BE49" s="1759" t="s">
        <v>61</v>
      </c>
      <c r="BF49" s="1759"/>
      <c r="BG49" s="1760"/>
      <c r="BH49" s="730"/>
      <c r="BI49" s="785"/>
      <c r="BJ49" s="731"/>
    </row>
    <row r="50" spans="2:62" outlineLevel="1" x14ac:dyDescent="0.2">
      <c r="B50" s="1633"/>
      <c r="C50" s="504"/>
      <c r="D50" s="504" t="s">
        <v>56</v>
      </c>
      <c r="E50" s="504" t="s">
        <v>56</v>
      </c>
      <c r="F50" s="205" t="s">
        <v>2669</v>
      </c>
      <c r="G50" s="205"/>
      <c r="H50" s="1744" t="s">
        <v>1281</v>
      </c>
      <c r="I50" s="1745"/>
      <c r="J50" s="1745"/>
      <c r="K50" s="705" t="s">
        <v>61</v>
      </c>
      <c r="L50" s="705" t="s">
        <v>61</v>
      </c>
      <c r="M50" s="705" t="s">
        <v>61</v>
      </c>
      <c r="N50" s="508" t="s">
        <v>30</v>
      </c>
      <c r="W50" s="32"/>
      <c r="X50" s="1633" t="s">
        <v>2605</v>
      </c>
      <c r="Y50" s="504" t="s">
        <v>2110</v>
      </c>
      <c r="Z50" s="504" t="s">
        <v>61</v>
      </c>
      <c r="AA50" s="504" t="s">
        <v>61</v>
      </c>
      <c r="AB50" s="504" t="s">
        <v>61</v>
      </c>
      <c r="AC50" s="503" t="s">
        <v>61</v>
      </c>
      <c r="AD50" s="508" t="s">
        <v>30</v>
      </c>
      <c r="AE50" s="42"/>
      <c r="AF50" s="507" t="s">
        <v>2065</v>
      </c>
      <c r="AG50" s="504" t="s">
        <v>61</v>
      </c>
      <c r="AH50" s="504" t="s">
        <v>61</v>
      </c>
      <c r="AI50" s="504" t="s">
        <v>61</v>
      </c>
      <c r="AJ50" s="503" t="s">
        <v>61</v>
      </c>
      <c r="AK50" s="504" t="s">
        <v>30</v>
      </c>
      <c r="AL50" s="504" t="s">
        <v>2558</v>
      </c>
      <c r="AM50" s="504" t="s">
        <v>61</v>
      </c>
      <c r="AN50" s="504" t="s">
        <v>61</v>
      </c>
      <c r="AO50" s="504" t="s">
        <v>61</v>
      </c>
      <c r="AP50" s="503" t="s">
        <v>61</v>
      </c>
      <c r="AQ50" s="508" t="s">
        <v>30</v>
      </c>
      <c r="AS50" s="1764" t="s">
        <v>14</v>
      </c>
      <c r="AT50" s="1761"/>
      <c r="AU50" s="1761"/>
      <c r="AV50" s="1761" t="s">
        <v>60</v>
      </c>
      <c r="AW50" s="1761"/>
      <c r="AX50" s="1761"/>
      <c r="AY50" s="1761" t="s">
        <v>27</v>
      </c>
      <c r="AZ50" s="1761"/>
      <c r="BA50" s="1761"/>
      <c r="BB50" s="1761" t="s">
        <v>2074</v>
      </c>
      <c r="BC50" s="1761"/>
      <c r="BD50" s="1761"/>
      <c r="BE50" s="1762" t="s">
        <v>41</v>
      </c>
      <c r="BF50" s="1762"/>
      <c r="BG50" s="1763"/>
      <c r="BH50" s="1764" t="s">
        <v>85</v>
      </c>
      <c r="BI50" s="1761"/>
      <c r="BJ50" s="1765"/>
    </row>
    <row r="51" spans="2:62" outlineLevel="1" x14ac:dyDescent="0.2">
      <c r="B51" s="507"/>
      <c r="C51" s="504"/>
      <c r="D51" s="504" t="s">
        <v>61</v>
      </c>
      <c r="E51" s="504" t="s">
        <v>63</v>
      </c>
      <c r="F51" s="208" t="s">
        <v>2054</v>
      </c>
      <c r="G51" s="208" t="s">
        <v>2635</v>
      </c>
      <c r="H51" s="708" t="s">
        <v>1279</v>
      </c>
      <c r="I51" s="708" t="s">
        <v>768</v>
      </c>
      <c r="J51" s="708" t="s">
        <v>24</v>
      </c>
      <c r="K51" s="707" t="s">
        <v>1279</v>
      </c>
      <c r="L51" s="707" t="s">
        <v>768</v>
      </c>
      <c r="M51" s="707" t="s">
        <v>24</v>
      </c>
      <c r="N51" s="508" t="s">
        <v>61</v>
      </c>
      <c r="W51" s="32"/>
      <c r="X51" s="1633" t="s">
        <v>2109</v>
      </c>
      <c r="Y51" s="504"/>
      <c r="Z51" s="506" t="s">
        <v>1279</v>
      </c>
      <c r="AA51" s="506" t="s">
        <v>768</v>
      </c>
      <c r="AB51" s="506" t="s">
        <v>24</v>
      </c>
      <c r="AC51" s="223" t="s">
        <v>41</v>
      </c>
      <c r="AD51" s="508" t="s">
        <v>61</v>
      </c>
      <c r="AE51" s="42"/>
      <c r="AF51" s="507"/>
      <c r="AG51" s="506" t="s">
        <v>1279</v>
      </c>
      <c r="AH51" s="506" t="s">
        <v>768</v>
      </c>
      <c r="AI51" s="506" t="s">
        <v>24</v>
      </c>
      <c r="AJ51" s="223" t="s">
        <v>41</v>
      </c>
      <c r="AK51" s="504" t="s">
        <v>61</v>
      </c>
      <c r="AL51" s="504"/>
      <c r="AM51" s="506" t="s">
        <v>1279</v>
      </c>
      <c r="AN51" s="506" t="s">
        <v>768</v>
      </c>
      <c r="AO51" s="506" t="s">
        <v>24</v>
      </c>
      <c r="AP51" s="223" t="s">
        <v>41</v>
      </c>
      <c r="AQ51" s="508" t="s">
        <v>61</v>
      </c>
      <c r="AS51" s="732" t="s">
        <v>1279</v>
      </c>
      <c r="AT51" s="733" t="s">
        <v>768</v>
      </c>
      <c r="AU51" s="733" t="s">
        <v>24</v>
      </c>
      <c r="AV51" s="733" t="s">
        <v>1279</v>
      </c>
      <c r="AW51" s="733" t="s">
        <v>768</v>
      </c>
      <c r="AX51" s="733" t="s">
        <v>24</v>
      </c>
      <c r="AY51" s="733" t="s">
        <v>1279</v>
      </c>
      <c r="AZ51" s="733" t="s">
        <v>768</v>
      </c>
      <c r="BA51" s="733" t="s">
        <v>24</v>
      </c>
      <c r="BB51" s="733" t="s">
        <v>1279</v>
      </c>
      <c r="BC51" s="733" t="s">
        <v>768</v>
      </c>
      <c r="BD51" s="733" t="s">
        <v>24</v>
      </c>
      <c r="BE51" s="734" t="s">
        <v>1279</v>
      </c>
      <c r="BF51" s="734" t="s">
        <v>768</v>
      </c>
      <c r="BG51" s="735" t="s">
        <v>24</v>
      </c>
      <c r="BH51" s="732" t="s">
        <v>1279</v>
      </c>
      <c r="BI51" s="733" t="s">
        <v>768</v>
      </c>
      <c r="BJ51" s="736" t="s">
        <v>24</v>
      </c>
    </row>
    <row r="52" spans="2:62" outlineLevel="1" x14ac:dyDescent="0.2">
      <c r="B52" s="236" t="s">
        <v>3157</v>
      </c>
      <c r="C52" s="504"/>
      <c r="D52" s="262">
        <f>SUM(K52:M52)</f>
        <v>0</v>
      </c>
      <c r="E52" s="265">
        <f>D52*12/44</f>
        <v>0</v>
      </c>
      <c r="F52" s="559"/>
      <c r="G52" s="182"/>
      <c r="H52" s="564">
        <f>VLOOKUP($B52,'Emissions factors'!$B$1413:$R$1426,2,FALSE)</f>
        <v>0.04</v>
      </c>
      <c r="I52" s="564">
        <f>VLOOKUP($B52,'Emissions factors'!$B$1413:$R$1426,3,FALSE)</f>
        <v>4.3020000000000003E-2</v>
      </c>
      <c r="J52" s="564">
        <f>VLOOKUP($B52,'Emissions factors'!$B$1413:$R$1426,4,FALSE)</f>
        <v>0.16500000000000001</v>
      </c>
      <c r="K52" s="465">
        <f>G52*H52</f>
        <v>0</v>
      </c>
      <c r="L52" s="465">
        <f>G52*I52</f>
        <v>0</v>
      </c>
      <c r="M52" s="465">
        <f>G52*J52</f>
        <v>0</v>
      </c>
      <c r="N52" s="222">
        <f>IF(OR(F52='Info utili'!$I$532,F52='Info utili'!$I$537),M52,0)</f>
        <v>0</v>
      </c>
      <c r="X52" s="282">
        <f>VLOOKUP($B52,'Emissions factors'!$B$1413:$R$1426,17,FALSE)</f>
        <v>0.2</v>
      </c>
      <c r="Y52" s="183"/>
      <c r="Z52" s="221">
        <f>K52*SQRT(X52^2+Y52^2)</f>
        <v>0</v>
      </c>
      <c r="AA52" s="221">
        <f>L52*SQRT(X52^2+Y52^2)</f>
        <v>0</v>
      </c>
      <c r="AB52" s="221">
        <f>M52*SQRT(X52^2+Y52^2)</f>
        <v>0</v>
      </c>
      <c r="AC52" s="210">
        <f>SQRT(SUMSQ(Z52:AB52))</f>
        <v>0</v>
      </c>
      <c r="AD52" s="222">
        <f>N52*SQRT(X52^2+Y52^2)</f>
        <v>0</v>
      </c>
      <c r="AF52" s="289"/>
      <c r="AG52" s="221">
        <f>K52*AF52</f>
        <v>0</v>
      </c>
      <c r="AH52" s="221">
        <f>L52*AF52</f>
        <v>0</v>
      </c>
      <c r="AI52" s="221">
        <f>M52*AF52</f>
        <v>0</v>
      </c>
      <c r="AJ52" s="210">
        <f>SUM(AG52:AI52)</f>
        <v>0</v>
      </c>
      <c r="AK52" s="221">
        <f>N52*AF52</f>
        <v>0</v>
      </c>
      <c r="AL52" s="289"/>
      <c r="AM52" s="221">
        <f>K52*AL52</f>
        <v>0</v>
      </c>
      <c r="AN52" s="221">
        <f>L52*AL52</f>
        <v>0</v>
      </c>
      <c r="AO52" s="221">
        <f>M52*AL52</f>
        <v>0</v>
      </c>
      <c r="AP52" s="210">
        <f>SUM(AM52:AO52)</f>
        <v>0</v>
      </c>
      <c r="AQ52" s="222">
        <f>N52*AL52</f>
        <v>0</v>
      </c>
      <c r="AS52" s="717">
        <f>G52*VLOOKUP($B52,'Emissions factors'!$B$1413:$R$1426,5,FALSE)</f>
        <v>0</v>
      </c>
      <c r="AT52" s="718">
        <f>G52*VLOOKUP($B52,'Emissions factors'!$B$1413:$R$1426,6,FALSE)</f>
        <v>0</v>
      </c>
      <c r="AU52" s="718">
        <f>G52*VLOOKUP($B52,'Emissions factors'!$B$1413:$R$1426,7,FALSE)</f>
        <v>0</v>
      </c>
      <c r="AV52" s="718">
        <f>G52*VLOOKUP($B52,'Emissions factors'!$B$1413:$R$1426,8,FALSE)</f>
        <v>0</v>
      </c>
      <c r="AW52" s="718">
        <f>G52*VLOOKUP($B52,'Emissions factors'!$B$1413:$R$1426,9,FALSE)</f>
        <v>0</v>
      </c>
      <c r="AX52" s="718">
        <f>G52*VLOOKUP($B52,'Emissions factors'!$B$1413:$R$1426,10,FALSE)</f>
        <v>0</v>
      </c>
      <c r="AY52" s="718">
        <f>G52*VLOOKUP($B52,'Emissions factors'!$B$1413:$R$1426,11,FALSE)</f>
        <v>0</v>
      </c>
      <c r="AZ52" s="718">
        <f>G52*VLOOKUP($B52,'Emissions factors'!$B$1413:$R$1426,12,FALSE)</f>
        <v>0</v>
      </c>
      <c r="BA52" s="718">
        <f>G52*VLOOKUP($B52,'Emissions factors'!$B$1413:$R$1426,13,FALSE)</f>
        <v>0</v>
      </c>
      <c r="BB52" s="718">
        <v>0</v>
      </c>
      <c r="BC52" s="718">
        <v>0</v>
      </c>
      <c r="BD52" s="718">
        <v>0</v>
      </c>
      <c r="BE52" s="719">
        <f t="shared" ref="BE52:BG54" si="9">K52</f>
        <v>0</v>
      </c>
      <c r="BF52" s="719">
        <f t="shared" si="9"/>
        <v>0</v>
      </c>
      <c r="BG52" s="720">
        <f t="shared" si="9"/>
        <v>0</v>
      </c>
      <c r="BH52" s="717">
        <f>G52*VLOOKUP($B52,'Emissions factors'!$B$1413:$R$1426,14,FALSE)</f>
        <v>0</v>
      </c>
      <c r="BI52" s="718">
        <f>G52*VLOOKUP($B52,'Emissions factors'!$B$1413:$R$1426,15,FALSE)</f>
        <v>0</v>
      </c>
      <c r="BJ52" s="721">
        <f>G52*VLOOKUP($B52,'Emissions factors'!$B$1413:$R$1426,16,FALSE)</f>
        <v>0</v>
      </c>
    </row>
    <row r="53" spans="2:62" outlineLevel="1" x14ac:dyDescent="0.2">
      <c r="B53" s="236" t="s">
        <v>3157</v>
      </c>
      <c r="C53" s="504"/>
      <c r="D53" s="262">
        <f>SUM(K53:M53)</f>
        <v>0</v>
      </c>
      <c r="E53" s="265">
        <f>D53*12/44</f>
        <v>0</v>
      </c>
      <c r="F53" s="442"/>
      <c r="G53" s="185"/>
      <c r="H53" s="564">
        <f>VLOOKUP($B53,'Emissions factors'!$B$1413:$R$1426,2,FALSE)</f>
        <v>0.04</v>
      </c>
      <c r="I53" s="564">
        <f>VLOOKUP($B53,'Emissions factors'!$B$1413:$R$1426,3,FALSE)</f>
        <v>4.3020000000000003E-2</v>
      </c>
      <c r="J53" s="564">
        <f>VLOOKUP($B53,'Emissions factors'!$B$1413:$R$1426,4,FALSE)</f>
        <v>0.16500000000000001</v>
      </c>
      <c r="K53" s="465">
        <f>G53*H53</f>
        <v>0</v>
      </c>
      <c r="L53" s="465">
        <f>G53*I53</f>
        <v>0</v>
      </c>
      <c r="M53" s="465">
        <f>G53*J53</f>
        <v>0</v>
      </c>
      <c r="N53" s="222">
        <f>IF(OR(F53='Info utili'!$I$532,F53='Info utili'!$I$537),M53,0)</f>
        <v>0</v>
      </c>
      <c r="X53" s="282">
        <f>VLOOKUP($B53,'Emissions factors'!$B$1413:$R$1426,17,FALSE)</f>
        <v>0.2</v>
      </c>
      <c r="Y53" s="186"/>
      <c r="Z53" s="221">
        <f>K53*SQRT(X53^2+Y53^2)</f>
        <v>0</v>
      </c>
      <c r="AA53" s="221">
        <f>L53*SQRT(X53^2+Y53^2)</f>
        <v>0</v>
      </c>
      <c r="AB53" s="221">
        <f>M53*SQRT(X53^2+Y53^2)</f>
        <v>0</v>
      </c>
      <c r="AC53" s="210">
        <f>SQRT(SUMSQ(Z53:AB53))</f>
        <v>0</v>
      </c>
      <c r="AD53" s="222">
        <f>N53*SQRT(X53^2+Y53^2)</f>
        <v>0</v>
      </c>
      <c r="AF53" s="290"/>
      <c r="AG53" s="221">
        <f>K53*AF53</f>
        <v>0</v>
      </c>
      <c r="AH53" s="221">
        <f>L53*AF53</f>
        <v>0</v>
      </c>
      <c r="AI53" s="221">
        <f>M53*AF53</f>
        <v>0</v>
      </c>
      <c r="AJ53" s="210">
        <f>SUM(AG53:AI53)</f>
        <v>0</v>
      </c>
      <c r="AK53" s="221">
        <f>N53*AF53</f>
        <v>0</v>
      </c>
      <c r="AL53" s="290"/>
      <c r="AM53" s="221">
        <f>K53*AL53</f>
        <v>0</v>
      </c>
      <c r="AN53" s="221">
        <f>L53*AL53</f>
        <v>0</v>
      </c>
      <c r="AO53" s="221">
        <f>M53*AL53</f>
        <v>0</v>
      </c>
      <c r="AP53" s="210">
        <f>SUM(AM53:AO53)</f>
        <v>0</v>
      </c>
      <c r="AQ53" s="222">
        <f>N53*AL53</f>
        <v>0</v>
      </c>
      <c r="AS53" s="717">
        <f>G53*VLOOKUP($B53,'Emissions factors'!$B$1413:$R$1426,5,FALSE)</f>
        <v>0</v>
      </c>
      <c r="AT53" s="718">
        <f>G53*VLOOKUP($B53,'Emissions factors'!$B$1413:$R$1426,6,FALSE)</f>
        <v>0</v>
      </c>
      <c r="AU53" s="718">
        <f>G53*VLOOKUP($B53,'Emissions factors'!$B$1413:$R$1426,7,FALSE)</f>
        <v>0</v>
      </c>
      <c r="AV53" s="718">
        <f>G53*VLOOKUP($B53,'Emissions factors'!$B$1413:$R$1426,8,FALSE)</f>
        <v>0</v>
      </c>
      <c r="AW53" s="718">
        <f>G53*VLOOKUP($B53,'Emissions factors'!$B$1413:$R$1426,9,FALSE)</f>
        <v>0</v>
      </c>
      <c r="AX53" s="718">
        <f>G53*VLOOKUP($B53,'Emissions factors'!$B$1413:$R$1426,10,FALSE)</f>
        <v>0</v>
      </c>
      <c r="AY53" s="718">
        <f>G53*VLOOKUP($B53,'Emissions factors'!$B$1413:$R$1426,11,FALSE)</f>
        <v>0</v>
      </c>
      <c r="AZ53" s="718">
        <f>G53*VLOOKUP($B53,'Emissions factors'!$B$1413:$R$1426,12,FALSE)</f>
        <v>0</v>
      </c>
      <c r="BA53" s="718">
        <f>G53*VLOOKUP($B53,'Emissions factors'!$B$1413:$R$1426,13,FALSE)</f>
        <v>0</v>
      </c>
      <c r="BB53" s="718">
        <v>0</v>
      </c>
      <c r="BC53" s="718">
        <v>0</v>
      </c>
      <c r="BD53" s="718">
        <v>0</v>
      </c>
      <c r="BE53" s="719">
        <f t="shared" si="9"/>
        <v>0</v>
      </c>
      <c r="BF53" s="719">
        <f t="shared" si="9"/>
        <v>0</v>
      </c>
      <c r="BG53" s="720">
        <f t="shared" si="9"/>
        <v>0</v>
      </c>
      <c r="BH53" s="717">
        <f>G53*VLOOKUP($B53,'Emissions factors'!$B$1413:$R$1426,14,FALSE)</f>
        <v>0</v>
      </c>
      <c r="BI53" s="718">
        <f>G53*VLOOKUP($B53,'Emissions factors'!$B$1413:$R$1426,15,FALSE)</f>
        <v>0</v>
      </c>
      <c r="BJ53" s="721">
        <f>G53*VLOOKUP($B53,'Emissions factors'!$B$1413:$R$1426,16,FALSE)</f>
        <v>0</v>
      </c>
    </row>
    <row r="54" spans="2:62" outlineLevel="1" x14ac:dyDescent="0.2">
      <c r="B54" s="236" t="s">
        <v>3157</v>
      </c>
      <c r="C54" s="504"/>
      <c r="D54" s="262">
        <f>SUM(K54:M54)</f>
        <v>0</v>
      </c>
      <c r="E54" s="265">
        <f>D54*12/44</f>
        <v>0</v>
      </c>
      <c r="F54" s="443"/>
      <c r="G54" s="188"/>
      <c r="H54" s="564">
        <f>VLOOKUP($B54,'Emissions factors'!$B$1413:$R$1426,2,FALSE)</f>
        <v>0.04</v>
      </c>
      <c r="I54" s="564">
        <f>VLOOKUP($B54,'Emissions factors'!$B$1413:$R$1426,3,FALSE)</f>
        <v>4.3020000000000003E-2</v>
      </c>
      <c r="J54" s="564">
        <f>VLOOKUP($B54,'Emissions factors'!$B$1413:$R$1426,4,FALSE)</f>
        <v>0.16500000000000001</v>
      </c>
      <c r="K54" s="465">
        <f>G54*H54</f>
        <v>0</v>
      </c>
      <c r="L54" s="465">
        <f>G54*I54</f>
        <v>0</v>
      </c>
      <c r="M54" s="465">
        <f>G54*J54</f>
        <v>0</v>
      </c>
      <c r="N54" s="222">
        <f>IF(OR(F54='Info utili'!$I$532,F54='Info utili'!$I$537),M54,0)</f>
        <v>0</v>
      </c>
      <c r="X54" s="282">
        <f>VLOOKUP($B54,'Emissions factors'!$B$1413:$R$1426,17,FALSE)</f>
        <v>0.2</v>
      </c>
      <c r="Y54" s="291"/>
      <c r="Z54" s="221">
        <f>K54*SQRT(X54^2+Y54^2)</f>
        <v>0</v>
      </c>
      <c r="AA54" s="221">
        <f>L54*SQRT(X54^2+Y54^2)</f>
        <v>0</v>
      </c>
      <c r="AB54" s="221">
        <f>M54*SQRT(X54^2+Y54^2)</f>
        <v>0</v>
      </c>
      <c r="AC54" s="210">
        <f>SQRT(SUMSQ(Z54:AB54))</f>
        <v>0</v>
      </c>
      <c r="AD54" s="222">
        <f>N54*SQRT(X54^2+Y54^2)</f>
        <v>0</v>
      </c>
      <c r="AF54" s="292"/>
      <c r="AG54" s="221">
        <f>K54*AF54</f>
        <v>0</v>
      </c>
      <c r="AH54" s="221">
        <f>L54*AF54</f>
        <v>0</v>
      </c>
      <c r="AI54" s="221">
        <f>M54*AF54</f>
        <v>0</v>
      </c>
      <c r="AJ54" s="210">
        <f>SUM(AG54:AI54)</f>
        <v>0</v>
      </c>
      <c r="AK54" s="221">
        <f>N54*AF54</f>
        <v>0</v>
      </c>
      <c r="AL54" s="292"/>
      <c r="AM54" s="221">
        <f>K54*AL54</f>
        <v>0</v>
      </c>
      <c r="AN54" s="221">
        <f>L54*AL54</f>
        <v>0</v>
      </c>
      <c r="AO54" s="221">
        <f>M54*AL54</f>
        <v>0</v>
      </c>
      <c r="AP54" s="210">
        <f>SUM(AM54:AO54)</f>
        <v>0</v>
      </c>
      <c r="AQ54" s="222">
        <f>N54*AL54</f>
        <v>0</v>
      </c>
      <c r="AS54" s="717">
        <f>G54*VLOOKUP($B54,'Emissions factors'!$B$1413:$R$1426,5,FALSE)</f>
        <v>0</v>
      </c>
      <c r="AT54" s="718">
        <f>G54*VLOOKUP($B54,'Emissions factors'!$B$1413:$R$1426,6,FALSE)</f>
        <v>0</v>
      </c>
      <c r="AU54" s="718">
        <f>G54*VLOOKUP($B54,'Emissions factors'!$B$1413:$R$1426,7,FALSE)</f>
        <v>0</v>
      </c>
      <c r="AV54" s="718">
        <f>G54*VLOOKUP($B54,'Emissions factors'!$B$1413:$R$1426,8,FALSE)</f>
        <v>0</v>
      </c>
      <c r="AW54" s="718">
        <f>G54*VLOOKUP($B54,'Emissions factors'!$B$1413:$R$1426,9,FALSE)</f>
        <v>0</v>
      </c>
      <c r="AX54" s="718">
        <f>G54*VLOOKUP($B54,'Emissions factors'!$B$1413:$R$1426,10,FALSE)</f>
        <v>0</v>
      </c>
      <c r="AY54" s="718">
        <f>G54*VLOOKUP($B54,'Emissions factors'!$B$1413:$R$1426,11,FALSE)</f>
        <v>0</v>
      </c>
      <c r="AZ54" s="718">
        <f>G54*VLOOKUP($B54,'Emissions factors'!$B$1413:$R$1426,12,FALSE)</f>
        <v>0</v>
      </c>
      <c r="BA54" s="718">
        <f>G54*VLOOKUP($B54,'Emissions factors'!$B$1413:$R$1426,13,FALSE)</f>
        <v>0</v>
      </c>
      <c r="BB54" s="718">
        <v>0</v>
      </c>
      <c r="BC54" s="718">
        <v>0</v>
      </c>
      <c r="BD54" s="718">
        <v>0</v>
      </c>
      <c r="BE54" s="719">
        <f t="shared" si="9"/>
        <v>0</v>
      </c>
      <c r="BF54" s="719">
        <f t="shared" si="9"/>
        <v>0</v>
      </c>
      <c r="BG54" s="720">
        <f t="shared" si="9"/>
        <v>0</v>
      </c>
      <c r="BH54" s="717">
        <f>G54*VLOOKUP($B54,'Emissions factors'!$B$1413:$R$1426,14,FALSE)</f>
        <v>0</v>
      </c>
      <c r="BI54" s="718">
        <f>G54*VLOOKUP($B54,'Emissions factors'!$B$1413:$R$1426,15,FALSE)</f>
        <v>0</v>
      </c>
      <c r="BJ54" s="721">
        <f>G54*VLOOKUP($B54,'Emissions factors'!$B$1413:$R$1426,16,FALSE)</f>
        <v>0</v>
      </c>
    </row>
    <row r="55" spans="2:62" outlineLevel="1" x14ac:dyDescent="0.2">
      <c r="B55" s="200"/>
      <c r="C55" s="201"/>
      <c r="D55" s="263"/>
      <c r="E55" s="266"/>
      <c r="F55" s="201"/>
      <c r="G55" s="201"/>
      <c r="H55" s="201"/>
      <c r="I55" s="201"/>
      <c r="J55" s="201"/>
      <c r="K55" s="225"/>
      <c r="L55" s="225"/>
      <c r="M55" s="225"/>
      <c r="N55" s="222"/>
      <c r="X55" s="213"/>
      <c r="Y55" s="214"/>
      <c r="Z55" s="201"/>
      <c r="AA55" s="201"/>
      <c r="AB55" s="201"/>
      <c r="AC55" s="210"/>
      <c r="AD55" s="211"/>
      <c r="AF55" s="213"/>
      <c r="AG55" s="214"/>
      <c r="AH55" s="214"/>
      <c r="AI55" s="214"/>
      <c r="AJ55" s="214"/>
      <c r="AK55" s="413"/>
      <c r="AL55" s="214"/>
      <c r="AM55" s="463"/>
      <c r="AN55" s="463"/>
      <c r="AO55" s="463"/>
      <c r="AP55" s="463"/>
      <c r="AQ55" s="466"/>
      <c r="AS55" s="717"/>
      <c r="AT55" s="718"/>
      <c r="AU55" s="718"/>
      <c r="AV55" s="718"/>
      <c r="AW55" s="718"/>
      <c r="AX55" s="718"/>
      <c r="AY55" s="718"/>
      <c r="AZ55" s="718"/>
      <c r="BA55" s="718"/>
      <c r="BB55" s="718"/>
      <c r="BC55" s="718"/>
      <c r="BD55" s="718"/>
      <c r="BE55" s="719"/>
      <c r="BF55" s="719"/>
      <c r="BG55" s="720"/>
      <c r="BH55" s="722"/>
      <c r="BI55" s="786"/>
      <c r="BJ55" s="723"/>
    </row>
    <row r="56" spans="2:62" outlineLevel="1" x14ac:dyDescent="0.2">
      <c r="B56" s="253" t="s">
        <v>2828</v>
      </c>
      <c r="C56" s="254"/>
      <c r="D56" s="264">
        <f>SUM(D52:D55)</f>
        <v>0</v>
      </c>
      <c r="E56" s="267">
        <f>SUM(E52:E55)</f>
        <v>0</v>
      </c>
      <c r="F56" s="254"/>
      <c r="G56" s="254"/>
      <c r="H56" s="254"/>
      <c r="I56" s="254"/>
      <c r="J56" s="254"/>
      <c r="K56" s="259">
        <f>SUM(K52:K55)</f>
        <v>0</v>
      </c>
      <c r="L56" s="259">
        <f>SUM(L52:L55)</f>
        <v>0</v>
      </c>
      <c r="M56" s="259">
        <f>SUM(M52:M55)</f>
        <v>0</v>
      </c>
      <c r="N56" s="428">
        <f>SUM(N52:N55)</f>
        <v>0</v>
      </c>
      <c r="X56" s="258"/>
      <c r="Y56" s="256"/>
      <c r="Z56" s="260">
        <f>SQRT(SUMSQ(Z51:Z55))</f>
        <v>0</v>
      </c>
      <c r="AA56" s="260">
        <f>SQRT(SUMSQ(AA51:AA55))</f>
        <v>0</v>
      </c>
      <c r="AB56" s="260">
        <f>SQRT(SUMSQ(AB51:AB55))</f>
        <v>0</v>
      </c>
      <c r="AC56" s="259">
        <f>SQRT(SUMSQ(AC51:AC55))</f>
        <v>0</v>
      </c>
      <c r="AD56" s="428">
        <f>SQRT(SUMSQ(AD51:AD55))</f>
        <v>0</v>
      </c>
      <c r="AF56" s="258"/>
      <c r="AG56" s="260">
        <f>SUM(AG52:AG55)</f>
        <v>0</v>
      </c>
      <c r="AH56" s="260">
        <f>SUM(AH52:AH55)</f>
        <v>0</v>
      </c>
      <c r="AI56" s="260">
        <f>SUM(AI52:AI55)</f>
        <v>0</v>
      </c>
      <c r="AJ56" s="259">
        <f>SUM(AJ52:AJ55)</f>
        <v>0</v>
      </c>
      <c r="AK56" s="260">
        <f>SUM(AK52:AK55)</f>
        <v>0</v>
      </c>
      <c r="AL56" s="256"/>
      <c r="AM56" s="260">
        <f>SUM(AM52:AM55)</f>
        <v>0</v>
      </c>
      <c r="AN56" s="260">
        <f>SUM(AN52:AN55)</f>
        <v>0</v>
      </c>
      <c r="AO56" s="260">
        <f>SUM(AO52:AO55)</f>
        <v>0</v>
      </c>
      <c r="AP56" s="259">
        <f>SUM(AP52:AP55)</f>
        <v>0</v>
      </c>
      <c r="AQ56" s="428">
        <f>SUM(AQ52:AQ55)</f>
        <v>0</v>
      </c>
      <c r="AS56" s="724">
        <f t="shared" ref="AS56:BJ56" si="10">SUM(AS52:AS55)</f>
        <v>0</v>
      </c>
      <c r="AT56" s="725">
        <f t="shared" si="10"/>
        <v>0</v>
      </c>
      <c r="AU56" s="725">
        <f t="shared" si="10"/>
        <v>0</v>
      </c>
      <c r="AV56" s="725">
        <f t="shared" si="10"/>
        <v>0</v>
      </c>
      <c r="AW56" s="725">
        <f t="shared" si="10"/>
        <v>0</v>
      </c>
      <c r="AX56" s="725">
        <f t="shared" si="10"/>
        <v>0</v>
      </c>
      <c r="AY56" s="725">
        <f t="shared" si="10"/>
        <v>0</v>
      </c>
      <c r="AZ56" s="725">
        <f t="shared" si="10"/>
        <v>0</v>
      </c>
      <c r="BA56" s="725">
        <f t="shared" si="10"/>
        <v>0</v>
      </c>
      <c r="BB56" s="725">
        <f t="shared" si="10"/>
        <v>0</v>
      </c>
      <c r="BC56" s="725">
        <f t="shared" si="10"/>
        <v>0</v>
      </c>
      <c r="BD56" s="725">
        <f t="shared" si="10"/>
        <v>0</v>
      </c>
      <c r="BE56" s="726">
        <f t="shared" si="10"/>
        <v>0</v>
      </c>
      <c r="BF56" s="726">
        <f t="shared" si="10"/>
        <v>0</v>
      </c>
      <c r="BG56" s="727">
        <f t="shared" si="10"/>
        <v>0</v>
      </c>
      <c r="BH56" s="724">
        <f t="shared" si="10"/>
        <v>0</v>
      </c>
      <c r="BI56" s="725">
        <f t="shared" si="10"/>
        <v>0</v>
      </c>
      <c r="BJ56" s="728">
        <f t="shared" si="10"/>
        <v>0</v>
      </c>
    </row>
    <row r="57" spans="2:62" outlineLevel="1" x14ac:dyDescent="0.2"/>
    <row r="58" spans="2:62" outlineLevel="1" x14ac:dyDescent="0.2">
      <c r="B58" s="195" t="s">
        <v>3253</v>
      </c>
      <c r="C58" s="196"/>
      <c r="D58" s="196"/>
      <c r="E58" s="196"/>
      <c r="F58" s="196"/>
      <c r="G58" s="198"/>
      <c r="H58" s="198"/>
      <c r="I58" s="198"/>
      <c r="J58" s="198"/>
      <c r="K58" s="198"/>
      <c r="L58" s="198"/>
      <c r="M58" s="198"/>
      <c r="N58" s="199"/>
      <c r="X58" s="1746" t="s">
        <v>723</v>
      </c>
      <c r="Y58" s="1747"/>
      <c r="Z58" s="1747"/>
      <c r="AA58" s="1747"/>
      <c r="AB58" s="1747"/>
      <c r="AC58" s="1747"/>
      <c r="AD58" s="1748"/>
      <c r="AF58" s="1746" t="s">
        <v>2066</v>
      </c>
      <c r="AG58" s="1747"/>
      <c r="AH58" s="1747"/>
      <c r="AI58" s="1747"/>
      <c r="AJ58" s="1747"/>
      <c r="AK58" s="1747"/>
      <c r="AL58" s="1747"/>
      <c r="AM58" s="1747"/>
      <c r="AN58" s="1747"/>
      <c r="AO58" s="1747"/>
      <c r="AP58" s="1747"/>
      <c r="AQ58" s="1748"/>
      <c r="AS58" s="1755" t="s">
        <v>2073</v>
      </c>
      <c r="AT58" s="1756"/>
      <c r="AU58" s="1756"/>
      <c r="AV58" s="1756"/>
      <c r="AW58" s="1756"/>
      <c r="AX58" s="1756"/>
      <c r="AY58" s="1756"/>
      <c r="AZ58" s="1756"/>
      <c r="BA58" s="1756"/>
      <c r="BB58" s="1756"/>
      <c r="BC58" s="1756"/>
      <c r="BD58" s="1756"/>
      <c r="BE58" s="1756"/>
      <c r="BF58" s="1756"/>
      <c r="BG58" s="1756"/>
      <c r="BH58" s="1756"/>
      <c r="BI58" s="1756"/>
      <c r="BJ58" s="1757"/>
    </row>
    <row r="59" spans="2:62" outlineLevel="1" x14ac:dyDescent="0.2">
      <c r="B59" s="200"/>
      <c r="C59" s="201"/>
      <c r="D59" s="503"/>
      <c r="E59" s="503"/>
      <c r="F59" s="201"/>
      <c r="G59" s="201"/>
      <c r="H59" s="201"/>
      <c r="I59" s="201"/>
      <c r="J59" s="201"/>
      <c r="K59" s="201"/>
      <c r="L59" s="1745" t="s">
        <v>2646</v>
      </c>
      <c r="M59" s="1745"/>
      <c r="N59" s="508" t="s">
        <v>2639</v>
      </c>
      <c r="X59" s="507"/>
      <c r="Y59" s="504"/>
      <c r="Z59" s="504"/>
      <c r="AA59" s="504"/>
      <c r="AB59" s="504"/>
      <c r="AC59" s="504"/>
      <c r="AD59" s="508" t="s">
        <v>2639</v>
      </c>
      <c r="AE59" s="42"/>
      <c r="AF59" s="216"/>
      <c r="AG59" s="503"/>
      <c r="AH59" s="503"/>
      <c r="AI59" s="503"/>
      <c r="AJ59" s="504"/>
      <c r="AK59" s="504" t="s">
        <v>2639</v>
      </c>
      <c r="AL59" s="217"/>
      <c r="AM59" s="503"/>
      <c r="AN59" s="503"/>
      <c r="AO59" s="503"/>
      <c r="AP59" s="504"/>
      <c r="AQ59" s="508" t="s">
        <v>2639</v>
      </c>
      <c r="AS59" s="1758" t="s">
        <v>61</v>
      </c>
      <c r="AT59" s="1759"/>
      <c r="AU59" s="1759"/>
      <c r="AV59" s="1759"/>
      <c r="AW59" s="1759"/>
      <c r="AX59" s="1759"/>
      <c r="AY59" s="1759"/>
      <c r="AZ59" s="1759"/>
      <c r="BA59" s="1759"/>
      <c r="BB59" s="1759"/>
      <c r="BC59" s="1759"/>
      <c r="BD59" s="1759"/>
      <c r="BE59" s="1759" t="s">
        <v>61</v>
      </c>
      <c r="BF59" s="1759"/>
      <c r="BG59" s="1760"/>
      <c r="BH59" s="730"/>
      <c r="BI59" s="785"/>
      <c r="BJ59" s="731"/>
    </row>
    <row r="60" spans="2:62" outlineLevel="1" x14ac:dyDescent="0.2">
      <c r="B60" s="1633"/>
      <c r="C60" s="504"/>
      <c r="D60" s="504" t="s">
        <v>56</v>
      </c>
      <c r="E60" s="504" t="s">
        <v>56</v>
      </c>
      <c r="F60" s="205" t="s">
        <v>2669</v>
      </c>
      <c r="G60" s="205"/>
      <c r="H60" s="1744" t="s">
        <v>1281</v>
      </c>
      <c r="I60" s="1745"/>
      <c r="J60" s="1745"/>
      <c r="K60" s="705" t="s">
        <v>61</v>
      </c>
      <c r="L60" s="705" t="s">
        <v>61</v>
      </c>
      <c r="M60" s="705" t="s">
        <v>61</v>
      </c>
      <c r="N60" s="508" t="s">
        <v>30</v>
      </c>
      <c r="W60" s="32"/>
      <c r="X60" s="1633" t="s">
        <v>2605</v>
      </c>
      <c r="Y60" s="504" t="s">
        <v>2110</v>
      </c>
      <c r="Z60" s="504" t="s">
        <v>61</v>
      </c>
      <c r="AA60" s="504" t="s">
        <v>61</v>
      </c>
      <c r="AB60" s="504" t="s">
        <v>61</v>
      </c>
      <c r="AC60" s="503" t="s">
        <v>61</v>
      </c>
      <c r="AD60" s="508" t="s">
        <v>30</v>
      </c>
      <c r="AE60" s="42"/>
      <c r="AF60" s="507" t="s">
        <v>2065</v>
      </c>
      <c r="AG60" s="504" t="s">
        <v>61</v>
      </c>
      <c r="AH60" s="504" t="s">
        <v>61</v>
      </c>
      <c r="AI60" s="504" t="s">
        <v>61</v>
      </c>
      <c r="AJ60" s="503" t="s">
        <v>61</v>
      </c>
      <c r="AK60" s="504" t="s">
        <v>30</v>
      </c>
      <c r="AL60" s="504" t="s">
        <v>2558</v>
      </c>
      <c r="AM60" s="504" t="s">
        <v>61</v>
      </c>
      <c r="AN60" s="504" t="s">
        <v>61</v>
      </c>
      <c r="AO60" s="504" t="s">
        <v>61</v>
      </c>
      <c r="AP60" s="503" t="s">
        <v>61</v>
      </c>
      <c r="AQ60" s="508" t="s">
        <v>30</v>
      </c>
      <c r="AS60" s="1764" t="s">
        <v>14</v>
      </c>
      <c r="AT60" s="1761"/>
      <c r="AU60" s="1761"/>
      <c r="AV60" s="1761" t="s">
        <v>60</v>
      </c>
      <c r="AW60" s="1761"/>
      <c r="AX60" s="1761"/>
      <c r="AY60" s="1761" t="s">
        <v>27</v>
      </c>
      <c r="AZ60" s="1761"/>
      <c r="BA60" s="1761"/>
      <c r="BB60" s="1761" t="s">
        <v>2074</v>
      </c>
      <c r="BC60" s="1761"/>
      <c r="BD60" s="1761"/>
      <c r="BE60" s="1762" t="s">
        <v>41</v>
      </c>
      <c r="BF60" s="1762"/>
      <c r="BG60" s="1763"/>
      <c r="BH60" s="1764" t="s">
        <v>85</v>
      </c>
      <c r="BI60" s="1761"/>
      <c r="BJ60" s="1765"/>
    </row>
    <row r="61" spans="2:62" outlineLevel="1" x14ac:dyDescent="0.2">
      <c r="B61" s="507"/>
      <c r="C61" s="504"/>
      <c r="D61" s="504" t="s">
        <v>61</v>
      </c>
      <c r="E61" s="504" t="s">
        <v>63</v>
      </c>
      <c r="F61" s="208" t="s">
        <v>2054</v>
      </c>
      <c r="G61" s="208" t="s">
        <v>2635</v>
      </c>
      <c r="H61" s="708" t="s">
        <v>1279</v>
      </c>
      <c r="I61" s="708" t="s">
        <v>768</v>
      </c>
      <c r="J61" s="708" t="s">
        <v>24</v>
      </c>
      <c r="K61" s="707" t="s">
        <v>1279</v>
      </c>
      <c r="L61" s="707" t="s">
        <v>768</v>
      </c>
      <c r="M61" s="707" t="s">
        <v>24</v>
      </c>
      <c r="N61" s="508" t="s">
        <v>61</v>
      </c>
      <c r="W61" s="32"/>
      <c r="X61" s="1633" t="s">
        <v>2109</v>
      </c>
      <c r="Y61" s="504"/>
      <c r="Z61" s="506" t="s">
        <v>1279</v>
      </c>
      <c r="AA61" s="506" t="s">
        <v>768</v>
      </c>
      <c r="AB61" s="506" t="s">
        <v>24</v>
      </c>
      <c r="AC61" s="223" t="s">
        <v>41</v>
      </c>
      <c r="AD61" s="508" t="s">
        <v>61</v>
      </c>
      <c r="AE61" s="42"/>
      <c r="AF61" s="507"/>
      <c r="AG61" s="506" t="s">
        <v>1279</v>
      </c>
      <c r="AH61" s="506" t="s">
        <v>768</v>
      </c>
      <c r="AI61" s="506" t="s">
        <v>24</v>
      </c>
      <c r="AJ61" s="223" t="s">
        <v>41</v>
      </c>
      <c r="AK61" s="504" t="s">
        <v>61</v>
      </c>
      <c r="AL61" s="504"/>
      <c r="AM61" s="506" t="s">
        <v>1279</v>
      </c>
      <c r="AN61" s="506" t="s">
        <v>768</v>
      </c>
      <c r="AO61" s="506" t="s">
        <v>24</v>
      </c>
      <c r="AP61" s="223" t="s">
        <v>41</v>
      </c>
      <c r="AQ61" s="508" t="s">
        <v>61</v>
      </c>
      <c r="AS61" s="732" t="s">
        <v>1279</v>
      </c>
      <c r="AT61" s="733" t="s">
        <v>768</v>
      </c>
      <c r="AU61" s="733" t="s">
        <v>24</v>
      </c>
      <c r="AV61" s="733" t="s">
        <v>1279</v>
      </c>
      <c r="AW61" s="733" t="s">
        <v>768</v>
      </c>
      <c r="AX61" s="733" t="s">
        <v>24</v>
      </c>
      <c r="AY61" s="733" t="s">
        <v>1279</v>
      </c>
      <c r="AZ61" s="733" t="s">
        <v>768</v>
      </c>
      <c r="BA61" s="733" t="s">
        <v>24</v>
      </c>
      <c r="BB61" s="733" t="s">
        <v>1279</v>
      </c>
      <c r="BC61" s="733" t="s">
        <v>768</v>
      </c>
      <c r="BD61" s="733" t="s">
        <v>24</v>
      </c>
      <c r="BE61" s="734" t="s">
        <v>1279</v>
      </c>
      <c r="BF61" s="734" t="s">
        <v>768</v>
      </c>
      <c r="BG61" s="735" t="s">
        <v>24</v>
      </c>
      <c r="BH61" s="732" t="s">
        <v>1279</v>
      </c>
      <c r="BI61" s="733" t="s">
        <v>768</v>
      </c>
      <c r="BJ61" s="736" t="s">
        <v>24</v>
      </c>
    </row>
    <row r="62" spans="2:62" outlineLevel="1" x14ac:dyDescent="0.2">
      <c r="B62" s="236" t="s">
        <v>3157</v>
      </c>
      <c r="C62" s="504"/>
      <c r="D62" s="262">
        <f>SUM(K62:M62)</f>
        <v>0</v>
      </c>
      <c r="E62" s="265">
        <f>D62*12/44</f>
        <v>0</v>
      </c>
      <c r="F62" s="559"/>
      <c r="G62" s="182"/>
      <c r="H62" s="564">
        <f>VLOOKUP($B62,'Emissions factors'!$B$1431:$R$1476,2,FALSE)</f>
        <v>0.04</v>
      </c>
      <c r="I62" s="564">
        <f>VLOOKUP($B62,'Emissions factors'!$B$1431:$R$1476,3,FALSE)</f>
        <v>4.3020000000000003E-2</v>
      </c>
      <c r="J62" s="564">
        <f>VLOOKUP($B62,'Emissions factors'!$B$1431:$R$1476,4,FALSE)</f>
        <v>0.16500000000000001</v>
      </c>
      <c r="K62" s="465">
        <f>G62*H62</f>
        <v>0</v>
      </c>
      <c r="L62" s="465">
        <f>G62*I62</f>
        <v>0</v>
      </c>
      <c r="M62" s="465">
        <f>G62*J62</f>
        <v>0</v>
      </c>
      <c r="N62" s="222">
        <f>IF(OR(F62='Info utili'!$I$532,F62='Info utili'!$I$537),M62,0)</f>
        <v>0</v>
      </c>
      <c r="X62" s="282">
        <f>VLOOKUP($B62,'Emissions factors'!$B$1431:$R$1476,17,FALSE)</f>
        <v>0</v>
      </c>
      <c r="Y62" s="183"/>
      <c r="Z62" s="221">
        <f>K62*SQRT(X62^2+Y62^2)</f>
        <v>0</v>
      </c>
      <c r="AA62" s="221">
        <f>L62*SQRT(X62^2+Y62^2)</f>
        <v>0</v>
      </c>
      <c r="AB62" s="221">
        <f>M62*SQRT(X62^2+Y62^2)</f>
        <v>0</v>
      </c>
      <c r="AC62" s="210">
        <f>SQRT(SUMSQ(Z62:AB62))</f>
        <v>0</v>
      </c>
      <c r="AD62" s="222">
        <f>N62*SQRT(X62^2+Y62^2)</f>
        <v>0</v>
      </c>
      <c r="AF62" s="184"/>
      <c r="AG62" s="221">
        <f>K62*AF62</f>
        <v>0</v>
      </c>
      <c r="AH62" s="221">
        <f>L62*AF62</f>
        <v>0</v>
      </c>
      <c r="AI62" s="221">
        <f>M62*AF62</f>
        <v>0</v>
      </c>
      <c r="AJ62" s="210">
        <f>SUM(AG62:AI62)</f>
        <v>0</v>
      </c>
      <c r="AK62" s="221">
        <f>N62*AF62</f>
        <v>0</v>
      </c>
      <c r="AL62" s="184"/>
      <c r="AM62" s="221">
        <f>K62*AL62</f>
        <v>0</v>
      </c>
      <c r="AN62" s="221">
        <f>L62*AL62</f>
        <v>0</v>
      </c>
      <c r="AO62" s="221">
        <f>M62*AL62</f>
        <v>0</v>
      </c>
      <c r="AP62" s="210">
        <f>SUM(AM62:AO62)</f>
        <v>0</v>
      </c>
      <c r="AQ62" s="222">
        <f>N62*AL62</f>
        <v>0</v>
      </c>
      <c r="AS62" s="717">
        <f>G62*VLOOKUP($B62,'Emissions factors'!$B$1431:$R$1476,5,FALSE)</f>
        <v>0</v>
      </c>
      <c r="AT62" s="718">
        <f>G62*VLOOKUP($B62,'Emissions factors'!$B$1431:$R$1476,6,FALSE)</f>
        <v>0</v>
      </c>
      <c r="AU62" s="718">
        <f>G62*VLOOKUP($B62,'Emissions factors'!$B$1431:$R$1476,7,FALSE)</f>
        <v>0</v>
      </c>
      <c r="AV62" s="718">
        <f>G62*VLOOKUP($B62,'Emissions factors'!$B$1431:$R$1476,8,FALSE)</f>
        <v>0</v>
      </c>
      <c r="AW62" s="718">
        <f>G62*VLOOKUP($B62,'Emissions factors'!$B$1431:$R$1476,9,FALSE)</f>
        <v>0</v>
      </c>
      <c r="AX62" s="718">
        <f>G62*VLOOKUP($B62,'Emissions factors'!$B$1431:$R$1476,10,FALSE)</f>
        <v>0</v>
      </c>
      <c r="AY62" s="718">
        <f>G62*VLOOKUP($B62,'Emissions factors'!$B$1431:$R$1476,11,FALSE)</f>
        <v>0</v>
      </c>
      <c r="AZ62" s="718">
        <f>G62*VLOOKUP($B62,'Emissions factors'!$B$1431:$R$1476,12,FALSE)</f>
        <v>0</v>
      </c>
      <c r="BA62" s="718">
        <f>G62*VLOOKUP($B62,'Emissions factors'!$B$1431:$R$1476,13,FALSE)</f>
        <v>0</v>
      </c>
      <c r="BB62" s="718">
        <v>0</v>
      </c>
      <c r="BC62" s="718">
        <v>0</v>
      </c>
      <c r="BD62" s="718">
        <v>0</v>
      </c>
      <c r="BE62" s="719">
        <f t="shared" ref="BE62:BG64" si="11">K62</f>
        <v>0</v>
      </c>
      <c r="BF62" s="719">
        <f t="shared" si="11"/>
        <v>0</v>
      </c>
      <c r="BG62" s="720">
        <f t="shared" si="11"/>
        <v>0</v>
      </c>
      <c r="BH62" s="717">
        <f>G62*VLOOKUP($B62,'Emissions factors'!$B$1431:$R$1476,14,FALSE)</f>
        <v>0</v>
      </c>
      <c r="BI62" s="718">
        <f>G62*VLOOKUP($B62,'Emissions factors'!$B$1431:$R$1476,15,FALSE)</f>
        <v>0</v>
      </c>
      <c r="BJ62" s="721">
        <f>G62*VLOOKUP($B62,'Emissions factors'!$B$1431:$R$1476,16,FALSE)</f>
        <v>0</v>
      </c>
    </row>
    <row r="63" spans="2:62" outlineLevel="1" x14ac:dyDescent="0.2">
      <c r="B63" s="236" t="s">
        <v>3157</v>
      </c>
      <c r="C63" s="504"/>
      <c r="D63" s="262">
        <f>SUM(K63:M63)</f>
        <v>0</v>
      </c>
      <c r="E63" s="265">
        <f>D63*12/44</f>
        <v>0</v>
      </c>
      <c r="F63" s="442"/>
      <c r="G63" s="185"/>
      <c r="H63" s="564">
        <f>VLOOKUP($B63,'Emissions factors'!$B$1431:$R$1476,2,FALSE)</f>
        <v>0.04</v>
      </c>
      <c r="I63" s="564">
        <f>VLOOKUP($B63,'Emissions factors'!$B$1431:$R$1476,3,FALSE)</f>
        <v>4.3020000000000003E-2</v>
      </c>
      <c r="J63" s="564">
        <f>VLOOKUP($B63,'Emissions factors'!$B$1431:$R$1476,4,FALSE)</f>
        <v>0.16500000000000001</v>
      </c>
      <c r="K63" s="465">
        <f>G63*H63</f>
        <v>0</v>
      </c>
      <c r="L63" s="465">
        <f>G63*I63</f>
        <v>0</v>
      </c>
      <c r="M63" s="465">
        <f>G63*J63</f>
        <v>0</v>
      </c>
      <c r="N63" s="222">
        <f>IF(OR(F63='Info utili'!$I$532,F63='Info utili'!$I$537),M63,0)</f>
        <v>0</v>
      </c>
      <c r="X63" s="282">
        <f>VLOOKUP($B63,'Emissions factors'!$B$1431:$R$1476,17,FALSE)</f>
        <v>0</v>
      </c>
      <c r="Y63" s="186"/>
      <c r="Z63" s="221">
        <f>K63*SQRT(X63^2+Y63^2)</f>
        <v>0</v>
      </c>
      <c r="AA63" s="221">
        <f>L63*SQRT(X63^2+Y63^2)</f>
        <v>0</v>
      </c>
      <c r="AB63" s="221">
        <f>M63*SQRT(X63^2+Y63^2)</f>
        <v>0</v>
      </c>
      <c r="AC63" s="210">
        <f>SQRT(SUMSQ(Z63:AB63))</f>
        <v>0</v>
      </c>
      <c r="AD63" s="222">
        <f>N63*SQRT(X63^2+Y63^2)</f>
        <v>0</v>
      </c>
      <c r="AF63" s="187"/>
      <c r="AG63" s="221">
        <f>K63*AF63</f>
        <v>0</v>
      </c>
      <c r="AH63" s="221">
        <f>L63*AF63</f>
        <v>0</v>
      </c>
      <c r="AI63" s="221">
        <f>M63*AF63</f>
        <v>0</v>
      </c>
      <c r="AJ63" s="210">
        <f>SUM(AG63:AI63)</f>
        <v>0</v>
      </c>
      <c r="AK63" s="221">
        <f>N63*AF63</f>
        <v>0</v>
      </c>
      <c r="AL63" s="187"/>
      <c r="AM63" s="221">
        <f>K63*AL63</f>
        <v>0</v>
      </c>
      <c r="AN63" s="221">
        <f>L63*AL63</f>
        <v>0</v>
      </c>
      <c r="AO63" s="221">
        <f>M63*AL63</f>
        <v>0</v>
      </c>
      <c r="AP63" s="210">
        <f>SUM(AM63:AO63)</f>
        <v>0</v>
      </c>
      <c r="AQ63" s="222">
        <f>N63*AL63</f>
        <v>0</v>
      </c>
      <c r="AS63" s="717">
        <f>G63*VLOOKUP($B63,'Emissions factors'!$B$1431:$R$1476,5,FALSE)</f>
        <v>0</v>
      </c>
      <c r="AT63" s="718">
        <f>G63*VLOOKUP($B63,'Emissions factors'!$B$1431:$R$1476,6,FALSE)</f>
        <v>0</v>
      </c>
      <c r="AU63" s="718">
        <f>G63*VLOOKUP($B63,'Emissions factors'!$B$1431:$R$1476,7,FALSE)</f>
        <v>0</v>
      </c>
      <c r="AV63" s="718">
        <f>G63*VLOOKUP($B63,'Emissions factors'!$B$1431:$R$1476,8,FALSE)</f>
        <v>0</v>
      </c>
      <c r="AW63" s="718">
        <f>G63*VLOOKUP($B63,'Emissions factors'!$B$1431:$R$1476,9,FALSE)</f>
        <v>0</v>
      </c>
      <c r="AX63" s="718">
        <f>G63*VLOOKUP($B63,'Emissions factors'!$B$1431:$R$1476,10,FALSE)</f>
        <v>0</v>
      </c>
      <c r="AY63" s="718">
        <f>G63*VLOOKUP($B63,'Emissions factors'!$B$1431:$R$1476,11,FALSE)</f>
        <v>0</v>
      </c>
      <c r="AZ63" s="718">
        <f>G63*VLOOKUP($B63,'Emissions factors'!$B$1431:$R$1476,12,FALSE)</f>
        <v>0</v>
      </c>
      <c r="BA63" s="718">
        <f>G63*VLOOKUP($B63,'Emissions factors'!$B$1431:$R$1476,13,FALSE)</f>
        <v>0</v>
      </c>
      <c r="BB63" s="718">
        <v>0</v>
      </c>
      <c r="BC63" s="718">
        <v>0</v>
      </c>
      <c r="BD63" s="718">
        <v>0</v>
      </c>
      <c r="BE63" s="719">
        <f t="shared" si="11"/>
        <v>0</v>
      </c>
      <c r="BF63" s="719">
        <f t="shared" si="11"/>
        <v>0</v>
      </c>
      <c r="BG63" s="720">
        <f t="shared" si="11"/>
        <v>0</v>
      </c>
      <c r="BH63" s="717">
        <f>G63*VLOOKUP($B63,'Emissions factors'!$B$1431:$R$1476,14,FALSE)</f>
        <v>0</v>
      </c>
      <c r="BI63" s="718">
        <f>G63*VLOOKUP($B63,'Emissions factors'!$B$1431:$R$1476,15,FALSE)</f>
        <v>0</v>
      </c>
      <c r="BJ63" s="721">
        <f>G63*VLOOKUP($B63,'Emissions factors'!$B$1431:$R$1476,16,FALSE)</f>
        <v>0</v>
      </c>
    </row>
    <row r="64" spans="2:62" outlineLevel="1" x14ac:dyDescent="0.2">
      <c r="B64" s="236" t="s">
        <v>1415</v>
      </c>
      <c r="C64" s="504"/>
      <c r="D64" s="262">
        <f>SUM(K64:M64)</f>
        <v>0</v>
      </c>
      <c r="E64" s="265">
        <f>D64*12/44</f>
        <v>0</v>
      </c>
      <c r="F64" s="443"/>
      <c r="G64" s="188"/>
      <c r="H64" s="564">
        <f>VLOOKUP($B64,'Emissions factors'!$B$1431:$R$1476,2,FALSE)</f>
        <v>0.04</v>
      </c>
      <c r="I64" s="564">
        <f>VLOOKUP($B64,'Emissions factors'!$B$1431:$R$1476,3,FALSE)</f>
        <v>6.4630000000000007E-2</v>
      </c>
      <c r="J64" s="564">
        <f>VLOOKUP($B64,'Emissions factors'!$B$1431:$R$1476,4,FALSE)</f>
        <v>0.248081</v>
      </c>
      <c r="K64" s="465">
        <f>G64*H64</f>
        <v>0</v>
      </c>
      <c r="L64" s="465">
        <f>G64*I64</f>
        <v>0</v>
      </c>
      <c r="M64" s="465">
        <f>G64*J64</f>
        <v>0</v>
      </c>
      <c r="N64" s="222">
        <f>IF(OR(F64='Info utili'!$I$532,F64='Info utili'!$I$537),M64,0)</f>
        <v>0</v>
      </c>
      <c r="X64" s="282">
        <f>VLOOKUP($B64,'Emissions factors'!$B$1431:$R$1476,17,FALSE)</f>
        <v>0.2</v>
      </c>
      <c r="Y64" s="189"/>
      <c r="Z64" s="221">
        <f>K64*SQRT(X64^2+Y64^2)</f>
        <v>0</v>
      </c>
      <c r="AA64" s="221">
        <f>L64*SQRT(X64^2+Y64^2)</f>
        <v>0</v>
      </c>
      <c r="AB64" s="221">
        <f>M64*SQRT(X64^2+Y64^2)</f>
        <v>0</v>
      </c>
      <c r="AC64" s="210">
        <f>SQRT(SUMSQ(Z64:AB64))</f>
        <v>0</v>
      </c>
      <c r="AD64" s="222">
        <f>N64*SQRT(X64^2+Y64^2)</f>
        <v>0</v>
      </c>
      <c r="AF64" s="190"/>
      <c r="AG64" s="221">
        <f>K64*AF64</f>
        <v>0</v>
      </c>
      <c r="AH64" s="221">
        <f>L64*AF64</f>
        <v>0</v>
      </c>
      <c r="AI64" s="221">
        <f>M64*AF64</f>
        <v>0</v>
      </c>
      <c r="AJ64" s="210">
        <f>SUM(AG64:AI64)</f>
        <v>0</v>
      </c>
      <c r="AK64" s="221">
        <f>N64*AF64</f>
        <v>0</v>
      </c>
      <c r="AL64" s="190"/>
      <c r="AM64" s="221">
        <f>K64*AL64</f>
        <v>0</v>
      </c>
      <c r="AN64" s="221">
        <f>L64*AL64</f>
        <v>0</v>
      </c>
      <c r="AO64" s="221">
        <f>M64*AL64</f>
        <v>0</v>
      </c>
      <c r="AP64" s="210">
        <f>SUM(AM64:AO64)</f>
        <v>0</v>
      </c>
      <c r="AQ64" s="222">
        <f>N64*AL64</f>
        <v>0</v>
      </c>
      <c r="AS64" s="717">
        <f>G64*VLOOKUP($B64,'Emissions factors'!$B$1431:$R$1476,5,FALSE)</f>
        <v>0</v>
      </c>
      <c r="AT64" s="718">
        <f>G64*VLOOKUP($B64,'Emissions factors'!$B$1431:$R$1476,6,FALSE)</f>
        <v>0</v>
      </c>
      <c r="AU64" s="718">
        <f>G64*VLOOKUP($B64,'Emissions factors'!$B$1431:$R$1476,7,FALSE)</f>
        <v>0</v>
      </c>
      <c r="AV64" s="718">
        <f>G64*VLOOKUP($B64,'Emissions factors'!$B$1431:$R$1476,8,FALSE)</f>
        <v>0</v>
      </c>
      <c r="AW64" s="718">
        <f>G64*VLOOKUP($B64,'Emissions factors'!$B$1431:$R$1476,9,FALSE)</f>
        <v>0</v>
      </c>
      <c r="AX64" s="718">
        <f>G64*VLOOKUP($B64,'Emissions factors'!$B$1431:$R$1476,10,FALSE)</f>
        <v>0</v>
      </c>
      <c r="AY64" s="718">
        <f>G64*VLOOKUP($B64,'Emissions factors'!$B$1431:$R$1476,11,FALSE)</f>
        <v>0</v>
      </c>
      <c r="AZ64" s="718">
        <f>G64*VLOOKUP($B64,'Emissions factors'!$B$1431:$R$1476,12,FALSE)</f>
        <v>0</v>
      </c>
      <c r="BA64" s="718">
        <f>G64*VLOOKUP($B64,'Emissions factors'!$B$1431:$R$1476,13,FALSE)</f>
        <v>0</v>
      </c>
      <c r="BB64" s="718">
        <v>0</v>
      </c>
      <c r="BC64" s="718">
        <v>0</v>
      </c>
      <c r="BD64" s="718">
        <v>0</v>
      </c>
      <c r="BE64" s="719">
        <f t="shared" si="11"/>
        <v>0</v>
      </c>
      <c r="BF64" s="719">
        <f t="shared" si="11"/>
        <v>0</v>
      </c>
      <c r="BG64" s="720">
        <f t="shared" si="11"/>
        <v>0</v>
      </c>
      <c r="BH64" s="717">
        <f>G64*VLOOKUP($B64,'Emissions factors'!$B$1431:$R$1476,14,FALSE)</f>
        <v>0</v>
      </c>
      <c r="BI64" s="718">
        <f>G64*VLOOKUP($B64,'Emissions factors'!$B$1431:$R$1476,15,FALSE)</f>
        <v>0</v>
      </c>
      <c r="BJ64" s="721">
        <f>G64*VLOOKUP($B64,'Emissions factors'!$B$1431:$R$1476,16,FALSE)</f>
        <v>0</v>
      </c>
    </row>
    <row r="65" spans="2:62" outlineLevel="1" x14ac:dyDescent="0.2">
      <c r="B65" s="200"/>
      <c r="C65" s="201"/>
      <c r="D65" s="263"/>
      <c r="E65" s="266"/>
      <c r="F65" s="201"/>
      <c r="G65" s="201"/>
      <c r="H65" s="201"/>
      <c r="I65" s="201"/>
      <c r="J65" s="201"/>
      <c r="K65" s="225"/>
      <c r="L65" s="225"/>
      <c r="M65" s="225"/>
      <c r="N65" s="222"/>
      <c r="X65" s="213"/>
      <c r="Y65" s="214"/>
      <c r="Z65" s="201"/>
      <c r="AA65" s="201"/>
      <c r="AB65" s="201"/>
      <c r="AC65" s="210"/>
      <c r="AD65" s="211"/>
      <c r="AF65" s="213"/>
      <c r="AG65" s="214"/>
      <c r="AH65" s="214"/>
      <c r="AI65" s="214"/>
      <c r="AJ65" s="214"/>
      <c r="AK65" s="413"/>
      <c r="AL65" s="214"/>
      <c r="AM65" s="210"/>
      <c r="AN65" s="210"/>
      <c r="AO65" s="210"/>
      <c r="AP65" s="214"/>
      <c r="AQ65" s="222"/>
      <c r="AS65" s="717"/>
      <c r="AT65" s="718"/>
      <c r="AU65" s="718"/>
      <c r="AV65" s="718"/>
      <c r="AW65" s="718"/>
      <c r="AX65" s="718"/>
      <c r="AY65" s="718"/>
      <c r="AZ65" s="718"/>
      <c r="BA65" s="718"/>
      <c r="BB65" s="718"/>
      <c r="BC65" s="718"/>
      <c r="BD65" s="718"/>
      <c r="BE65" s="719"/>
      <c r="BF65" s="719"/>
      <c r="BG65" s="720"/>
      <c r="BH65" s="722"/>
      <c r="BI65" s="786"/>
      <c r="BJ65" s="723"/>
    </row>
    <row r="66" spans="2:62" outlineLevel="1" x14ac:dyDescent="0.2">
      <c r="B66" s="253" t="s">
        <v>2828</v>
      </c>
      <c r="C66" s="254"/>
      <c r="D66" s="264">
        <f>SUM(D62:D65)</f>
        <v>0</v>
      </c>
      <c r="E66" s="267">
        <f>SUM(E62:E65)</f>
        <v>0</v>
      </c>
      <c r="F66" s="254"/>
      <c r="G66" s="254"/>
      <c r="H66" s="254"/>
      <c r="I66" s="254"/>
      <c r="J66" s="254"/>
      <c r="K66" s="259">
        <f>SUM(K62:K65)</f>
        <v>0</v>
      </c>
      <c r="L66" s="259">
        <f>SUM(L62:L65)</f>
        <v>0</v>
      </c>
      <c r="M66" s="259">
        <f>SUM(M62:M65)</f>
        <v>0</v>
      </c>
      <c r="N66" s="428">
        <f>SUM(N62:N65)</f>
        <v>0</v>
      </c>
      <c r="X66" s="258"/>
      <c r="Y66" s="256"/>
      <c r="Z66" s="260">
        <f>SQRT(SUMSQ(Z61:Z65))</f>
        <v>0</v>
      </c>
      <c r="AA66" s="260">
        <f>SQRT(SUMSQ(AA61:AA65))</f>
        <v>0</v>
      </c>
      <c r="AB66" s="260">
        <f>SQRT(SUMSQ(AB61:AB65))</f>
        <v>0</v>
      </c>
      <c r="AC66" s="259">
        <f>SQRT(SUMSQ(AC61:AC65))</f>
        <v>0</v>
      </c>
      <c r="AD66" s="428">
        <f>SQRT(SUMSQ(AD61:AD65))</f>
        <v>0</v>
      </c>
      <c r="AF66" s="258"/>
      <c r="AG66" s="260">
        <f>SUM(AG62:AG65)</f>
        <v>0</v>
      </c>
      <c r="AH66" s="260">
        <f>SUM(AH62:AH65)</f>
        <v>0</v>
      </c>
      <c r="AI66" s="260">
        <f>SUM(AI62:AI65)</f>
        <v>0</v>
      </c>
      <c r="AJ66" s="259">
        <f>SUM(AJ62:AJ65)</f>
        <v>0</v>
      </c>
      <c r="AK66" s="260">
        <f>SUM(AK62:AK65)</f>
        <v>0</v>
      </c>
      <c r="AL66" s="256"/>
      <c r="AM66" s="260">
        <f>SUM(AM62:AM65)</f>
        <v>0</v>
      </c>
      <c r="AN66" s="260">
        <f>SUM(AN62:AN65)</f>
        <v>0</v>
      </c>
      <c r="AO66" s="260">
        <f>SUM(AO62:AO65)</f>
        <v>0</v>
      </c>
      <c r="AP66" s="259">
        <f>SUM(AP62:AP65)</f>
        <v>0</v>
      </c>
      <c r="AQ66" s="428">
        <f>SUM(AQ62:AQ65)</f>
        <v>0</v>
      </c>
      <c r="AS66" s="724">
        <f t="shared" ref="AS66:BJ66" si="12">SUM(AS62:AS65)</f>
        <v>0</v>
      </c>
      <c r="AT66" s="725">
        <f t="shared" si="12"/>
        <v>0</v>
      </c>
      <c r="AU66" s="725">
        <f t="shared" si="12"/>
        <v>0</v>
      </c>
      <c r="AV66" s="725">
        <f t="shared" si="12"/>
        <v>0</v>
      </c>
      <c r="AW66" s="725">
        <f t="shared" si="12"/>
        <v>0</v>
      </c>
      <c r="AX66" s="725">
        <f t="shared" si="12"/>
        <v>0</v>
      </c>
      <c r="AY66" s="725">
        <f t="shared" si="12"/>
        <v>0</v>
      </c>
      <c r="AZ66" s="725">
        <f t="shared" si="12"/>
        <v>0</v>
      </c>
      <c r="BA66" s="725">
        <f t="shared" si="12"/>
        <v>0</v>
      </c>
      <c r="BB66" s="725">
        <f t="shared" si="12"/>
        <v>0</v>
      </c>
      <c r="BC66" s="725">
        <f t="shared" si="12"/>
        <v>0</v>
      </c>
      <c r="BD66" s="725">
        <f t="shared" si="12"/>
        <v>0</v>
      </c>
      <c r="BE66" s="726">
        <f t="shared" si="12"/>
        <v>0</v>
      </c>
      <c r="BF66" s="726">
        <f t="shared" si="12"/>
        <v>0</v>
      </c>
      <c r="BG66" s="727">
        <f t="shared" si="12"/>
        <v>0</v>
      </c>
      <c r="BH66" s="724">
        <f t="shared" si="12"/>
        <v>0</v>
      </c>
      <c r="BI66" s="725">
        <f t="shared" si="12"/>
        <v>0</v>
      </c>
      <c r="BJ66" s="728">
        <f t="shared" si="12"/>
        <v>0</v>
      </c>
    </row>
    <row r="67" spans="2:62" outlineLevel="1" x14ac:dyDescent="0.2">
      <c r="AC67" s="330"/>
    </row>
    <row r="68" spans="2:62" ht="12.75" customHeight="1" outlineLevel="1" x14ac:dyDescent="0.2">
      <c r="B68" s="195" t="s">
        <v>2933</v>
      </c>
      <c r="C68" s="196"/>
      <c r="D68" s="196"/>
      <c r="E68" s="196"/>
      <c r="F68" s="196"/>
      <c r="G68" s="198"/>
      <c r="H68" s="196"/>
      <c r="I68" s="196"/>
      <c r="J68" s="196"/>
      <c r="K68" s="198"/>
      <c r="L68" s="198"/>
      <c r="M68" s="198"/>
      <c r="N68" s="199"/>
      <c r="W68" s="42"/>
      <c r="X68" s="1746" t="s">
        <v>723</v>
      </c>
      <c r="Y68" s="1747"/>
      <c r="Z68" s="1747"/>
      <c r="AA68" s="1747"/>
      <c r="AB68" s="1747"/>
      <c r="AC68" s="1747"/>
      <c r="AD68" s="1748"/>
      <c r="AF68" s="1746" t="s">
        <v>2066</v>
      </c>
      <c r="AG68" s="1747"/>
      <c r="AH68" s="1747"/>
      <c r="AI68" s="1747"/>
      <c r="AJ68" s="1747"/>
      <c r="AK68" s="1747"/>
      <c r="AL68" s="1747"/>
      <c r="AM68" s="1747"/>
      <c r="AN68" s="1747"/>
      <c r="AO68" s="1747"/>
      <c r="AP68" s="1747"/>
      <c r="AQ68" s="1748"/>
      <c r="AS68" s="1755" t="s">
        <v>2073</v>
      </c>
      <c r="AT68" s="1756"/>
      <c r="AU68" s="1756"/>
      <c r="AV68" s="1756"/>
      <c r="AW68" s="1756"/>
      <c r="AX68" s="1756"/>
      <c r="AY68" s="1756"/>
      <c r="AZ68" s="1756"/>
      <c r="BA68" s="1756"/>
      <c r="BB68" s="1756"/>
      <c r="BC68" s="1756"/>
      <c r="BD68" s="1756"/>
      <c r="BE68" s="1756"/>
      <c r="BF68" s="1756"/>
      <c r="BG68" s="1756"/>
      <c r="BH68" s="1756"/>
      <c r="BI68" s="1756"/>
      <c r="BJ68" s="1757"/>
    </row>
    <row r="69" spans="2:62" ht="12.75" customHeight="1" outlineLevel="1" x14ac:dyDescent="0.2">
      <c r="B69" s="417"/>
      <c r="C69" s="225"/>
      <c r="D69" s="503"/>
      <c r="E69" s="503"/>
      <c r="F69" s="201"/>
      <c r="G69" s="201"/>
      <c r="H69" s="201"/>
      <c r="I69" s="201"/>
      <c r="J69" s="201"/>
      <c r="K69" s="201"/>
      <c r="L69" s="1745" t="s">
        <v>2646</v>
      </c>
      <c r="M69" s="1745"/>
      <c r="N69" s="508" t="s">
        <v>2639</v>
      </c>
      <c r="W69" s="42"/>
      <c r="X69" s="507"/>
      <c r="Y69" s="504"/>
      <c r="Z69" s="504"/>
      <c r="AA69" s="504"/>
      <c r="AB69" s="504"/>
      <c r="AC69" s="504"/>
      <c r="AD69" s="508" t="s">
        <v>2639</v>
      </c>
      <c r="AE69" s="42"/>
      <c r="AF69" s="216"/>
      <c r="AG69" s="503"/>
      <c r="AH69" s="503"/>
      <c r="AI69" s="503"/>
      <c r="AJ69" s="504"/>
      <c r="AK69" s="504" t="s">
        <v>2639</v>
      </c>
      <c r="AL69" s="217"/>
      <c r="AM69" s="503"/>
      <c r="AN69" s="503"/>
      <c r="AO69" s="503"/>
      <c r="AP69" s="504"/>
      <c r="AQ69" s="508" t="s">
        <v>2639</v>
      </c>
      <c r="AS69" s="1758" t="s">
        <v>61</v>
      </c>
      <c r="AT69" s="1759"/>
      <c r="AU69" s="1759"/>
      <c r="AV69" s="1759"/>
      <c r="AW69" s="1759"/>
      <c r="AX69" s="1759"/>
      <c r="AY69" s="1759"/>
      <c r="AZ69" s="1759"/>
      <c r="BA69" s="1759"/>
      <c r="BB69" s="1759"/>
      <c r="BC69" s="1759"/>
      <c r="BD69" s="1759"/>
      <c r="BE69" s="1759" t="s">
        <v>61</v>
      </c>
      <c r="BF69" s="1759"/>
      <c r="BG69" s="1760"/>
      <c r="BH69" s="730"/>
      <c r="BI69" s="785"/>
      <c r="BJ69" s="731"/>
    </row>
    <row r="70" spans="2:62" ht="12.75" customHeight="1" outlineLevel="1" x14ac:dyDescent="0.2">
      <c r="B70" s="200"/>
      <c r="C70" s="201"/>
      <c r="D70" s="504" t="s">
        <v>56</v>
      </c>
      <c r="E70" s="504" t="s">
        <v>56</v>
      </c>
      <c r="F70" s="205" t="s">
        <v>2669</v>
      </c>
      <c r="G70" s="205"/>
      <c r="H70" s="1744" t="s">
        <v>1281</v>
      </c>
      <c r="I70" s="1745"/>
      <c r="J70" s="1745"/>
      <c r="K70" s="705" t="s">
        <v>61</v>
      </c>
      <c r="L70" s="503" t="s">
        <v>61</v>
      </c>
      <c r="M70" s="503" t="s">
        <v>61</v>
      </c>
      <c r="N70" s="508" t="s">
        <v>30</v>
      </c>
      <c r="W70" s="42"/>
      <c r="X70" s="1633" t="s">
        <v>2605</v>
      </c>
      <c r="Y70" s="504" t="s">
        <v>2110</v>
      </c>
      <c r="Z70" s="504" t="s">
        <v>61</v>
      </c>
      <c r="AA70" s="504" t="s">
        <v>61</v>
      </c>
      <c r="AB70" s="504" t="s">
        <v>61</v>
      </c>
      <c r="AC70" s="503" t="s">
        <v>61</v>
      </c>
      <c r="AD70" s="508" t="s">
        <v>30</v>
      </c>
      <c r="AE70" s="42"/>
      <c r="AF70" s="507" t="s">
        <v>2065</v>
      </c>
      <c r="AG70" s="504" t="s">
        <v>61</v>
      </c>
      <c r="AH70" s="504" t="s">
        <v>61</v>
      </c>
      <c r="AI70" s="504" t="s">
        <v>61</v>
      </c>
      <c r="AJ70" s="503" t="s">
        <v>61</v>
      </c>
      <c r="AK70" s="504" t="s">
        <v>30</v>
      </c>
      <c r="AL70" s="504" t="s">
        <v>2558</v>
      </c>
      <c r="AM70" s="504" t="s">
        <v>61</v>
      </c>
      <c r="AN70" s="504" t="s">
        <v>61</v>
      </c>
      <c r="AO70" s="504" t="s">
        <v>61</v>
      </c>
      <c r="AP70" s="503" t="s">
        <v>61</v>
      </c>
      <c r="AQ70" s="508" t="s">
        <v>30</v>
      </c>
      <c r="AS70" s="1764" t="s">
        <v>14</v>
      </c>
      <c r="AT70" s="1761"/>
      <c r="AU70" s="1761"/>
      <c r="AV70" s="1761" t="s">
        <v>60</v>
      </c>
      <c r="AW70" s="1761"/>
      <c r="AX70" s="1761"/>
      <c r="AY70" s="1761" t="s">
        <v>27</v>
      </c>
      <c r="AZ70" s="1761"/>
      <c r="BA70" s="1761"/>
      <c r="BB70" s="1761" t="s">
        <v>2074</v>
      </c>
      <c r="BC70" s="1761"/>
      <c r="BD70" s="1761"/>
      <c r="BE70" s="1762" t="s">
        <v>41</v>
      </c>
      <c r="BF70" s="1762"/>
      <c r="BG70" s="1763"/>
      <c r="BH70" s="1764" t="s">
        <v>85</v>
      </c>
      <c r="BI70" s="1761"/>
      <c r="BJ70" s="1765"/>
    </row>
    <row r="71" spans="2:62" ht="12.75" customHeight="1" outlineLevel="1" x14ac:dyDescent="0.2">
      <c r="B71" s="200"/>
      <c r="C71" s="201"/>
      <c r="D71" s="504" t="s">
        <v>61</v>
      </c>
      <c r="E71" s="504" t="s">
        <v>63</v>
      </c>
      <c r="F71" s="208" t="s">
        <v>2054</v>
      </c>
      <c r="G71" s="208" t="s">
        <v>2635</v>
      </c>
      <c r="H71" s="708" t="s">
        <v>1279</v>
      </c>
      <c r="I71" s="708" t="s">
        <v>768</v>
      </c>
      <c r="J71" s="708" t="s">
        <v>24</v>
      </c>
      <c r="K71" s="707" t="s">
        <v>1279</v>
      </c>
      <c r="L71" s="505" t="s">
        <v>768</v>
      </c>
      <c r="M71" s="505" t="s">
        <v>24</v>
      </c>
      <c r="N71" s="508" t="s">
        <v>61</v>
      </c>
      <c r="W71" s="42"/>
      <c r="X71" s="1633" t="s">
        <v>2109</v>
      </c>
      <c r="Y71" s="504"/>
      <c r="Z71" s="506" t="s">
        <v>1279</v>
      </c>
      <c r="AA71" s="506" t="s">
        <v>768</v>
      </c>
      <c r="AB71" s="506" t="s">
        <v>24</v>
      </c>
      <c r="AC71" s="223" t="s">
        <v>41</v>
      </c>
      <c r="AD71" s="508" t="s">
        <v>61</v>
      </c>
      <c r="AE71" s="42"/>
      <c r="AF71" s="507"/>
      <c r="AG71" s="506" t="s">
        <v>1279</v>
      </c>
      <c r="AH71" s="506" t="s">
        <v>768</v>
      </c>
      <c r="AI71" s="506" t="s">
        <v>24</v>
      </c>
      <c r="AJ71" s="223" t="s">
        <v>41</v>
      </c>
      <c r="AK71" s="504" t="s">
        <v>61</v>
      </c>
      <c r="AL71" s="504"/>
      <c r="AM71" s="506" t="s">
        <v>1279</v>
      </c>
      <c r="AN71" s="506" t="s">
        <v>768</v>
      </c>
      <c r="AO71" s="506" t="s">
        <v>24</v>
      </c>
      <c r="AP71" s="223" t="s">
        <v>41</v>
      </c>
      <c r="AQ71" s="508" t="s">
        <v>61</v>
      </c>
      <c r="AS71" s="732" t="s">
        <v>1279</v>
      </c>
      <c r="AT71" s="733" t="s">
        <v>768</v>
      </c>
      <c r="AU71" s="733" t="s">
        <v>24</v>
      </c>
      <c r="AV71" s="733" t="s">
        <v>1279</v>
      </c>
      <c r="AW71" s="733" t="s">
        <v>768</v>
      </c>
      <c r="AX71" s="733" t="s">
        <v>24</v>
      </c>
      <c r="AY71" s="733" t="s">
        <v>1279</v>
      </c>
      <c r="AZ71" s="733" t="s">
        <v>768</v>
      </c>
      <c r="BA71" s="733" t="s">
        <v>24</v>
      </c>
      <c r="BB71" s="733" t="s">
        <v>1279</v>
      </c>
      <c r="BC71" s="733" t="s">
        <v>768</v>
      </c>
      <c r="BD71" s="733" t="s">
        <v>24</v>
      </c>
      <c r="BE71" s="734" t="s">
        <v>1279</v>
      </c>
      <c r="BF71" s="734" t="s">
        <v>768</v>
      </c>
      <c r="BG71" s="735" t="s">
        <v>24</v>
      </c>
      <c r="BH71" s="732" t="s">
        <v>1279</v>
      </c>
      <c r="BI71" s="733" t="s">
        <v>768</v>
      </c>
      <c r="BJ71" s="736" t="s">
        <v>24</v>
      </c>
    </row>
    <row r="72" spans="2:62" ht="12.75" customHeight="1" outlineLevel="1" x14ac:dyDescent="0.2">
      <c r="B72" s="200" t="s">
        <v>1460</v>
      </c>
      <c r="C72" s="201"/>
      <c r="D72" s="262">
        <f>SUM(K72:M72)</f>
        <v>0</v>
      </c>
      <c r="E72" s="265">
        <f>D72*12/44</f>
        <v>0</v>
      </c>
      <c r="F72" s="559"/>
      <c r="G72" s="182"/>
      <c r="H72" s="493">
        <f>VLOOKUP($B72,'Emissions factors'!$B$1528:$R$1542,2,FALSE)</f>
        <v>0</v>
      </c>
      <c r="I72" s="493">
        <f>VLOOKUP($B72,'Emissions factors'!$B$1528:$R$1542,3,FALSE)</f>
        <v>0.29520000000000002</v>
      </c>
      <c r="J72" s="493">
        <f>VLOOKUP($B72,'Emissions factors'!$B$1528:$R$1542,4,FALSE)</f>
        <v>1.1499919999999999</v>
      </c>
      <c r="K72" s="465">
        <f>H72*G72</f>
        <v>0</v>
      </c>
      <c r="L72" s="465">
        <f>G72*I72</f>
        <v>0</v>
      </c>
      <c r="M72" s="210">
        <f>G72*J72</f>
        <v>0</v>
      </c>
      <c r="N72" s="222">
        <f>IF(OR(F72='Info utili'!$I$532,F72='Info utili'!$I$537),M72,0)</f>
        <v>0</v>
      </c>
      <c r="W72" s="42"/>
      <c r="X72" s="282">
        <f>VLOOKUP($B72,'Emissions factors'!$B$1528:$R$1542,17,FALSE)</f>
        <v>0.6</v>
      </c>
      <c r="Y72" s="184"/>
      <c r="Z72" s="221">
        <f>K72*SQRT(X72^2+Y72^2)</f>
        <v>0</v>
      </c>
      <c r="AA72" s="221">
        <f>L72*SQRT(X72^2+Y72^2)</f>
        <v>0</v>
      </c>
      <c r="AB72" s="221">
        <f>M72*SQRT(X72^2+Y72^2)</f>
        <v>0</v>
      </c>
      <c r="AC72" s="210">
        <f>SQRT(SUMSQ(Z72:AB72))</f>
        <v>0</v>
      </c>
      <c r="AD72" s="222">
        <f>N72*SQRT(X72^2+Y72^2)</f>
        <v>0</v>
      </c>
      <c r="AE72" s="42"/>
      <c r="AF72" s="184"/>
      <c r="AG72" s="221">
        <f t="shared" ref="AG72:AI74" si="13">K72*$AF72</f>
        <v>0</v>
      </c>
      <c r="AH72" s="221">
        <f t="shared" si="13"/>
        <v>0</v>
      </c>
      <c r="AI72" s="221">
        <f t="shared" si="13"/>
        <v>0</v>
      </c>
      <c r="AJ72" s="210">
        <f>SUM(AG72:AI72)</f>
        <v>0</v>
      </c>
      <c r="AK72" s="221">
        <f>N72*$AF72</f>
        <v>0</v>
      </c>
      <c r="AL72" s="184"/>
      <c r="AM72" s="221">
        <f>AL72*K72</f>
        <v>0</v>
      </c>
      <c r="AN72" s="221">
        <f>AL72*L72</f>
        <v>0</v>
      </c>
      <c r="AO72" s="221">
        <f>AL72*M72</f>
        <v>0</v>
      </c>
      <c r="AP72" s="210">
        <f>SUM(AM72:AO72)</f>
        <v>0</v>
      </c>
      <c r="AQ72" s="222">
        <f>AL72*N72</f>
        <v>0</v>
      </c>
      <c r="AS72" s="717">
        <f>G72*VLOOKUP($B72,'Emissions factors'!$B$1528:$R$1542,5,FALSE)</f>
        <v>0</v>
      </c>
      <c r="AT72" s="718">
        <f>G72*VLOOKUP($B72,'Emissions factors'!$B$1528:$R$1542,6,FALSE)</f>
        <v>0</v>
      </c>
      <c r="AU72" s="718">
        <f>G72*VLOOKUP($B72,'Emissions factors'!$B$1528:$R$1542,7,FALSE)</f>
        <v>0</v>
      </c>
      <c r="AV72" s="718">
        <f>G72*VLOOKUP($B72,'Emissions factors'!$B$1528:$R$1542,8,FALSE)</f>
        <v>0</v>
      </c>
      <c r="AW72" s="718">
        <f>G72*VLOOKUP($B72,'Emissions factors'!$B$1528:$R$1542,9,FALSE)</f>
        <v>0</v>
      </c>
      <c r="AX72" s="718">
        <f>G72*VLOOKUP($B72,'Emissions factors'!$B$1528:$R$1542,10,FALSE)</f>
        <v>0</v>
      </c>
      <c r="AY72" s="718">
        <f>G72*VLOOKUP($B72,'Emissions factors'!$B$1528:$R$1542,11,FALSE)</f>
        <v>0</v>
      </c>
      <c r="AZ72" s="718">
        <f>G72*VLOOKUP($B72,'Emissions factors'!$B$1528:$R$1542,12,FALSE)</f>
        <v>0</v>
      </c>
      <c r="BA72" s="718">
        <f>G72*VLOOKUP($B72,'Emissions factors'!$B$1528:$R$1542,13,FALSE)</f>
        <v>0</v>
      </c>
      <c r="BB72" s="718">
        <v>0</v>
      </c>
      <c r="BC72" s="718">
        <v>0</v>
      </c>
      <c r="BD72" s="718">
        <v>0</v>
      </c>
      <c r="BE72" s="719">
        <f t="shared" ref="BE72:BG74" si="14">K72</f>
        <v>0</v>
      </c>
      <c r="BF72" s="719">
        <f t="shared" si="14"/>
        <v>0</v>
      </c>
      <c r="BG72" s="720">
        <f t="shared" si="14"/>
        <v>0</v>
      </c>
      <c r="BH72" s="717">
        <f>G72*VLOOKUP($B72,'Emissions factors'!$B$1528:$R$1542,14,FALSE)</f>
        <v>0</v>
      </c>
      <c r="BI72" s="718">
        <f>G72*VLOOKUP($B72,'Emissions factors'!$B$1528:$R$1542,15,FALSE)</f>
        <v>0</v>
      </c>
      <c r="BJ72" s="721">
        <f>G72*VLOOKUP($B72,'Emissions factors'!$B$1528:$R$1542,16,FALSE)</f>
        <v>0</v>
      </c>
    </row>
    <row r="73" spans="2:62" ht="12.75" customHeight="1" outlineLevel="1" x14ac:dyDescent="0.2">
      <c r="B73" s="200" t="s">
        <v>1461</v>
      </c>
      <c r="C73" s="201"/>
      <c r="D73" s="262">
        <f>SUM(K73:M73)</f>
        <v>0</v>
      </c>
      <c r="E73" s="265">
        <f>D73*12/44</f>
        <v>0</v>
      </c>
      <c r="F73" s="442"/>
      <c r="G73" s="185"/>
      <c r="H73" s="493">
        <f>VLOOKUP($B73,'Emissions factors'!$B$1528:$R$1542,2,FALSE)</f>
        <v>0</v>
      </c>
      <c r="I73" s="493">
        <f>VLOOKUP($B73,'Emissions factors'!$B$1528:$R$1542,3,FALSE)</f>
        <v>0.33610000000000001</v>
      </c>
      <c r="J73" s="493">
        <f>VLOOKUP($B73,'Emissions factors'!$B$1528:$R$1542,4,FALSE)</f>
        <v>1.3220240000000001</v>
      </c>
      <c r="K73" s="465">
        <f>H73*G73</f>
        <v>0</v>
      </c>
      <c r="L73" s="465">
        <f>G73*I73</f>
        <v>0</v>
      </c>
      <c r="M73" s="210">
        <f>G73*J73</f>
        <v>0</v>
      </c>
      <c r="N73" s="222">
        <f>IF(OR(F73='Info utili'!$I$532,F73='Info utili'!$I$537),M73,0)</f>
        <v>0</v>
      </c>
      <c r="W73" s="42"/>
      <c r="X73" s="282">
        <f>VLOOKUP($B73,'Emissions factors'!$B$1528:$R$1542,17,FALSE)</f>
        <v>0.6</v>
      </c>
      <c r="Y73" s="187"/>
      <c r="Z73" s="221">
        <f>K73*SQRT(X73^2+Y73^2)</f>
        <v>0</v>
      </c>
      <c r="AA73" s="221">
        <f>L73*SQRT(X73^2+Y73^2)</f>
        <v>0</v>
      </c>
      <c r="AB73" s="221">
        <f>M73*SQRT(X73^2+Y73^2)</f>
        <v>0</v>
      </c>
      <c r="AC73" s="210">
        <f>SQRT(SUMSQ(Z73:AB73))</f>
        <v>0</v>
      </c>
      <c r="AD73" s="222">
        <f>N73*SQRT(X73^2+Y73^2)</f>
        <v>0</v>
      </c>
      <c r="AE73" s="42"/>
      <c r="AF73" s="187"/>
      <c r="AG73" s="221">
        <f t="shared" si="13"/>
        <v>0</v>
      </c>
      <c r="AH73" s="221">
        <f t="shared" si="13"/>
        <v>0</v>
      </c>
      <c r="AI73" s="221">
        <f t="shared" si="13"/>
        <v>0</v>
      </c>
      <c r="AJ73" s="210">
        <f>SUM(AG73:AI73)</f>
        <v>0</v>
      </c>
      <c r="AK73" s="221">
        <f>N73*$AF73</f>
        <v>0</v>
      </c>
      <c r="AL73" s="187"/>
      <c r="AM73" s="221">
        <f>AL73*K73</f>
        <v>0</v>
      </c>
      <c r="AN73" s="221">
        <f>AL73*L73</f>
        <v>0</v>
      </c>
      <c r="AO73" s="221">
        <f>AL73*M73</f>
        <v>0</v>
      </c>
      <c r="AP73" s="210">
        <f>SUM(AM73:AO73)</f>
        <v>0</v>
      </c>
      <c r="AQ73" s="222">
        <f>AL73*N73</f>
        <v>0</v>
      </c>
      <c r="AS73" s="717">
        <f>G73*VLOOKUP($B73,'Emissions factors'!$B$1528:$R$1542,5,FALSE)</f>
        <v>0</v>
      </c>
      <c r="AT73" s="718">
        <f>G73*VLOOKUP($B73,'Emissions factors'!$B$1528:$R$1542,6,FALSE)</f>
        <v>0</v>
      </c>
      <c r="AU73" s="718">
        <f>G73*VLOOKUP($B73,'Emissions factors'!$B$1528:$R$1542,7,FALSE)</f>
        <v>0</v>
      </c>
      <c r="AV73" s="718">
        <f>G73*VLOOKUP($B73,'Emissions factors'!$B$1528:$R$1542,8,FALSE)</f>
        <v>0</v>
      </c>
      <c r="AW73" s="718">
        <f>G73*VLOOKUP($B73,'Emissions factors'!$B$1528:$R$1542,9,FALSE)</f>
        <v>0</v>
      </c>
      <c r="AX73" s="718">
        <f>G73*VLOOKUP($B73,'Emissions factors'!$B$1528:$R$1542,10,FALSE)</f>
        <v>0</v>
      </c>
      <c r="AY73" s="718">
        <f>G73*VLOOKUP($B73,'Emissions factors'!$B$1528:$R$1542,11,FALSE)</f>
        <v>0</v>
      </c>
      <c r="AZ73" s="718">
        <f>G73*VLOOKUP($B73,'Emissions factors'!$B$1528:$R$1542,12,FALSE)</f>
        <v>0</v>
      </c>
      <c r="BA73" s="718">
        <f>G73*VLOOKUP($B73,'Emissions factors'!$B$1528:$R$1542,13,FALSE)</f>
        <v>0</v>
      </c>
      <c r="BB73" s="718">
        <v>0</v>
      </c>
      <c r="BC73" s="718">
        <v>0</v>
      </c>
      <c r="BD73" s="718">
        <v>0</v>
      </c>
      <c r="BE73" s="719">
        <f t="shared" si="14"/>
        <v>0</v>
      </c>
      <c r="BF73" s="719">
        <f t="shared" si="14"/>
        <v>0</v>
      </c>
      <c r="BG73" s="720">
        <f t="shared" si="14"/>
        <v>0</v>
      </c>
      <c r="BH73" s="717">
        <f>G73*VLOOKUP($B73,'Emissions factors'!$B$1528:$R$1542,14,FALSE)</f>
        <v>0</v>
      </c>
      <c r="BI73" s="718">
        <f>G73*VLOOKUP($B73,'Emissions factors'!$B$1528:$R$1542,15,FALSE)</f>
        <v>0</v>
      </c>
      <c r="BJ73" s="721">
        <f>G73*VLOOKUP($B73,'Emissions factors'!$B$1528:$R$1542,16,FALSE)</f>
        <v>0</v>
      </c>
    </row>
    <row r="74" spans="2:62" ht="12.75" customHeight="1" outlineLevel="1" x14ac:dyDescent="0.2">
      <c r="B74" s="200" t="s">
        <v>1462</v>
      </c>
      <c r="C74" s="201"/>
      <c r="D74" s="262">
        <f>SUM(K74:M74)</f>
        <v>0</v>
      </c>
      <c r="E74" s="265">
        <f>D74*12/44</f>
        <v>0</v>
      </c>
      <c r="F74" s="443"/>
      <c r="G74" s="188"/>
      <c r="H74" s="493">
        <f>VLOOKUP($B74,'Emissions factors'!$B$1528:$R$1542,2,FALSE)</f>
        <v>0</v>
      </c>
      <c r="I74" s="493">
        <f>VLOOKUP($B74,'Emissions factors'!$B$1528:$R$1542,3,FALSE)</f>
        <v>0.34869999999999995</v>
      </c>
      <c r="J74" s="493">
        <f>VLOOKUP($B74,'Emissions factors'!$B$1528:$R$1542,4,FALSE)</f>
        <v>1.3830200000000001</v>
      </c>
      <c r="K74" s="465">
        <f>H74*G74</f>
        <v>0</v>
      </c>
      <c r="L74" s="465">
        <f>G74*I74</f>
        <v>0</v>
      </c>
      <c r="M74" s="210">
        <f>G74*J74</f>
        <v>0</v>
      </c>
      <c r="N74" s="222">
        <f>IF(OR(F74='Info utili'!$I$532,F74='Info utili'!$I$537),M74,0)</f>
        <v>0</v>
      </c>
      <c r="W74" s="42"/>
      <c r="X74" s="282">
        <f>VLOOKUP($B74,'Emissions factors'!$B$1528:$R$1542,17,FALSE)</f>
        <v>0.6</v>
      </c>
      <c r="Y74" s="190"/>
      <c r="Z74" s="221">
        <f>K74*SQRT(X74^2+Y74^2)</f>
        <v>0</v>
      </c>
      <c r="AA74" s="221">
        <f>L74*SQRT(X74^2+Y74^2)</f>
        <v>0</v>
      </c>
      <c r="AB74" s="221">
        <f>M74*SQRT(X74^2+Y74^2)</f>
        <v>0</v>
      </c>
      <c r="AC74" s="210">
        <f>SQRT(SUMSQ(Z74:AB74))</f>
        <v>0</v>
      </c>
      <c r="AD74" s="222">
        <f>N74*SQRT(X74^2+Y74^2)</f>
        <v>0</v>
      </c>
      <c r="AE74" s="42"/>
      <c r="AF74" s="190"/>
      <c r="AG74" s="221">
        <f t="shared" si="13"/>
        <v>0</v>
      </c>
      <c r="AH74" s="221">
        <f t="shared" si="13"/>
        <v>0</v>
      </c>
      <c r="AI74" s="221">
        <f t="shared" si="13"/>
        <v>0</v>
      </c>
      <c r="AJ74" s="210">
        <f>SUM(AG74:AI74)</f>
        <v>0</v>
      </c>
      <c r="AK74" s="221">
        <f>N74*$AF74</f>
        <v>0</v>
      </c>
      <c r="AL74" s="190"/>
      <c r="AM74" s="221">
        <f>AL74*K74</f>
        <v>0</v>
      </c>
      <c r="AN74" s="221">
        <f>AL74*L74</f>
        <v>0</v>
      </c>
      <c r="AO74" s="221">
        <f>AL74*M74</f>
        <v>0</v>
      </c>
      <c r="AP74" s="210">
        <f>SUM(AM74:AO74)</f>
        <v>0</v>
      </c>
      <c r="AQ74" s="222">
        <f>AL74*N74</f>
        <v>0</v>
      </c>
      <c r="AS74" s="717">
        <f>G74*VLOOKUP($B74,'Emissions factors'!$B$1528:$R$1542,5,FALSE)</f>
        <v>0</v>
      </c>
      <c r="AT74" s="718">
        <f>G74*VLOOKUP($B74,'Emissions factors'!$B$1528:$R$1542,6,FALSE)</f>
        <v>0</v>
      </c>
      <c r="AU74" s="718">
        <f>G74*VLOOKUP($B74,'Emissions factors'!$B$1528:$R$1542,7,FALSE)</f>
        <v>0</v>
      </c>
      <c r="AV74" s="718">
        <f>G74*VLOOKUP($B74,'Emissions factors'!$B$1528:$R$1542,8,FALSE)</f>
        <v>0</v>
      </c>
      <c r="AW74" s="718">
        <f>G74*VLOOKUP($B74,'Emissions factors'!$B$1528:$R$1542,9,FALSE)</f>
        <v>0</v>
      </c>
      <c r="AX74" s="718">
        <f>G74*VLOOKUP($B74,'Emissions factors'!$B$1528:$R$1542,10,FALSE)</f>
        <v>0</v>
      </c>
      <c r="AY74" s="718">
        <f>G74*VLOOKUP($B74,'Emissions factors'!$B$1528:$R$1542,11,FALSE)</f>
        <v>0</v>
      </c>
      <c r="AZ74" s="718">
        <f>G74*VLOOKUP($B74,'Emissions factors'!$B$1528:$R$1542,12,FALSE)</f>
        <v>0</v>
      </c>
      <c r="BA74" s="718">
        <f>G74*VLOOKUP($B74,'Emissions factors'!$B$1528:$R$1542,13,FALSE)</f>
        <v>0</v>
      </c>
      <c r="BB74" s="718">
        <v>0</v>
      </c>
      <c r="BC74" s="718">
        <v>0</v>
      </c>
      <c r="BD74" s="718">
        <v>0</v>
      </c>
      <c r="BE74" s="719">
        <f t="shared" si="14"/>
        <v>0</v>
      </c>
      <c r="BF74" s="719">
        <f t="shared" si="14"/>
        <v>0</v>
      </c>
      <c r="BG74" s="720">
        <f t="shared" si="14"/>
        <v>0</v>
      </c>
      <c r="BH74" s="717">
        <f>G74*VLOOKUP($B74,'Emissions factors'!$B$1528:$R$1542,14,FALSE)</f>
        <v>0</v>
      </c>
      <c r="BI74" s="718">
        <f>G74*VLOOKUP($B74,'Emissions factors'!$B$1528:$R$1542,15,FALSE)</f>
        <v>0</v>
      </c>
      <c r="BJ74" s="721">
        <f>G74*VLOOKUP($B74,'Emissions factors'!$B$1528:$R$1542,16,FALSE)</f>
        <v>0</v>
      </c>
    </row>
    <row r="75" spans="2:62" ht="12.75" customHeight="1" outlineLevel="1" x14ac:dyDescent="0.2">
      <c r="B75" s="200"/>
      <c r="C75" s="201"/>
      <c r="D75" s="275"/>
      <c r="E75" s="268"/>
      <c r="F75" s="214"/>
      <c r="G75" s="214"/>
      <c r="H75" s="214"/>
      <c r="I75" s="214"/>
      <c r="J75" s="214"/>
      <c r="K75" s="214"/>
      <c r="L75" s="465"/>
      <c r="M75" s="214"/>
      <c r="N75" s="466"/>
      <c r="W75" s="42"/>
      <c r="X75" s="220"/>
      <c r="Y75" s="221"/>
      <c r="Z75" s="201"/>
      <c r="AA75" s="201"/>
      <c r="AB75" s="201"/>
      <c r="AC75" s="210"/>
      <c r="AD75" s="211"/>
      <c r="AE75" s="42"/>
      <c r="AF75" s="480"/>
      <c r="AG75" s="221"/>
      <c r="AH75" s="221"/>
      <c r="AI75" s="221"/>
      <c r="AJ75" s="214"/>
      <c r="AK75" s="221"/>
      <c r="AL75" s="221"/>
      <c r="AM75" s="221"/>
      <c r="AN75" s="221"/>
      <c r="AO75" s="221"/>
      <c r="AP75" s="214"/>
      <c r="AQ75" s="222"/>
      <c r="AS75" s="717"/>
      <c r="AT75" s="718"/>
      <c r="AU75" s="718"/>
      <c r="AV75" s="718"/>
      <c r="AW75" s="718"/>
      <c r="AX75" s="718"/>
      <c r="AY75" s="718"/>
      <c r="AZ75" s="718"/>
      <c r="BA75" s="718"/>
      <c r="BB75" s="718"/>
      <c r="BC75" s="718"/>
      <c r="BD75" s="718"/>
      <c r="BE75" s="719"/>
      <c r="BF75" s="719"/>
      <c r="BG75" s="720"/>
      <c r="BH75" s="722"/>
      <c r="BI75" s="786"/>
      <c r="BJ75" s="723"/>
    </row>
    <row r="76" spans="2:62" ht="12.75" customHeight="1" outlineLevel="1" x14ac:dyDescent="0.2">
      <c r="B76" s="253" t="s">
        <v>2828</v>
      </c>
      <c r="C76" s="254"/>
      <c r="D76" s="264">
        <f>SUM(D72:D75)</f>
        <v>0</v>
      </c>
      <c r="E76" s="267">
        <f>SUM(E72:E75)</f>
        <v>0</v>
      </c>
      <c r="F76" s="254"/>
      <c r="G76" s="254"/>
      <c r="H76" s="254"/>
      <c r="I76" s="254"/>
      <c r="J76" s="254"/>
      <c r="K76" s="259">
        <f>SUM(K72:K75)</f>
        <v>0</v>
      </c>
      <c r="L76" s="259">
        <f>SUM(L72:L75)</f>
        <v>0</v>
      </c>
      <c r="M76" s="259">
        <f>SUM(M72:M75)</f>
        <v>0</v>
      </c>
      <c r="N76" s="428">
        <f>SUM(N72:N75)</f>
        <v>0</v>
      </c>
      <c r="W76" s="42"/>
      <c r="X76" s="550"/>
      <c r="Y76" s="260"/>
      <c r="Z76" s="260">
        <f>SQRT(SUMSQ(Z71:Z75))</f>
        <v>0</v>
      </c>
      <c r="AA76" s="260">
        <f>SQRT(SUMSQ(AA71:AA75))</f>
        <v>0</v>
      </c>
      <c r="AB76" s="260">
        <f>SQRT(SUMSQ(AB71:AB75))</f>
        <v>0</v>
      </c>
      <c r="AC76" s="259">
        <f>SQRT(SUMSQ(AC71:AC75))</f>
        <v>0</v>
      </c>
      <c r="AD76" s="428">
        <f>SQRT(SUMSQ(AD71:AD75))</f>
        <v>0</v>
      </c>
      <c r="AE76" s="42"/>
      <c r="AF76" s="489"/>
      <c r="AG76" s="260">
        <f>SUM(AG72:AG75)</f>
        <v>0</v>
      </c>
      <c r="AH76" s="260">
        <f>SUM(AH72:AH75)</f>
        <v>0</v>
      </c>
      <c r="AI76" s="260">
        <f>SUM(AI72:AI75)</f>
        <v>0</v>
      </c>
      <c r="AJ76" s="259">
        <f>SUM(AJ72:AJ75)</f>
        <v>0</v>
      </c>
      <c r="AK76" s="260">
        <f>SUM(AK72:AK75)</f>
        <v>0</v>
      </c>
      <c r="AL76" s="259"/>
      <c r="AM76" s="260">
        <f>SUM(AM72:AM75)</f>
        <v>0</v>
      </c>
      <c r="AN76" s="260">
        <f>SUM(AN72:AN75)</f>
        <v>0</v>
      </c>
      <c r="AO76" s="260">
        <f>SUM(AO72:AO75)</f>
        <v>0</v>
      </c>
      <c r="AP76" s="259">
        <f>SUM(AP72:AP75)</f>
        <v>0</v>
      </c>
      <c r="AQ76" s="428">
        <f>SUM(AQ72:AQ75)</f>
        <v>0</v>
      </c>
      <c r="AS76" s="724">
        <f t="shared" ref="AS76:BJ76" si="15">SUM(AS72:AS75)</f>
        <v>0</v>
      </c>
      <c r="AT76" s="725">
        <f t="shared" si="15"/>
        <v>0</v>
      </c>
      <c r="AU76" s="725">
        <f t="shared" si="15"/>
        <v>0</v>
      </c>
      <c r="AV76" s="725">
        <f t="shared" si="15"/>
        <v>0</v>
      </c>
      <c r="AW76" s="725">
        <f t="shared" si="15"/>
        <v>0</v>
      </c>
      <c r="AX76" s="725">
        <f t="shared" si="15"/>
        <v>0</v>
      </c>
      <c r="AY76" s="725">
        <f t="shared" si="15"/>
        <v>0</v>
      </c>
      <c r="AZ76" s="725">
        <f t="shared" si="15"/>
        <v>0</v>
      </c>
      <c r="BA76" s="725">
        <f t="shared" si="15"/>
        <v>0</v>
      </c>
      <c r="BB76" s="725">
        <f t="shared" si="15"/>
        <v>0</v>
      </c>
      <c r="BC76" s="725">
        <f t="shared" si="15"/>
        <v>0</v>
      </c>
      <c r="BD76" s="725">
        <f t="shared" si="15"/>
        <v>0</v>
      </c>
      <c r="BE76" s="726">
        <f t="shared" si="15"/>
        <v>0</v>
      </c>
      <c r="BF76" s="726">
        <f t="shared" si="15"/>
        <v>0</v>
      </c>
      <c r="BG76" s="727">
        <f t="shared" si="15"/>
        <v>0</v>
      </c>
      <c r="BH76" s="724">
        <f t="shared" si="15"/>
        <v>0</v>
      </c>
      <c r="BI76" s="725">
        <f t="shared" si="15"/>
        <v>0</v>
      </c>
      <c r="BJ76" s="728">
        <f t="shared" si="15"/>
        <v>0</v>
      </c>
    </row>
    <row r="77" spans="2:62" ht="12.75" customHeight="1" outlineLevel="1" x14ac:dyDescent="0.2">
      <c r="B77" s="316"/>
      <c r="C77" s="316"/>
      <c r="D77" s="316"/>
      <c r="E77" s="316"/>
      <c r="F77" s="316"/>
      <c r="G77" s="316"/>
      <c r="H77" s="316"/>
      <c r="I77" s="316"/>
      <c r="J77" s="316"/>
      <c r="K77" s="316"/>
      <c r="L77" s="42"/>
      <c r="AC77" s="330"/>
    </row>
    <row r="78" spans="2:62" ht="12.75" customHeight="1" outlineLevel="1" x14ac:dyDescent="0.2">
      <c r="B78" s="195" t="s">
        <v>2935</v>
      </c>
      <c r="C78" s="196"/>
      <c r="D78" s="196"/>
      <c r="E78" s="196"/>
      <c r="F78" s="196"/>
      <c r="G78" s="198"/>
      <c r="H78" s="196"/>
      <c r="I78" s="196"/>
      <c r="J78" s="196"/>
      <c r="K78" s="198"/>
      <c r="L78" s="198"/>
      <c r="M78" s="198"/>
      <c r="N78" s="199"/>
      <c r="W78" s="316"/>
      <c r="X78" s="1746" t="s">
        <v>723</v>
      </c>
      <c r="Y78" s="1747"/>
      <c r="Z78" s="1747"/>
      <c r="AA78" s="1747"/>
      <c r="AB78" s="1747"/>
      <c r="AC78" s="1747"/>
      <c r="AD78" s="1748"/>
      <c r="AF78" s="1746" t="s">
        <v>2066</v>
      </c>
      <c r="AG78" s="1747"/>
      <c r="AH78" s="1747"/>
      <c r="AI78" s="1747"/>
      <c r="AJ78" s="1747"/>
      <c r="AK78" s="1747"/>
      <c r="AL78" s="1747"/>
      <c r="AM78" s="1747"/>
      <c r="AN78" s="1747"/>
      <c r="AO78" s="1747"/>
      <c r="AP78" s="1747"/>
      <c r="AQ78" s="1748"/>
      <c r="AS78" s="1755" t="s">
        <v>2073</v>
      </c>
      <c r="AT78" s="1756"/>
      <c r="AU78" s="1756"/>
      <c r="AV78" s="1756"/>
      <c r="AW78" s="1756"/>
      <c r="AX78" s="1756"/>
      <c r="AY78" s="1756"/>
      <c r="AZ78" s="1756"/>
      <c r="BA78" s="1756"/>
      <c r="BB78" s="1756"/>
      <c r="BC78" s="1756"/>
      <c r="BD78" s="1756"/>
      <c r="BE78" s="1756"/>
      <c r="BF78" s="1756"/>
      <c r="BG78" s="1756"/>
      <c r="BH78" s="1756"/>
      <c r="BI78" s="1756"/>
      <c r="BJ78" s="1757"/>
    </row>
    <row r="79" spans="2:62" ht="12.75" customHeight="1" outlineLevel="1" x14ac:dyDescent="0.2">
      <c r="B79" s="417"/>
      <c r="C79" s="225"/>
      <c r="D79" s="503"/>
      <c r="E79" s="503"/>
      <c r="F79" s="201"/>
      <c r="G79" s="201"/>
      <c r="H79" s="201"/>
      <c r="I79" s="201"/>
      <c r="J79" s="201"/>
      <c r="K79" s="201"/>
      <c r="L79" s="1745" t="s">
        <v>2646</v>
      </c>
      <c r="M79" s="1745"/>
      <c r="N79" s="508" t="s">
        <v>2639</v>
      </c>
      <c r="W79" s="316"/>
      <c r="X79" s="507"/>
      <c r="Y79" s="504"/>
      <c r="Z79" s="504"/>
      <c r="AA79" s="504"/>
      <c r="AB79" s="504"/>
      <c r="AC79" s="504"/>
      <c r="AD79" s="508" t="s">
        <v>2639</v>
      </c>
      <c r="AE79" s="42"/>
      <c r="AF79" s="216"/>
      <c r="AG79" s="503"/>
      <c r="AH79" s="503"/>
      <c r="AI79" s="503"/>
      <c r="AJ79" s="504"/>
      <c r="AK79" s="504" t="s">
        <v>2639</v>
      </c>
      <c r="AL79" s="217"/>
      <c r="AM79" s="503"/>
      <c r="AN79" s="503"/>
      <c r="AO79" s="503"/>
      <c r="AP79" s="504"/>
      <c r="AQ79" s="508" t="s">
        <v>2639</v>
      </c>
      <c r="AS79" s="1758" t="s">
        <v>61</v>
      </c>
      <c r="AT79" s="1759"/>
      <c r="AU79" s="1759"/>
      <c r="AV79" s="1759"/>
      <c r="AW79" s="1759"/>
      <c r="AX79" s="1759"/>
      <c r="AY79" s="1759"/>
      <c r="AZ79" s="1759"/>
      <c r="BA79" s="1759"/>
      <c r="BB79" s="1759"/>
      <c r="BC79" s="1759"/>
      <c r="BD79" s="1759"/>
      <c r="BE79" s="1759" t="s">
        <v>61</v>
      </c>
      <c r="BF79" s="1759"/>
      <c r="BG79" s="1760"/>
      <c r="BH79" s="730"/>
      <c r="BI79" s="785"/>
      <c r="BJ79" s="731"/>
    </row>
    <row r="80" spans="2:62" ht="12.75" customHeight="1" outlineLevel="1" x14ac:dyDescent="0.2">
      <c r="B80" s="200"/>
      <c r="C80" s="201"/>
      <c r="D80" s="504" t="s">
        <v>56</v>
      </c>
      <c r="E80" s="504" t="s">
        <v>56</v>
      </c>
      <c r="F80" s="205" t="s">
        <v>2669</v>
      </c>
      <c r="G80" s="205"/>
      <c r="H80" s="1744" t="s">
        <v>1457</v>
      </c>
      <c r="I80" s="1745"/>
      <c r="J80" s="1745"/>
      <c r="K80" s="705" t="s">
        <v>61</v>
      </c>
      <c r="L80" s="503" t="s">
        <v>61</v>
      </c>
      <c r="M80" s="503" t="s">
        <v>61</v>
      </c>
      <c r="N80" s="508" t="s">
        <v>30</v>
      </c>
      <c r="W80" s="316"/>
      <c r="X80" s="1633" t="s">
        <v>2605</v>
      </c>
      <c r="Y80" s="504" t="s">
        <v>2110</v>
      </c>
      <c r="Z80" s="504" t="s">
        <v>61</v>
      </c>
      <c r="AA80" s="504" t="s">
        <v>61</v>
      </c>
      <c r="AB80" s="504" t="s">
        <v>61</v>
      </c>
      <c r="AC80" s="503" t="s">
        <v>61</v>
      </c>
      <c r="AD80" s="508" t="s">
        <v>30</v>
      </c>
      <c r="AE80" s="42"/>
      <c r="AF80" s="507" t="s">
        <v>2065</v>
      </c>
      <c r="AG80" s="504" t="s">
        <v>61</v>
      </c>
      <c r="AH80" s="504" t="s">
        <v>61</v>
      </c>
      <c r="AI80" s="504" t="s">
        <v>61</v>
      </c>
      <c r="AJ80" s="503" t="s">
        <v>61</v>
      </c>
      <c r="AK80" s="504" t="s">
        <v>30</v>
      </c>
      <c r="AL80" s="504" t="s">
        <v>2558</v>
      </c>
      <c r="AM80" s="504" t="s">
        <v>61</v>
      </c>
      <c r="AN80" s="504" t="s">
        <v>61</v>
      </c>
      <c r="AO80" s="504" t="s">
        <v>61</v>
      </c>
      <c r="AP80" s="503" t="s">
        <v>61</v>
      </c>
      <c r="AQ80" s="508" t="s">
        <v>30</v>
      </c>
      <c r="AS80" s="1764" t="s">
        <v>14</v>
      </c>
      <c r="AT80" s="1761"/>
      <c r="AU80" s="1761"/>
      <c r="AV80" s="1761" t="s">
        <v>60</v>
      </c>
      <c r="AW80" s="1761"/>
      <c r="AX80" s="1761"/>
      <c r="AY80" s="1761" t="s">
        <v>27</v>
      </c>
      <c r="AZ80" s="1761"/>
      <c r="BA80" s="1761"/>
      <c r="BB80" s="1761" t="s">
        <v>2074</v>
      </c>
      <c r="BC80" s="1761"/>
      <c r="BD80" s="1761"/>
      <c r="BE80" s="1762" t="s">
        <v>41</v>
      </c>
      <c r="BF80" s="1762"/>
      <c r="BG80" s="1763"/>
      <c r="BH80" s="1764" t="s">
        <v>85</v>
      </c>
      <c r="BI80" s="1761"/>
      <c r="BJ80" s="1765"/>
    </row>
    <row r="81" spans="2:62" ht="12.75" customHeight="1" outlineLevel="1" x14ac:dyDescent="0.2">
      <c r="B81" s="200"/>
      <c r="C81" s="201"/>
      <c r="D81" s="504" t="s">
        <v>61</v>
      </c>
      <c r="E81" s="504" t="s">
        <v>63</v>
      </c>
      <c r="F81" s="208" t="s">
        <v>2054</v>
      </c>
      <c r="G81" s="208" t="s">
        <v>2676</v>
      </c>
      <c r="H81" s="708" t="s">
        <v>1279</v>
      </c>
      <c r="I81" s="708" t="s">
        <v>768</v>
      </c>
      <c r="J81" s="708" t="s">
        <v>24</v>
      </c>
      <c r="K81" s="707" t="s">
        <v>1279</v>
      </c>
      <c r="L81" s="505" t="s">
        <v>768</v>
      </c>
      <c r="M81" s="505" t="s">
        <v>24</v>
      </c>
      <c r="N81" s="508" t="s">
        <v>61</v>
      </c>
      <c r="W81" s="316"/>
      <c r="X81" s="1633" t="s">
        <v>2109</v>
      </c>
      <c r="Y81" s="504"/>
      <c r="Z81" s="506" t="s">
        <v>1279</v>
      </c>
      <c r="AA81" s="506" t="s">
        <v>768</v>
      </c>
      <c r="AB81" s="506" t="s">
        <v>24</v>
      </c>
      <c r="AC81" s="223" t="s">
        <v>41</v>
      </c>
      <c r="AD81" s="508" t="s">
        <v>61</v>
      </c>
      <c r="AE81" s="42"/>
      <c r="AF81" s="507"/>
      <c r="AG81" s="506" t="s">
        <v>1279</v>
      </c>
      <c r="AH81" s="506" t="s">
        <v>768</v>
      </c>
      <c r="AI81" s="506" t="s">
        <v>24</v>
      </c>
      <c r="AJ81" s="223" t="s">
        <v>41</v>
      </c>
      <c r="AK81" s="504" t="s">
        <v>61</v>
      </c>
      <c r="AL81" s="504"/>
      <c r="AM81" s="506" t="s">
        <v>1279</v>
      </c>
      <c r="AN81" s="506" t="s">
        <v>768</v>
      </c>
      <c r="AO81" s="506" t="s">
        <v>24</v>
      </c>
      <c r="AP81" s="223" t="s">
        <v>41</v>
      </c>
      <c r="AQ81" s="508" t="s">
        <v>61</v>
      </c>
      <c r="AS81" s="732" t="s">
        <v>1279</v>
      </c>
      <c r="AT81" s="733" t="s">
        <v>768</v>
      </c>
      <c r="AU81" s="733" t="s">
        <v>24</v>
      </c>
      <c r="AV81" s="733" t="s">
        <v>1279</v>
      </c>
      <c r="AW81" s="733" t="s">
        <v>768</v>
      </c>
      <c r="AX81" s="733" t="s">
        <v>24</v>
      </c>
      <c r="AY81" s="733" t="s">
        <v>1279</v>
      </c>
      <c r="AZ81" s="733" t="s">
        <v>768</v>
      </c>
      <c r="BA81" s="733" t="s">
        <v>24</v>
      </c>
      <c r="BB81" s="733" t="s">
        <v>1279</v>
      </c>
      <c r="BC81" s="733" t="s">
        <v>768</v>
      </c>
      <c r="BD81" s="733" t="s">
        <v>24</v>
      </c>
      <c r="BE81" s="734" t="s">
        <v>1279</v>
      </c>
      <c r="BF81" s="734" t="s">
        <v>768</v>
      </c>
      <c r="BG81" s="735" t="s">
        <v>24</v>
      </c>
      <c r="BH81" s="732" t="s">
        <v>1279</v>
      </c>
      <c r="BI81" s="733" t="s">
        <v>768</v>
      </c>
      <c r="BJ81" s="736" t="s">
        <v>24</v>
      </c>
    </row>
    <row r="82" spans="2:62" ht="12.75" customHeight="1" outlineLevel="1" x14ac:dyDescent="0.2">
      <c r="B82" s="200" t="s">
        <v>1460</v>
      </c>
      <c r="C82" s="201"/>
      <c r="D82" s="262">
        <f>SUM(K82:M82)</f>
        <v>0</v>
      </c>
      <c r="E82" s="265">
        <f>D82*12/44</f>
        <v>0</v>
      </c>
      <c r="F82" s="559"/>
      <c r="G82" s="182"/>
      <c r="H82" s="493">
        <f>VLOOKUP($B82,'Emissions factors'!$B$1547:$R$1561,2,FALSE)</f>
        <v>0</v>
      </c>
      <c r="I82" s="493">
        <f>VLOOKUP($B82,'Emissions factors'!$B$1547:$R$1561,3,FALSE)</f>
        <v>3.721E-2</v>
      </c>
      <c r="J82" s="493">
        <f>VLOOKUP($B82,'Emissions factors'!$B$1547:$R$1561,4,FALSE)</f>
        <v>0.14426099999999997</v>
      </c>
      <c r="K82" s="465">
        <f>H82*G82</f>
        <v>0</v>
      </c>
      <c r="L82" s="465">
        <f>G82*I82</f>
        <v>0</v>
      </c>
      <c r="M82" s="210">
        <f>G82*J82</f>
        <v>0</v>
      </c>
      <c r="N82" s="222">
        <f>IF(OR(F82='Info utili'!$I$532,F82='Info utili'!$I$537),M82,0)</f>
        <v>0</v>
      </c>
      <c r="W82" s="316"/>
      <c r="X82" s="282">
        <f>VLOOKUP($B82,'Emissions factors'!$B$1547:$R$1561,17,FALSE)</f>
        <v>0.6</v>
      </c>
      <c r="Y82" s="184"/>
      <c r="Z82" s="221">
        <f>K82*SQRT(X82^2+Y82^2)</f>
        <v>0</v>
      </c>
      <c r="AA82" s="221">
        <f>L82*SQRT(X82^2+Y82^2)</f>
        <v>0</v>
      </c>
      <c r="AB82" s="221">
        <f>M82*SQRT(X82^2+Y82^2)</f>
        <v>0</v>
      </c>
      <c r="AC82" s="210">
        <f>SQRT(SUMSQ(Z82:AB82))</f>
        <v>0</v>
      </c>
      <c r="AD82" s="222">
        <f>N82*SQRT(X82^2+Y82^2)</f>
        <v>0</v>
      </c>
      <c r="AF82" s="184"/>
      <c r="AG82" s="221">
        <f t="shared" ref="AG82:AI84" si="16">K82*$AF82</f>
        <v>0</v>
      </c>
      <c r="AH82" s="221">
        <f t="shared" si="16"/>
        <v>0</v>
      </c>
      <c r="AI82" s="221">
        <f t="shared" si="16"/>
        <v>0</v>
      </c>
      <c r="AJ82" s="210">
        <f>SUM(AG82:AI82)</f>
        <v>0</v>
      </c>
      <c r="AK82" s="221">
        <f>N82*AF82</f>
        <v>0</v>
      </c>
      <c r="AL82" s="184"/>
      <c r="AM82" s="221">
        <f>AL82*K82</f>
        <v>0</v>
      </c>
      <c r="AN82" s="221">
        <f>AL82*L82</f>
        <v>0</v>
      </c>
      <c r="AO82" s="221">
        <f>AL82*M82</f>
        <v>0</v>
      </c>
      <c r="AP82" s="210">
        <f>SUM(AM82:AO82)</f>
        <v>0</v>
      </c>
      <c r="AQ82" s="222">
        <f>AL82*N82</f>
        <v>0</v>
      </c>
      <c r="AS82" s="717">
        <f>G82*VLOOKUP($B82,'Emissions factors'!$B$1547:$R$1561,5,FALSE)</f>
        <v>0</v>
      </c>
      <c r="AT82" s="718">
        <f>G82*VLOOKUP($B82,'Emissions factors'!$B$1547:$R$1561,6,FALSE)</f>
        <v>0</v>
      </c>
      <c r="AU82" s="718">
        <f>G82*VLOOKUP($B82,'Emissions factors'!$B$1547:$R$1561,7,FALSE)</f>
        <v>0</v>
      </c>
      <c r="AV82" s="718">
        <f>G82*VLOOKUP($B82,'Emissions factors'!$B$1547:$R$1561,8,FALSE)</f>
        <v>0</v>
      </c>
      <c r="AW82" s="718">
        <f>G82*VLOOKUP($B82,'Emissions factors'!$B$1547:$R$1561,9,FALSE)</f>
        <v>0</v>
      </c>
      <c r="AX82" s="718">
        <f>G82*VLOOKUP($B82,'Emissions factors'!$B$1547:$R$1561,10,FALSE)</f>
        <v>0</v>
      </c>
      <c r="AY82" s="718">
        <f>G82*VLOOKUP($B82,'Emissions factors'!$B$1547:$R$1561,11,FALSE)</f>
        <v>0</v>
      </c>
      <c r="AZ82" s="718">
        <f>G82*VLOOKUP($B82,'Emissions factors'!$B$1547:$R$1561,12,FALSE)</f>
        <v>0</v>
      </c>
      <c r="BA82" s="718">
        <f>G82*VLOOKUP($B82,'Emissions factors'!$B$1547:$R$1561,13,FALSE)</f>
        <v>0</v>
      </c>
      <c r="BB82" s="718">
        <v>0</v>
      </c>
      <c r="BC82" s="718">
        <v>0</v>
      </c>
      <c r="BD82" s="718">
        <v>0</v>
      </c>
      <c r="BE82" s="719">
        <f t="shared" ref="BE82:BG84" si="17">K82</f>
        <v>0</v>
      </c>
      <c r="BF82" s="719">
        <f t="shared" si="17"/>
        <v>0</v>
      </c>
      <c r="BG82" s="720">
        <f t="shared" si="17"/>
        <v>0</v>
      </c>
      <c r="BH82" s="717">
        <f>G82*VLOOKUP($B82,'Emissions factors'!$B$1547:$R$1561,14,FALSE)</f>
        <v>0</v>
      </c>
      <c r="BI82" s="718">
        <f>G82*VLOOKUP($B82,'Emissions factors'!$B$1547:$R$1561,15,FALSE)</f>
        <v>0</v>
      </c>
      <c r="BJ82" s="721">
        <f>G82*VLOOKUP($B82,'Emissions factors'!$B$1547:$R$1561,16,FALSE)</f>
        <v>0</v>
      </c>
    </row>
    <row r="83" spans="2:62" ht="12.75" customHeight="1" outlineLevel="1" x14ac:dyDescent="0.2">
      <c r="B83" s="200" t="s">
        <v>1461</v>
      </c>
      <c r="C83" s="201"/>
      <c r="D83" s="262">
        <f>SUM(K83:M83)</f>
        <v>0</v>
      </c>
      <c r="E83" s="265">
        <f>D83*12/44</f>
        <v>0</v>
      </c>
      <c r="F83" s="442"/>
      <c r="G83" s="185"/>
      <c r="H83" s="493">
        <f>VLOOKUP($B83,'Emissions factors'!$B$1547:$R$1561,2,FALSE)</f>
        <v>0</v>
      </c>
      <c r="I83" s="493">
        <f>VLOOKUP($B83,'Emissions factors'!$B$1547:$R$1561,3,FALSE)</f>
        <v>3.3820000000000003E-2</v>
      </c>
      <c r="J83" s="493">
        <f>VLOOKUP($B83,'Emissions factors'!$B$1547:$R$1561,4,FALSE)</f>
        <v>0.13321300000000003</v>
      </c>
      <c r="K83" s="465">
        <f>H83*G83</f>
        <v>0</v>
      </c>
      <c r="L83" s="465">
        <f>G83*I83</f>
        <v>0</v>
      </c>
      <c r="M83" s="210">
        <f>G83*J83</f>
        <v>0</v>
      </c>
      <c r="N83" s="222">
        <f>IF(OR(F83='Info utili'!$I$532,F83='Info utili'!$I$537),M83,0)</f>
        <v>0</v>
      </c>
      <c r="W83" s="316"/>
      <c r="X83" s="282">
        <f>VLOOKUP($B83,'Emissions factors'!$B$1547:$R$1561,17,FALSE)</f>
        <v>0.6</v>
      </c>
      <c r="Y83" s="187"/>
      <c r="Z83" s="221">
        <f>K83*SQRT(X83^2+Y83^2)</f>
        <v>0</v>
      </c>
      <c r="AA83" s="221">
        <f>L83*SQRT(X83^2+Y83^2)</f>
        <v>0</v>
      </c>
      <c r="AB83" s="221">
        <f>M83*SQRT(X83^2+Y83^2)</f>
        <v>0</v>
      </c>
      <c r="AC83" s="210">
        <f>SQRT(SUMSQ(Z83:AB83))</f>
        <v>0</v>
      </c>
      <c r="AD83" s="222">
        <f>N83*SQRT(X83^2+Y83^2)</f>
        <v>0</v>
      </c>
      <c r="AF83" s="187"/>
      <c r="AG83" s="221">
        <f t="shared" si="16"/>
        <v>0</v>
      </c>
      <c r="AH83" s="221">
        <f t="shared" si="16"/>
        <v>0</v>
      </c>
      <c r="AI83" s="221">
        <f t="shared" si="16"/>
        <v>0</v>
      </c>
      <c r="AJ83" s="210">
        <f>SUM(AG83:AI83)</f>
        <v>0</v>
      </c>
      <c r="AK83" s="221">
        <f>N83*AF83</f>
        <v>0</v>
      </c>
      <c r="AL83" s="187"/>
      <c r="AM83" s="221">
        <f>AL83*K83</f>
        <v>0</v>
      </c>
      <c r="AN83" s="221">
        <f>AL83*L83</f>
        <v>0</v>
      </c>
      <c r="AO83" s="221">
        <f>AL83*M83</f>
        <v>0</v>
      </c>
      <c r="AP83" s="210">
        <f>SUM(AM83:AO83)</f>
        <v>0</v>
      </c>
      <c r="AQ83" s="222">
        <f>AL83*N83</f>
        <v>0</v>
      </c>
      <c r="AS83" s="717">
        <f>G83*VLOOKUP($B83,'Emissions factors'!$B$1547:$R$1561,5,FALSE)</f>
        <v>0</v>
      </c>
      <c r="AT83" s="718">
        <f>G83*VLOOKUP($B83,'Emissions factors'!$B$1547:$R$1561,6,FALSE)</f>
        <v>0</v>
      </c>
      <c r="AU83" s="718">
        <f>G83*VLOOKUP($B83,'Emissions factors'!$B$1547:$R$1561,7,FALSE)</f>
        <v>0</v>
      </c>
      <c r="AV83" s="718">
        <f>G83*VLOOKUP($B83,'Emissions factors'!$B$1547:$R$1561,8,FALSE)</f>
        <v>0</v>
      </c>
      <c r="AW83" s="718">
        <f>G83*VLOOKUP($B83,'Emissions factors'!$B$1547:$R$1561,9,FALSE)</f>
        <v>0</v>
      </c>
      <c r="AX83" s="718">
        <f>G83*VLOOKUP($B83,'Emissions factors'!$B$1547:$R$1561,10,FALSE)</f>
        <v>0</v>
      </c>
      <c r="AY83" s="718">
        <f>G83*VLOOKUP($B83,'Emissions factors'!$B$1547:$R$1561,11,FALSE)</f>
        <v>0</v>
      </c>
      <c r="AZ83" s="718">
        <f>G83*VLOOKUP($B83,'Emissions factors'!$B$1547:$R$1561,12,FALSE)</f>
        <v>0</v>
      </c>
      <c r="BA83" s="718">
        <f>G83*VLOOKUP($B83,'Emissions factors'!$B$1547:$R$1561,13,FALSE)</f>
        <v>0</v>
      </c>
      <c r="BB83" s="718">
        <v>0</v>
      </c>
      <c r="BC83" s="718">
        <v>0</v>
      </c>
      <c r="BD83" s="718">
        <v>0</v>
      </c>
      <c r="BE83" s="719">
        <f t="shared" si="17"/>
        <v>0</v>
      </c>
      <c r="BF83" s="719">
        <f t="shared" si="17"/>
        <v>0</v>
      </c>
      <c r="BG83" s="720">
        <f t="shared" si="17"/>
        <v>0</v>
      </c>
      <c r="BH83" s="717">
        <f>G83*VLOOKUP($B83,'Emissions factors'!$B$1547:$R$1561,14,FALSE)</f>
        <v>0</v>
      </c>
      <c r="BI83" s="718">
        <f>G83*VLOOKUP($B83,'Emissions factors'!$B$1547:$R$1561,15,FALSE)</f>
        <v>0</v>
      </c>
      <c r="BJ83" s="721">
        <f>G83*VLOOKUP($B83,'Emissions factors'!$B$1547:$R$1561,16,FALSE)</f>
        <v>0</v>
      </c>
    </row>
    <row r="84" spans="2:62" ht="12.75" customHeight="1" outlineLevel="1" x14ac:dyDescent="0.2">
      <c r="B84" s="200" t="s">
        <v>1462</v>
      </c>
      <c r="C84" s="201"/>
      <c r="D84" s="262">
        <f>SUM(K84:M84)</f>
        <v>0</v>
      </c>
      <c r="E84" s="265">
        <f>D84*12/44</f>
        <v>0</v>
      </c>
      <c r="F84" s="443"/>
      <c r="G84" s="188"/>
      <c r="H84" s="493">
        <f>VLOOKUP($B84,'Emissions factors'!$B$1547:$R$1561,2,FALSE)</f>
        <v>0</v>
      </c>
      <c r="I84" s="493">
        <f>VLOOKUP($B84,'Emissions factors'!$B$1547:$R$1561,3,FALSE)</f>
        <v>3.1E-2</v>
      </c>
      <c r="J84" s="493">
        <f>VLOOKUP($B84,'Emissions factors'!$B$1547:$R$1561,4,FALSE)</f>
        <v>0.12315960000000001</v>
      </c>
      <c r="K84" s="465">
        <f>H84*G84</f>
        <v>0</v>
      </c>
      <c r="L84" s="465">
        <f>G84*I84</f>
        <v>0</v>
      </c>
      <c r="M84" s="210">
        <f>G84*J84</f>
        <v>0</v>
      </c>
      <c r="N84" s="222">
        <f>IF(OR(F84='Info utili'!$I$532,F84='Info utili'!$I$537),M84,0)</f>
        <v>0</v>
      </c>
      <c r="W84" s="316"/>
      <c r="X84" s="282">
        <f>VLOOKUP($B84,'Emissions factors'!$B$1547:$R$1561,17,FALSE)</f>
        <v>0.6</v>
      </c>
      <c r="Y84" s="190"/>
      <c r="Z84" s="221">
        <f>K84*SQRT(X84^2+Y84^2)</f>
        <v>0</v>
      </c>
      <c r="AA84" s="221">
        <f>L84*SQRT(X84^2+Y84^2)</f>
        <v>0</v>
      </c>
      <c r="AB84" s="221">
        <f>M84*SQRT(X84^2+Y84^2)</f>
        <v>0</v>
      </c>
      <c r="AC84" s="210">
        <f>SQRT(SUMSQ(Z84:AB84))</f>
        <v>0</v>
      </c>
      <c r="AD84" s="222">
        <f>N84*SQRT(X84^2+Y84^2)</f>
        <v>0</v>
      </c>
      <c r="AF84" s="190"/>
      <c r="AG84" s="221">
        <f t="shared" si="16"/>
        <v>0</v>
      </c>
      <c r="AH84" s="221">
        <f t="shared" si="16"/>
        <v>0</v>
      </c>
      <c r="AI84" s="221">
        <f t="shared" si="16"/>
        <v>0</v>
      </c>
      <c r="AJ84" s="210">
        <f>SUM(AG84:AI84)</f>
        <v>0</v>
      </c>
      <c r="AK84" s="221">
        <f>N84*AF84</f>
        <v>0</v>
      </c>
      <c r="AL84" s="190"/>
      <c r="AM84" s="221">
        <f>AL84*K84</f>
        <v>0</v>
      </c>
      <c r="AN84" s="221">
        <f>AL84*L84</f>
        <v>0</v>
      </c>
      <c r="AO84" s="221">
        <f>AL84*M84</f>
        <v>0</v>
      </c>
      <c r="AP84" s="210">
        <f>SUM(AM84:AO84)</f>
        <v>0</v>
      </c>
      <c r="AQ84" s="222">
        <f>AL84*N84</f>
        <v>0</v>
      </c>
      <c r="AS84" s="717">
        <f>G84*VLOOKUP($B84,'Emissions factors'!$B$1547:$R$1561,5,FALSE)</f>
        <v>0</v>
      </c>
      <c r="AT84" s="718">
        <f>G84*VLOOKUP($B84,'Emissions factors'!$B$1547:$R$1561,6,FALSE)</f>
        <v>0</v>
      </c>
      <c r="AU84" s="718">
        <f>G84*VLOOKUP($B84,'Emissions factors'!$B$1547:$R$1561,7,FALSE)</f>
        <v>0</v>
      </c>
      <c r="AV84" s="718">
        <f>G84*VLOOKUP($B84,'Emissions factors'!$B$1547:$R$1561,8,FALSE)</f>
        <v>0</v>
      </c>
      <c r="AW84" s="718">
        <f>G84*VLOOKUP($B84,'Emissions factors'!$B$1547:$R$1561,9,FALSE)</f>
        <v>0</v>
      </c>
      <c r="AX84" s="718">
        <f>G84*VLOOKUP($B84,'Emissions factors'!$B$1547:$R$1561,10,FALSE)</f>
        <v>0</v>
      </c>
      <c r="AY84" s="718">
        <f>G84*VLOOKUP($B84,'Emissions factors'!$B$1547:$R$1561,11,FALSE)</f>
        <v>0</v>
      </c>
      <c r="AZ84" s="718">
        <f>G84*VLOOKUP($B84,'Emissions factors'!$B$1547:$R$1561,12,FALSE)</f>
        <v>0</v>
      </c>
      <c r="BA84" s="718">
        <f>G84*VLOOKUP($B84,'Emissions factors'!$B$1547:$R$1561,13,FALSE)</f>
        <v>0</v>
      </c>
      <c r="BB84" s="718">
        <v>0</v>
      </c>
      <c r="BC84" s="718">
        <v>0</v>
      </c>
      <c r="BD84" s="718">
        <v>0</v>
      </c>
      <c r="BE84" s="719">
        <f t="shared" si="17"/>
        <v>0</v>
      </c>
      <c r="BF84" s="719">
        <f t="shared" si="17"/>
        <v>0</v>
      </c>
      <c r="BG84" s="720">
        <f t="shared" si="17"/>
        <v>0</v>
      </c>
      <c r="BH84" s="717">
        <f>G84*VLOOKUP($B84,'Emissions factors'!$B$1547:$R$1561,14,FALSE)</f>
        <v>0</v>
      </c>
      <c r="BI84" s="718">
        <f>G84*VLOOKUP($B84,'Emissions factors'!$B$1547:$R$1561,15,FALSE)</f>
        <v>0</v>
      </c>
      <c r="BJ84" s="721">
        <f>G84*VLOOKUP($B84,'Emissions factors'!$B$1547:$R$1561,16,FALSE)</f>
        <v>0</v>
      </c>
    </row>
    <row r="85" spans="2:62" ht="12.75" customHeight="1" outlineLevel="1" x14ac:dyDescent="0.2">
      <c r="B85" s="200"/>
      <c r="C85" s="201"/>
      <c r="D85" s="275"/>
      <c r="E85" s="268"/>
      <c r="F85" s="201"/>
      <c r="G85" s="201"/>
      <c r="H85" s="201"/>
      <c r="I85" s="201"/>
      <c r="J85" s="201"/>
      <c r="K85" s="201"/>
      <c r="L85" s="201"/>
      <c r="M85" s="221"/>
      <c r="N85" s="466"/>
      <c r="W85" s="316"/>
      <c r="X85" s="200"/>
      <c r="Y85" s="221"/>
      <c r="Z85" s="201"/>
      <c r="AA85" s="201"/>
      <c r="AB85" s="201"/>
      <c r="AC85" s="210"/>
      <c r="AD85" s="211"/>
      <c r="AF85" s="480"/>
      <c r="AG85" s="221"/>
      <c r="AH85" s="221"/>
      <c r="AI85" s="221"/>
      <c r="AJ85" s="214"/>
      <c r="AK85" s="221"/>
      <c r="AL85" s="221"/>
      <c r="AM85" s="221"/>
      <c r="AN85" s="221"/>
      <c r="AO85" s="221"/>
      <c r="AP85" s="214"/>
      <c r="AQ85" s="222"/>
      <c r="AS85" s="717"/>
      <c r="AT85" s="718"/>
      <c r="AU85" s="718"/>
      <c r="AV85" s="718"/>
      <c r="AW85" s="718"/>
      <c r="AX85" s="718"/>
      <c r="AY85" s="718"/>
      <c r="AZ85" s="718"/>
      <c r="BA85" s="718"/>
      <c r="BB85" s="718"/>
      <c r="BC85" s="718"/>
      <c r="BD85" s="718"/>
      <c r="BE85" s="719"/>
      <c r="BF85" s="719"/>
      <c r="BG85" s="720"/>
      <c r="BH85" s="722"/>
      <c r="BI85" s="786"/>
      <c r="BJ85" s="723"/>
    </row>
    <row r="86" spans="2:62" ht="12.75" customHeight="1" outlineLevel="1" x14ac:dyDescent="0.2">
      <c r="B86" s="253" t="s">
        <v>2828</v>
      </c>
      <c r="C86" s="254"/>
      <c r="D86" s="264">
        <f>SUM(D82:D85)</f>
        <v>0</v>
      </c>
      <c r="E86" s="267">
        <f>SUM(E82:E85)</f>
        <v>0</v>
      </c>
      <c r="F86" s="254"/>
      <c r="G86" s="254"/>
      <c r="H86" s="254"/>
      <c r="I86" s="254"/>
      <c r="J86" s="254"/>
      <c r="K86" s="259">
        <f>SUM(K82:K85)</f>
        <v>0</v>
      </c>
      <c r="L86" s="259">
        <f>SUM(L82:L85)</f>
        <v>0</v>
      </c>
      <c r="M86" s="259">
        <f>SUM(M82:M85)</f>
        <v>0</v>
      </c>
      <c r="N86" s="428">
        <f>SUM(N82:N85)</f>
        <v>0</v>
      </c>
      <c r="W86" s="316"/>
      <c r="X86" s="258"/>
      <c r="Y86" s="260"/>
      <c r="Z86" s="260">
        <f>SQRT(SUMSQ(Z81:Z85))</f>
        <v>0</v>
      </c>
      <c r="AA86" s="260">
        <f>SQRT(SUMSQ(AA81:AA85))</f>
        <v>0</v>
      </c>
      <c r="AB86" s="260">
        <f>SQRT(SUMSQ(AB81:AB85))</f>
        <v>0</v>
      </c>
      <c r="AC86" s="259">
        <f>SQRT(SUMSQ(AC81:AC85))</f>
        <v>0</v>
      </c>
      <c r="AD86" s="428">
        <f>SQRT(SUMSQ(AD81:AD85))</f>
        <v>0</v>
      </c>
      <c r="AF86" s="489"/>
      <c r="AG86" s="260">
        <f>SUM(AG82:AG85)</f>
        <v>0</v>
      </c>
      <c r="AH86" s="260">
        <f>SUM(AH82:AH85)</f>
        <v>0</v>
      </c>
      <c r="AI86" s="260">
        <f>SUM(AI82:AI85)</f>
        <v>0</v>
      </c>
      <c r="AJ86" s="259">
        <f>SUM(AJ82:AJ85)</f>
        <v>0</v>
      </c>
      <c r="AK86" s="260">
        <f>SUM(AK82:AK85)</f>
        <v>0</v>
      </c>
      <c r="AL86" s="259"/>
      <c r="AM86" s="260">
        <f>SUM(AM82:AM85)</f>
        <v>0</v>
      </c>
      <c r="AN86" s="260">
        <f>SUM(AN82:AN85)</f>
        <v>0</v>
      </c>
      <c r="AO86" s="260">
        <f>SUM(AO82:AO85)</f>
        <v>0</v>
      </c>
      <c r="AP86" s="259">
        <f>SUM(AP82:AP85)</f>
        <v>0</v>
      </c>
      <c r="AQ86" s="428">
        <f>SUM(AQ82:AQ85)</f>
        <v>0</v>
      </c>
      <c r="AS86" s="724">
        <f t="shared" ref="AS86:BJ86" si="18">SUM(AS82:AS85)</f>
        <v>0</v>
      </c>
      <c r="AT86" s="725">
        <f t="shared" si="18"/>
        <v>0</v>
      </c>
      <c r="AU86" s="725">
        <f t="shared" si="18"/>
        <v>0</v>
      </c>
      <c r="AV86" s="725">
        <f t="shared" si="18"/>
        <v>0</v>
      </c>
      <c r="AW86" s="725">
        <f t="shared" si="18"/>
        <v>0</v>
      </c>
      <c r="AX86" s="725">
        <f t="shared" si="18"/>
        <v>0</v>
      </c>
      <c r="AY86" s="725">
        <f t="shared" si="18"/>
        <v>0</v>
      </c>
      <c r="AZ86" s="725">
        <f t="shared" si="18"/>
        <v>0</v>
      </c>
      <c r="BA86" s="725">
        <f t="shared" si="18"/>
        <v>0</v>
      </c>
      <c r="BB86" s="725">
        <f t="shared" si="18"/>
        <v>0</v>
      </c>
      <c r="BC86" s="725">
        <f t="shared" si="18"/>
        <v>0</v>
      </c>
      <c r="BD86" s="725">
        <f t="shared" si="18"/>
        <v>0</v>
      </c>
      <c r="BE86" s="726">
        <f t="shared" si="18"/>
        <v>0</v>
      </c>
      <c r="BF86" s="726">
        <f t="shared" si="18"/>
        <v>0</v>
      </c>
      <c r="BG86" s="727">
        <f t="shared" si="18"/>
        <v>0</v>
      </c>
      <c r="BH86" s="724">
        <f t="shared" si="18"/>
        <v>0</v>
      </c>
      <c r="BI86" s="725">
        <f t="shared" si="18"/>
        <v>0</v>
      </c>
      <c r="BJ86" s="728">
        <f t="shared" si="18"/>
        <v>0</v>
      </c>
    </row>
    <row r="87" spans="2:62" ht="12.75" customHeight="1" outlineLevel="1" x14ac:dyDescent="0.2">
      <c r="B87" s="316"/>
      <c r="C87" s="316"/>
      <c r="D87" s="316"/>
      <c r="E87" s="316"/>
      <c r="F87" s="316"/>
      <c r="G87" s="316"/>
      <c r="H87" s="316"/>
      <c r="I87" s="316"/>
      <c r="J87" s="316"/>
      <c r="K87" s="316"/>
      <c r="L87" s="42"/>
      <c r="AC87" s="330"/>
    </row>
    <row r="88" spans="2:62" ht="28" outlineLevel="1" x14ac:dyDescent="0.2">
      <c r="B88" s="1656" t="s">
        <v>2936</v>
      </c>
      <c r="C88" s="196"/>
      <c r="D88" s="196"/>
      <c r="E88" s="196"/>
      <c r="F88" s="198"/>
      <c r="G88" s="198"/>
      <c r="H88" s="198"/>
      <c r="I88" s="198"/>
      <c r="J88" s="198"/>
      <c r="K88" s="198"/>
      <c r="L88" s="198"/>
      <c r="M88" s="198"/>
      <c r="N88" s="198"/>
      <c r="O88" s="500"/>
      <c r="P88" s="500"/>
      <c r="Q88" s="218"/>
      <c r="R88" s="42"/>
      <c r="X88" s="1746" t="s">
        <v>723</v>
      </c>
      <c r="Y88" s="1747"/>
      <c r="Z88" s="1747"/>
      <c r="AA88" s="1747"/>
      <c r="AB88" s="1747"/>
      <c r="AC88" s="1747"/>
      <c r="AD88" s="1748"/>
      <c r="AF88" s="1746" t="s">
        <v>2066</v>
      </c>
      <c r="AG88" s="1747"/>
      <c r="AH88" s="1747"/>
      <c r="AI88" s="1747"/>
      <c r="AJ88" s="1747"/>
      <c r="AK88" s="1747"/>
      <c r="AL88" s="1747"/>
      <c r="AM88" s="1747"/>
      <c r="AN88" s="1747"/>
      <c r="AO88" s="1747"/>
      <c r="AP88" s="1747"/>
      <c r="AQ88" s="1748"/>
      <c r="AS88" s="1755" t="s">
        <v>2073</v>
      </c>
      <c r="AT88" s="1756"/>
      <c r="AU88" s="1756"/>
      <c r="AV88" s="1756"/>
      <c r="AW88" s="1756"/>
      <c r="AX88" s="1756"/>
      <c r="AY88" s="1756"/>
      <c r="AZ88" s="1756"/>
      <c r="BA88" s="1756"/>
      <c r="BB88" s="1756"/>
      <c r="BC88" s="1756"/>
      <c r="BD88" s="1756"/>
      <c r="BE88" s="1756"/>
      <c r="BF88" s="1756"/>
      <c r="BG88" s="1756"/>
      <c r="BH88" s="1756"/>
      <c r="BI88" s="1756"/>
      <c r="BJ88" s="1757"/>
    </row>
    <row r="89" spans="2:62" outlineLevel="1" x14ac:dyDescent="0.2">
      <c r="B89" s="417"/>
      <c r="C89" s="225"/>
      <c r="D89" s="503" t="s">
        <v>2052</v>
      </c>
      <c r="E89" s="503" t="s">
        <v>2052</v>
      </c>
      <c r="F89" s="201"/>
      <c r="G89" s="201"/>
      <c r="H89" s="201"/>
      <c r="I89" s="201"/>
      <c r="J89" s="201"/>
      <c r="K89" s="201"/>
      <c r="L89" s="201"/>
      <c r="M89" s="201"/>
      <c r="N89" s="201"/>
      <c r="O89" s="1745" t="s">
        <v>2646</v>
      </c>
      <c r="P89" s="1745"/>
      <c r="Q89" s="508" t="s">
        <v>2639</v>
      </c>
      <c r="R89" s="42"/>
      <c r="X89" s="507"/>
      <c r="Y89" s="504"/>
      <c r="Z89" s="504"/>
      <c r="AA89" s="504"/>
      <c r="AB89" s="504"/>
      <c r="AC89" s="504"/>
      <c r="AD89" s="508" t="s">
        <v>2639</v>
      </c>
      <c r="AE89" s="42"/>
      <c r="AF89" s="216"/>
      <c r="AG89" s="503"/>
      <c r="AH89" s="503"/>
      <c r="AI89" s="503"/>
      <c r="AJ89" s="504"/>
      <c r="AK89" s="504" t="s">
        <v>2639</v>
      </c>
      <c r="AL89" s="217"/>
      <c r="AM89" s="503"/>
      <c r="AN89" s="503"/>
      <c r="AO89" s="503"/>
      <c r="AP89" s="504"/>
      <c r="AQ89" s="508" t="s">
        <v>2639</v>
      </c>
      <c r="AS89" s="1758" t="s">
        <v>61</v>
      </c>
      <c r="AT89" s="1759"/>
      <c r="AU89" s="1759"/>
      <c r="AV89" s="1759"/>
      <c r="AW89" s="1759"/>
      <c r="AX89" s="1759"/>
      <c r="AY89" s="1759"/>
      <c r="AZ89" s="1759"/>
      <c r="BA89" s="1759"/>
      <c r="BB89" s="1759"/>
      <c r="BC89" s="1759"/>
      <c r="BD89" s="1759"/>
      <c r="BE89" s="1759" t="s">
        <v>61</v>
      </c>
      <c r="BF89" s="1759"/>
      <c r="BG89" s="1760"/>
      <c r="BH89" s="730"/>
      <c r="BI89" s="785"/>
      <c r="BJ89" s="731"/>
    </row>
    <row r="90" spans="2:62" outlineLevel="1" x14ac:dyDescent="0.2">
      <c r="B90" s="507"/>
      <c r="C90" s="504"/>
      <c r="D90" s="504" t="s">
        <v>56</v>
      </c>
      <c r="E90" s="504" t="s">
        <v>56</v>
      </c>
      <c r="F90" s="205" t="s">
        <v>2669</v>
      </c>
      <c r="G90" s="205" t="s">
        <v>1426</v>
      </c>
      <c r="H90" s="205" t="s">
        <v>2671</v>
      </c>
      <c r="I90" s="205" t="s">
        <v>2672</v>
      </c>
      <c r="J90" s="205" t="s">
        <v>1424</v>
      </c>
      <c r="K90" s="1744" t="s">
        <v>1457</v>
      </c>
      <c r="L90" s="1745"/>
      <c r="M90" s="1745"/>
      <c r="N90" s="503" t="s">
        <v>61</v>
      </c>
      <c r="O90" s="503" t="s">
        <v>61</v>
      </c>
      <c r="P90" s="503" t="s">
        <v>61</v>
      </c>
      <c r="Q90" s="508" t="s">
        <v>30</v>
      </c>
      <c r="R90" s="42"/>
      <c r="X90" s="1633" t="s">
        <v>2605</v>
      </c>
      <c r="Y90" s="504" t="s">
        <v>2110</v>
      </c>
      <c r="Z90" s="504" t="s">
        <v>61</v>
      </c>
      <c r="AA90" s="504" t="s">
        <v>61</v>
      </c>
      <c r="AB90" s="504" t="s">
        <v>61</v>
      </c>
      <c r="AC90" s="503" t="s">
        <v>61</v>
      </c>
      <c r="AD90" s="508" t="s">
        <v>30</v>
      </c>
      <c r="AE90" s="42"/>
      <c r="AF90" s="507" t="s">
        <v>2065</v>
      </c>
      <c r="AG90" s="504" t="s">
        <v>61</v>
      </c>
      <c r="AH90" s="504" t="s">
        <v>61</v>
      </c>
      <c r="AI90" s="504" t="s">
        <v>61</v>
      </c>
      <c r="AJ90" s="503" t="s">
        <v>61</v>
      </c>
      <c r="AK90" s="504" t="s">
        <v>30</v>
      </c>
      <c r="AL90" s="504" t="s">
        <v>2558</v>
      </c>
      <c r="AM90" s="504" t="s">
        <v>61</v>
      </c>
      <c r="AN90" s="504" t="s">
        <v>61</v>
      </c>
      <c r="AO90" s="504" t="s">
        <v>61</v>
      </c>
      <c r="AP90" s="503" t="s">
        <v>61</v>
      </c>
      <c r="AQ90" s="508" t="s">
        <v>30</v>
      </c>
      <c r="AS90" s="1764" t="s">
        <v>14</v>
      </c>
      <c r="AT90" s="1761"/>
      <c r="AU90" s="1761"/>
      <c r="AV90" s="1761" t="s">
        <v>60</v>
      </c>
      <c r="AW90" s="1761"/>
      <c r="AX90" s="1761"/>
      <c r="AY90" s="1761" t="s">
        <v>27</v>
      </c>
      <c r="AZ90" s="1761"/>
      <c r="BA90" s="1761"/>
      <c r="BB90" s="1761" t="s">
        <v>2074</v>
      </c>
      <c r="BC90" s="1761"/>
      <c r="BD90" s="1761"/>
      <c r="BE90" s="1762" t="s">
        <v>41</v>
      </c>
      <c r="BF90" s="1762"/>
      <c r="BG90" s="1763"/>
      <c r="BH90" s="1764" t="s">
        <v>85</v>
      </c>
      <c r="BI90" s="1761"/>
      <c r="BJ90" s="1765"/>
    </row>
    <row r="91" spans="2:62" outlineLevel="1" x14ac:dyDescent="0.2">
      <c r="B91" s="507"/>
      <c r="C91" s="504"/>
      <c r="D91" s="504" t="s">
        <v>61</v>
      </c>
      <c r="E91" s="504" t="s">
        <v>63</v>
      </c>
      <c r="F91" s="208" t="s">
        <v>2054</v>
      </c>
      <c r="G91" s="212" t="s">
        <v>2027</v>
      </c>
      <c r="H91" s="208" t="s">
        <v>2673</v>
      </c>
      <c r="I91" s="208" t="s">
        <v>2674</v>
      </c>
      <c r="J91" s="212" t="s">
        <v>2675</v>
      </c>
      <c r="K91" s="506" t="s">
        <v>35</v>
      </c>
      <c r="L91" s="506" t="s">
        <v>768</v>
      </c>
      <c r="M91" s="506" t="s">
        <v>24</v>
      </c>
      <c r="N91" s="505" t="s">
        <v>1279</v>
      </c>
      <c r="O91" s="505" t="s">
        <v>768</v>
      </c>
      <c r="P91" s="505" t="s">
        <v>24</v>
      </c>
      <c r="Q91" s="508" t="s">
        <v>61</v>
      </c>
      <c r="R91" s="42"/>
      <c r="X91" s="1633" t="s">
        <v>2109</v>
      </c>
      <c r="Y91" s="504"/>
      <c r="Z91" s="506" t="s">
        <v>1279</v>
      </c>
      <c r="AA91" s="506" t="s">
        <v>768</v>
      </c>
      <c r="AB91" s="506" t="s">
        <v>24</v>
      </c>
      <c r="AC91" s="223" t="s">
        <v>41</v>
      </c>
      <c r="AD91" s="508" t="s">
        <v>61</v>
      </c>
      <c r="AE91" s="42"/>
      <c r="AF91" s="507"/>
      <c r="AG91" s="506" t="s">
        <v>1279</v>
      </c>
      <c r="AH91" s="506" t="s">
        <v>768</v>
      </c>
      <c r="AI91" s="506" t="s">
        <v>24</v>
      </c>
      <c r="AJ91" s="223" t="s">
        <v>41</v>
      </c>
      <c r="AK91" s="504" t="s">
        <v>61</v>
      </c>
      <c r="AL91" s="504"/>
      <c r="AM91" s="506" t="s">
        <v>1279</v>
      </c>
      <c r="AN91" s="506" t="s">
        <v>768</v>
      </c>
      <c r="AO91" s="506" t="s">
        <v>24</v>
      </c>
      <c r="AP91" s="223" t="s">
        <v>41</v>
      </c>
      <c r="AQ91" s="508" t="s">
        <v>61</v>
      </c>
      <c r="AS91" s="732" t="s">
        <v>1279</v>
      </c>
      <c r="AT91" s="733" t="s">
        <v>768</v>
      </c>
      <c r="AU91" s="733" t="s">
        <v>24</v>
      </c>
      <c r="AV91" s="733" t="s">
        <v>1279</v>
      </c>
      <c r="AW91" s="733" t="s">
        <v>768</v>
      </c>
      <c r="AX91" s="733" t="s">
        <v>24</v>
      </c>
      <c r="AY91" s="733" t="s">
        <v>1279</v>
      </c>
      <c r="AZ91" s="733" t="s">
        <v>768</v>
      </c>
      <c r="BA91" s="733" t="s">
        <v>24</v>
      </c>
      <c r="BB91" s="733" t="s">
        <v>1279</v>
      </c>
      <c r="BC91" s="733" t="s">
        <v>768</v>
      </c>
      <c r="BD91" s="733" t="s">
        <v>24</v>
      </c>
      <c r="BE91" s="734" t="s">
        <v>1279</v>
      </c>
      <c r="BF91" s="734" t="s">
        <v>768</v>
      </c>
      <c r="BG91" s="735" t="s">
        <v>24</v>
      </c>
      <c r="BH91" s="732" t="s">
        <v>1279</v>
      </c>
      <c r="BI91" s="733" t="s">
        <v>768</v>
      </c>
      <c r="BJ91" s="736" t="s">
        <v>24</v>
      </c>
    </row>
    <row r="92" spans="2:62" outlineLevel="1" x14ac:dyDescent="0.2">
      <c r="B92" s="200" t="s">
        <v>1460</v>
      </c>
      <c r="C92" s="201"/>
      <c r="D92" s="262">
        <f>SUM(N92:P92)</f>
        <v>0</v>
      </c>
      <c r="E92" s="265">
        <f>D92*12/44</f>
        <v>0</v>
      </c>
      <c r="F92" s="559"/>
      <c r="G92" s="182"/>
      <c r="H92" s="561">
        <v>220</v>
      </c>
      <c r="I92" s="561">
        <v>2</v>
      </c>
      <c r="J92" s="565">
        <f>VLOOKUP($B92,'Emissions factors'!$B$1547:$S$1561,18,FALSE)</f>
        <v>8.5</v>
      </c>
      <c r="K92" s="493">
        <f>VLOOKUP($B92,'Emissions factors'!$B$1547:$R$1561,2,FALSE)</f>
        <v>0</v>
      </c>
      <c r="L92" s="493">
        <f>VLOOKUP($B92,'Emissions factors'!$B$1547:$R$1561,3,FALSE)</f>
        <v>3.721E-2</v>
      </c>
      <c r="M92" s="493">
        <f>VLOOKUP($B92,'Emissions factors'!$B$1547:$R$1561,4,FALSE)</f>
        <v>0.14426099999999997</v>
      </c>
      <c r="N92" s="465">
        <f>G92*H92*I92*J92*K92</f>
        <v>0</v>
      </c>
      <c r="O92" s="465">
        <f>G92*H92*I92*J92*L92</f>
        <v>0</v>
      </c>
      <c r="P92" s="210">
        <f>G92*H92*I92*J92*M92</f>
        <v>0</v>
      </c>
      <c r="Q92" s="222">
        <f>IF(OR(F92='Info utili'!$I$532,F92='Info utili'!$I$537),P92,0)</f>
        <v>0</v>
      </c>
      <c r="R92" s="42"/>
      <c r="X92" s="282">
        <f>VLOOKUP($B92,'Emissions factors'!$B$1547:$R$1561,17,FALSE)</f>
        <v>0.6</v>
      </c>
      <c r="Y92" s="183"/>
      <c r="Z92" s="221">
        <f>N92*SQRT(X92^2+Y92^2)</f>
        <v>0</v>
      </c>
      <c r="AA92" s="221">
        <f>O92*SQRT(X92^2+Y92^2)</f>
        <v>0</v>
      </c>
      <c r="AB92" s="221">
        <f>P92*SQRT(X92^2+Y92^2)</f>
        <v>0</v>
      </c>
      <c r="AC92" s="210">
        <f>SQRT(SUMSQ(Z92:AB92))</f>
        <v>0</v>
      </c>
      <c r="AD92" s="222">
        <f>Q92*SQRT(X92^2+Y92^2)</f>
        <v>0</v>
      </c>
      <c r="AF92" s="184"/>
      <c r="AG92" s="221">
        <f>N92*AF92</f>
        <v>0</v>
      </c>
      <c r="AH92" s="221">
        <f>O92*AF92</f>
        <v>0</v>
      </c>
      <c r="AI92" s="221">
        <f>P92*AF92</f>
        <v>0</v>
      </c>
      <c r="AJ92" s="210">
        <f>SUM(AG92:AI92)</f>
        <v>0</v>
      </c>
      <c r="AK92" s="221">
        <f>Q92*AF92</f>
        <v>0</v>
      </c>
      <c r="AL92" s="184"/>
      <c r="AM92" s="221">
        <f>AL92*N92</f>
        <v>0</v>
      </c>
      <c r="AN92" s="221">
        <f>AL92*O92</f>
        <v>0</v>
      </c>
      <c r="AO92" s="221">
        <f>AL92*P92</f>
        <v>0</v>
      </c>
      <c r="AP92" s="210">
        <f>SUM(AM92:AO92)</f>
        <v>0</v>
      </c>
      <c r="AQ92" s="222">
        <f>AL92*Q92</f>
        <v>0</v>
      </c>
      <c r="AS92" s="717">
        <f>G92*H92*I92*J92*VLOOKUP($B92,'Emissions factors'!$B$1547:$R$1561,5,FALSE)</f>
        <v>0</v>
      </c>
      <c r="AT92" s="718">
        <f>G92*H92*I92*J92*VLOOKUP($B92,'Emissions factors'!$B$1547:$R$1561,6,FALSE)</f>
        <v>0</v>
      </c>
      <c r="AU92" s="718">
        <f>G92*H92*I92*J92*VLOOKUP($B92,'Emissions factors'!$B$1547:$R$1561,7,FALSE)</f>
        <v>0</v>
      </c>
      <c r="AV92" s="718">
        <f>G92*H92*I92*J92*VLOOKUP($B92,'Emissions factors'!$B$1547:$R$1561,8,FALSE)</f>
        <v>0</v>
      </c>
      <c r="AW92" s="718">
        <f>G92*H92*I92*J92*VLOOKUP($B92,'Emissions factors'!$B$1547:$R$1561,9,FALSE)</f>
        <v>0</v>
      </c>
      <c r="AX92" s="718">
        <f>G92*H92*I92*J92*VLOOKUP($B92,'Emissions factors'!$B$1547:$R$1561,10,FALSE)</f>
        <v>0</v>
      </c>
      <c r="AY92" s="718">
        <f>G92*H92*I92*J92*VLOOKUP($B92,'Emissions factors'!$B$1547:$R$1561,11,FALSE)</f>
        <v>0</v>
      </c>
      <c r="AZ92" s="718">
        <f>G92*H92*I92*J92*VLOOKUP($B92,'Emissions factors'!$B$1547:$R$1561,12,FALSE)</f>
        <v>0</v>
      </c>
      <c r="BA92" s="718">
        <f>G92*H92*I92*J92*VLOOKUP($B92,'Emissions factors'!$B$1547:$R$1561,13,FALSE)</f>
        <v>0</v>
      </c>
      <c r="BB92" s="718">
        <v>0</v>
      </c>
      <c r="BC92" s="718">
        <v>0</v>
      </c>
      <c r="BD92" s="718">
        <v>0</v>
      </c>
      <c r="BE92" s="719">
        <f t="shared" ref="BE92:BG94" si="19">N92</f>
        <v>0</v>
      </c>
      <c r="BF92" s="719">
        <f t="shared" si="19"/>
        <v>0</v>
      </c>
      <c r="BG92" s="720">
        <f t="shared" si="19"/>
        <v>0</v>
      </c>
      <c r="BH92" s="717">
        <f>G92*H92*I92*J92*VLOOKUP($B92,'Emissions factors'!$B$1547:$R$1561,14,FALSE)</f>
        <v>0</v>
      </c>
      <c r="BI92" s="718">
        <f>G92*H92*I92*J92*VLOOKUP($B92,'Emissions factors'!$B$1547:$R$1561,15,FALSE)</f>
        <v>0</v>
      </c>
      <c r="BJ92" s="721">
        <f>G92*H92*I92*J92*VLOOKUP($B92,'Emissions factors'!$B$1547:$R$1561,16,FALSE)</f>
        <v>0</v>
      </c>
    </row>
    <row r="93" spans="2:62" outlineLevel="1" x14ac:dyDescent="0.2">
      <c r="B93" s="200" t="s">
        <v>1461</v>
      </c>
      <c r="C93" s="201"/>
      <c r="D93" s="262">
        <f>SUM(N93:P93)</f>
        <v>0</v>
      </c>
      <c r="E93" s="265">
        <f>D93*12/44</f>
        <v>0</v>
      </c>
      <c r="F93" s="442"/>
      <c r="G93" s="185"/>
      <c r="H93" s="562">
        <v>220</v>
      </c>
      <c r="I93" s="562">
        <v>2</v>
      </c>
      <c r="J93" s="566">
        <f>VLOOKUP($B93,'Emissions factors'!$B$1547:$S$1561,18,FALSE)</f>
        <v>12</v>
      </c>
      <c r="K93" s="493">
        <f>VLOOKUP($B93,'Emissions factors'!$B$1547:$R$1561,2,FALSE)</f>
        <v>0</v>
      </c>
      <c r="L93" s="493">
        <f>VLOOKUP($B93,'Emissions factors'!$B$1547:$R$1561,3,FALSE)</f>
        <v>3.3820000000000003E-2</v>
      </c>
      <c r="M93" s="493">
        <f>VLOOKUP($B93,'Emissions factors'!$B$1547:$R$1561,4,FALSE)</f>
        <v>0.13321300000000003</v>
      </c>
      <c r="N93" s="465">
        <f>G93*H93*I93*J93*K93</f>
        <v>0</v>
      </c>
      <c r="O93" s="465">
        <f>G93*H93*I93*J93*L93</f>
        <v>0</v>
      </c>
      <c r="P93" s="210">
        <f>G93*H93*I93*J93*M93</f>
        <v>0</v>
      </c>
      <c r="Q93" s="222">
        <f>IF(OR(F93='Info utili'!$I$532,F93='Info utili'!$I$537),P93,0)</f>
        <v>0</v>
      </c>
      <c r="R93" s="42"/>
      <c r="X93" s="282">
        <f>VLOOKUP($B93,'Emissions factors'!$B$1547:$R$1561,17,FALSE)</f>
        <v>0.6</v>
      </c>
      <c r="Y93" s="186"/>
      <c r="Z93" s="221">
        <f>N93*SQRT(X93^2+Y93^2)</f>
        <v>0</v>
      </c>
      <c r="AA93" s="221">
        <f>O93*SQRT(X93^2+Y93^2)</f>
        <v>0</v>
      </c>
      <c r="AB93" s="221">
        <f>P93*SQRT(X93^2+Y93^2)</f>
        <v>0</v>
      </c>
      <c r="AC93" s="210">
        <f>SQRT(SUMSQ(Z93:AB93))</f>
        <v>0</v>
      </c>
      <c r="AD93" s="222">
        <f>Q93*SQRT(X93^2+Y93^2)</f>
        <v>0</v>
      </c>
      <c r="AF93" s="186"/>
      <c r="AG93" s="221">
        <f>N93*AF93</f>
        <v>0</v>
      </c>
      <c r="AH93" s="221">
        <f>O93*AF93</f>
        <v>0</v>
      </c>
      <c r="AI93" s="221">
        <f>P93*AF93</f>
        <v>0</v>
      </c>
      <c r="AJ93" s="210">
        <f>SUM(AG93:AI93)</f>
        <v>0</v>
      </c>
      <c r="AK93" s="221">
        <f>Q93*AF93</f>
        <v>0</v>
      </c>
      <c r="AL93" s="186"/>
      <c r="AM93" s="221">
        <f>AL93*N93</f>
        <v>0</v>
      </c>
      <c r="AN93" s="221">
        <f>AL93*O93</f>
        <v>0</v>
      </c>
      <c r="AO93" s="221">
        <f>AL93*P93</f>
        <v>0</v>
      </c>
      <c r="AP93" s="210">
        <f>SUM(AM93:AO93)</f>
        <v>0</v>
      </c>
      <c r="AQ93" s="222">
        <f>AL93*Q93</f>
        <v>0</v>
      </c>
      <c r="AS93" s="717">
        <f>G93*H93*I93*J93*VLOOKUP($B93,'Emissions factors'!$B$1547:$R$1561,5,FALSE)</f>
        <v>0</v>
      </c>
      <c r="AT93" s="718">
        <f>G93*H93*I93*J93*VLOOKUP($B93,'Emissions factors'!$B$1547:$R$1561,6,FALSE)</f>
        <v>0</v>
      </c>
      <c r="AU93" s="718">
        <f>G93*H93*I93*J93*VLOOKUP($B93,'Emissions factors'!$B$1547:$R$1561,7,FALSE)</f>
        <v>0</v>
      </c>
      <c r="AV93" s="718">
        <f>G93*H93*I93*J93*VLOOKUP($B93,'Emissions factors'!$B$1547:$R$1561,8,FALSE)</f>
        <v>0</v>
      </c>
      <c r="AW93" s="718">
        <f>G93*H93*I93*J93*VLOOKUP($B93,'Emissions factors'!$B$1547:$R$1561,9,FALSE)</f>
        <v>0</v>
      </c>
      <c r="AX93" s="718">
        <f>G93*H93*I93*J93*VLOOKUP($B93,'Emissions factors'!$B$1547:$R$1561,10,FALSE)</f>
        <v>0</v>
      </c>
      <c r="AY93" s="718">
        <f>G93*H93*I93*J93*VLOOKUP($B93,'Emissions factors'!$B$1547:$R$1561,11,FALSE)</f>
        <v>0</v>
      </c>
      <c r="AZ93" s="718">
        <f>G93*H93*I93*J93*VLOOKUP($B93,'Emissions factors'!$B$1547:$R$1561,12,FALSE)</f>
        <v>0</v>
      </c>
      <c r="BA93" s="718">
        <f>G93*H93*I93*J93*VLOOKUP($B93,'Emissions factors'!$B$1547:$R$1561,13,FALSE)</f>
        <v>0</v>
      </c>
      <c r="BB93" s="718">
        <v>0</v>
      </c>
      <c r="BC93" s="718">
        <v>0</v>
      </c>
      <c r="BD93" s="718">
        <v>0</v>
      </c>
      <c r="BE93" s="719">
        <f t="shared" si="19"/>
        <v>0</v>
      </c>
      <c r="BF93" s="719">
        <f t="shared" si="19"/>
        <v>0</v>
      </c>
      <c r="BG93" s="720">
        <f t="shared" si="19"/>
        <v>0</v>
      </c>
      <c r="BH93" s="717">
        <f>G93*H93*I93*J93*VLOOKUP($B93,'Emissions factors'!$B$1547:$R$1561,14,FALSE)</f>
        <v>0</v>
      </c>
      <c r="BI93" s="718">
        <f>G93*H93*I93*J93*VLOOKUP($B93,'Emissions factors'!$B$1547:$R$1561,15,FALSE)</f>
        <v>0</v>
      </c>
      <c r="BJ93" s="721">
        <f>G93*H93*I93*J93*VLOOKUP($B93,'Emissions factors'!$B$1547:$R$1561,16,FALSE)</f>
        <v>0</v>
      </c>
    </row>
    <row r="94" spans="2:62" outlineLevel="1" x14ac:dyDescent="0.2">
      <c r="B94" s="200" t="s">
        <v>1462</v>
      </c>
      <c r="C94" s="201"/>
      <c r="D94" s="262">
        <f>SUM(N94:P94)</f>
        <v>0</v>
      </c>
      <c r="E94" s="265">
        <f>D94*12/44</f>
        <v>0</v>
      </c>
      <c r="F94" s="443"/>
      <c r="G94" s="188"/>
      <c r="H94" s="563">
        <v>220</v>
      </c>
      <c r="I94" s="563">
        <v>2</v>
      </c>
      <c r="J94" s="567">
        <f>VLOOKUP($B94,'Emissions factors'!$B$1547:$S$1561,18,FALSE)</f>
        <v>20</v>
      </c>
      <c r="K94" s="493">
        <f>VLOOKUP($B94,'Emissions factors'!$B$1547:$R$1561,2,FALSE)</f>
        <v>0</v>
      </c>
      <c r="L94" s="493">
        <f>VLOOKUP($B94,'Emissions factors'!$B$1547:$R$1561,3,FALSE)</f>
        <v>3.1E-2</v>
      </c>
      <c r="M94" s="493">
        <f>VLOOKUP($B94,'Emissions factors'!$B$1547:$R$1561,4,FALSE)</f>
        <v>0.12315960000000001</v>
      </c>
      <c r="N94" s="465">
        <f>G94*H94*I94*J94*K94</f>
        <v>0</v>
      </c>
      <c r="O94" s="465">
        <f>G94*H94*I94*J94*L94</f>
        <v>0</v>
      </c>
      <c r="P94" s="210">
        <f>G94*H94*I94*J94*M94</f>
        <v>0</v>
      </c>
      <c r="Q94" s="222">
        <f>IF(OR(F94='Info utili'!$I$532,F94='Info utili'!$I$537),P94,0)</f>
        <v>0</v>
      </c>
      <c r="R94" s="42"/>
      <c r="X94" s="282">
        <f>VLOOKUP($B94,'Emissions factors'!$B$1547:$R$1561,17,FALSE)</f>
        <v>0.6</v>
      </c>
      <c r="Y94" s="189"/>
      <c r="Z94" s="221">
        <f>N94*SQRT(X94^2+Y94^2)</f>
        <v>0</v>
      </c>
      <c r="AA94" s="221">
        <f>O94*SQRT(X94^2+Y94^2)</f>
        <v>0</v>
      </c>
      <c r="AB94" s="221">
        <f>P94*SQRT(X94^2+Y94^2)</f>
        <v>0</v>
      </c>
      <c r="AC94" s="210">
        <f>SQRT(SUMSQ(Z94:AB94))</f>
        <v>0</v>
      </c>
      <c r="AD94" s="222">
        <f>Q94*SQRT(X94^2+Y94^2)</f>
        <v>0</v>
      </c>
      <c r="AF94" s="189"/>
      <c r="AG94" s="221">
        <f>N94*AF94</f>
        <v>0</v>
      </c>
      <c r="AH94" s="221">
        <f>O94*AF94</f>
        <v>0</v>
      </c>
      <c r="AI94" s="221">
        <f>P94*AF94</f>
        <v>0</v>
      </c>
      <c r="AJ94" s="210">
        <f>SUM(AG94:AI94)</f>
        <v>0</v>
      </c>
      <c r="AK94" s="221">
        <f>Q94*AF94</f>
        <v>0</v>
      </c>
      <c r="AL94" s="189"/>
      <c r="AM94" s="221">
        <f>AL94*N94</f>
        <v>0</v>
      </c>
      <c r="AN94" s="221">
        <f>AL94*O94</f>
        <v>0</v>
      </c>
      <c r="AO94" s="221">
        <f>AL94*P94</f>
        <v>0</v>
      </c>
      <c r="AP94" s="210">
        <f>SUM(AM94:AO94)</f>
        <v>0</v>
      </c>
      <c r="AQ94" s="222">
        <f>AL94*Q94</f>
        <v>0</v>
      </c>
      <c r="AS94" s="717">
        <f>G94*H94*I94*J94*VLOOKUP($B94,'Emissions factors'!$B$1547:$R$1561,5,FALSE)</f>
        <v>0</v>
      </c>
      <c r="AT94" s="718">
        <f>G94*H94*I94*J94*VLOOKUP($B94,'Emissions factors'!$B$1547:$R$1561,6,FALSE)</f>
        <v>0</v>
      </c>
      <c r="AU94" s="718">
        <f>G94*H94*I94*J94*VLOOKUP($B94,'Emissions factors'!$B$1547:$R$1561,7,FALSE)</f>
        <v>0</v>
      </c>
      <c r="AV94" s="718">
        <f>G94*H94*I94*J94*VLOOKUP($B94,'Emissions factors'!$B$1547:$R$1561,8,FALSE)</f>
        <v>0</v>
      </c>
      <c r="AW94" s="718">
        <f>G94*H94*I94*J94*VLOOKUP($B94,'Emissions factors'!$B$1547:$R$1561,9,FALSE)</f>
        <v>0</v>
      </c>
      <c r="AX94" s="718">
        <f>G94*H94*I94*J94*VLOOKUP($B94,'Emissions factors'!$B$1547:$R$1561,10,FALSE)</f>
        <v>0</v>
      </c>
      <c r="AY94" s="718">
        <f>G94*H94*I94*J94*VLOOKUP($B94,'Emissions factors'!$B$1547:$R$1561,11,FALSE)</f>
        <v>0</v>
      </c>
      <c r="AZ94" s="718">
        <f>G94*H94*I94*J94*VLOOKUP($B94,'Emissions factors'!$B$1547:$R$1561,12,FALSE)</f>
        <v>0</v>
      </c>
      <c r="BA94" s="718">
        <f>G94*H94*I94*J94*VLOOKUP($B94,'Emissions factors'!$B$1547:$R$1561,13,FALSE)</f>
        <v>0</v>
      </c>
      <c r="BB94" s="718">
        <v>0</v>
      </c>
      <c r="BC94" s="718">
        <v>0</v>
      </c>
      <c r="BD94" s="718">
        <v>0</v>
      </c>
      <c r="BE94" s="719">
        <f t="shared" si="19"/>
        <v>0</v>
      </c>
      <c r="BF94" s="719">
        <f t="shared" si="19"/>
        <v>0</v>
      </c>
      <c r="BG94" s="720">
        <f t="shared" si="19"/>
        <v>0</v>
      </c>
      <c r="BH94" s="717">
        <f>G94*H94*I94*J94*VLOOKUP($B94,'Emissions factors'!$B$1547:$R$1561,14,FALSE)</f>
        <v>0</v>
      </c>
      <c r="BI94" s="718">
        <f>G94*H94*I94*J94*VLOOKUP($B94,'Emissions factors'!$B$1547:$R$1561,15,FALSE)</f>
        <v>0</v>
      </c>
      <c r="BJ94" s="721">
        <f>G94*H94*I94*J94*VLOOKUP($B94,'Emissions factors'!$B$1547:$R$1561,16,FALSE)</f>
        <v>0</v>
      </c>
    </row>
    <row r="95" spans="2:62" outlineLevel="1" x14ac:dyDescent="0.2">
      <c r="B95" s="200"/>
      <c r="C95" s="201"/>
      <c r="D95" s="263"/>
      <c r="E95" s="266"/>
      <c r="F95" s="201"/>
      <c r="G95" s="201"/>
      <c r="H95" s="201"/>
      <c r="I95" s="201"/>
      <c r="J95" s="201"/>
      <c r="K95" s="201"/>
      <c r="L95" s="201"/>
      <c r="M95" s="201"/>
      <c r="N95" s="201"/>
      <c r="O95" s="201"/>
      <c r="P95" s="201"/>
      <c r="Q95" s="203"/>
      <c r="R95" s="42"/>
      <c r="X95" s="200"/>
      <c r="Y95" s="201"/>
      <c r="Z95" s="201"/>
      <c r="AA95" s="201"/>
      <c r="AB95" s="201"/>
      <c r="AC95" s="210"/>
      <c r="AD95" s="211"/>
      <c r="AF95" s="213"/>
      <c r="AG95" s="214"/>
      <c r="AH95" s="214"/>
      <c r="AI95" s="413"/>
      <c r="AJ95" s="214"/>
      <c r="AK95" s="413"/>
      <c r="AL95" s="214"/>
      <c r="AM95" s="413"/>
      <c r="AN95" s="413"/>
      <c r="AO95" s="413"/>
      <c r="AP95" s="214"/>
      <c r="AQ95" s="543"/>
      <c r="AS95" s="717"/>
      <c r="AT95" s="718"/>
      <c r="AU95" s="718"/>
      <c r="AV95" s="718"/>
      <c r="AW95" s="718"/>
      <c r="AX95" s="718"/>
      <c r="AY95" s="718"/>
      <c r="AZ95" s="718"/>
      <c r="BA95" s="718"/>
      <c r="BB95" s="718"/>
      <c r="BC95" s="718"/>
      <c r="BD95" s="718"/>
      <c r="BE95" s="719"/>
      <c r="BF95" s="719"/>
      <c r="BG95" s="720"/>
      <c r="BH95" s="722"/>
      <c r="BI95" s="786"/>
      <c r="BJ95" s="723"/>
    </row>
    <row r="96" spans="2:62" outlineLevel="1" x14ac:dyDescent="0.2">
      <c r="B96" s="253" t="s">
        <v>2828</v>
      </c>
      <c r="C96" s="254"/>
      <c r="D96" s="264">
        <f>SUM(D92:D95)</f>
        <v>0</v>
      </c>
      <c r="E96" s="267">
        <f>SUM(E92:E95)</f>
        <v>0</v>
      </c>
      <c r="F96" s="254"/>
      <c r="G96" s="254"/>
      <c r="H96" s="254"/>
      <c r="I96" s="254"/>
      <c r="J96" s="254"/>
      <c r="K96" s="254"/>
      <c r="L96" s="254"/>
      <c r="M96" s="254"/>
      <c r="N96" s="259">
        <f>SUM(N92:N95)</f>
        <v>0</v>
      </c>
      <c r="O96" s="259">
        <f>SUM(O92:O95)</f>
        <v>0</v>
      </c>
      <c r="P96" s="259">
        <f>SUM(P92:P95)</f>
        <v>0</v>
      </c>
      <c r="Q96" s="428">
        <f>SUM(Q92:Q95)</f>
        <v>0</v>
      </c>
      <c r="R96" s="42"/>
      <c r="X96" s="258"/>
      <c r="Y96" s="256"/>
      <c r="Z96" s="260">
        <f>SQRT(SUMSQ(Z91:Z95))</f>
        <v>0</v>
      </c>
      <c r="AA96" s="260">
        <f>SQRT(SUMSQ(AA91:AA95))</f>
        <v>0</v>
      </c>
      <c r="AB96" s="260">
        <f>SQRT(SUMSQ(AB91:AB95))</f>
        <v>0</v>
      </c>
      <c r="AC96" s="259">
        <f>SQRT(SUMSQ(AC91:AC95))</f>
        <v>0</v>
      </c>
      <c r="AD96" s="428">
        <f>SQRT(SUMSQ(AD91:AD95))</f>
        <v>0</v>
      </c>
      <c r="AF96" s="258"/>
      <c r="AG96" s="260">
        <f>SUM(AG92:AG95)</f>
        <v>0</v>
      </c>
      <c r="AH96" s="260">
        <f>SUM(AH92:AH95)</f>
        <v>0</v>
      </c>
      <c r="AI96" s="260">
        <f>SUM(AI92:AI95)</f>
        <v>0</v>
      </c>
      <c r="AJ96" s="259">
        <f>SUM(AJ92:AJ95)</f>
        <v>0</v>
      </c>
      <c r="AK96" s="260">
        <f>SUM(AK92:AK95)</f>
        <v>0</v>
      </c>
      <c r="AL96" s="256"/>
      <c r="AM96" s="260">
        <f>SUM(AM92:AM95)</f>
        <v>0</v>
      </c>
      <c r="AN96" s="260">
        <f>SUM(AN92:AN95)</f>
        <v>0</v>
      </c>
      <c r="AO96" s="260">
        <f>SUM(AO92:AO95)</f>
        <v>0</v>
      </c>
      <c r="AP96" s="259">
        <f>SUM(AP92:AP95)</f>
        <v>0</v>
      </c>
      <c r="AQ96" s="428">
        <f>SUM(AQ92:AQ95)</f>
        <v>0</v>
      </c>
      <c r="AS96" s="724">
        <f t="shared" ref="AS96:BJ96" si="20">SUM(AS92:AS95)</f>
        <v>0</v>
      </c>
      <c r="AT96" s="725">
        <f t="shared" si="20"/>
        <v>0</v>
      </c>
      <c r="AU96" s="725">
        <f t="shared" si="20"/>
        <v>0</v>
      </c>
      <c r="AV96" s="725">
        <f t="shared" si="20"/>
        <v>0</v>
      </c>
      <c r="AW96" s="725">
        <f t="shared" si="20"/>
        <v>0</v>
      </c>
      <c r="AX96" s="725">
        <f t="shared" si="20"/>
        <v>0</v>
      </c>
      <c r="AY96" s="725">
        <f t="shared" si="20"/>
        <v>0</v>
      </c>
      <c r="AZ96" s="725">
        <f t="shared" si="20"/>
        <v>0</v>
      </c>
      <c r="BA96" s="725">
        <f t="shared" si="20"/>
        <v>0</v>
      </c>
      <c r="BB96" s="725">
        <f t="shared" si="20"/>
        <v>0</v>
      </c>
      <c r="BC96" s="725">
        <f t="shared" si="20"/>
        <v>0</v>
      </c>
      <c r="BD96" s="725">
        <f t="shared" si="20"/>
        <v>0</v>
      </c>
      <c r="BE96" s="726">
        <f t="shared" si="20"/>
        <v>0</v>
      </c>
      <c r="BF96" s="726">
        <f t="shared" si="20"/>
        <v>0</v>
      </c>
      <c r="BG96" s="727">
        <f t="shared" si="20"/>
        <v>0</v>
      </c>
      <c r="BH96" s="724">
        <f t="shared" si="20"/>
        <v>0</v>
      </c>
      <c r="BI96" s="725">
        <f t="shared" si="20"/>
        <v>0</v>
      </c>
      <c r="BJ96" s="728">
        <f t="shared" si="20"/>
        <v>0</v>
      </c>
    </row>
    <row r="97" spans="2:62" ht="12.75" customHeight="1" outlineLevel="1" x14ac:dyDescent="0.2">
      <c r="B97" s="316"/>
      <c r="C97" s="316"/>
      <c r="D97" s="316"/>
      <c r="E97" s="316"/>
      <c r="F97" s="316"/>
      <c r="G97" s="42"/>
      <c r="AB97" s="330"/>
    </row>
    <row r="98" spans="2:62" ht="12.75" customHeight="1" outlineLevel="1" x14ac:dyDescent="0.2">
      <c r="B98" s="195" t="s">
        <v>2934</v>
      </c>
      <c r="C98" s="196"/>
      <c r="D98" s="196"/>
      <c r="E98" s="196"/>
      <c r="F98" s="196"/>
      <c r="G98" s="198"/>
      <c r="H98" s="196"/>
      <c r="I98" s="196"/>
      <c r="J98" s="196"/>
      <c r="K98" s="198"/>
      <c r="L98" s="196"/>
      <c r="M98" s="196"/>
      <c r="N98" s="196"/>
      <c r="O98" s="198"/>
      <c r="P98" s="198"/>
      <c r="Q98" s="198"/>
      <c r="R98" s="199"/>
      <c r="X98" s="1746" t="s">
        <v>723</v>
      </c>
      <c r="Y98" s="1747"/>
      <c r="Z98" s="1747"/>
      <c r="AA98" s="1747"/>
      <c r="AB98" s="1747"/>
      <c r="AC98" s="1747"/>
      <c r="AD98" s="1748"/>
      <c r="AF98" s="1746" t="s">
        <v>2066</v>
      </c>
      <c r="AG98" s="1747"/>
      <c r="AH98" s="1747"/>
      <c r="AI98" s="1747"/>
      <c r="AJ98" s="1747"/>
      <c r="AK98" s="1747"/>
      <c r="AL98" s="1747"/>
      <c r="AM98" s="1747"/>
      <c r="AN98" s="1747"/>
      <c r="AO98" s="1747"/>
      <c r="AP98" s="1747"/>
      <c r="AQ98" s="1748"/>
      <c r="AS98" s="1755" t="s">
        <v>2073</v>
      </c>
      <c r="AT98" s="1756"/>
      <c r="AU98" s="1756"/>
      <c r="AV98" s="1756"/>
      <c r="AW98" s="1756"/>
      <c r="AX98" s="1756"/>
      <c r="AY98" s="1756"/>
      <c r="AZ98" s="1756"/>
      <c r="BA98" s="1756"/>
      <c r="BB98" s="1756"/>
      <c r="BC98" s="1756"/>
      <c r="BD98" s="1756"/>
      <c r="BE98" s="1756"/>
      <c r="BF98" s="1756"/>
      <c r="BG98" s="1756"/>
      <c r="BH98" s="1756"/>
      <c r="BI98" s="1756"/>
      <c r="BJ98" s="1757"/>
    </row>
    <row r="99" spans="2:62" ht="12.75" customHeight="1" outlineLevel="1" x14ac:dyDescent="0.2">
      <c r="B99" s="417"/>
      <c r="C99" s="225"/>
      <c r="D99" s="503" t="s">
        <v>2052</v>
      </c>
      <c r="E99" s="503" t="s">
        <v>2052</v>
      </c>
      <c r="F99" s="201"/>
      <c r="G99" s="201"/>
      <c r="H99" s="225"/>
      <c r="I99" s="225"/>
      <c r="J99" s="225"/>
      <c r="K99" s="201"/>
      <c r="L99" s="225"/>
      <c r="M99" s="225"/>
      <c r="N99" s="225"/>
      <c r="O99" s="201"/>
      <c r="P99" s="1745" t="s">
        <v>2646</v>
      </c>
      <c r="Q99" s="1745"/>
      <c r="R99" s="702" t="s">
        <v>2639</v>
      </c>
      <c r="X99" s="507"/>
      <c r="Y99" s="504"/>
      <c r="Z99" s="504"/>
      <c r="AA99" s="504"/>
      <c r="AB99" s="504"/>
      <c r="AC99" s="504"/>
      <c r="AD99" s="508" t="s">
        <v>2639</v>
      </c>
      <c r="AE99" s="42"/>
      <c r="AF99" s="216"/>
      <c r="AG99" s="503"/>
      <c r="AH99" s="503"/>
      <c r="AI99" s="503"/>
      <c r="AJ99" s="504"/>
      <c r="AK99" s="504" t="s">
        <v>2639</v>
      </c>
      <c r="AL99" s="217"/>
      <c r="AM99" s="503"/>
      <c r="AN99" s="503"/>
      <c r="AO99" s="503"/>
      <c r="AP99" s="504"/>
      <c r="AQ99" s="508" t="s">
        <v>2639</v>
      </c>
      <c r="AS99" s="1758" t="s">
        <v>61</v>
      </c>
      <c r="AT99" s="1759"/>
      <c r="AU99" s="1759"/>
      <c r="AV99" s="1759"/>
      <c r="AW99" s="1759"/>
      <c r="AX99" s="1759"/>
      <c r="AY99" s="1759"/>
      <c r="AZ99" s="1759"/>
      <c r="BA99" s="1759"/>
      <c r="BB99" s="1759"/>
      <c r="BC99" s="1759"/>
      <c r="BD99" s="1759"/>
      <c r="BE99" s="1759" t="s">
        <v>61</v>
      </c>
      <c r="BF99" s="1759"/>
      <c r="BG99" s="1760"/>
      <c r="BH99" s="730"/>
      <c r="BI99" s="785"/>
      <c r="BJ99" s="731"/>
    </row>
    <row r="100" spans="2:62" ht="12.75" customHeight="1" outlineLevel="1" x14ac:dyDescent="0.2">
      <c r="B100" s="200"/>
      <c r="C100" s="201"/>
      <c r="D100" s="504" t="s">
        <v>56</v>
      </c>
      <c r="E100" s="504" t="s">
        <v>56</v>
      </c>
      <c r="F100" s="205" t="s">
        <v>2669</v>
      </c>
      <c r="G100" s="205"/>
      <c r="H100" s="1744" t="s">
        <v>2538</v>
      </c>
      <c r="I100" s="1745"/>
      <c r="J100" s="1835"/>
      <c r="K100" s="205"/>
      <c r="L100" s="1744" t="s">
        <v>2539</v>
      </c>
      <c r="M100" s="1745"/>
      <c r="N100" s="1745"/>
      <c r="O100" s="699" t="s">
        <v>61</v>
      </c>
      <c r="P100" s="699" t="s">
        <v>61</v>
      </c>
      <c r="Q100" s="699" t="s">
        <v>61</v>
      </c>
      <c r="R100" s="702" t="s">
        <v>30</v>
      </c>
      <c r="X100" s="1633" t="s">
        <v>2605</v>
      </c>
      <c r="Y100" s="504" t="s">
        <v>2110</v>
      </c>
      <c r="Z100" s="504" t="s">
        <v>61</v>
      </c>
      <c r="AA100" s="504" t="s">
        <v>61</v>
      </c>
      <c r="AB100" s="504" t="s">
        <v>61</v>
      </c>
      <c r="AC100" s="503" t="s">
        <v>61</v>
      </c>
      <c r="AD100" s="508" t="s">
        <v>30</v>
      </c>
      <c r="AE100" s="42"/>
      <c r="AF100" s="507" t="s">
        <v>2065</v>
      </c>
      <c r="AG100" s="504" t="s">
        <v>61</v>
      </c>
      <c r="AH100" s="504" t="s">
        <v>61</v>
      </c>
      <c r="AI100" s="504" t="s">
        <v>61</v>
      </c>
      <c r="AJ100" s="503" t="s">
        <v>61</v>
      </c>
      <c r="AK100" s="504" t="s">
        <v>30</v>
      </c>
      <c r="AL100" s="504" t="s">
        <v>2558</v>
      </c>
      <c r="AM100" s="504" t="s">
        <v>61</v>
      </c>
      <c r="AN100" s="504" t="s">
        <v>61</v>
      </c>
      <c r="AO100" s="504" t="s">
        <v>61</v>
      </c>
      <c r="AP100" s="503" t="s">
        <v>61</v>
      </c>
      <c r="AQ100" s="508" t="s">
        <v>30</v>
      </c>
      <c r="AS100" s="1764" t="s">
        <v>14</v>
      </c>
      <c r="AT100" s="1761"/>
      <c r="AU100" s="1761"/>
      <c r="AV100" s="1761" t="s">
        <v>60</v>
      </c>
      <c r="AW100" s="1761"/>
      <c r="AX100" s="1761"/>
      <c r="AY100" s="1761" t="s">
        <v>27</v>
      </c>
      <c r="AZ100" s="1761"/>
      <c r="BA100" s="1761"/>
      <c r="BB100" s="1761" t="s">
        <v>2074</v>
      </c>
      <c r="BC100" s="1761"/>
      <c r="BD100" s="1761"/>
      <c r="BE100" s="1762" t="s">
        <v>41</v>
      </c>
      <c r="BF100" s="1762"/>
      <c r="BG100" s="1763"/>
      <c r="BH100" s="1764" t="s">
        <v>85</v>
      </c>
      <c r="BI100" s="1761"/>
      <c r="BJ100" s="1765"/>
    </row>
    <row r="101" spans="2:62" ht="12.75" customHeight="1" outlineLevel="1" x14ac:dyDescent="0.2">
      <c r="B101" s="200"/>
      <c r="C101" s="201"/>
      <c r="D101" s="504" t="s">
        <v>61</v>
      </c>
      <c r="E101" s="504" t="s">
        <v>63</v>
      </c>
      <c r="F101" s="208" t="s">
        <v>2054</v>
      </c>
      <c r="G101" s="208" t="s">
        <v>88</v>
      </c>
      <c r="H101" s="701" t="s">
        <v>1279</v>
      </c>
      <c r="I101" s="701" t="s">
        <v>768</v>
      </c>
      <c r="J101" s="701" t="s">
        <v>24</v>
      </c>
      <c r="K101" s="208" t="s">
        <v>89</v>
      </c>
      <c r="L101" s="701" t="s">
        <v>1279</v>
      </c>
      <c r="M101" s="701" t="s">
        <v>768</v>
      </c>
      <c r="N101" s="701" t="s">
        <v>24</v>
      </c>
      <c r="O101" s="700" t="s">
        <v>1279</v>
      </c>
      <c r="P101" s="700" t="s">
        <v>768</v>
      </c>
      <c r="Q101" s="700" t="s">
        <v>24</v>
      </c>
      <c r="R101" s="702" t="s">
        <v>61</v>
      </c>
      <c r="X101" s="1633" t="s">
        <v>2109</v>
      </c>
      <c r="Y101" s="504"/>
      <c r="Z101" s="506" t="s">
        <v>1279</v>
      </c>
      <c r="AA101" s="506" t="s">
        <v>768</v>
      </c>
      <c r="AB101" s="506" t="s">
        <v>24</v>
      </c>
      <c r="AC101" s="223" t="s">
        <v>41</v>
      </c>
      <c r="AD101" s="508" t="s">
        <v>61</v>
      </c>
      <c r="AE101" s="42"/>
      <c r="AF101" s="507"/>
      <c r="AG101" s="506" t="s">
        <v>1279</v>
      </c>
      <c r="AH101" s="506" t="s">
        <v>768</v>
      </c>
      <c r="AI101" s="506" t="s">
        <v>24</v>
      </c>
      <c r="AJ101" s="223" t="s">
        <v>41</v>
      </c>
      <c r="AK101" s="504" t="s">
        <v>61</v>
      </c>
      <c r="AL101" s="504"/>
      <c r="AM101" s="506" t="s">
        <v>1279</v>
      </c>
      <c r="AN101" s="506" t="s">
        <v>768</v>
      </c>
      <c r="AO101" s="506" t="s">
        <v>24</v>
      </c>
      <c r="AP101" s="223" t="s">
        <v>41</v>
      </c>
      <c r="AQ101" s="508" t="s">
        <v>61</v>
      </c>
      <c r="AS101" s="732" t="s">
        <v>1279</v>
      </c>
      <c r="AT101" s="733" t="s">
        <v>768</v>
      </c>
      <c r="AU101" s="733" t="s">
        <v>24</v>
      </c>
      <c r="AV101" s="733" t="s">
        <v>1279</v>
      </c>
      <c r="AW101" s="733" t="s">
        <v>768</v>
      </c>
      <c r="AX101" s="733" t="s">
        <v>24</v>
      </c>
      <c r="AY101" s="733" t="s">
        <v>1279</v>
      </c>
      <c r="AZ101" s="733" t="s">
        <v>768</v>
      </c>
      <c r="BA101" s="733" t="s">
        <v>24</v>
      </c>
      <c r="BB101" s="733" t="s">
        <v>1279</v>
      </c>
      <c r="BC101" s="733" t="s">
        <v>768</v>
      </c>
      <c r="BD101" s="733" t="s">
        <v>24</v>
      </c>
      <c r="BE101" s="734" t="s">
        <v>1279</v>
      </c>
      <c r="BF101" s="734" t="s">
        <v>768</v>
      </c>
      <c r="BG101" s="735" t="s">
        <v>24</v>
      </c>
      <c r="BH101" s="732" t="s">
        <v>1279</v>
      </c>
      <c r="BI101" s="733" t="s">
        <v>768</v>
      </c>
      <c r="BJ101" s="736" t="s">
        <v>24</v>
      </c>
    </row>
    <row r="102" spans="2:62" ht="12.75" customHeight="1" outlineLevel="1" x14ac:dyDescent="0.2">
      <c r="B102" s="467" t="s">
        <v>1463</v>
      </c>
      <c r="C102" s="468"/>
      <c r="D102" s="262">
        <f>SUM(O102:Q102)</f>
        <v>0</v>
      </c>
      <c r="E102" s="265">
        <f>D102*12/44</f>
        <v>0</v>
      </c>
      <c r="F102" s="559"/>
      <c r="G102" s="182"/>
      <c r="H102" s="493">
        <f>VLOOKUP($B102,'Emissions factors'!$B$1566:$AG$1580,2,FALSE)</f>
        <v>3.6700000000000003E-2</v>
      </c>
      <c r="I102" s="493">
        <f>VLOOKUP($B102,'Emissions factors'!$B$1566:$AG$1580,3,FALSE)</f>
        <v>3.1981000000000002E-2</v>
      </c>
      <c r="J102" s="493">
        <f>VLOOKUP($B102,'Emissions factors'!$B$1566:$AG$1580,4,FALSE)</f>
        <v>0.13542399999999999</v>
      </c>
      <c r="K102" s="182"/>
      <c r="L102" s="493">
        <f>VLOOKUP($B102,'Emissions factors'!$B$1566:$AG$1580,17,FALSE)</f>
        <v>7.3499999999999996E-2</v>
      </c>
      <c r="M102" s="493">
        <f>VLOOKUP($B102,'Emissions factors'!$B$1566:$AG$1580,18,FALSE)</f>
        <v>6.4049999999999996E-2</v>
      </c>
      <c r="N102" s="493">
        <f>VLOOKUP($B102,'Emissions factors'!$B$1566:$AG$1580,19,FALSE)</f>
        <v>0.27084799999999998</v>
      </c>
      <c r="O102" s="465">
        <f>H102*G102+K102*L102</f>
        <v>0</v>
      </c>
      <c r="P102" s="465">
        <f>I102*G102+K102*M102</f>
        <v>0</v>
      </c>
      <c r="Q102" s="210">
        <f>G102*J102+K102*N102</f>
        <v>0</v>
      </c>
      <c r="R102" s="222">
        <f>IF(OR(F102='Info utili'!$G$532,F102='Info utili'!$G$537),Q102,0)</f>
        <v>0</v>
      </c>
      <c r="X102" s="282">
        <f>VLOOKUP($B102,'Emissions factors'!$B$1566:$AG$1580,32,FALSE)</f>
        <v>0.6</v>
      </c>
      <c r="Y102" s="184"/>
      <c r="Z102" s="221">
        <f>O102*SQRT(X102^2+Y102^2)</f>
        <v>0</v>
      </c>
      <c r="AA102" s="221">
        <f>P102*SQRT(X102^2+Y102^2)</f>
        <v>0</v>
      </c>
      <c r="AB102" s="221">
        <f>Q102*(SQRT(X102^2+Y102^2))</f>
        <v>0</v>
      </c>
      <c r="AC102" s="210">
        <f>SQRT(SUMSQ(Z102:AB102))</f>
        <v>0</v>
      </c>
      <c r="AD102" s="222">
        <f>R102*SQRT(X102^2+Y102^2)</f>
        <v>0</v>
      </c>
      <c r="AF102" s="184"/>
      <c r="AG102" s="221">
        <f t="shared" ref="AG102:AI104" si="21">O102*$AF102</f>
        <v>0</v>
      </c>
      <c r="AH102" s="221">
        <f t="shared" si="21"/>
        <v>0</v>
      </c>
      <c r="AI102" s="221">
        <f t="shared" si="21"/>
        <v>0</v>
      </c>
      <c r="AJ102" s="210">
        <f>SUM(AG102:AI102)</f>
        <v>0</v>
      </c>
      <c r="AK102" s="221">
        <f>R102*$AF102</f>
        <v>0</v>
      </c>
      <c r="AL102" s="184"/>
      <c r="AM102" s="221">
        <f>AL102*O102</f>
        <v>0</v>
      </c>
      <c r="AN102" s="221">
        <f>AL102*P102</f>
        <v>0</v>
      </c>
      <c r="AO102" s="221">
        <f>AL102*Q102</f>
        <v>0</v>
      </c>
      <c r="AP102" s="210">
        <f>SUM(AM102:AO102)</f>
        <v>0</v>
      </c>
      <c r="AQ102" s="222">
        <f>AL102*R102</f>
        <v>0</v>
      </c>
      <c r="AS102" s="717">
        <f>G102*VLOOKUP($B102,'Emissions factors'!$B$1566:$AG$1580,5,FALSE)+K102*VLOOKUP($B102,'Emissions factors'!$B$1566:$AG$1580,20,FALSE)</f>
        <v>0</v>
      </c>
      <c r="AT102" s="718">
        <f>G102*VLOOKUP($B102,'Emissions factors'!$B$1566:$AG$1580,6,FALSE)+K102*VLOOKUP($B102,'Emissions factors'!$B$1566:$AG$1580,21,FALSE)</f>
        <v>0</v>
      </c>
      <c r="AU102" s="718">
        <f>G102*VLOOKUP($B102,'Emissions factors'!$B$1566:$AG$1580,7,FALSE)+K102*VLOOKUP($B102,'Emissions factors'!$B$1566:$AG$1580,22,FALSE)</f>
        <v>0</v>
      </c>
      <c r="AV102" s="718">
        <f>G102*VLOOKUP($B102,'Emissions factors'!$B$1566:$AG$1580,8,FALSE)+K102*VLOOKUP($B102,'Emissions factors'!$B$1566:$AG$1580,23,FALSE)</f>
        <v>0</v>
      </c>
      <c r="AW102" s="718">
        <f>G102*VLOOKUP($B102,'Emissions factors'!$B$1566:$AG$1580,9,FALSE)+K102*VLOOKUP($B102,'Emissions factors'!$B$1566:$AG$1580,24,FALSE)</f>
        <v>0</v>
      </c>
      <c r="AX102" s="718">
        <f>G102*VLOOKUP($B102,'Emissions factors'!$B$1566:$AG$1580,10,FALSE)+K102*VLOOKUP($B102,'Emissions factors'!$B$1566:$AG$1580,25,FALSE)</f>
        <v>0</v>
      </c>
      <c r="AY102" s="718">
        <f>G102*VLOOKUP($B102,'Emissions factors'!$B$1566:$AG$1580,11,FALSE)+K102*VLOOKUP($B102,'Emissions factors'!$B$1566:$AG$1580,26,FALSE)</f>
        <v>0</v>
      </c>
      <c r="AZ102" s="718">
        <f>G102*VLOOKUP($B102,'Emissions factors'!$B$1566:$AG$1580,12,FALSE)+K102*VLOOKUP($B102,'Emissions factors'!$B$1566:$AG$1580,27,FALSE)</f>
        <v>0</v>
      </c>
      <c r="BA102" s="718">
        <f>G102*VLOOKUP($B102,'Emissions factors'!$B$1566:$AG$1580,13,FALSE)+K102*VLOOKUP($B102,'Emissions factors'!$B$1566:$AG$1580,28,FALSE)</f>
        <v>0</v>
      </c>
      <c r="BB102" s="718">
        <v>0</v>
      </c>
      <c r="BC102" s="718">
        <v>0</v>
      </c>
      <c r="BD102" s="718">
        <v>0</v>
      </c>
      <c r="BE102" s="719">
        <f t="shared" ref="BE102:BG104" si="22">O102</f>
        <v>0</v>
      </c>
      <c r="BF102" s="719">
        <f t="shared" si="22"/>
        <v>0</v>
      </c>
      <c r="BG102" s="720">
        <f t="shared" si="22"/>
        <v>0</v>
      </c>
      <c r="BH102" s="717">
        <f>G102*VLOOKUP($B102,'Emissions factors'!$B$1566:$AG$1580,14,FALSE)+K102*VLOOKUP($B102,'Emissions factors'!$B$1566:$AG$1580,29,FALSE)</f>
        <v>0</v>
      </c>
      <c r="BI102" s="718">
        <f>G102*VLOOKUP($B102,'Emissions factors'!$B$1566:$AG$1580,15,FALSE)+K102*VLOOKUP($B102,'Emissions factors'!$B$1566:$AG$1580,30,FALSE)</f>
        <v>0</v>
      </c>
      <c r="BJ102" s="721">
        <f>G102*VLOOKUP($B102,'Emissions factors'!$B$1566:$AG$1580,16,FALSE)+K102*VLOOKUP($B102,'Emissions factors'!$B$1566:$AG$1580,31,FALSE)</f>
        <v>0</v>
      </c>
    </row>
    <row r="103" spans="2:62" ht="12.75" customHeight="1" outlineLevel="1" x14ac:dyDescent="0.2">
      <c r="B103" s="467" t="s">
        <v>1463</v>
      </c>
      <c r="C103" s="468"/>
      <c r="D103" s="262">
        <f>SUM(O103:Q103)</f>
        <v>0</v>
      </c>
      <c r="E103" s="265">
        <f>D103*12/44</f>
        <v>0</v>
      </c>
      <c r="F103" s="442"/>
      <c r="G103" s="185"/>
      <c r="H103" s="493">
        <f>VLOOKUP($B103,'Emissions factors'!$B$1566:$AG$1580,2,FALSE)</f>
        <v>3.6700000000000003E-2</v>
      </c>
      <c r="I103" s="493">
        <f>VLOOKUP($B103,'Emissions factors'!$B$1566:$AG$1580,3,FALSE)</f>
        <v>3.1981000000000002E-2</v>
      </c>
      <c r="J103" s="493">
        <f>VLOOKUP($B103,'Emissions factors'!$B$1566:$AG$1580,4,FALSE)</f>
        <v>0.13542399999999999</v>
      </c>
      <c r="K103" s="185"/>
      <c r="L103" s="493">
        <f>VLOOKUP($B103,'Emissions factors'!$B$1566:$AG$1580,17,FALSE)</f>
        <v>7.3499999999999996E-2</v>
      </c>
      <c r="M103" s="493">
        <f>VLOOKUP($B103,'Emissions factors'!$B$1566:$AG$1580,18,FALSE)</f>
        <v>6.4049999999999996E-2</v>
      </c>
      <c r="N103" s="493">
        <f>VLOOKUP($B103,'Emissions factors'!$B$1566:$AG$1580,19,FALSE)</f>
        <v>0.27084799999999998</v>
      </c>
      <c r="O103" s="465">
        <f>H103*G103+K103*L103</f>
        <v>0</v>
      </c>
      <c r="P103" s="465">
        <f>I103*G103+K103*M103</f>
        <v>0</v>
      </c>
      <c r="Q103" s="210">
        <f>G103*J103+K103*N103</f>
        <v>0</v>
      </c>
      <c r="R103" s="222">
        <f>IF(OR(F103='Info utili'!$G$532,F103='Info utili'!$G$537),Q103,0)</f>
        <v>0</v>
      </c>
      <c r="X103" s="282">
        <f>VLOOKUP($B103,'Emissions factors'!$B$1566:$AG$1580,32,FALSE)</f>
        <v>0.6</v>
      </c>
      <c r="Y103" s="187"/>
      <c r="Z103" s="221">
        <f>O103*SQRT(X103^2+Y103^2)</f>
        <v>0</v>
      </c>
      <c r="AA103" s="221">
        <f>P103*SQRT(X103^2+Y103^2)</f>
        <v>0</v>
      </c>
      <c r="AB103" s="221">
        <f>Q103*(SQRT(X103^2+Y103^2))</f>
        <v>0</v>
      </c>
      <c r="AC103" s="210">
        <f>SQRT(SUMSQ(Z103:AB103))</f>
        <v>0</v>
      </c>
      <c r="AD103" s="222">
        <f>R103*SQRT(X103^2+Y103^2)</f>
        <v>0</v>
      </c>
      <c r="AF103" s="187"/>
      <c r="AG103" s="221">
        <f t="shared" si="21"/>
        <v>0</v>
      </c>
      <c r="AH103" s="221">
        <f t="shared" si="21"/>
        <v>0</v>
      </c>
      <c r="AI103" s="221">
        <f t="shared" si="21"/>
        <v>0</v>
      </c>
      <c r="AJ103" s="210">
        <f>SUM(AG103:AI103)</f>
        <v>0</v>
      </c>
      <c r="AK103" s="221">
        <f>R103*$AF103</f>
        <v>0</v>
      </c>
      <c r="AL103" s="187"/>
      <c r="AM103" s="221">
        <f>AL103*O103</f>
        <v>0</v>
      </c>
      <c r="AN103" s="221">
        <f>AL103*P103</f>
        <v>0</v>
      </c>
      <c r="AO103" s="221">
        <f>AL103*Q103</f>
        <v>0</v>
      </c>
      <c r="AP103" s="210">
        <f>SUM(AM103:AO103)</f>
        <v>0</v>
      </c>
      <c r="AQ103" s="222">
        <f>AL103*R103</f>
        <v>0</v>
      </c>
      <c r="AS103" s="717">
        <f>G103*VLOOKUP($B103,'Emissions factors'!$B$1566:$AG$1580,5,FALSE)+K103*VLOOKUP($B103,'Emissions factors'!$B$1566:$AG$1580,20,FALSE)</f>
        <v>0</v>
      </c>
      <c r="AT103" s="718">
        <f>G103*VLOOKUP($B103,'Emissions factors'!$B$1566:$AG$1580,6,FALSE)+K103*VLOOKUP($B103,'Emissions factors'!$B$1566:$AG$1580,21,FALSE)</f>
        <v>0</v>
      </c>
      <c r="AU103" s="718">
        <f>G103*VLOOKUP($B103,'Emissions factors'!$B$1566:$AG$1580,7,FALSE)+K103*VLOOKUP($B103,'Emissions factors'!$B$1566:$AG$1580,22,FALSE)</f>
        <v>0</v>
      </c>
      <c r="AV103" s="718">
        <f>G103*VLOOKUP($B103,'Emissions factors'!$B$1566:$AG$1580,8,FALSE)+K103*VLOOKUP($B103,'Emissions factors'!$B$1566:$AG$1580,23,FALSE)</f>
        <v>0</v>
      </c>
      <c r="AW103" s="718">
        <f>G103*VLOOKUP($B103,'Emissions factors'!$B$1566:$AG$1580,9,FALSE)+K103*VLOOKUP($B103,'Emissions factors'!$B$1566:$AG$1580,24,FALSE)</f>
        <v>0</v>
      </c>
      <c r="AX103" s="718">
        <f>G103*VLOOKUP($B103,'Emissions factors'!$B$1566:$AG$1580,10,FALSE)+K103*VLOOKUP($B103,'Emissions factors'!$B$1566:$AG$1580,25,FALSE)</f>
        <v>0</v>
      </c>
      <c r="AY103" s="718">
        <f>G103*VLOOKUP($B103,'Emissions factors'!$B$1566:$AG$1580,11,FALSE)+K103*VLOOKUP($B103,'Emissions factors'!$B$1566:$AG$1580,26,FALSE)</f>
        <v>0</v>
      </c>
      <c r="AZ103" s="718">
        <f>G103*VLOOKUP($B103,'Emissions factors'!$B$1566:$AG$1580,12,FALSE)+K103*VLOOKUP($B103,'Emissions factors'!$B$1566:$AG$1580,27,FALSE)</f>
        <v>0</v>
      </c>
      <c r="BA103" s="718">
        <f>G103*VLOOKUP($B103,'Emissions factors'!$B$1566:$AG$1580,13,FALSE)+K103*VLOOKUP($B103,'Emissions factors'!$B$1566:$AG$1580,28,FALSE)</f>
        <v>0</v>
      </c>
      <c r="BB103" s="718">
        <v>0</v>
      </c>
      <c r="BC103" s="718">
        <v>0</v>
      </c>
      <c r="BD103" s="718">
        <v>0</v>
      </c>
      <c r="BE103" s="719">
        <f t="shared" si="22"/>
        <v>0</v>
      </c>
      <c r="BF103" s="719">
        <f t="shared" si="22"/>
        <v>0</v>
      </c>
      <c r="BG103" s="720">
        <f t="shared" si="22"/>
        <v>0</v>
      </c>
      <c r="BH103" s="717">
        <f>G103*VLOOKUP($B103,'Emissions factors'!$B$1566:$AG$1580,14,FALSE)+K103*VLOOKUP($B103,'Emissions factors'!$B$1566:$AG$1580,29,FALSE)</f>
        <v>0</v>
      </c>
      <c r="BI103" s="718">
        <f>G103*VLOOKUP($B103,'Emissions factors'!$B$1566:$AG$1580,15,FALSE)+K103*VLOOKUP($B103,'Emissions factors'!$B$1566:$AG$1580,30,FALSE)</f>
        <v>0</v>
      </c>
      <c r="BJ103" s="721">
        <f>G103*VLOOKUP($B103,'Emissions factors'!$B$1566:$AG$1580,16,FALSE)+K103*VLOOKUP($B103,'Emissions factors'!$B$1566:$AG$1580,31,FALSE)</f>
        <v>0</v>
      </c>
    </row>
    <row r="104" spans="2:62" ht="12.75" customHeight="1" outlineLevel="1" x14ac:dyDescent="0.2">
      <c r="B104" s="467" t="s">
        <v>1464</v>
      </c>
      <c r="C104" s="468"/>
      <c r="D104" s="262">
        <f>SUM(O104:Q104)</f>
        <v>0</v>
      </c>
      <c r="E104" s="265">
        <f>D104*12/44</f>
        <v>0</v>
      </c>
      <c r="F104" s="443"/>
      <c r="G104" s="188"/>
      <c r="H104" s="493">
        <f>VLOOKUP($B104,'Emissions factors'!$B$1566:$AG$1580,2,FALSE)</f>
        <v>3.6700000000000003E-2</v>
      </c>
      <c r="I104" s="493">
        <f>VLOOKUP($B104,'Emissions factors'!$B$1566:$AG$1580,3,FALSE)</f>
        <v>3.841E-2</v>
      </c>
      <c r="J104" s="493">
        <f>VLOOKUP($B104,'Emissions factors'!$B$1566:$AG$1580,4,FALSE)</f>
        <v>0.16270899999999999</v>
      </c>
      <c r="K104" s="188"/>
      <c r="L104" s="493">
        <f>VLOOKUP($B104,'Emissions factors'!$B$1566:$AG$1580,17,FALSE)</f>
        <v>7.3499999999999996E-2</v>
      </c>
      <c r="M104" s="493">
        <f>VLOOKUP($B104,'Emissions factors'!$B$1566:$AG$1580,18,FALSE)</f>
        <v>7.6830000000000009E-2</v>
      </c>
      <c r="N104" s="493">
        <f>VLOOKUP($B104,'Emissions factors'!$B$1566:$AG$1580,19,FALSE)</f>
        <v>0.32541799999999999</v>
      </c>
      <c r="O104" s="465">
        <f>H104*G104+K104*L104</f>
        <v>0</v>
      </c>
      <c r="P104" s="465">
        <f>I104*G104+K104*M104</f>
        <v>0</v>
      </c>
      <c r="Q104" s="210">
        <f>G104*J104+K104*N104</f>
        <v>0</v>
      </c>
      <c r="R104" s="222">
        <f>IF(OR(F104='Info utili'!$G$532,F104='Info utili'!$G$537),Q104,0)</f>
        <v>0</v>
      </c>
      <c r="X104" s="282">
        <f>VLOOKUP($B104,'Emissions factors'!$B$1566:$AG$1580,32,FALSE)</f>
        <v>0.6</v>
      </c>
      <c r="Y104" s="190"/>
      <c r="Z104" s="221">
        <f>O104*SQRT(X104^2+Y104^2)</f>
        <v>0</v>
      </c>
      <c r="AA104" s="221">
        <f>P104*SQRT(X104^2+Y104^2)</f>
        <v>0</v>
      </c>
      <c r="AB104" s="221">
        <f>Q104*(SQRT(X104^2+Y104^2))</f>
        <v>0</v>
      </c>
      <c r="AC104" s="210">
        <f>SQRT(SUMSQ(Z104:AB104))</f>
        <v>0</v>
      </c>
      <c r="AD104" s="222">
        <f>R104*SQRT(X104^2+Y104^2)</f>
        <v>0</v>
      </c>
      <c r="AF104" s="190"/>
      <c r="AG104" s="221">
        <f t="shared" si="21"/>
        <v>0</v>
      </c>
      <c r="AH104" s="221">
        <f t="shared" si="21"/>
        <v>0</v>
      </c>
      <c r="AI104" s="221">
        <f t="shared" si="21"/>
        <v>0</v>
      </c>
      <c r="AJ104" s="210">
        <f>SUM(AG104:AI104)</f>
        <v>0</v>
      </c>
      <c r="AK104" s="221">
        <f>R104*$AF104</f>
        <v>0</v>
      </c>
      <c r="AL104" s="190"/>
      <c r="AM104" s="221">
        <f>AL104*O104</f>
        <v>0</v>
      </c>
      <c r="AN104" s="221">
        <f>AL104*P104</f>
        <v>0</v>
      </c>
      <c r="AO104" s="221">
        <f>AL104*Q104</f>
        <v>0</v>
      </c>
      <c r="AP104" s="210">
        <f>SUM(AM104:AO104)</f>
        <v>0</v>
      </c>
      <c r="AQ104" s="222">
        <f>AL104*R104</f>
        <v>0</v>
      </c>
      <c r="AS104" s="717">
        <f>G104*VLOOKUP($B104,'Emissions factors'!$B$1566:$AG$1580,5,FALSE)+K104*VLOOKUP($B104,'Emissions factors'!$B$1566:$AG$1580,20,FALSE)</f>
        <v>0</v>
      </c>
      <c r="AT104" s="718">
        <f>G104*VLOOKUP($B104,'Emissions factors'!$B$1566:$AG$1580,6,FALSE)+K104*VLOOKUP($B104,'Emissions factors'!$B$1566:$AG$1580,21,FALSE)</f>
        <v>0</v>
      </c>
      <c r="AU104" s="718">
        <f>G104*VLOOKUP($B104,'Emissions factors'!$B$1566:$AG$1580,7,FALSE)+K104*VLOOKUP($B104,'Emissions factors'!$B$1566:$AG$1580,22,FALSE)</f>
        <v>0</v>
      </c>
      <c r="AV104" s="718">
        <f>G104*VLOOKUP($B104,'Emissions factors'!$B$1566:$AG$1580,8,FALSE)+K104*VLOOKUP($B104,'Emissions factors'!$B$1566:$AG$1580,23,FALSE)</f>
        <v>0</v>
      </c>
      <c r="AW104" s="718">
        <f>G104*VLOOKUP($B104,'Emissions factors'!$B$1566:$AG$1580,9,FALSE)+K104*VLOOKUP($B104,'Emissions factors'!$B$1566:$AG$1580,24,FALSE)</f>
        <v>0</v>
      </c>
      <c r="AX104" s="718">
        <f>G104*VLOOKUP($B104,'Emissions factors'!$B$1566:$AG$1580,10,FALSE)+K104*VLOOKUP($B104,'Emissions factors'!$B$1566:$AG$1580,25,FALSE)</f>
        <v>0</v>
      </c>
      <c r="AY104" s="718">
        <f>G104*VLOOKUP($B104,'Emissions factors'!$B$1566:$AG$1580,11,FALSE)+K104*VLOOKUP($B104,'Emissions factors'!$B$1566:$AG$1580,26,FALSE)</f>
        <v>0</v>
      </c>
      <c r="AZ104" s="718">
        <f>G104*VLOOKUP($B104,'Emissions factors'!$B$1566:$AG$1580,12,FALSE)+K104*VLOOKUP($B104,'Emissions factors'!$B$1566:$AG$1580,27,FALSE)</f>
        <v>0</v>
      </c>
      <c r="BA104" s="718">
        <f>G104*VLOOKUP($B104,'Emissions factors'!$B$1566:$AG$1580,13,FALSE)+K104*VLOOKUP($B104,'Emissions factors'!$B$1566:$AG$1580,28,FALSE)</f>
        <v>0</v>
      </c>
      <c r="BB104" s="718">
        <v>0</v>
      </c>
      <c r="BC104" s="718">
        <v>0</v>
      </c>
      <c r="BD104" s="718">
        <v>0</v>
      </c>
      <c r="BE104" s="719">
        <f t="shared" si="22"/>
        <v>0</v>
      </c>
      <c r="BF104" s="719">
        <f t="shared" si="22"/>
        <v>0</v>
      </c>
      <c r="BG104" s="720">
        <f t="shared" si="22"/>
        <v>0</v>
      </c>
      <c r="BH104" s="717">
        <f>G104*VLOOKUP($B104,'Emissions factors'!$B$1566:$AG$1580,14,FALSE)+K104*VLOOKUP($B104,'Emissions factors'!$B$1566:$AG$1580,29,FALSE)</f>
        <v>0</v>
      </c>
      <c r="BI104" s="718">
        <f>G104*VLOOKUP($B104,'Emissions factors'!$B$1566:$AG$1580,15,FALSE)+K104*VLOOKUP($B104,'Emissions factors'!$B$1566:$AG$1580,30,FALSE)</f>
        <v>0</v>
      </c>
      <c r="BJ104" s="721">
        <f>G104*VLOOKUP($B104,'Emissions factors'!$B$1566:$AG$1580,16,FALSE)+K104*VLOOKUP($B104,'Emissions factors'!$B$1566:$AG$1580,31,FALSE)</f>
        <v>0</v>
      </c>
    </row>
    <row r="105" spans="2:62" ht="12.75" customHeight="1" outlineLevel="1" x14ac:dyDescent="0.2">
      <c r="B105" s="200"/>
      <c r="C105" s="201"/>
      <c r="D105" s="263"/>
      <c r="E105" s="266"/>
      <c r="F105" s="201"/>
      <c r="G105" s="201"/>
      <c r="H105" s="201"/>
      <c r="I105" s="201"/>
      <c r="J105" s="201"/>
      <c r="K105" s="201"/>
      <c r="L105" s="201"/>
      <c r="M105" s="201"/>
      <c r="N105" s="201"/>
      <c r="O105" s="201"/>
      <c r="P105" s="201"/>
      <c r="Q105" s="221"/>
      <c r="R105" s="466"/>
      <c r="X105" s="200"/>
      <c r="Y105" s="221"/>
      <c r="Z105" s="221"/>
      <c r="AA105" s="221"/>
      <c r="AB105" s="221"/>
      <c r="AC105" s="210"/>
      <c r="AD105" s="222"/>
      <c r="AF105" s="480"/>
      <c r="AG105" s="221"/>
      <c r="AH105" s="221"/>
      <c r="AI105" s="221"/>
      <c r="AJ105" s="214"/>
      <c r="AK105" s="221"/>
      <c r="AL105" s="221"/>
      <c r="AM105" s="221"/>
      <c r="AN105" s="221"/>
      <c r="AO105" s="221"/>
      <c r="AP105" s="214"/>
      <c r="AQ105" s="222"/>
      <c r="AS105" s="717"/>
      <c r="AT105" s="718"/>
      <c r="AU105" s="718"/>
      <c r="AV105" s="718"/>
      <c r="AW105" s="718"/>
      <c r="AX105" s="718"/>
      <c r="AY105" s="718"/>
      <c r="AZ105" s="718"/>
      <c r="BA105" s="718"/>
      <c r="BB105" s="718"/>
      <c r="BC105" s="718"/>
      <c r="BD105" s="718"/>
      <c r="BE105" s="719"/>
      <c r="BF105" s="719"/>
      <c r="BG105" s="720"/>
      <c r="BH105" s="722"/>
      <c r="BI105" s="786"/>
      <c r="BJ105" s="723"/>
    </row>
    <row r="106" spans="2:62" ht="12.75" customHeight="1" outlineLevel="1" x14ac:dyDescent="0.2">
      <c r="B106" s="253" t="s">
        <v>2828</v>
      </c>
      <c r="C106" s="254"/>
      <c r="D106" s="264">
        <f>SUM(D102:D105)</f>
        <v>0</v>
      </c>
      <c r="E106" s="267">
        <f>SUM(E102:E105)</f>
        <v>0</v>
      </c>
      <c r="F106" s="254"/>
      <c r="G106" s="254"/>
      <c r="H106" s="254"/>
      <c r="I106" s="254"/>
      <c r="J106" s="254"/>
      <c r="K106" s="254"/>
      <c r="L106" s="254"/>
      <c r="M106" s="254"/>
      <c r="N106" s="254"/>
      <c r="O106" s="259">
        <f>SUM(O102:O105)</f>
        <v>0</v>
      </c>
      <c r="P106" s="259">
        <f>SUM(P102:P105)</f>
        <v>0</v>
      </c>
      <c r="Q106" s="259">
        <f>SUM(Q102:Q105)</f>
        <v>0</v>
      </c>
      <c r="R106" s="428">
        <f>SUM(R102:R105)</f>
        <v>0</v>
      </c>
      <c r="X106" s="258"/>
      <c r="Y106" s="260"/>
      <c r="Z106" s="260">
        <f>SQRT(SUMSQ(Z102:Z105))</f>
        <v>0</v>
      </c>
      <c r="AA106" s="260">
        <f>SQRT(SUMSQ(AA102:AA105))</f>
        <v>0</v>
      </c>
      <c r="AB106" s="260">
        <f>SQRT(SUMSQ(AB102:AB105))</f>
        <v>0</v>
      </c>
      <c r="AC106" s="259">
        <f>SQRT(SUMSQ(AC102:AC105))</f>
        <v>0</v>
      </c>
      <c r="AD106" s="428">
        <f>SQRT(SUMSQ(AD102:AD105))</f>
        <v>0</v>
      </c>
      <c r="AF106" s="489"/>
      <c r="AG106" s="260">
        <f>SUM(AG102:AG105)</f>
        <v>0</v>
      </c>
      <c r="AH106" s="260">
        <f>SUM(AH102:AH105)</f>
        <v>0</v>
      </c>
      <c r="AI106" s="260">
        <f>SUM(AI102:AI105)</f>
        <v>0</v>
      </c>
      <c r="AJ106" s="259">
        <f>SUM(AJ102:AJ105)</f>
        <v>0</v>
      </c>
      <c r="AK106" s="260">
        <f>SUM(AK102:AK105)</f>
        <v>0</v>
      </c>
      <c r="AL106" s="259"/>
      <c r="AM106" s="260">
        <f>SUM(AM102:AM105)</f>
        <v>0</v>
      </c>
      <c r="AN106" s="260">
        <f>SUM(AN102:AN105)</f>
        <v>0</v>
      </c>
      <c r="AO106" s="260">
        <f>SUM(AO102:AO105)</f>
        <v>0</v>
      </c>
      <c r="AP106" s="259">
        <f>SUM(AP102:AP105)</f>
        <v>0</v>
      </c>
      <c r="AQ106" s="428">
        <f>SUM(AQ102:AQ105)</f>
        <v>0</v>
      </c>
      <c r="AS106" s="724">
        <f t="shared" ref="AS106:BJ106" si="23">SUM(AS102:AS105)</f>
        <v>0</v>
      </c>
      <c r="AT106" s="725">
        <f t="shared" si="23"/>
        <v>0</v>
      </c>
      <c r="AU106" s="725">
        <f t="shared" si="23"/>
        <v>0</v>
      </c>
      <c r="AV106" s="725">
        <f t="shared" si="23"/>
        <v>0</v>
      </c>
      <c r="AW106" s="725">
        <f t="shared" si="23"/>
        <v>0</v>
      </c>
      <c r="AX106" s="725">
        <f t="shared" si="23"/>
        <v>0</v>
      </c>
      <c r="AY106" s="725">
        <f t="shared" si="23"/>
        <v>0</v>
      </c>
      <c r="AZ106" s="725">
        <f t="shared" si="23"/>
        <v>0</v>
      </c>
      <c r="BA106" s="725">
        <f t="shared" si="23"/>
        <v>0</v>
      </c>
      <c r="BB106" s="725">
        <f t="shared" si="23"/>
        <v>0</v>
      </c>
      <c r="BC106" s="725">
        <f t="shared" si="23"/>
        <v>0</v>
      </c>
      <c r="BD106" s="725">
        <f t="shared" si="23"/>
        <v>0</v>
      </c>
      <c r="BE106" s="726">
        <f t="shared" si="23"/>
        <v>0</v>
      </c>
      <c r="BF106" s="726">
        <f t="shared" si="23"/>
        <v>0</v>
      </c>
      <c r="BG106" s="727">
        <f t="shared" si="23"/>
        <v>0</v>
      </c>
      <c r="BH106" s="724">
        <f t="shared" si="23"/>
        <v>0</v>
      </c>
      <c r="BI106" s="725">
        <f t="shared" si="23"/>
        <v>0</v>
      </c>
      <c r="BJ106" s="728">
        <f t="shared" si="23"/>
        <v>0</v>
      </c>
    </row>
    <row r="107" spans="2:62" ht="12.75" customHeight="1" outlineLevel="1" x14ac:dyDescent="0.2">
      <c r="B107" s="316"/>
      <c r="C107" s="316"/>
      <c r="D107" s="316"/>
      <c r="E107" s="316"/>
      <c r="F107" s="316"/>
    </row>
    <row r="108" spans="2:62" ht="28" outlineLevel="1" x14ac:dyDescent="0.2">
      <c r="B108" s="1656" t="s">
        <v>2937</v>
      </c>
      <c r="C108" s="196"/>
      <c r="D108" s="500"/>
      <c r="E108" s="500"/>
      <c r="F108" s="198"/>
      <c r="G108" s="198"/>
      <c r="H108" s="198"/>
      <c r="I108" s="199"/>
      <c r="J108" s="42"/>
      <c r="X108" s="1746" t="s">
        <v>723</v>
      </c>
      <c r="Y108" s="1747"/>
      <c r="Z108" s="1748"/>
      <c r="AF108" s="1746" t="s">
        <v>2066</v>
      </c>
      <c r="AG108" s="1747"/>
      <c r="AH108" s="1747"/>
      <c r="AI108" s="1748"/>
      <c r="AS108" s="1755" t="s">
        <v>2073</v>
      </c>
      <c r="AT108" s="1756"/>
      <c r="AU108" s="1756"/>
      <c r="AV108" s="1756"/>
      <c r="AW108" s="1756"/>
      <c r="AX108" s="1757"/>
    </row>
    <row r="109" spans="2:62" outlineLevel="1" x14ac:dyDescent="0.2">
      <c r="B109" s="417"/>
      <c r="C109" s="225"/>
      <c r="D109" s="503" t="s">
        <v>2052</v>
      </c>
      <c r="E109" s="503" t="s">
        <v>2052</v>
      </c>
      <c r="F109" s="214"/>
      <c r="G109" s="214"/>
      <c r="H109" s="201"/>
      <c r="I109" s="203"/>
      <c r="J109" s="42"/>
      <c r="X109" s="507"/>
      <c r="Y109" s="504"/>
      <c r="Z109" s="203"/>
      <c r="AA109" s="321"/>
      <c r="AF109" s="507"/>
      <c r="AG109" s="504"/>
      <c r="AH109" s="504"/>
      <c r="AI109" s="203"/>
      <c r="AS109" s="787"/>
      <c r="AT109" s="788"/>
      <c r="AU109" s="788"/>
      <c r="AV109" s="788"/>
      <c r="AW109" s="739"/>
      <c r="AX109" s="780"/>
    </row>
    <row r="110" spans="2:62" outlineLevel="1" x14ac:dyDescent="0.2">
      <c r="B110" s="507"/>
      <c r="C110" s="504"/>
      <c r="D110" s="504" t="s">
        <v>56</v>
      </c>
      <c r="E110" s="504" t="s">
        <v>56</v>
      </c>
      <c r="F110" s="205" t="s">
        <v>2669</v>
      </c>
      <c r="G110" s="205"/>
      <c r="H110" s="504" t="s">
        <v>61</v>
      </c>
      <c r="I110" s="509" t="s">
        <v>61</v>
      </c>
      <c r="J110" s="42"/>
      <c r="X110" s="1633" t="s">
        <v>2605</v>
      </c>
      <c r="Y110" s="504" t="s">
        <v>2110</v>
      </c>
      <c r="Z110" s="509" t="s">
        <v>61</v>
      </c>
      <c r="AA110" s="321"/>
      <c r="AF110" s="507" t="s">
        <v>2065</v>
      </c>
      <c r="AG110" s="503" t="s">
        <v>61</v>
      </c>
      <c r="AH110" s="504" t="s">
        <v>2558</v>
      </c>
      <c r="AI110" s="509" t="s">
        <v>61</v>
      </c>
      <c r="AS110" s="1739" t="s">
        <v>61</v>
      </c>
      <c r="AT110" s="1740"/>
      <c r="AU110" s="1740"/>
      <c r="AV110" s="1740"/>
      <c r="AW110" s="741" t="s">
        <v>61</v>
      </c>
      <c r="AX110" s="742"/>
    </row>
    <row r="111" spans="2:62" outlineLevel="1" x14ac:dyDescent="0.2">
      <c r="B111" s="507"/>
      <c r="C111" s="504"/>
      <c r="D111" s="504" t="s">
        <v>61</v>
      </c>
      <c r="E111" s="504" t="s">
        <v>63</v>
      </c>
      <c r="F111" s="208" t="s">
        <v>2054</v>
      </c>
      <c r="G111" s="212" t="s">
        <v>2676</v>
      </c>
      <c r="H111" s="504" t="s">
        <v>2541</v>
      </c>
      <c r="I111" s="509"/>
      <c r="J111" s="42"/>
      <c r="X111" s="1633" t="s">
        <v>2109</v>
      </c>
      <c r="Y111" s="504"/>
      <c r="Z111" s="509"/>
      <c r="AA111" s="321"/>
      <c r="AF111" s="507"/>
      <c r="AG111" s="503"/>
      <c r="AH111" s="504"/>
      <c r="AI111" s="509"/>
      <c r="AS111" s="744" t="s">
        <v>14</v>
      </c>
      <c r="AT111" s="745" t="s">
        <v>60</v>
      </c>
      <c r="AU111" s="745" t="s">
        <v>27</v>
      </c>
      <c r="AV111" s="745" t="s">
        <v>2074</v>
      </c>
      <c r="AW111" s="746" t="s">
        <v>41</v>
      </c>
      <c r="AX111" s="747" t="s">
        <v>85</v>
      </c>
    </row>
    <row r="112" spans="2:62" outlineLevel="1" x14ac:dyDescent="0.2">
      <c r="B112" s="554" t="s">
        <v>960</v>
      </c>
      <c r="C112" s="555"/>
      <c r="D112" s="262">
        <f>I112</f>
        <v>0</v>
      </c>
      <c r="E112" s="265">
        <f>D112*12/44</f>
        <v>0</v>
      </c>
      <c r="F112" s="182"/>
      <c r="G112" s="182"/>
      <c r="H112" s="568">
        <f>VLOOKUP($B112,'Emissions factors'!$B$1587:$M$1614,2,FALSE)</f>
        <v>4.5199999999999997E-2</v>
      </c>
      <c r="I112" s="211">
        <f>G112*H112</f>
        <v>0</v>
      </c>
      <c r="J112" s="42"/>
      <c r="X112" s="282">
        <f>VLOOKUP($B112,'Emissions factors'!$B$1587:$M$1614,12,FALSE)</f>
        <v>0.2</v>
      </c>
      <c r="Y112" s="183"/>
      <c r="Z112" s="211">
        <f>I112*SQRT(X112^2+Y112^2)</f>
        <v>0</v>
      </c>
      <c r="AA112" s="42"/>
      <c r="AF112" s="184"/>
      <c r="AG112" s="210">
        <f>AF112*I112</f>
        <v>0</v>
      </c>
      <c r="AH112" s="184"/>
      <c r="AI112" s="211">
        <f>AH112*I112</f>
        <v>0</v>
      </c>
      <c r="AS112" s="717">
        <f>G112*VLOOKUP($B112,'Emissions factors'!$B$1587:$M$1614,3,FALSE)</f>
        <v>0</v>
      </c>
      <c r="AT112" s="718">
        <f>G112*VLOOKUP($B112,'Emissions factors'!$B$1587:$M$1614,4,FALSE)</f>
        <v>0</v>
      </c>
      <c r="AU112" s="718">
        <f>G112*VLOOKUP($B112,'Emissions factors'!$B$1587:$M$1614,5,FALSE)</f>
        <v>0</v>
      </c>
      <c r="AV112" s="718">
        <v>0</v>
      </c>
      <c r="AW112" s="720">
        <f>I112</f>
        <v>0</v>
      </c>
      <c r="AX112" s="748">
        <f>G112*VLOOKUP($B112,'Emissions factors'!$B$1587:$M$1614,6,FALSE)</f>
        <v>0</v>
      </c>
    </row>
    <row r="113" spans="1:62" outlineLevel="1" x14ac:dyDescent="0.2">
      <c r="B113" s="554" t="s">
        <v>970</v>
      </c>
      <c r="C113" s="555"/>
      <c r="D113" s="262">
        <f>I113</f>
        <v>0</v>
      </c>
      <c r="E113" s="265">
        <f>D113*12/44</f>
        <v>0</v>
      </c>
      <c r="F113" s="442"/>
      <c r="G113" s="442"/>
      <c r="H113" s="568">
        <f>VLOOKUP($B113,'Emissions factors'!$B$1587:$M$1614,2,FALSE)</f>
        <v>6.6199999999999995E-2</v>
      </c>
      <c r="I113" s="211">
        <f>G113*H113</f>
        <v>0</v>
      </c>
      <c r="J113" s="42"/>
      <c r="X113" s="282">
        <f>VLOOKUP($B113,'Emissions factors'!$B$1587:$M$1614,12,FALSE)</f>
        <v>0.2</v>
      </c>
      <c r="Y113" s="186"/>
      <c r="Z113" s="211">
        <f>I113*SQRT(X113^2+Y113^2)</f>
        <v>0</v>
      </c>
      <c r="AA113" s="42"/>
      <c r="AF113" s="187"/>
      <c r="AG113" s="210">
        <f>AF113*I113</f>
        <v>0</v>
      </c>
      <c r="AH113" s="187"/>
      <c r="AI113" s="211">
        <f>AH113*I113</f>
        <v>0</v>
      </c>
      <c r="AS113" s="717">
        <f>G113*VLOOKUP($B113,'Emissions factors'!$B$1587:$M$1614,3,FALSE)</f>
        <v>0</v>
      </c>
      <c r="AT113" s="718">
        <f>G113*VLOOKUP($B113,'Emissions factors'!$B$1587:$M$1614,4,FALSE)</f>
        <v>0</v>
      </c>
      <c r="AU113" s="718">
        <f>G113*VLOOKUP($B113,'Emissions factors'!$B$1587:$M$1614,5,FALSE)</f>
        <v>0</v>
      </c>
      <c r="AV113" s="718">
        <v>0</v>
      </c>
      <c r="AW113" s="720">
        <f>I113</f>
        <v>0</v>
      </c>
      <c r="AX113" s="748">
        <f>G113*VLOOKUP($B113,'Emissions factors'!$B$1587:$M$1614,6,FALSE)</f>
        <v>0</v>
      </c>
    </row>
    <row r="114" spans="1:62" outlineLevel="1" x14ac:dyDescent="0.2">
      <c r="B114" s="554" t="s">
        <v>699</v>
      </c>
      <c r="C114" s="555"/>
      <c r="D114" s="262">
        <f>I114</f>
        <v>0</v>
      </c>
      <c r="E114" s="265">
        <f>D114*12/44</f>
        <v>0</v>
      </c>
      <c r="F114" s="443"/>
      <c r="G114" s="443"/>
      <c r="H114" s="568">
        <f>VLOOKUP($B114,'Emissions factors'!$B$1587:$M$1614,2,FALSE)</f>
        <v>6.0000000000000001E-3</v>
      </c>
      <c r="I114" s="211">
        <f>G114*H114</f>
        <v>0</v>
      </c>
      <c r="J114" s="42"/>
      <c r="X114" s="282">
        <f>VLOOKUP($B114,'Emissions factors'!$B$1587:$M$1614,12,FALSE)</f>
        <v>0.2</v>
      </c>
      <c r="Y114" s="189"/>
      <c r="Z114" s="211">
        <f>I114*SQRT(X114^2+Y114^2)</f>
        <v>0</v>
      </c>
      <c r="AA114" s="42"/>
      <c r="AF114" s="190"/>
      <c r="AG114" s="210">
        <f>AF114*I114</f>
        <v>0</v>
      </c>
      <c r="AH114" s="190"/>
      <c r="AI114" s="211">
        <f>AH114*I114</f>
        <v>0</v>
      </c>
      <c r="AS114" s="717">
        <f>G114*VLOOKUP($B114,'Emissions factors'!$B$1587:$M$1614,3,FALSE)</f>
        <v>0</v>
      </c>
      <c r="AT114" s="718">
        <f>G114*VLOOKUP($B114,'Emissions factors'!$B$1587:$M$1614,4,FALSE)</f>
        <v>0</v>
      </c>
      <c r="AU114" s="718">
        <f>G114*VLOOKUP($B114,'Emissions factors'!$B$1587:$M$1614,5,FALSE)</f>
        <v>0</v>
      </c>
      <c r="AV114" s="718">
        <v>0</v>
      </c>
      <c r="AW114" s="720">
        <f>I114</f>
        <v>0</v>
      </c>
      <c r="AX114" s="748">
        <f>G114*VLOOKUP($B114,'Emissions factors'!$B$1587:$M$1614,6,FALSE)</f>
        <v>0</v>
      </c>
    </row>
    <row r="115" spans="1:62" ht="12.75" customHeight="1" outlineLevel="1" x14ac:dyDescent="0.2">
      <c r="B115" s="200"/>
      <c r="C115" s="201"/>
      <c r="D115" s="263"/>
      <c r="E115" s="266"/>
      <c r="F115" s="201"/>
      <c r="G115" s="201"/>
      <c r="H115" s="201"/>
      <c r="I115" s="203"/>
      <c r="J115" s="42"/>
      <c r="X115" s="200"/>
      <c r="Y115" s="201"/>
      <c r="Z115" s="222"/>
      <c r="AA115" s="42"/>
      <c r="AF115" s="200"/>
      <c r="AG115" s="503"/>
      <c r="AH115" s="201"/>
      <c r="AI115" s="222"/>
      <c r="AS115" s="717"/>
      <c r="AT115" s="718"/>
      <c r="AU115" s="718"/>
      <c r="AV115" s="718"/>
      <c r="AW115" s="720"/>
      <c r="AX115" s="749"/>
    </row>
    <row r="116" spans="1:62" outlineLevel="1" x14ac:dyDescent="0.2">
      <c r="B116" s="253" t="s">
        <v>2828</v>
      </c>
      <c r="C116" s="254"/>
      <c r="D116" s="264">
        <f>SUM(D112:D115)</f>
        <v>0</v>
      </c>
      <c r="E116" s="267">
        <f>SUM(E112:E115)</f>
        <v>0</v>
      </c>
      <c r="F116" s="255"/>
      <c r="G116" s="254"/>
      <c r="H116" s="254"/>
      <c r="I116" s="257">
        <f>SUM(I112:I115)</f>
        <v>0</v>
      </c>
      <c r="J116" s="42"/>
      <c r="X116" s="258"/>
      <c r="Y116" s="256"/>
      <c r="Z116" s="257">
        <f>SQRT(SUMSQ(Z112:Z115))</f>
        <v>0</v>
      </c>
      <c r="AA116" s="42"/>
      <c r="AF116" s="258"/>
      <c r="AG116" s="259">
        <f>SUM(AG112:AG115)</f>
        <v>0</v>
      </c>
      <c r="AH116" s="256"/>
      <c r="AI116" s="257">
        <f>SUM(AI112:AI115)</f>
        <v>0</v>
      </c>
      <c r="AS116" s="724">
        <f t="shared" ref="AS116:AX116" si="24">SUM(AS112:AS115)</f>
        <v>0</v>
      </c>
      <c r="AT116" s="725">
        <f t="shared" si="24"/>
        <v>0</v>
      </c>
      <c r="AU116" s="725">
        <f t="shared" si="24"/>
        <v>0</v>
      </c>
      <c r="AV116" s="725">
        <f t="shared" si="24"/>
        <v>0</v>
      </c>
      <c r="AW116" s="727">
        <f t="shared" si="24"/>
        <v>0</v>
      </c>
      <c r="AX116" s="750">
        <f t="shared" si="24"/>
        <v>0</v>
      </c>
    </row>
    <row r="117" spans="1:62" outlineLevel="1" x14ac:dyDescent="0.2"/>
    <row r="120" spans="1:62" s="191" customFormat="1" ht="16" x14ac:dyDescent="0.2">
      <c r="A120" s="40"/>
      <c r="B120" s="1795" t="s">
        <v>3063</v>
      </c>
      <c r="C120" s="1795"/>
      <c r="D120" s="1795"/>
      <c r="E120" s="1795"/>
      <c r="F120" s="1795"/>
      <c r="G120" s="1795"/>
      <c r="H120" s="1795"/>
      <c r="I120" s="1795"/>
      <c r="J120" s="1795"/>
      <c r="K120" s="1795"/>
      <c r="L120" s="1795"/>
      <c r="M120" s="1795"/>
      <c r="N120" s="1795"/>
      <c r="O120" s="1795"/>
      <c r="AS120" s="602"/>
      <c r="AT120" s="602"/>
      <c r="AU120" s="602"/>
      <c r="AV120" s="602"/>
      <c r="AW120" s="602"/>
      <c r="AX120" s="602"/>
      <c r="AY120" s="602"/>
      <c r="AZ120" s="602"/>
      <c r="BA120" s="602"/>
      <c r="BB120" s="602"/>
      <c r="BC120" s="602"/>
      <c r="BD120" s="602"/>
      <c r="BE120" s="751"/>
      <c r="BF120" s="751"/>
      <c r="BG120" s="751"/>
      <c r="BH120" s="751"/>
      <c r="BI120" s="751"/>
      <c r="BJ120" s="751"/>
    </row>
    <row r="121" spans="1:62" outlineLevel="1" x14ac:dyDescent="0.2"/>
    <row r="122" spans="1:62" s="42" customFormat="1" outlineLevel="1" x14ac:dyDescent="0.2">
      <c r="A122" s="40"/>
      <c r="B122" s="195" t="s">
        <v>2939</v>
      </c>
      <c r="C122" s="196"/>
      <c r="D122" s="500"/>
      <c r="E122" s="500"/>
      <c r="F122" s="196"/>
      <c r="G122" s="198"/>
      <c r="H122" s="198"/>
      <c r="I122" s="198"/>
      <c r="J122" s="198"/>
      <c r="K122" s="198"/>
      <c r="L122" s="198"/>
      <c r="M122" s="198"/>
      <c r="N122" s="198"/>
      <c r="O122" s="198"/>
      <c r="P122" s="198"/>
      <c r="Q122" s="198"/>
      <c r="R122" s="198"/>
      <c r="S122" s="198"/>
      <c r="T122" s="199"/>
      <c r="X122" s="1746" t="s">
        <v>723</v>
      </c>
      <c r="Y122" s="1747"/>
      <c r="Z122" s="1747"/>
      <c r="AA122" s="1747"/>
      <c r="AB122" s="1748"/>
      <c r="AF122" s="1746" t="s">
        <v>2066</v>
      </c>
      <c r="AG122" s="1747"/>
      <c r="AH122" s="1747"/>
      <c r="AI122" s="1747"/>
      <c r="AJ122" s="1747"/>
      <c r="AK122" s="1747"/>
      <c r="AL122" s="1747"/>
      <c r="AM122" s="1748"/>
      <c r="AR122" s="40"/>
      <c r="AS122" s="1755" t="s">
        <v>2073</v>
      </c>
      <c r="AT122" s="1756"/>
      <c r="AU122" s="1756"/>
      <c r="AV122" s="1756"/>
      <c r="AW122" s="1756"/>
      <c r="AX122" s="1756"/>
      <c r="AY122" s="1756"/>
      <c r="AZ122" s="1756"/>
      <c r="BA122" s="1756"/>
      <c r="BB122" s="1756"/>
      <c r="BC122" s="1756"/>
      <c r="BD122" s="1757"/>
      <c r="BE122" s="605"/>
      <c r="BF122" s="605"/>
      <c r="BG122" s="605"/>
      <c r="BH122" s="605"/>
      <c r="BI122" s="605"/>
      <c r="BJ122" s="605"/>
    </row>
    <row r="123" spans="1:62" outlineLevel="1" x14ac:dyDescent="0.2">
      <c r="B123" s="200"/>
      <c r="C123" s="201"/>
      <c r="D123" s="503"/>
      <c r="E123" s="503"/>
      <c r="F123" s="201"/>
      <c r="G123" s="201"/>
      <c r="H123" s="201"/>
      <c r="I123" s="201"/>
      <c r="J123" s="201"/>
      <c r="K123" s="201"/>
      <c r="L123" s="201"/>
      <c r="M123" s="201"/>
      <c r="N123" s="201"/>
      <c r="O123" s="201"/>
      <c r="P123" s="201"/>
      <c r="Q123" s="201"/>
      <c r="R123" s="201"/>
      <c r="S123" s="201"/>
      <c r="T123" s="203"/>
      <c r="U123" s="42"/>
      <c r="V123" s="42"/>
      <c r="W123" s="42"/>
      <c r="X123" s="216"/>
      <c r="Y123" s="217"/>
      <c r="Z123" s="217"/>
      <c r="AA123" s="217"/>
      <c r="AB123" s="218"/>
      <c r="AF123" s="216"/>
      <c r="AG123" s="217"/>
      <c r="AH123" s="217"/>
      <c r="AI123" s="217"/>
      <c r="AJ123" s="217"/>
      <c r="AK123" s="217"/>
      <c r="AL123" s="198"/>
      <c r="AM123" s="199"/>
      <c r="AR123" s="32"/>
      <c r="AS123" s="1758" t="s">
        <v>61</v>
      </c>
      <c r="AT123" s="1759"/>
      <c r="AU123" s="1759"/>
      <c r="AV123" s="1759"/>
      <c r="AW123" s="1759"/>
      <c r="AX123" s="1759"/>
      <c r="AY123" s="1759"/>
      <c r="AZ123" s="1759"/>
      <c r="BA123" s="1759" t="s">
        <v>61</v>
      </c>
      <c r="BB123" s="1760"/>
      <c r="BC123" s="730"/>
      <c r="BD123" s="731"/>
    </row>
    <row r="124" spans="1:62" s="32" customFormat="1" outlineLevel="1" x14ac:dyDescent="0.2">
      <c r="A124" s="40"/>
      <c r="B124" s="507" t="s">
        <v>766</v>
      </c>
      <c r="C124" s="504"/>
      <c r="D124" s="504" t="s">
        <v>56</v>
      </c>
      <c r="E124" s="504" t="s">
        <v>56</v>
      </c>
      <c r="F124" s="205" t="s">
        <v>2669</v>
      </c>
      <c r="G124" s="205" t="s">
        <v>2053</v>
      </c>
      <c r="H124" s="1744" t="s">
        <v>767</v>
      </c>
      <c r="I124" s="1835"/>
      <c r="J124" s="205" t="s">
        <v>2053</v>
      </c>
      <c r="K124" s="1744" t="s">
        <v>769</v>
      </c>
      <c r="L124" s="1835"/>
      <c r="M124" s="205" t="s">
        <v>2053</v>
      </c>
      <c r="N124" s="1744" t="s">
        <v>771</v>
      </c>
      <c r="O124" s="1835"/>
      <c r="P124" s="205" t="s">
        <v>2053</v>
      </c>
      <c r="Q124" s="1744" t="s">
        <v>770</v>
      </c>
      <c r="R124" s="1745"/>
      <c r="S124" s="503" t="s">
        <v>61</v>
      </c>
      <c r="T124" s="509" t="s">
        <v>61</v>
      </c>
      <c r="U124" s="42"/>
      <c r="V124" s="42"/>
      <c r="W124" s="42"/>
      <c r="X124" s="1633" t="s">
        <v>2605</v>
      </c>
      <c r="Y124" s="504" t="s">
        <v>2110</v>
      </c>
      <c r="Z124" s="504" t="s">
        <v>61</v>
      </c>
      <c r="AA124" s="504" t="s">
        <v>61</v>
      </c>
      <c r="AB124" s="509" t="s">
        <v>61</v>
      </c>
      <c r="AF124" s="507" t="s">
        <v>2065</v>
      </c>
      <c r="AG124" s="504" t="s">
        <v>61</v>
      </c>
      <c r="AH124" s="504" t="s">
        <v>61</v>
      </c>
      <c r="AI124" s="503" t="s">
        <v>61</v>
      </c>
      <c r="AJ124" s="504" t="s">
        <v>2558</v>
      </c>
      <c r="AK124" s="504" t="s">
        <v>61</v>
      </c>
      <c r="AL124" s="504" t="s">
        <v>61</v>
      </c>
      <c r="AM124" s="509" t="s">
        <v>61</v>
      </c>
      <c r="AS124" s="1764" t="s">
        <v>14</v>
      </c>
      <c r="AT124" s="1761"/>
      <c r="AU124" s="1761" t="s">
        <v>60</v>
      </c>
      <c r="AV124" s="1761"/>
      <c r="AW124" s="1761" t="s">
        <v>27</v>
      </c>
      <c r="AX124" s="1761"/>
      <c r="AY124" s="1761" t="s">
        <v>2074</v>
      </c>
      <c r="AZ124" s="1761"/>
      <c r="BA124" s="1762" t="s">
        <v>41</v>
      </c>
      <c r="BB124" s="1763"/>
      <c r="BC124" s="1764" t="s">
        <v>85</v>
      </c>
      <c r="BD124" s="1765"/>
      <c r="BE124" s="743"/>
      <c r="BF124" s="743"/>
      <c r="BG124" s="743"/>
      <c r="BH124" s="743"/>
      <c r="BI124" s="743"/>
      <c r="BJ124" s="743"/>
    </row>
    <row r="125" spans="1:62" s="32" customFormat="1" outlineLevel="1" x14ac:dyDescent="0.2">
      <c r="A125" s="40"/>
      <c r="B125" s="507"/>
      <c r="C125" s="504"/>
      <c r="D125" s="504" t="s">
        <v>61</v>
      </c>
      <c r="E125" s="504" t="s">
        <v>63</v>
      </c>
      <c r="F125" s="208" t="s">
        <v>2054</v>
      </c>
      <c r="G125" s="212" t="s">
        <v>34</v>
      </c>
      <c r="H125" s="506" t="s">
        <v>768</v>
      </c>
      <c r="I125" s="506" t="s">
        <v>24</v>
      </c>
      <c r="J125" s="212" t="s">
        <v>2061</v>
      </c>
      <c r="K125" s="506" t="s">
        <v>768</v>
      </c>
      <c r="L125" s="506" t="s">
        <v>24</v>
      </c>
      <c r="M125" s="212" t="s">
        <v>2059</v>
      </c>
      <c r="N125" s="506" t="s">
        <v>768</v>
      </c>
      <c r="O125" s="506" t="s">
        <v>24</v>
      </c>
      <c r="P125" s="212" t="s">
        <v>15</v>
      </c>
      <c r="Q125" s="506" t="s">
        <v>768</v>
      </c>
      <c r="R125" s="506" t="s">
        <v>24</v>
      </c>
      <c r="S125" s="505" t="s">
        <v>768</v>
      </c>
      <c r="T125" s="274" t="s">
        <v>24</v>
      </c>
      <c r="U125" s="42"/>
      <c r="V125" s="42"/>
      <c r="W125" s="42"/>
      <c r="X125" s="1633" t="s">
        <v>2109</v>
      </c>
      <c r="Y125" s="504"/>
      <c r="Z125" s="506" t="s">
        <v>768</v>
      </c>
      <c r="AA125" s="506" t="s">
        <v>24</v>
      </c>
      <c r="AB125" s="219" t="s">
        <v>41</v>
      </c>
      <c r="AF125" s="507"/>
      <c r="AG125" s="506" t="s">
        <v>768</v>
      </c>
      <c r="AH125" s="506" t="s">
        <v>24</v>
      </c>
      <c r="AI125" s="223" t="s">
        <v>41</v>
      </c>
      <c r="AJ125" s="504"/>
      <c r="AK125" s="506" t="s">
        <v>768</v>
      </c>
      <c r="AL125" s="506" t="s">
        <v>24</v>
      </c>
      <c r="AM125" s="219" t="s">
        <v>41</v>
      </c>
      <c r="AR125" s="40"/>
      <c r="AS125" s="732" t="s">
        <v>768</v>
      </c>
      <c r="AT125" s="733" t="s">
        <v>24</v>
      </c>
      <c r="AU125" s="733" t="s">
        <v>768</v>
      </c>
      <c r="AV125" s="733" t="s">
        <v>24</v>
      </c>
      <c r="AW125" s="733" t="s">
        <v>768</v>
      </c>
      <c r="AX125" s="733" t="s">
        <v>24</v>
      </c>
      <c r="AY125" s="733" t="s">
        <v>768</v>
      </c>
      <c r="AZ125" s="733" t="s">
        <v>24</v>
      </c>
      <c r="BA125" s="734" t="s">
        <v>768</v>
      </c>
      <c r="BB125" s="735" t="s">
        <v>24</v>
      </c>
      <c r="BC125" s="732" t="s">
        <v>768</v>
      </c>
      <c r="BD125" s="736" t="s">
        <v>24</v>
      </c>
      <c r="BE125" s="743"/>
      <c r="BF125" s="743"/>
      <c r="BG125" s="743"/>
      <c r="BH125" s="743"/>
      <c r="BI125" s="743"/>
      <c r="BJ125" s="743"/>
    </row>
    <row r="126" spans="1:62" outlineLevel="1" x14ac:dyDescent="0.2">
      <c r="B126" s="200" t="s">
        <v>3137</v>
      </c>
      <c r="C126" s="201"/>
      <c r="D126" s="262">
        <f>S126+T126</f>
        <v>382.03447499999999</v>
      </c>
      <c r="E126" s="265">
        <f>D126*12/44</f>
        <v>104.19122045454546</v>
      </c>
      <c r="F126" s="182"/>
      <c r="G126" s="182"/>
      <c r="H126" s="271">
        <f>VLOOKUP($B126,'Emissions factors'!$B$84:$K$147,2,FALSE)</f>
        <v>269.5</v>
      </c>
      <c r="I126" s="271">
        <f>VLOOKUP($B126,'Emissions factors'!$B$84:$K$147,3,FALSE)</f>
        <v>3140</v>
      </c>
      <c r="J126" s="182"/>
      <c r="K126" s="277">
        <f>VLOOKUP($B126,'Emissions factors'!$B$84:$K$147,4,FALSE)</f>
        <v>0</v>
      </c>
      <c r="L126" s="277">
        <f>VLOOKUP($B126,'Emissions factors'!$B$84:$K$147,5,FALSE)</f>
        <v>0.26400000000000001</v>
      </c>
      <c r="M126" s="182"/>
      <c r="N126" s="271">
        <f>VLOOKUP($B126,'Emissions factors'!$B$84:$K$147,6,FALSE)</f>
        <v>0</v>
      </c>
      <c r="O126" s="271">
        <f>VLOOKUP($B126,'Emissions factors'!$B$84:$K$147,7,FALSE)</f>
        <v>3070</v>
      </c>
      <c r="P126" s="182">
        <v>150</v>
      </c>
      <c r="Q126" s="277">
        <f>VLOOKUP($B126,'Emissions factors'!$B$84:$K$147,8,FALSE)</f>
        <v>0.20131649999999998</v>
      </c>
      <c r="R126" s="277">
        <f>VLOOKUP($B126,'Emissions factors'!$B$84:$K$147,9,FALSE)</f>
        <v>2.34558</v>
      </c>
      <c r="S126" s="210">
        <f>G126*H126+J126*K126+M126*N126+P126*Q126</f>
        <v>30.197474999999997</v>
      </c>
      <c r="T126" s="211">
        <f>G126*I126+J126*L126+M126*O126+P126*R126</f>
        <v>351.83699999999999</v>
      </c>
      <c r="U126" s="42"/>
      <c r="X126" s="282">
        <f>VLOOKUP($B126,'Emissions factors'!$B$84:$K$147,10,FALSE)</f>
        <v>0</v>
      </c>
      <c r="Y126" s="184"/>
      <c r="Z126" s="221">
        <f>S126*SQRT(X126^2+Y126^2)</f>
        <v>0</v>
      </c>
      <c r="AA126" s="221">
        <f>T126*SQRT(X126^2+Y126^2)</f>
        <v>0</v>
      </c>
      <c r="AB126" s="211">
        <f>SQRT(Z126^2+AA126^2)</f>
        <v>0</v>
      </c>
      <c r="AF126" s="184"/>
      <c r="AG126" s="221">
        <f>S126*AF126</f>
        <v>0</v>
      </c>
      <c r="AH126" s="224">
        <f>T126*AF126</f>
        <v>0</v>
      </c>
      <c r="AI126" s="210">
        <f>AG126+AH126</f>
        <v>0</v>
      </c>
      <c r="AJ126" s="184"/>
      <c r="AK126" s="221">
        <f>S126*AJ126</f>
        <v>0</v>
      </c>
      <c r="AL126" s="224">
        <f>T126*AJ126</f>
        <v>0</v>
      </c>
      <c r="AM126" s="211">
        <f>AK126+AL126</f>
        <v>0</v>
      </c>
      <c r="AS126" s="717">
        <f>G126*VLOOKUP($B126,'Emissions factors'!$B$84:$AQ$147,11,FALSE)+J126*VLOOKUP($B126,'Emissions factors'!$B$84:$AQ$147,13,FALSE)+M126*VLOOKUP($B126,'Emissions factors'!$B$84:$AQ$147,15,FALSE)+P126*VLOOKUP($B126,'Emissions factors'!$B$84:$AQ$147,17,FALSE)</f>
        <v>0</v>
      </c>
      <c r="AT126" s="718">
        <f>G126*VLOOKUP($B126,'Emissions factors'!$B$84:$AQ$147,12,FALSE)+J126*VLOOKUP($B126,'Emissions factors'!$B$84:$AQ$147,14,FALSE)+M126*VLOOKUP($B126,'Emissions factors'!$B$84:$AQ$147,16,FALSE)+P126*VLOOKUP($B126,'Emissions factors'!$B$84:$AQ$147,18,FALSE)</f>
        <v>0</v>
      </c>
      <c r="AU126" s="718">
        <f>G126*VLOOKUP($B126,'Emissions factors'!$B$84:$AQ$147,19,FALSE)+J126*VLOOKUP($B126,'Emissions factors'!$B$84:$AQ$147,21,FALSE)+M126*VLOOKUP($B126,'Emissions factors'!$B$84:$AQ$147,23,FALSE)+P126*VLOOKUP($B126,'Emissions factors'!$B$84:$AQ$147,25,FALSE)</f>
        <v>0</v>
      </c>
      <c r="AV126" s="718">
        <f>G126*VLOOKUP($B126,'Emissions factors'!$B$84:$AQ$147,20,FALSE)+J126*VLOOKUP($B126,'Emissions factors'!$B$84:$AQ$147,22,FALSE)+M126*VLOOKUP($B126,'Emissions factors'!$B$84:$AQ$147,24,FALSE)+P126*VLOOKUP($B126,'Emissions factors'!$B$84:$AQ$147,26,FALSE)</f>
        <v>0</v>
      </c>
      <c r="AW126" s="718">
        <f>G126*VLOOKUP($B126,'Emissions factors'!$B$84:$AQ$147,27,FALSE)+J126*VLOOKUP($B126,'Emissions factors'!$B$84:$AQ$147,29,FALSE)+M126*VLOOKUP($B126,'Emissions factors'!$B$84:$AQ$147,31,FALSE)+P126*VLOOKUP($B126,'Emissions factors'!$B$84:$AQ$147,33,FALSE)</f>
        <v>0</v>
      </c>
      <c r="AX126" s="718">
        <f>G126*VLOOKUP($B126,'Emissions factors'!$B$84:$AQ$147,28,FALSE)+J126*VLOOKUP($B126,'Emissions factors'!$B$84:$AQ$147,30,FALSE)+M126*VLOOKUP($B126,'Emissions factors'!$B$84:$AQ$147,32,FALSE)+P126*VLOOKUP($B126,'Emissions factors'!$B$84:$AQ$147,34,FALSE)</f>
        <v>0</v>
      </c>
      <c r="AY126" s="718">
        <v>0</v>
      </c>
      <c r="AZ126" s="718">
        <v>0</v>
      </c>
      <c r="BA126" s="719">
        <f t="shared" ref="BA126:BB128" si="25">S126</f>
        <v>30.197474999999997</v>
      </c>
      <c r="BB126" s="720">
        <f t="shared" si="25"/>
        <v>351.83699999999999</v>
      </c>
      <c r="BC126" s="718">
        <f>G126*VLOOKUP($B126,'Emissions factors'!$B$84:$AQ$147,35,FALSE)+J126*VLOOKUP($B126,'Emissions factors'!$B$84:$AQ$147,37,FALSE)+M126*VLOOKUP($B126,'Emissions factors'!$B$84:$AQ$147,39,FALSE)+P126*VLOOKUP($B126,'Emissions factors'!$B$84:$AQ$147,41,FALSE)</f>
        <v>0</v>
      </c>
      <c r="BD126" s="721">
        <f>G126*VLOOKUP($B126,'Emissions factors'!$B$84:$AQ$147,36,FALSE)+J126*VLOOKUP($B126,'Emissions factors'!$B$84:$AQ$147,38,FALSE)+M126*VLOOKUP($B126,'Emissions factors'!$B$84:$AQ$147,40,FALSE)+P126*VLOOKUP($B126,'Emissions factors'!$B$84:$AQ$147,42,FALSE)</f>
        <v>0</v>
      </c>
    </row>
    <row r="127" spans="1:62" outlineLevel="1" x14ac:dyDescent="0.2">
      <c r="B127" s="200" t="s">
        <v>805</v>
      </c>
      <c r="C127" s="201"/>
      <c r="D127" s="262">
        <f>S127+T127</f>
        <v>0</v>
      </c>
      <c r="E127" s="265">
        <f>D127*12/44</f>
        <v>0</v>
      </c>
      <c r="F127" s="185"/>
      <c r="G127" s="185"/>
      <c r="H127" s="271">
        <f>VLOOKUP($B127,'Emissions factors'!$B$84:$K$147,2,FALSE)</f>
        <v>775.9</v>
      </c>
      <c r="I127" s="271">
        <f>VLOOKUP($B127,'Emissions factors'!$B$84:$K$147,3,FALSE)</f>
        <v>2975.0299999999997</v>
      </c>
      <c r="J127" s="185"/>
      <c r="K127" s="277">
        <f>VLOOKUP($B127,'Emissions factors'!$B$84:$K$147,4,FALSE)</f>
        <v>6.7080000000000001E-2</v>
      </c>
      <c r="L127" s="277">
        <f>VLOOKUP($B127,'Emissions factors'!$B$84:$K$147,5,FALSE)</f>
        <v>0.25615399999999999</v>
      </c>
      <c r="M127" s="185"/>
      <c r="N127" s="271">
        <f>VLOOKUP($B127,'Emissions factors'!$B$84:$K$147,6,FALSE)</f>
        <v>783.2</v>
      </c>
      <c r="O127" s="271">
        <f>VLOOKUP($B127,'Emissions factors'!$B$84:$K$147,7,FALSE)</f>
        <v>2985.1400000000003</v>
      </c>
      <c r="P127" s="185"/>
      <c r="Q127" s="277">
        <f>VLOOKUP($B127,'Emissions factors'!$B$84:$K$147,8,FALSE)</f>
        <v>0.65529999999999988</v>
      </c>
      <c r="R127" s="277">
        <f>VLOOKUP($B127,'Emissions factors'!$B$84:$K$147,9,FALSE)</f>
        <v>2.5111300000000001</v>
      </c>
      <c r="S127" s="210">
        <f>G127*H127+J127*K127+M127*N127+P127*Q127</f>
        <v>0</v>
      </c>
      <c r="T127" s="211">
        <f>G127*I127+J127*L127+M127*O127+P127*R127</f>
        <v>0</v>
      </c>
      <c r="U127" s="42"/>
      <c r="X127" s="282">
        <f>VLOOKUP($B127,'Emissions factors'!$B$84:$K$147,10,FALSE)</f>
        <v>0.05</v>
      </c>
      <c r="Y127" s="187"/>
      <c r="Z127" s="221">
        <f>S127*SQRT(X127^2+Y127^2)</f>
        <v>0</v>
      </c>
      <c r="AA127" s="221">
        <f>T127*SQRT(X127^2+Y127^2)</f>
        <v>0</v>
      </c>
      <c r="AB127" s="211">
        <f>SQRT(Z127^2+AA127^2)</f>
        <v>0</v>
      </c>
      <c r="AF127" s="187"/>
      <c r="AG127" s="221">
        <f>S127*AF127</f>
        <v>0</v>
      </c>
      <c r="AH127" s="224">
        <f>T127*AF127</f>
        <v>0</v>
      </c>
      <c r="AI127" s="210">
        <f>AG127+AH127</f>
        <v>0</v>
      </c>
      <c r="AJ127" s="187"/>
      <c r="AK127" s="221">
        <f>S127*AJ127</f>
        <v>0</v>
      </c>
      <c r="AL127" s="224">
        <f>T127*AJ127</f>
        <v>0</v>
      </c>
      <c r="AM127" s="211">
        <f>AK127+AL127</f>
        <v>0</v>
      </c>
      <c r="AS127" s="717">
        <f>G127*VLOOKUP($B127,'Emissions factors'!$B$84:$AQ$147,11,FALSE)+J127*VLOOKUP($B127,'Emissions factors'!$B$84:$AQ$147,13,FALSE)+M127*VLOOKUP($B127,'Emissions factors'!$B$84:$AQ$147,15,FALSE)+P127*VLOOKUP($B127,'Emissions factors'!$B$84:$AQ$147,17,FALSE)</f>
        <v>0</v>
      </c>
      <c r="AT127" s="718">
        <f>G127*VLOOKUP($B127,'Emissions factors'!$B$84:$AQ$147,12,FALSE)+J127*VLOOKUP($B127,'Emissions factors'!$B$84:$AQ$147,14,FALSE)+M127*VLOOKUP($B127,'Emissions factors'!$B$84:$AQ$147,16,FALSE)+P127*VLOOKUP($B127,'Emissions factors'!$B$84:$AQ$147,18,FALSE)</f>
        <v>0</v>
      </c>
      <c r="AU127" s="718">
        <f>G127*VLOOKUP($B127,'Emissions factors'!$B$84:$AQ$147,19,FALSE)+J127*VLOOKUP($B127,'Emissions factors'!$B$84:$AQ$147,21,FALSE)+M127*VLOOKUP($B127,'Emissions factors'!$B$84:$AQ$147,23,FALSE)+P127*VLOOKUP($B127,'Emissions factors'!$B$84:$AQ$147,25,FALSE)</f>
        <v>0</v>
      </c>
      <c r="AV127" s="718">
        <f>G127*VLOOKUP($B127,'Emissions factors'!$B$84:$AQ$147,20,FALSE)+J127*VLOOKUP($B127,'Emissions factors'!$B$84:$AQ$147,22,FALSE)+M127*VLOOKUP($B127,'Emissions factors'!$B$84:$AQ$147,24,FALSE)+P127*VLOOKUP($B127,'Emissions factors'!$B$84:$AQ$147,26,FALSE)</f>
        <v>0</v>
      </c>
      <c r="AW127" s="718">
        <f>G127*VLOOKUP($B127,'Emissions factors'!$B$84:$AQ$147,27,FALSE)+J127*VLOOKUP($B127,'Emissions factors'!$B$84:$AQ$147,29,FALSE)+M127*VLOOKUP($B127,'Emissions factors'!$B$84:$AQ$147,31,FALSE)+P127*VLOOKUP($B127,'Emissions factors'!$B$84:$AQ$147,33,FALSE)</f>
        <v>0</v>
      </c>
      <c r="AX127" s="718">
        <f>G127*VLOOKUP($B127,'Emissions factors'!$B$84:$AQ$147,28,FALSE)+J127*VLOOKUP($B127,'Emissions factors'!$B$84:$AQ$147,30,FALSE)+M127*VLOOKUP($B127,'Emissions factors'!$B$84:$AQ$147,32,FALSE)+P127*VLOOKUP($B127,'Emissions factors'!$B$84:$AQ$147,34,FALSE)</f>
        <v>0</v>
      </c>
      <c r="AY127" s="718">
        <v>0</v>
      </c>
      <c r="AZ127" s="718">
        <v>0</v>
      </c>
      <c r="BA127" s="719">
        <f t="shared" si="25"/>
        <v>0</v>
      </c>
      <c r="BB127" s="720">
        <f t="shared" si="25"/>
        <v>0</v>
      </c>
      <c r="BC127" s="718">
        <f>G127*VLOOKUP($B127,'Emissions factors'!$B$84:$AQ$147,35,FALSE)+J127*VLOOKUP($B127,'Emissions factors'!$B$84:$AQ$147,37,FALSE)+M127*VLOOKUP($B127,'Emissions factors'!$B$84:$AQ$147,39,FALSE)+P127*VLOOKUP($B127,'Emissions factors'!$B$84:$AQ$147,41,FALSE)</f>
        <v>0</v>
      </c>
      <c r="BD127" s="721">
        <f>G127*VLOOKUP($B127,'Emissions factors'!$B$84:$AQ$147,36,FALSE)+J127*VLOOKUP($B127,'Emissions factors'!$B$84:$AQ$147,38,FALSE)+M127*VLOOKUP($B127,'Emissions factors'!$B$84:$AQ$147,40,FALSE)+P127*VLOOKUP($B127,'Emissions factors'!$B$84:$AQ$147,42,FALSE)</f>
        <v>0</v>
      </c>
    </row>
    <row r="128" spans="1:62" outlineLevel="1" x14ac:dyDescent="0.2">
      <c r="B128" s="200" t="s">
        <v>803</v>
      </c>
      <c r="C128" s="201"/>
      <c r="D128" s="262">
        <f>S128+T128</f>
        <v>0</v>
      </c>
      <c r="E128" s="265">
        <f>D128*12/44</f>
        <v>0</v>
      </c>
      <c r="F128" s="188"/>
      <c r="G128" s="188"/>
      <c r="H128" s="271">
        <f>VLOOKUP($B128,'Emissions factors'!$B$84:$K$147,2,FALSE)</f>
        <v>1153.9000000000001</v>
      </c>
      <c r="I128" s="271">
        <f>VLOOKUP($B128,'Emissions factors'!$B$84:$K$147,3,FALSE)</f>
        <v>2228.6959999999999</v>
      </c>
      <c r="J128" s="188"/>
      <c r="K128" s="277">
        <f>VLOOKUP($B128,'Emissions factors'!$B$84:$K$147,4,FALSE)</f>
        <v>0.1023</v>
      </c>
      <c r="L128" s="277">
        <f>VLOOKUP($B128,'Emissions factors'!$B$84:$K$147,5,FALSE)</f>
        <v>0.19462700000000002</v>
      </c>
      <c r="M128" s="188"/>
      <c r="N128" s="271">
        <f>VLOOKUP($B128,'Emissions factors'!$B$84:$K$147,6,FALSE)</f>
        <v>1178.0999999999999</v>
      </c>
      <c r="O128" s="271">
        <f>VLOOKUP($B128,'Emissions factors'!$B$84:$K$147,7,FALSE)</f>
        <v>2269.11</v>
      </c>
      <c r="P128" s="188"/>
      <c r="Q128" s="277">
        <f>VLOOKUP($B128,'Emissions factors'!$B$84:$K$147,8,FALSE)</f>
        <v>0.97550000000000003</v>
      </c>
      <c r="R128" s="277">
        <f>VLOOKUP($B128,'Emissions factors'!$B$84:$K$147,9,FALSE)</f>
        <v>1.87584</v>
      </c>
      <c r="S128" s="210">
        <f>G128*H128+J128*K128+M128*N128+P128*Q128</f>
        <v>0</v>
      </c>
      <c r="T128" s="211">
        <f>G128*I128+J128*L128+M128*O128+P128*R128</f>
        <v>0</v>
      </c>
      <c r="U128" s="42"/>
      <c r="X128" s="282">
        <f>VLOOKUP($B128,'Emissions factors'!$B$84:$K$147,10,FALSE)</f>
        <v>0.05</v>
      </c>
      <c r="Y128" s="190"/>
      <c r="Z128" s="221">
        <f>S128*SQRT(X128^2+Y128^2)</f>
        <v>0</v>
      </c>
      <c r="AA128" s="221">
        <f>T128*SQRT(X128^2+Y128^2)</f>
        <v>0</v>
      </c>
      <c r="AB128" s="211">
        <f>SQRT(Z128^2+AA128^2)</f>
        <v>0</v>
      </c>
      <c r="AF128" s="190"/>
      <c r="AG128" s="221">
        <f>S128*AF128</f>
        <v>0</v>
      </c>
      <c r="AH128" s="224">
        <f>T128*AF128</f>
        <v>0</v>
      </c>
      <c r="AI128" s="210">
        <f>AG128+AH128</f>
        <v>0</v>
      </c>
      <c r="AJ128" s="190"/>
      <c r="AK128" s="221">
        <f>S128*AJ128</f>
        <v>0</v>
      </c>
      <c r="AL128" s="224">
        <f>T128*AJ128</f>
        <v>0</v>
      </c>
      <c r="AM128" s="211">
        <f>AK128+AL128</f>
        <v>0</v>
      </c>
      <c r="AS128" s="717">
        <f>G128*VLOOKUP($B128,'Emissions factors'!$B$84:$AQ$147,11,FALSE)+J128*VLOOKUP($B128,'Emissions factors'!$B$84:$AQ$147,13,FALSE)+M128*VLOOKUP($B128,'Emissions factors'!$B$84:$AQ$147,15,FALSE)+P128*VLOOKUP($B128,'Emissions factors'!$B$84:$AQ$147,17,FALSE)</f>
        <v>0</v>
      </c>
      <c r="AT128" s="718">
        <f>G128*VLOOKUP($B128,'Emissions factors'!$B$84:$AQ$147,12,FALSE)+J128*VLOOKUP($B128,'Emissions factors'!$B$84:$AQ$147,14,FALSE)+M128*VLOOKUP($B128,'Emissions factors'!$B$84:$AQ$147,16,FALSE)+P128*VLOOKUP($B128,'Emissions factors'!$B$84:$AQ$147,18,FALSE)</f>
        <v>0</v>
      </c>
      <c r="AU128" s="718">
        <f>G128*VLOOKUP($B128,'Emissions factors'!$B$84:$AQ$147,19,FALSE)+J128*VLOOKUP($B128,'Emissions factors'!$B$84:$AQ$147,21,FALSE)+M128*VLOOKUP($B128,'Emissions factors'!$B$84:$AQ$147,23,FALSE)+P128*VLOOKUP($B128,'Emissions factors'!$B$84:$AQ$147,25,FALSE)</f>
        <v>0</v>
      </c>
      <c r="AV128" s="718">
        <f>G128*VLOOKUP($B128,'Emissions factors'!$B$84:$AQ$147,20,FALSE)+J128*VLOOKUP($B128,'Emissions factors'!$B$84:$AQ$147,22,FALSE)+M128*VLOOKUP($B128,'Emissions factors'!$B$84:$AQ$147,24,FALSE)+P128*VLOOKUP($B128,'Emissions factors'!$B$84:$AQ$147,26,FALSE)</f>
        <v>0</v>
      </c>
      <c r="AW128" s="718">
        <f>G128*VLOOKUP($B128,'Emissions factors'!$B$84:$AQ$147,27,FALSE)+J128*VLOOKUP($B128,'Emissions factors'!$B$84:$AQ$147,29,FALSE)+M128*VLOOKUP($B128,'Emissions factors'!$B$84:$AQ$147,31,FALSE)+P128*VLOOKUP($B128,'Emissions factors'!$B$84:$AQ$147,33,FALSE)</f>
        <v>0</v>
      </c>
      <c r="AX128" s="718">
        <f>G128*VLOOKUP($B128,'Emissions factors'!$B$84:$AQ$147,28,FALSE)+J128*VLOOKUP($B128,'Emissions factors'!$B$84:$AQ$147,30,FALSE)+M128*VLOOKUP($B128,'Emissions factors'!$B$84:$AQ$147,32,FALSE)+P128*VLOOKUP($B128,'Emissions factors'!$B$84:$AQ$147,34,FALSE)</f>
        <v>0</v>
      </c>
      <c r="AY128" s="718">
        <v>0</v>
      </c>
      <c r="AZ128" s="718">
        <v>0</v>
      </c>
      <c r="BA128" s="719">
        <f t="shared" si="25"/>
        <v>0</v>
      </c>
      <c r="BB128" s="720">
        <f t="shared" si="25"/>
        <v>0</v>
      </c>
      <c r="BC128" s="718">
        <f>G128*VLOOKUP($B128,'Emissions factors'!$B$84:$AQ$147,35,FALSE)+J128*VLOOKUP($B128,'Emissions factors'!$B$84:$AQ$147,37,FALSE)+M128*VLOOKUP($B128,'Emissions factors'!$B$84:$AQ$147,39,FALSE)+P128*VLOOKUP($B128,'Emissions factors'!$B$84:$AQ$147,41,FALSE)</f>
        <v>0</v>
      </c>
      <c r="BD128" s="721">
        <f>G128*VLOOKUP($B128,'Emissions factors'!$B$84:$AQ$147,36,FALSE)+J128*VLOOKUP($B128,'Emissions factors'!$B$84:$AQ$147,38,FALSE)+M128*VLOOKUP($B128,'Emissions factors'!$B$84:$AQ$147,40,FALSE)+P128*VLOOKUP($B128,'Emissions factors'!$B$84:$AQ$147,42,FALSE)</f>
        <v>0</v>
      </c>
    </row>
    <row r="129" spans="2:62" outlineLevel="1" x14ac:dyDescent="0.2">
      <c r="B129" s="200"/>
      <c r="C129" s="201"/>
      <c r="D129" s="263"/>
      <c r="E129" s="266"/>
      <c r="F129" s="410"/>
      <c r="G129" s="410"/>
      <c r="H129" s="273"/>
      <c r="I129" s="273"/>
      <c r="J129" s="410"/>
      <c r="K129" s="273"/>
      <c r="L129" s="273"/>
      <c r="M129" s="410"/>
      <c r="N129" s="273"/>
      <c r="O129" s="273"/>
      <c r="P129" s="410"/>
      <c r="Q129" s="273"/>
      <c r="R129" s="272"/>
      <c r="S129" s="210"/>
      <c r="T129" s="211"/>
      <c r="U129" s="42"/>
      <c r="X129" s="282"/>
      <c r="Y129" s="221"/>
      <c r="Z129" s="221"/>
      <c r="AA129" s="221"/>
      <c r="AB129" s="211"/>
      <c r="AF129" s="200"/>
      <c r="AG129" s="221"/>
      <c r="AH129" s="224"/>
      <c r="AI129" s="285"/>
      <c r="AJ129" s="224"/>
      <c r="AK129" s="221"/>
      <c r="AL129" s="224"/>
      <c r="AM129" s="211"/>
      <c r="AS129" s="717"/>
      <c r="AT129" s="718"/>
      <c r="AU129" s="718"/>
      <c r="AV129" s="718"/>
      <c r="AW129" s="718"/>
      <c r="AX129" s="718"/>
      <c r="AY129" s="718"/>
      <c r="AZ129" s="718"/>
      <c r="BA129" s="719"/>
      <c r="BB129" s="720"/>
      <c r="BC129" s="717"/>
      <c r="BD129" s="721"/>
    </row>
    <row r="130" spans="2:62" outlineLevel="1" x14ac:dyDescent="0.2">
      <c r="B130" s="200" t="s">
        <v>834</v>
      </c>
      <c r="C130" s="201"/>
      <c r="D130" s="262">
        <f>S130+T130</f>
        <v>0</v>
      </c>
      <c r="E130" s="265">
        <f>D130*12/44</f>
        <v>0</v>
      </c>
      <c r="F130" s="182"/>
      <c r="G130" s="182"/>
      <c r="H130" s="271">
        <f>VLOOKUP($B130,'Emissions factors'!$B$152:$K$165,2,FALSE)</f>
        <v>1134.9000000000001</v>
      </c>
      <c r="I130" s="271">
        <f>VLOOKUP($B130,'Emissions factors'!$B$152:$K$165,3,FALSE)</f>
        <v>0</v>
      </c>
      <c r="J130" s="182"/>
      <c r="K130" s="277">
        <f>VLOOKUP($B130,'Emissions factors'!$B$152:$K$165,4,FALSE)</f>
        <v>0.10988999999999999</v>
      </c>
      <c r="L130" s="277">
        <f>VLOOKUP($B130,'Emissions factors'!$B$152:$K$165,5,FALSE)</f>
        <v>0</v>
      </c>
      <c r="M130" s="182"/>
      <c r="N130" s="271">
        <f>VLOOKUP($B130,'Emissions factors'!$B$152:$K$165,6,FALSE)</f>
        <v>1278.0999999999999</v>
      </c>
      <c r="O130" s="271">
        <f>VLOOKUP($B130,'Emissions factors'!$B$152:$K$165,7,FALSE)</f>
        <v>0</v>
      </c>
      <c r="P130" s="182"/>
      <c r="Q130" s="277">
        <f>VLOOKUP($B130,'Emissions factors'!$B$152:$K$165,8,FALSE)</f>
        <v>1.0113000000000001</v>
      </c>
      <c r="R130" s="277">
        <f>VLOOKUP($B130,'Emissions factors'!$B$152:$K$165,9,FALSE)</f>
        <v>0</v>
      </c>
      <c r="S130" s="210">
        <f>G130*H130+J130*K130+M130*N130+P130*Q130</f>
        <v>0</v>
      </c>
      <c r="T130" s="211">
        <f>G130*I130+J130*L130+M130*O130+P130*R130</f>
        <v>0</v>
      </c>
      <c r="U130" s="42"/>
      <c r="X130" s="282">
        <f>VLOOKUP($B130,'Emissions factors'!$B$152:$K$165,10,FALSE)</f>
        <v>0.2</v>
      </c>
      <c r="Y130" s="184"/>
      <c r="Z130" s="221">
        <f>S130*SQRT(X130^2+Y130^2)</f>
        <v>0</v>
      </c>
      <c r="AA130" s="221">
        <f>T130*SQRT(X130^2+Y130^2)</f>
        <v>0</v>
      </c>
      <c r="AB130" s="211">
        <f>SQRT(Z130^2+AA130^2)</f>
        <v>0</v>
      </c>
      <c r="AF130" s="184"/>
      <c r="AG130" s="221">
        <f>S130*AF130</f>
        <v>0</v>
      </c>
      <c r="AH130" s="224">
        <f>T130*AF130</f>
        <v>0</v>
      </c>
      <c r="AI130" s="210">
        <f>AG130+AH130</f>
        <v>0</v>
      </c>
      <c r="AJ130" s="184"/>
      <c r="AK130" s="221">
        <f>S130*AJ130</f>
        <v>0</v>
      </c>
      <c r="AL130" s="224">
        <f>T130*AJ130</f>
        <v>0</v>
      </c>
      <c r="AM130" s="211">
        <f>AK130+AL130</f>
        <v>0</v>
      </c>
      <c r="AS130" s="717">
        <f>G130*VLOOKUP($B130,'Emissions factors'!$B$152:$AQ$165,11,FALSE)+J130*VLOOKUP($B130,'Emissions factors'!$B$152:$AQ$165,13,FALSE)+M130*VLOOKUP($B130,'Emissions factors'!$B$152:$AQ$165,15,FALSE)+P130*VLOOKUP($B130,'Emissions factors'!$B$152:$AQ$165,17,FALSE)</f>
        <v>0</v>
      </c>
      <c r="AT130" s="718">
        <f>G130*VLOOKUP($B130,'Emissions factors'!$B$152:$AQ$165,12,FALSE)+J130*VLOOKUP($B130,'Emissions factors'!$B$152:$AQ$165,14,FALSE)+M130*VLOOKUP($B130,'Emissions factors'!$B$152:$AQ$165,16,FALSE)+P130*VLOOKUP($B130,'Emissions factors'!$B$152:$AQ$165,18,FALSE)</f>
        <v>0</v>
      </c>
      <c r="AU130" s="718">
        <f>G130*VLOOKUP($B130,'Emissions factors'!$B$152:$AQ$165,19,FALSE)+J130*VLOOKUP($B130,'Emissions factors'!$B$152:$AQ$165,21,FALSE)+M130*VLOOKUP($B130,'Emissions factors'!$B$152:$AQ$165,23,FALSE)+P130*VLOOKUP($B130,'Emissions factors'!$B$152:$AQ$165,25,FALSE)</f>
        <v>0</v>
      </c>
      <c r="AV130" s="718">
        <f>G130*VLOOKUP($B130,'Emissions factors'!$B$152:$AQ$165,20,FALSE)+J130*VLOOKUP($B130,'Emissions factors'!$B$152:$AQ$165,22,FALSE)+M130*VLOOKUP($B130,'Emissions factors'!$B$152:$AQ$165,24,FALSE)+P130*VLOOKUP($B130,'Emissions factors'!$B$152:$AQ$165,26,FALSE)</f>
        <v>0</v>
      </c>
      <c r="AW130" s="718">
        <f>G130*VLOOKUP($B130,'Emissions factors'!$B$152:$AQ$165,27,FALSE)+J130*VLOOKUP($B130,'Emissions factors'!$B$152:$AQ$165,29,FALSE)+M130*VLOOKUP($B130,'Emissions factors'!$B$152:$AQ$165,31,FALSE)+P130*VLOOKUP($B130,'Emissions factors'!$B$152:$AQ$165,33,FALSE)</f>
        <v>0</v>
      </c>
      <c r="AX130" s="718">
        <f>G130*VLOOKUP($B130,'Emissions factors'!$B$152:$AQ$165,28,FALSE)+J130*VLOOKUP($B130,'Emissions factors'!$B$152:$AQ$165,30,FALSE)+M130*VLOOKUP($B130,'Emissions factors'!$B$152:$AQ$165,32,FALSE)+P130*VLOOKUP($B130,'Emissions factors'!$B$152:$AQ$165,34,FALSE)</f>
        <v>0</v>
      </c>
      <c r="AY130" s="718">
        <v>0</v>
      </c>
      <c r="AZ130" s="718">
        <v>0</v>
      </c>
      <c r="BA130" s="719">
        <f>S130</f>
        <v>0</v>
      </c>
      <c r="BB130" s="720">
        <f>T130</f>
        <v>0</v>
      </c>
      <c r="BC130" s="717">
        <f>G130*VLOOKUP($B130,'Emissions factors'!$B$152:$AQ$165,35,FALSE)+J130*VLOOKUP($B130,'Emissions factors'!$B$152:$AQ$165,37,FALSE)+M130*VLOOKUP($B130,'Emissions factors'!$B$152:$AQ$165,39,FALSE)+P130*VLOOKUP($B130,'Emissions factors'!$B$152:$AQ$165,41,FALSE)</f>
        <v>0</v>
      </c>
      <c r="BD130" s="721">
        <f>G130*VLOOKUP($B130,'Emissions factors'!$B$152:$AQ$165,36,FALSE)+J130*VLOOKUP($B130,'Emissions factors'!$B$152:$AQ$165,38,FALSE)+M130*VLOOKUP($B130,'Emissions factors'!$B$152:$AQ$165,40,FALSE)+P130*VLOOKUP($B130,'Emissions factors'!$B$152:$AQ$165,42,FALSE)</f>
        <v>0</v>
      </c>
    </row>
    <row r="131" spans="2:62" outlineLevel="1" x14ac:dyDescent="0.2">
      <c r="B131" s="200" t="s">
        <v>839</v>
      </c>
      <c r="C131" s="201"/>
      <c r="D131" s="262">
        <f>S131+T131</f>
        <v>0</v>
      </c>
      <c r="E131" s="265">
        <f>D131*12/44</f>
        <v>0</v>
      </c>
      <c r="F131" s="188"/>
      <c r="G131" s="188"/>
      <c r="H131" s="271">
        <f>VLOOKUP($B131,'Emissions factors'!$B$152:$K$165,2,FALSE)</f>
        <v>41.2</v>
      </c>
      <c r="I131" s="271">
        <f>VLOOKUP($B131,'Emissions factors'!$B$152:$K$165,3,FALSE)</f>
        <v>72.599999999999994</v>
      </c>
      <c r="J131" s="188"/>
      <c r="K131" s="277">
        <f>VLOOKUP($B131,'Emissions factors'!$B$152:$K$165,4,FALSE)</f>
        <v>1.068E-2</v>
      </c>
      <c r="L131" s="277">
        <f>VLOOKUP($B131,'Emissions factors'!$B$152:$K$165,5,FALSE)</f>
        <v>1.8800000000000001E-2</v>
      </c>
      <c r="M131" s="188"/>
      <c r="N131" s="271">
        <f>VLOOKUP($B131,'Emissions factors'!$B$152:$K$165,6,FALSE)</f>
        <v>0</v>
      </c>
      <c r="O131" s="271">
        <f>VLOOKUP($B131,'Emissions factors'!$B$152:$K$165,7,FALSE)</f>
        <v>0</v>
      </c>
      <c r="P131" s="188"/>
      <c r="Q131" s="277">
        <f>VLOOKUP($B131,'Emissions factors'!$B$152:$K$165,8,FALSE)</f>
        <v>0</v>
      </c>
      <c r="R131" s="277">
        <f>VLOOKUP($B131,'Emissions factors'!$B$152:$K$165,9,FALSE)</f>
        <v>0</v>
      </c>
      <c r="S131" s="210">
        <f>G131*H131+J131*K131+M131*N131+P131*Q131</f>
        <v>0</v>
      </c>
      <c r="T131" s="211">
        <f>G131*I131+J131*L131+M131*O131+P131*R131</f>
        <v>0</v>
      </c>
      <c r="U131" s="42"/>
      <c r="X131" s="282">
        <f>VLOOKUP($B131,'Emissions factors'!$B$152:$K$165,10,FALSE)</f>
        <v>0.5</v>
      </c>
      <c r="Y131" s="190"/>
      <c r="Z131" s="221">
        <f>S131*SQRT(X131^2+Y131^2)</f>
        <v>0</v>
      </c>
      <c r="AA131" s="221">
        <f>T131*SQRT(X131^2+Y131^2)</f>
        <v>0</v>
      </c>
      <c r="AB131" s="211">
        <f>SQRT(Z131^2+AA131^2)</f>
        <v>0</v>
      </c>
      <c r="AF131" s="190"/>
      <c r="AG131" s="221">
        <f>S131*AF131</f>
        <v>0</v>
      </c>
      <c r="AH131" s="224">
        <f>T131*AF131</f>
        <v>0</v>
      </c>
      <c r="AI131" s="210">
        <f>AG131+AH131</f>
        <v>0</v>
      </c>
      <c r="AJ131" s="190"/>
      <c r="AK131" s="221">
        <f>S131*AJ131</f>
        <v>0</v>
      </c>
      <c r="AL131" s="224">
        <f>T131*AJ131</f>
        <v>0</v>
      </c>
      <c r="AM131" s="211">
        <f>AK131+AL131</f>
        <v>0</v>
      </c>
      <c r="AS131" s="717">
        <f>G131*VLOOKUP($B131,'Emissions factors'!$B$152:$AQ$165,11,FALSE)+J131*VLOOKUP($B131,'Emissions factors'!$B$152:$AQ$165,13,FALSE)+M131*VLOOKUP($B131,'Emissions factors'!$B$152:$AQ$165,15,FALSE)+P131*VLOOKUP($B131,'Emissions factors'!$B$152:$AQ$165,17,FALSE)</f>
        <v>0</v>
      </c>
      <c r="AT131" s="718">
        <f>G131*VLOOKUP($B131,'Emissions factors'!$B$152:$AQ$165,12,FALSE)+J131*VLOOKUP($B131,'Emissions factors'!$B$152:$AQ$165,14,FALSE)+M131*VLOOKUP($B131,'Emissions factors'!$B$152:$AQ$165,16,FALSE)+P131*VLOOKUP($B131,'Emissions factors'!$B$152:$AQ$165,18,FALSE)</f>
        <v>0</v>
      </c>
      <c r="AU131" s="718">
        <f>G131*VLOOKUP($B131,'Emissions factors'!$B$152:$AQ$165,19,FALSE)+J131*VLOOKUP($B131,'Emissions factors'!$B$152:$AQ$165,21,FALSE)+M131*VLOOKUP($B131,'Emissions factors'!$B$152:$AQ$165,23,FALSE)+P131*VLOOKUP($B131,'Emissions factors'!$B$152:$AQ$165,25,FALSE)</f>
        <v>0</v>
      </c>
      <c r="AV131" s="718">
        <f>G131*VLOOKUP($B131,'Emissions factors'!$B$152:$AQ$165,20,FALSE)+J131*VLOOKUP($B131,'Emissions factors'!$B$152:$AQ$165,22,FALSE)+M131*VLOOKUP($B131,'Emissions factors'!$B$152:$AQ$165,24,FALSE)+P131*VLOOKUP($B131,'Emissions factors'!$B$152:$AQ$165,26,FALSE)</f>
        <v>0</v>
      </c>
      <c r="AW131" s="718">
        <f>G131*VLOOKUP($B131,'Emissions factors'!$B$152:$AQ$165,27,FALSE)+J131*VLOOKUP($B131,'Emissions factors'!$B$152:$AQ$165,29,FALSE)+M131*VLOOKUP($B131,'Emissions factors'!$B$152:$AQ$165,31,FALSE)+P131*VLOOKUP($B131,'Emissions factors'!$B$152:$AQ$165,33,FALSE)</f>
        <v>0</v>
      </c>
      <c r="AX131" s="718">
        <f>G131*VLOOKUP($B131,'Emissions factors'!$B$152:$AQ$165,28,FALSE)+J131*VLOOKUP($B131,'Emissions factors'!$B$152:$AQ$165,30,FALSE)+M131*VLOOKUP($B131,'Emissions factors'!$B$152:$AQ$165,32,FALSE)+P131*VLOOKUP($B131,'Emissions factors'!$B$152:$AQ$165,34,FALSE)</f>
        <v>0</v>
      </c>
      <c r="AY131" s="718">
        <v>0</v>
      </c>
      <c r="AZ131" s="718">
        <v>0</v>
      </c>
      <c r="BA131" s="719">
        <f>S131</f>
        <v>0</v>
      </c>
      <c r="BB131" s="720">
        <f>T131</f>
        <v>0</v>
      </c>
      <c r="BC131" s="717">
        <f>G131*VLOOKUP($B131,'Emissions factors'!$B$152:$AQ$165,35,FALSE)+J131*VLOOKUP($B131,'Emissions factors'!$B$152:$AQ$165,37,FALSE)+M131*VLOOKUP($B131,'Emissions factors'!$B$152:$AQ$165,39,FALSE)+P131*VLOOKUP($B131,'Emissions factors'!$B$152:$AQ$165,41,FALSE)</f>
        <v>0</v>
      </c>
      <c r="BD131" s="721">
        <f>G131*VLOOKUP($B131,'Emissions factors'!$B$152:$AQ$165,36,FALSE)+J131*VLOOKUP($B131,'Emissions factors'!$B$152:$AQ$165,38,FALSE)+M131*VLOOKUP($B131,'Emissions factors'!$B$152:$AQ$165,40,FALSE)+P131*VLOOKUP($B131,'Emissions factors'!$B$152:$AQ$165,42,FALSE)</f>
        <v>0</v>
      </c>
    </row>
    <row r="132" spans="2:62" outlineLevel="1" x14ac:dyDescent="0.2">
      <c r="B132" s="213"/>
      <c r="C132" s="201"/>
      <c r="D132" s="262"/>
      <c r="E132" s="265"/>
      <c r="F132" s="462"/>
      <c r="G132" s="214"/>
      <c r="H132" s="214"/>
      <c r="I132" s="214"/>
      <c r="J132" s="214"/>
      <c r="K132" s="214"/>
      <c r="L132" s="214"/>
      <c r="M132" s="214"/>
      <c r="N132" s="214"/>
      <c r="O132" s="214"/>
      <c r="P132" s="214"/>
      <c r="Q132" s="214"/>
      <c r="R132" s="214"/>
      <c r="S132" s="463"/>
      <c r="T132" s="215"/>
      <c r="U132" s="42"/>
      <c r="V132" s="42"/>
      <c r="W132" s="42"/>
      <c r="X132" s="213"/>
      <c r="Y132" s="214"/>
      <c r="Z132" s="227"/>
      <c r="AA132" s="227"/>
      <c r="AB132" s="215"/>
      <c r="AE132" s="42"/>
      <c r="AF132" s="213"/>
      <c r="AG132" s="413"/>
      <c r="AH132" s="413"/>
      <c r="AI132" s="463"/>
      <c r="AJ132" s="214"/>
      <c r="AK132" s="227"/>
      <c r="AL132" s="227"/>
      <c r="AM132" s="215"/>
      <c r="AS132" s="717"/>
      <c r="AT132" s="718"/>
      <c r="AU132" s="718"/>
      <c r="AV132" s="718"/>
      <c r="AW132" s="718"/>
      <c r="AX132" s="718"/>
      <c r="AY132" s="718"/>
      <c r="AZ132" s="718"/>
      <c r="BA132" s="719"/>
      <c r="BB132" s="720"/>
      <c r="BC132" s="722"/>
      <c r="BD132" s="723"/>
    </row>
    <row r="133" spans="2:62" outlineLevel="1" x14ac:dyDescent="0.2">
      <c r="B133" s="253" t="s">
        <v>2828</v>
      </c>
      <c r="C133" s="254"/>
      <c r="D133" s="264">
        <f>SUM(D126:D132)</f>
        <v>382.03447499999999</v>
      </c>
      <c r="E133" s="267">
        <f>SUM(E126:E132)</f>
        <v>104.19122045454546</v>
      </c>
      <c r="F133" s="255"/>
      <c r="G133" s="256"/>
      <c r="H133" s="256"/>
      <c r="I133" s="256"/>
      <c r="J133" s="256"/>
      <c r="K133" s="256"/>
      <c r="L133" s="256"/>
      <c r="M133" s="256"/>
      <c r="N133" s="256"/>
      <c r="O133" s="256"/>
      <c r="P133" s="256"/>
      <c r="Q133" s="256"/>
      <c r="R133" s="256"/>
      <c r="S133" s="259">
        <f>SUM(S126:S132)</f>
        <v>30.197474999999997</v>
      </c>
      <c r="T133" s="257">
        <f>SUM(T126:T132)</f>
        <v>351.83699999999999</v>
      </c>
      <c r="U133" s="42"/>
      <c r="V133" s="42"/>
      <c r="W133" s="42"/>
      <c r="X133" s="258"/>
      <c r="Y133" s="256"/>
      <c r="Z133" s="260">
        <f>SQRT(SUMSQ(Z125:Z132))</f>
        <v>0</v>
      </c>
      <c r="AA133" s="260">
        <f>SQRT(SUMSQ(AA125:AA132))</f>
        <v>0</v>
      </c>
      <c r="AB133" s="257">
        <f>SQRT(SUMSQ(AB125:AB132))</f>
        <v>0</v>
      </c>
      <c r="AE133" s="42"/>
      <c r="AF133" s="258"/>
      <c r="AG133" s="260">
        <f>SUM(AG126:AG132)</f>
        <v>0</v>
      </c>
      <c r="AH133" s="260">
        <f>SUM(AH126:AH132)</f>
        <v>0</v>
      </c>
      <c r="AI133" s="259">
        <f>SUM(AI126:AI132)</f>
        <v>0</v>
      </c>
      <c r="AJ133" s="256"/>
      <c r="AK133" s="260">
        <f>SUM(AK126:AK132)</f>
        <v>0</v>
      </c>
      <c r="AL133" s="260">
        <f>SUM(AL126:AL132)</f>
        <v>0</v>
      </c>
      <c r="AM133" s="257">
        <f>SUM(AM126:AM132)</f>
        <v>0</v>
      </c>
      <c r="AS133" s="724">
        <f t="shared" ref="AS133:BD133" si="26">SUM(AS126:AS132)</f>
        <v>0</v>
      </c>
      <c r="AT133" s="725">
        <f t="shared" si="26"/>
        <v>0</v>
      </c>
      <c r="AU133" s="725">
        <f t="shared" si="26"/>
        <v>0</v>
      </c>
      <c r="AV133" s="725">
        <f t="shared" si="26"/>
        <v>0</v>
      </c>
      <c r="AW133" s="725">
        <f t="shared" si="26"/>
        <v>0</v>
      </c>
      <c r="AX133" s="725">
        <f t="shared" si="26"/>
        <v>0</v>
      </c>
      <c r="AY133" s="725">
        <f t="shared" si="26"/>
        <v>0</v>
      </c>
      <c r="AZ133" s="725">
        <f t="shared" si="26"/>
        <v>0</v>
      </c>
      <c r="BA133" s="726">
        <f t="shared" si="26"/>
        <v>30.197474999999997</v>
      </c>
      <c r="BB133" s="727">
        <f t="shared" si="26"/>
        <v>351.83699999999999</v>
      </c>
      <c r="BC133" s="724">
        <f t="shared" si="26"/>
        <v>0</v>
      </c>
      <c r="BD133" s="728">
        <f t="shared" si="26"/>
        <v>0</v>
      </c>
    </row>
    <row r="134" spans="2:62" outlineLevel="1" x14ac:dyDescent="0.2">
      <c r="P134" s="42"/>
    </row>
    <row r="135" spans="2:62" outlineLevel="1" x14ac:dyDescent="0.2">
      <c r="B135" s="195" t="s">
        <v>3161</v>
      </c>
      <c r="C135" s="196"/>
      <c r="D135" s="196"/>
      <c r="E135" s="196"/>
      <c r="F135" s="196"/>
      <c r="G135" s="198"/>
      <c r="H135" s="198"/>
      <c r="I135" s="198"/>
      <c r="J135" s="198"/>
      <c r="K135" s="198"/>
      <c r="L135" s="198"/>
      <c r="M135" s="198"/>
      <c r="N135" s="199"/>
      <c r="X135" s="1746" t="s">
        <v>723</v>
      </c>
      <c r="Y135" s="1747"/>
      <c r="Z135" s="1747"/>
      <c r="AA135" s="1747"/>
      <c r="AB135" s="1747"/>
      <c r="AC135" s="1747"/>
      <c r="AD135" s="1748"/>
      <c r="AF135" s="1746" t="s">
        <v>2066</v>
      </c>
      <c r="AG135" s="1747"/>
      <c r="AH135" s="1747"/>
      <c r="AI135" s="1747"/>
      <c r="AJ135" s="1747"/>
      <c r="AK135" s="1747"/>
      <c r="AL135" s="1747"/>
      <c r="AM135" s="1747"/>
      <c r="AN135" s="1747"/>
      <c r="AO135" s="1747"/>
      <c r="AP135" s="1747"/>
      <c r="AQ135" s="1748"/>
      <c r="AS135" s="1755" t="s">
        <v>2073</v>
      </c>
      <c r="AT135" s="1756"/>
      <c r="AU135" s="1756"/>
      <c r="AV135" s="1756"/>
      <c r="AW135" s="1756"/>
      <c r="AX135" s="1756"/>
      <c r="AY135" s="1756"/>
      <c r="AZ135" s="1756"/>
      <c r="BA135" s="1756"/>
      <c r="BB135" s="1756"/>
      <c r="BC135" s="1756"/>
      <c r="BD135" s="1756"/>
      <c r="BE135" s="1756"/>
      <c r="BF135" s="1756"/>
      <c r="BG135" s="1756"/>
      <c r="BH135" s="1756"/>
      <c r="BI135" s="1756"/>
      <c r="BJ135" s="1757"/>
    </row>
    <row r="136" spans="2:62" outlineLevel="1" x14ac:dyDescent="0.2">
      <c r="B136" s="200"/>
      <c r="C136" s="201"/>
      <c r="D136" s="503"/>
      <c r="E136" s="503"/>
      <c r="F136" s="201"/>
      <c r="G136" s="201"/>
      <c r="H136" s="201"/>
      <c r="I136" s="201"/>
      <c r="J136" s="201"/>
      <c r="K136" s="201"/>
      <c r="L136" s="1745" t="s">
        <v>2646</v>
      </c>
      <c r="M136" s="1745"/>
      <c r="N136" s="710" t="s">
        <v>2639</v>
      </c>
      <c r="X136" s="709"/>
      <c r="Y136" s="706"/>
      <c r="Z136" s="706"/>
      <c r="AA136" s="706"/>
      <c r="AB136" s="706"/>
      <c r="AC136" s="706"/>
      <c r="AD136" s="710" t="s">
        <v>2639</v>
      </c>
      <c r="AE136" s="42"/>
      <c r="AF136" s="216"/>
      <c r="AG136" s="503"/>
      <c r="AH136" s="503"/>
      <c r="AI136" s="503"/>
      <c r="AJ136" s="504"/>
      <c r="AK136" s="504" t="s">
        <v>2639</v>
      </c>
      <c r="AL136" s="217"/>
      <c r="AM136" s="503"/>
      <c r="AN136" s="503"/>
      <c r="AO136" s="503"/>
      <c r="AP136" s="504"/>
      <c r="AQ136" s="508" t="s">
        <v>2639</v>
      </c>
      <c r="AS136" s="1758" t="s">
        <v>61</v>
      </c>
      <c r="AT136" s="1759"/>
      <c r="AU136" s="1759"/>
      <c r="AV136" s="1759"/>
      <c r="AW136" s="1759"/>
      <c r="AX136" s="1759"/>
      <c r="AY136" s="1759"/>
      <c r="AZ136" s="1759"/>
      <c r="BA136" s="1759"/>
      <c r="BB136" s="1759"/>
      <c r="BC136" s="1759"/>
      <c r="BD136" s="1759"/>
      <c r="BE136" s="1759" t="s">
        <v>61</v>
      </c>
      <c r="BF136" s="1759"/>
      <c r="BG136" s="1760"/>
      <c r="BH136" s="730"/>
      <c r="BI136" s="785"/>
      <c r="BJ136" s="731"/>
    </row>
    <row r="137" spans="2:62" outlineLevel="1" x14ac:dyDescent="0.2">
      <c r="B137" s="1633"/>
      <c r="C137" s="504"/>
      <c r="D137" s="504" t="s">
        <v>56</v>
      </c>
      <c r="E137" s="504" t="s">
        <v>56</v>
      </c>
      <c r="F137" s="205" t="s">
        <v>2669</v>
      </c>
      <c r="G137" s="205"/>
      <c r="H137" s="1744" t="s">
        <v>1281</v>
      </c>
      <c r="I137" s="1745"/>
      <c r="J137" s="1745"/>
      <c r="K137" s="705" t="s">
        <v>61</v>
      </c>
      <c r="L137" s="705" t="s">
        <v>61</v>
      </c>
      <c r="M137" s="705" t="s">
        <v>61</v>
      </c>
      <c r="N137" s="710" t="s">
        <v>30</v>
      </c>
      <c r="W137" s="32"/>
      <c r="X137" s="1633" t="s">
        <v>2605</v>
      </c>
      <c r="Y137" s="706" t="s">
        <v>2110</v>
      </c>
      <c r="Z137" s="706" t="s">
        <v>61</v>
      </c>
      <c r="AA137" s="706" t="s">
        <v>61</v>
      </c>
      <c r="AB137" s="706" t="s">
        <v>61</v>
      </c>
      <c r="AC137" s="705" t="s">
        <v>61</v>
      </c>
      <c r="AD137" s="710" t="s">
        <v>30</v>
      </c>
      <c r="AE137" s="42"/>
      <c r="AF137" s="507" t="s">
        <v>2065</v>
      </c>
      <c r="AG137" s="504" t="s">
        <v>61</v>
      </c>
      <c r="AH137" s="504" t="s">
        <v>61</v>
      </c>
      <c r="AI137" s="504" t="s">
        <v>61</v>
      </c>
      <c r="AJ137" s="503" t="s">
        <v>61</v>
      </c>
      <c r="AK137" s="504" t="s">
        <v>30</v>
      </c>
      <c r="AL137" s="504" t="s">
        <v>2558</v>
      </c>
      <c r="AM137" s="504" t="s">
        <v>61</v>
      </c>
      <c r="AN137" s="504" t="s">
        <v>61</v>
      </c>
      <c r="AO137" s="504" t="s">
        <v>61</v>
      </c>
      <c r="AP137" s="503" t="s">
        <v>61</v>
      </c>
      <c r="AQ137" s="508" t="s">
        <v>30</v>
      </c>
      <c r="AS137" s="1764" t="s">
        <v>14</v>
      </c>
      <c r="AT137" s="1761"/>
      <c r="AU137" s="1761"/>
      <c r="AV137" s="1761" t="s">
        <v>60</v>
      </c>
      <c r="AW137" s="1761"/>
      <c r="AX137" s="1761"/>
      <c r="AY137" s="1761" t="s">
        <v>27</v>
      </c>
      <c r="AZ137" s="1761"/>
      <c r="BA137" s="1761"/>
      <c r="BB137" s="1761" t="s">
        <v>2074</v>
      </c>
      <c r="BC137" s="1761"/>
      <c r="BD137" s="1761"/>
      <c r="BE137" s="1762" t="s">
        <v>41</v>
      </c>
      <c r="BF137" s="1762"/>
      <c r="BG137" s="1763"/>
      <c r="BH137" s="1764" t="s">
        <v>85</v>
      </c>
      <c r="BI137" s="1761"/>
      <c r="BJ137" s="1765"/>
    </row>
    <row r="138" spans="2:62" outlineLevel="1" x14ac:dyDescent="0.2">
      <c r="B138" s="507"/>
      <c r="C138" s="504"/>
      <c r="D138" s="504" t="s">
        <v>61</v>
      </c>
      <c r="E138" s="504" t="s">
        <v>63</v>
      </c>
      <c r="F138" s="208" t="s">
        <v>2054</v>
      </c>
      <c r="G138" s="208" t="s">
        <v>2636</v>
      </c>
      <c r="H138" s="708" t="s">
        <v>1279</v>
      </c>
      <c r="I138" s="708" t="s">
        <v>768</v>
      </c>
      <c r="J138" s="708" t="s">
        <v>24</v>
      </c>
      <c r="K138" s="707" t="s">
        <v>1279</v>
      </c>
      <c r="L138" s="707" t="s">
        <v>768</v>
      </c>
      <c r="M138" s="707" t="s">
        <v>24</v>
      </c>
      <c r="N138" s="710" t="s">
        <v>61</v>
      </c>
      <c r="W138" s="32"/>
      <c r="X138" s="1633" t="s">
        <v>2109</v>
      </c>
      <c r="Y138" s="706"/>
      <c r="Z138" s="708" t="s">
        <v>1279</v>
      </c>
      <c r="AA138" s="708" t="s">
        <v>768</v>
      </c>
      <c r="AB138" s="708" t="s">
        <v>24</v>
      </c>
      <c r="AC138" s="223" t="s">
        <v>41</v>
      </c>
      <c r="AD138" s="710" t="s">
        <v>61</v>
      </c>
      <c r="AE138" s="42"/>
      <c r="AF138" s="507"/>
      <c r="AG138" s="506" t="s">
        <v>1279</v>
      </c>
      <c r="AH138" s="506" t="s">
        <v>768</v>
      </c>
      <c r="AI138" s="506" t="s">
        <v>24</v>
      </c>
      <c r="AJ138" s="223" t="s">
        <v>41</v>
      </c>
      <c r="AK138" s="504" t="s">
        <v>61</v>
      </c>
      <c r="AL138" s="504"/>
      <c r="AM138" s="506" t="s">
        <v>1279</v>
      </c>
      <c r="AN138" s="506" t="s">
        <v>768</v>
      </c>
      <c r="AO138" s="506" t="s">
        <v>24</v>
      </c>
      <c r="AP138" s="223" t="s">
        <v>41</v>
      </c>
      <c r="AQ138" s="508" t="s">
        <v>61</v>
      </c>
      <c r="AS138" s="732" t="s">
        <v>1279</v>
      </c>
      <c r="AT138" s="733" t="s">
        <v>768</v>
      </c>
      <c r="AU138" s="733" t="s">
        <v>24</v>
      </c>
      <c r="AV138" s="733" t="s">
        <v>1279</v>
      </c>
      <c r="AW138" s="733" t="s">
        <v>768</v>
      </c>
      <c r="AX138" s="733" t="s">
        <v>24</v>
      </c>
      <c r="AY138" s="733" t="s">
        <v>1279</v>
      </c>
      <c r="AZ138" s="733" t="s">
        <v>768</v>
      </c>
      <c r="BA138" s="733" t="s">
        <v>24</v>
      </c>
      <c r="BB138" s="733" t="s">
        <v>1279</v>
      </c>
      <c r="BC138" s="733" t="s">
        <v>768</v>
      </c>
      <c r="BD138" s="733" t="s">
        <v>24</v>
      </c>
      <c r="BE138" s="734" t="s">
        <v>1279</v>
      </c>
      <c r="BF138" s="734" t="s">
        <v>768</v>
      </c>
      <c r="BG138" s="735" t="s">
        <v>24</v>
      </c>
      <c r="BH138" s="732" t="s">
        <v>1279</v>
      </c>
      <c r="BI138" s="733" t="s">
        <v>768</v>
      </c>
      <c r="BJ138" s="736" t="s">
        <v>24</v>
      </c>
    </row>
    <row r="139" spans="2:62" outlineLevel="1" x14ac:dyDescent="0.2">
      <c r="B139" s="236" t="s">
        <v>1410</v>
      </c>
      <c r="C139" s="504"/>
      <c r="D139" s="262">
        <f>SUM(K139:M139)</f>
        <v>0</v>
      </c>
      <c r="E139" s="265">
        <f>D139*12/44</f>
        <v>0</v>
      </c>
      <c r="F139" s="559"/>
      <c r="G139" s="182"/>
      <c r="H139" s="564">
        <f>VLOOKUP($B139,'Emissions factors'!$B$1413:$R$1426,2,FALSE)</f>
        <v>0.04</v>
      </c>
      <c r="I139" s="564">
        <f>VLOOKUP($B139,'Emissions factors'!$B$1413:$R$1426,3,FALSE)</f>
        <v>3.6940000000000001E-2</v>
      </c>
      <c r="J139" s="564">
        <f>VLOOKUP($B139,'Emissions factors'!$B$1413:$R$1426,4,FALSE)</f>
        <v>0.15664400000000001</v>
      </c>
      <c r="K139" s="465">
        <f>G139*H139</f>
        <v>0</v>
      </c>
      <c r="L139" s="465">
        <f>G139*I139</f>
        <v>0</v>
      </c>
      <c r="M139" s="465">
        <f>G139*J139</f>
        <v>0</v>
      </c>
      <c r="N139" s="222">
        <f>IF(OR(F139='Info utili'!$I$532,F139='Info utili'!$I$537),M139,0)</f>
        <v>0</v>
      </c>
      <c r="X139" s="282">
        <f>VLOOKUP($B139,'Emissions factors'!$B$1413:$R$1426,17,FALSE)</f>
        <v>0.2</v>
      </c>
      <c r="Y139" s="183"/>
      <c r="Z139" s="221">
        <f>K139*SQRT(X139^2+Y139^2)</f>
        <v>0</v>
      </c>
      <c r="AA139" s="221">
        <f>L139*SQRT(X139^2+Y139^2)</f>
        <v>0</v>
      </c>
      <c r="AB139" s="221">
        <f>M139*SQRT(X139^2+Y139^2)</f>
        <v>0</v>
      </c>
      <c r="AC139" s="210">
        <f>SQRT(SUMSQ(Z139:AB139))</f>
        <v>0</v>
      </c>
      <c r="AD139" s="222">
        <f>N139*SQRT(X139^2+Y139^2)</f>
        <v>0</v>
      </c>
      <c r="AF139" s="184"/>
      <c r="AG139" s="221">
        <f>K139*AF139</f>
        <v>0</v>
      </c>
      <c r="AH139" s="221">
        <f>L139*AF139</f>
        <v>0</v>
      </c>
      <c r="AI139" s="221">
        <f>M139*AF139</f>
        <v>0</v>
      </c>
      <c r="AJ139" s="210">
        <f>SUM(AG139:AI139)</f>
        <v>0</v>
      </c>
      <c r="AK139" s="221">
        <f>N139*AF139</f>
        <v>0</v>
      </c>
      <c r="AL139" s="184"/>
      <c r="AM139" s="221">
        <f>K139*AL139</f>
        <v>0</v>
      </c>
      <c r="AN139" s="221">
        <f>L139*AL139</f>
        <v>0</v>
      </c>
      <c r="AO139" s="221">
        <f>M139*AL139</f>
        <v>0</v>
      </c>
      <c r="AP139" s="210">
        <f>SUM(AM139:AO139)</f>
        <v>0</v>
      </c>
      <c r="AQ139" s="222">
        <f>N139*AL139</f>
        <v>0</v>
      </c>
      <c r="AS139" s="717">
        <f>G139*VLOOKUP($B139,'Emissions factors'!$B$1413:$R$1426,5,FALSE)</f>
        <v>0</v>
      </c>
      <c r="AT139" s="718">
        <f>G139*VLOOKUP($B139,'Emissions factors'!$B$1413:$R$1426,6,FALSE)</f>
        <v>0</v>
      </c>
      <c r="AU139" s="718">
        <f>G139*VLOOKUP($B139,'Emissions factors'!$B$1413:$R$1426,7,FALSE)</f>
        <v>0</v>
      </c>
      <c r="AV139" s="718">
        <f>G139*VLOOKUP($B139,'Emissions factors'!$B$1413:$R$1426,8,FALSE)</f>
        <v>0</v>
      </c>
      <c r="AW139" s="718">
        <f>G139*VLOOKUP($B139,'Emissions factors'!$B$1413:$R$1426,9,FALSE)</f>
        <v>0</v>
      </c>
      <c r="AX139" s="718">
        <f>G139*VLOOKUP($B139,'Emissions factors'!$B$1413:$R$1426,10,FALSE)</f>
        <v>0</v>
      </c>
      <c r="AY139" s="718">
        <f>G139*VLOOKUP($B139,'Emissions factors'!$B$1413:$R$1426,11,FALSE)</f>
        <v>0</v>
      </c>
      <c r="AZ139" s="718">
        <f>G139*VLOOKUP($B139,'Emissions factors'!$B$1413:$R$1426,12,FALSE)</f>
        <v>0</v>
      </c>
      <c r="BA139" s="718">
        <f>G139*VLOOKUP($B139,'Emissions factors'!$B$1413:$R$1426,13,FALSE)</f>
        <v>0</v>
      </c>
      <c r="BB139" s="718">
        <v>0</v>
      </c>
      <c r="BC139" s="718">
        <v>0</v>
      </c>
      <c r="BD139" s="718">
        <v>0</v>
      </c>
      <c r="BE139" s="719">
        <f t="shared" ref="BE139:BG141" si="27">K139</f>
        <v>0</v>
      </c>
      <c r="BF139" s="719">
        <f t="shared" si="27"/>
        <v>0</v>
      </c>
      <c r="BG139" s="720">
        <f t="shared" si="27"/>
        <v>0</v>
      </c>
      <c r="BH139" s="717">
        <f>G139*VLOOKUP($B139,'Emissions factors'!$B$1413:$R$1426,14,FALSE)</f>
        <v>0</v>
      </c>
      <c r="BI139" s="718">
        <f>G139*VLOOKUP($B139,'Emissions factors'!$B$1413:$R$1426,15,FALSE)</f>
        <v>0</v>
      </c>
      <c r="BJ139" s="721">
        <f>G139*VLOOKUP($B139,'Emissions factors'!$B$1413:$R$1426,16,FALSE)</f>
        <v>0</v>
      </c>
    </row>
    <row r="140" spans="2:62" outlineLevel="1" x14ac:dyDescent="0.2">
      <c r="B140" s="236" t="s">
        <v>1411</v>
      </c>
      <c r="C140" s="504"/>
      <c r="D140" s="262">
        <f>SUM(K140:M140)</f>
        <v>0</v>
      </c>
      <c r="E140" s="265">
        <f>D140*12/44</f>
        <v>0</v>
      </c>
      <c r="F140" s="442"/>
      <c r="G140" s="185"/>
      <c r="H140" s="564">
        <f>VLOOKUP($B140,'Emissions factors'!$B$1413:$R$1426,2,FALSE)</f>
        <v>0.04</v>
      </c>
      <c r="I140" s="564">
        <f>VLOOKUP($B140,'Emissions factors'!$B$1413:$R$1426,3,FALSE)</f>
        <v>4.4390000000000006E-2</v>
      </c>
      <c r="J140" s="564">
        <f>VLOOKUP($B140,'Emissions factors'!$B$1413:$R$1426,4,FALSE)</f>
        <v>0.18797900000000001</v>
      </c>
      <c r="K140" s="465">
        <f>G140*H140</f>
        <v>0</v>
      </c>
      <c r="L140" s="465">
        <f>G140*I140</f>
        <v>0</v>
      </c>
      <c r="M140" s="465">
        <f>G140*J140</f>
        <v>0</v>
      </c>
      <c r="N140" s="222">
        <f>IF(OR(F140='Info utili'!$I$532,F140='Info utili'!$I$537),M140,0)</f>
        <v>0</v>
      </c>
      <c r="X140" s="282">
        <f>VLOOKUP($B140,'Emissions factors'!$B$1413:$R$1426,17,FALSE)</f>
        <v>0.2</v>
      </c>
      <c r="Y140" s="186"/>
      <c r="Z140" s="221">
        <f>K140*SQRT(X140^2+Y140^2)</f>
        <v>0</v>
      </c>
      <c r="AA140" s="221">
        <f>L140*SQRT(X140^2+Y140^2)</f>
        <v>0</v>
      </c>
      <c r="AB140" s="221">
        <f>M140*SQRT(X140^2+Y140^2)</f>
        <v>0</v>
      </c>
      <c r="AC140" s="210">
        <f>SQRT(SUMSQ(Z140:AB140))</f>
        <v>0</v>
      </c>
      <c r="AD140" s="222">
        <f>N140*SQRT(X140^2+Y140^2)</f>
        <v>0</v>
      </c>
      <c r="AF140" s="187"/>
      <c r="AG140" s="221">
        <f>K140*AF140</f>
        <v>0</v>
      </c>
      <c r="AH140" s="221">
        <f>L140*AF140</f>
        <v>0</v>
      </c>
      <c r="AI140" s="221">
        <f>M140*AF140</f>
        <v>0</v>
      </c>
      <c r="AJ140" s="210">
        <f>SUM(AG140:AI140)</f>
        <v>0</v>
      </c>
      <c r="AK140" s="221">
        <f>N140*AF140</f>
        <v>0</v>
      </c>
      <c r="AL140" s="187"/>
      <c r="AM140" s="221">
        <f>K140*AL140</f>
        <v>0</v>
      </c>
      <c r="AN140" s="221">
        <f>L140*AL140</f>
        <v>0</v>
      </c>
      <c r="AO140" s="221">
        <f>M140*AL140</f>
        <v>0</v>
      </c>
      <c r="AP140" s="210">
        <f>SUM(AM140:AO140)</f>
        <v>0</v>
      </c>
      <c r="AQ140" s="222">
        <f>N140*AL140</f>
        <v>0</v>
      </c>
      <c r="AS140" s="717">
        <f>G140*VLOOKUP($B140,'Emissions factors'!$B$1413:$R$1426,5,FALSE)</f>
        <v>0</v>
      </c>
      <c r="AT140" s="718">
        <f>G140*VLOOKUP($B140,'Emissions factors'!$B$1413:$R$1426,6,FALSE)</f>
        <v>0</v>
      </c>
      <c r="AU140" s="718">
        <f>G140*VLOOKUP($B140,'Emissions factors'!$B$1413:$R$1426,7,FALSE)</f>
        <v>0</v>
      </c>
      <c r="AV140" s="718">
        <f>G140*VLOOKUP($B140,'Emissions factors'!$B$1413:$R$1426,8,FALSE)</f>
        <v>0</v>
      </c>
      <c r="AW140" s="718">
        <f>G140*VLOOKUP($B140,'Emissions factors'!$B$1413:$R$1426,9,FALSE)</f>
        <v>0</v>
      </c>
      <c r="AX140" s="718">
        <f>G140*VLOOKUP($B140,'Emissions factors'!$B$1413:$R$1426,10,FALSE)</f>
        <v>0</v>
      </c>
      <c r="AY140" s="718">
        <f>G140*VLOOKUP($B140,'Emissions factors'!$B$1413:$R$1426,11,FALSE)</f>
        <v>0</v>
      </c>
      <c r="AZ140" s="718">
        <f>G140*VLOOKUP($B140,'Emissions factors'!$B$1413:$R$1426,12,FALSE)</f>
        <v>0</v>
      </c>
      <c r="BA140" s="718">
        <f>G140*VLOOKUP($B140,'Emissions factors'!$B$1413:$R$1426,13,FALSE)</f>
        <v>0</v>
      </c>
      <c r="BB140" s="718">
        <v>0</v>
      </c>
      <c r="BC140" s="718">
        <v>0</v>
      </c>
      <c r="BD140" s="718">
        <v>0</v>
      </c>
      <c r="BE140" s="719">
        <f t="shared" si="27"/>
        <v>0</v>
      </c>
      <c r="BF140" s="719">
        <f t="shared" si="27"/>
        <v>0</v>
      </c>
      <c r="BG140" s="720">
        <f t="shared" si="27"/>
        <v>0</v>
      </c>
      <c r="BH140" s="717">
        <f>G140*VLOOKUP($B140,'Emissions factors'!$B$1413:$R$1426,14,FALSE)</f>
        <v>0</v>
      </c>
      <c r="BI140" s="718">
        <f>G140*VLOOKUP($B140,'Emissions factors'!$B$1413:$R$1426,15,FALSE)</f>
        <v>0</v>
      </c>
      <c r="BJ140" s="721">
        <f>G140*VLOOKUP($B140,'Emissions factors'!$B$1413:$R$1426,16,FALSE)</f>
        <v>0</v>
      </c>
    </row>
    <row r="141" spans="2:62" outlineLevel="1" x14ac:dyDescent="0.2">
      <c r="B141" s="236" t="s">
        <v>3157</v>
      </c>
      <c r="C141" s="504"/>
      <c r="D141" s="262">
        <f>SUM(K141:M141)</f>
        <v>0</v>
      </c>
      <c r="E141" s="265">
        <f>D141*12/44</f>
        <v>0</v>
      </c>
      <c r="F141" s="443"/>
      <c r="G141" s="188"/>
      <c r="H141" s="564">
        <f>VLOOKUP($B141,'Emissions factors'!$B$1413:$R$1426,2,FALSE)</f>
        <v>0.04</v>
      </c>
      <c r="I141" s="564">
        <f>VLOOKUP($B141,'Emissions factors'!$B$1413:$R$1426,3,FALSE)</f>
        <v>4.3020000000000003E-2</v>
      </c>
      <c r="J141" s="564">
        <f>VLOOKUP($B141,'Emissions factors'!$B$1413:$R$1426,4,FALSE)</f>
        <v>0.16500000000000001</v>
      </c>
      <c r="K141" s="465">
        <f>G141*H141</f>
        <v>0</v>
      </c>
      <c r="L141" s="465">
        <f>G141*I141</f>
        <v>0</v>
      </c>
      <c r="M141" s="465">
        <f>G141*J141</f>
        <v>0</v>
      </c>
      <c r="N141" s="222">
        <f>IF(OR(F141='Info utili'!$I$532,F141='Info utili'!$I$537),M141,0)</f>
        <v>0</v>
      </c>
      <c r="X141" s="282">
        <f>VLOOKUP($B141,'Emissions factors'!$B$1413:$R$1426,17,FALSE)</f>
        <v>0.2</v>
      </c>
      <c r="Y141" s="189"/>
      <c r="Z141" s="221">
        <f>K141*SQRT(X141^2+Y141^2)</f>
        <v>0</v>
      </c>
      <c r="AA141" s="221">
        <f>L141*SQRT(X141^2+Y141^2)</f>
        <v>0</v>
      </c>
      <c r="AB141" s="221">
        <f>M141*SQRT(X141^2+Y141^2)</f>
        <v>0</v>
      </c>
      <c r="AC141" s="210">
        <f>SQRT(SUMSQ(Z141:AB141))</f>
        <v>0</v>
      </c>
      <c r="AD141" s="222">
        <f>N141*SQRT(X141^2+Y141^2)</f>
        <v>0</v>
      </c>
      <c r="AF141" s="190"/>
      <c r="AG141" s="221">
        <f>K141*AF141</f>
        <v>0</v>
      </c>
      <c r="AH141" s="221">
        <f>L141*AF141</f>
        <v>0</v>
      </c>
      <c r="AI141" s="221">
        <f>M141*AF141</f>
        <v>0</v>
      </c>
      <c r="AJ141" s="210">
        <f>SUM(AG141:AI141)</f>
        <v>0</v>
      </c>
      <c r="AK141" s="221">
        <f>N141*AF141</f>
        <v>0</v>
      </c>
      <c r="AL141" s="190"/>
      <c r="AM141" s="221">
        <f>K141*AL141</f>
        <v>0</v>
      </c>
      <c r="AN141" s="221">
        <f>L141*AL141</f>
        <v>0</v>
      </c>
      <c r="AO141" s="221">
        <f>M141*AL141</f>
        <v>0</v>
      </c>
      <c r="AP141" s="210">
        <f>SUM(AM141:AO141)</f>
        <v>0</v>
      </c>
      <c r="AQ141" s="222">
        <f>N141*AL141</f>
        <v>0</v>
      </c>
      <c r="AS141" s="717">
        <f>G141*VLOOKUP($B141,'Emissions factors'!$B$1413:$R$1426,5,FALSE)</f>
        <v>0</v>
      </c>
      <c r="AT141" s="718">
        <f>G141*VLOOKUP($B141,'Emissions factors'!$B$1413:$R$1426,6,FALSE)</f>
        <v>0</v>
      </c>
      <c r="AU141" s="718">
        <f>G141*VLOOKUP($B141,'Emissions factors'!$B$1413:$R$1426,7,FALSE)</f>
        <v>0</v>
      </c>
      <c r="AV141" s="718">
        <f>G141*VLOOKUP($B141,'Emissions factors'!$B$1413:$R$1426,8,FALSE)</f>
        <v>0</v>
      </c>
      <c r="AW141" s="718">
        <f>G141*VLOOKUP($B141,'Emissions factors'!$B$1413:$R$1426,9,FALSE)</f>
        <v>0</v>
      </c>
      <c r="AX141" s="718">
        <f>G141*VLOOKUP($B141,'Emissions factors'!$B$1413:$R$1426,10,FALSE)</f>
        <v>0</v>
      </c>
      <c r="AY141" s="718">
        <f>G141*VLOOKUP($B141,'Emissions factors'!$B$1413:$R$1426,11,FALSE)</f>
        <v>0</v>
      </c>
      <c r="AZ141" s="718">
        <f>G141*VLOOKUP($B141,'Emissions factors'!$B$1413:$R$1426,12,FALSE)</f>
        <v>0</v>
      </c>
      <c r="BA141" s="718">
        <f>G141*VLOOKUP($B141,'Emissions factors'!$B$1413:$R$1426,13,FALSE)</f>
        <v>0</v>
      </c>
      <c r="BB141" s="718">
        <v>0</v>
      </c>
      <c r="BC141" s="718">
        <v>0</v>
      </c>
      <c r="BD141" s="718">
        <v>0</v>
      </c>
      <c r="BE141" s="719">
        <f t="shared" si="27"/>
        <v>0</v>
      </c>
      <c r="BF141" s="719">
        <f t="shared" si="27"/>
        <v>0</v>
      </c>
      <c r="BG141" s="720">
        <f t="shared" si="27"/>
        <v>0</v>
      </c>
      <c r="BH141" s="717">
        <f>G141*VLOOKUP($B141,'Emissions factors'!$B$1413:$R$1426,14,FALSE)</f>
        <v>0</v>
      </c>
      <c r="BI141" s="718">
        <f>G141*VLOOKUP($B141,'Emissions factors'!$B$1413:$R$1426,15,FALSE)</f>
        <v>0</v>
      </c>
      <c r="BJ141" s="721">
        <f>G141*VLOOKUP($B141,'Emissions factors'!$B$1413:$R$1426,16,FALSE)</f>
        <v>0</v>
      </c>
    </row>
    <row r="142" spans="2:62" outlineLevel="1" x14ac:dyDescent="0.2">
      <c r="B142" s="200"/>
      <c r="C142" s="201"/>
      <c r="D142" s="263"/>
      <c r="E142" s="266"/>
      <c r="F142" s="201"/>
      <c r="G142" s="201"/>
      <c r="H142" s="201"/>
      <c r="I142" s="201"/>
      <c r="J142" s="201"/>
      <c r="K142" s="225"/>
      <c r="L142" s="225"/>
      <c r="M142" s="225"/>
      <c r="N142" s="222"/>
      <c r="X142" s="213"/>
      <c r="Y142" s="214"/>
      <c r="Z142" s="201"/>
      <c r="AA142" s="201"/>
      <c r="AB142" s="201"/>
      <c r="AC142" s="210"/>
      <c r="AD142" s="211"/>
      <c r="AF142" s="213"/>
      <c r="AG142" s="214"/>
      <c r="AH142" s="214"/>
      <c r="AI142" s="214"/>
      <c r="AJ142" s="413"/>
      <c r="AK142" s="413"/>
      <c r="AL142" s="214"/>
      <c r="AM142" s="210"/>
      <c r="AN142" s="210"/>
      <c r="AO142" s="210"/>
      <c r="AP142" s="413"/>
      <c r="AQ142" s="222"/>
      <c r="AS142" s="717"/>
      <c r="AT142" s="718"/>
      <c r="AU142" s="718"/>
      <c r="AV142" s="718"/>
      <c r="AW142" s="718"/>
      <c r="AX142" s="718"/>
      <c r="AY142" s="718"/>
      <c r="AZ142" s="718"/>
      <c r="BA142" s="718"/>
      <c r="BB142" s="718"/>
      <c r="BC142" s="718"/>
      <c r="BD142" s="718"/>
      <c r="BE142" s="719"/>
      <c r="BF142" s="719"/>
      <c r="BG142" s="720"/>
      <c r="BH142" s="722"/>
      <c r="BI142" s="786"/>
      <c r="BJ142" s="723"/>
    </row>
    <row r="143" spans="2:62" outlineLevel="1" x14ac:dyDescent="0.2">
      <c r="B143" s="253" t="s">
        <v>2828</v>
      </c>
      <c r="C143" s="254"/>
      <c r="D143" s="264">
        <f>SUM(D139:D142)</f>
        <v>0</v>
      </c>
      <c r="E143" s="267">
        <f>SUM(E139:E142)</f>
        <v>0</v>
      </c>
      <c r="F143" s="254"/>
      <c r="G143" s="254"/>
      <c r="H143" s="254"/>
      <c r="I143" s="254"/>
      <c r="J143" s="254"/>
      <c r="K143" s="259">
        <f>SUM(K139:K142)</f>
        <v>0</v>
      </c>
      <c r="L143" s="259">
        <f>SUM(L139:L142)</f>
        <v>0</v>
      </c>
      <c r="M143" s="259">
        <f>SUM(M139:M142)</f>
        <v>0</v>
      </c>
      <c r="N143" s="428">
        <f>SUM(N139:N142)</f>
        <v>0</v>
      </c>
      <c r="X143" s="258"/>
      <c r="Y143" s="256"/>
      <c r="Z143" s="260">
        <f>SQRT(SUMSQ(Z138:Z142))</f>
        <v>0</v>
      </c>
      <c r="AA143" s="260">
        <f>SQRT(SUMSQ(AA138:AA142))</f>
        <v>0</v>
      </c>
      <c r="AB143" s="260">
        <f>SQRT(SUMSQ(AB138:AB142))</f>
        <v>0</v>
      </c>
      <c r="AC143" s="259">
        <f>SQRT(SUMSQ(AC138:AC142))</f>
        <v>0</v>
      </c>
      <c r="AD143" s="428">
        <f>SQRT(SUMSQ(AD138:AD142))</f>
        <v>0</v>
      </c>
      <c r="AF143" s="258"/>
      <c r="AG143" s="260">
        <f>SUM(AG139:AG142)</f>
        <v>0</v>
      </c>
      <c r="AH143" s="260">
        <f>SUM(AH139:AH142)</f>
        <v>0</v>
      </c>
      <c r="AI143" s="260">
        <f>SUM(AI139:AI142)</f>
        <v>0</v>
      </c>
      <c r="AJ143" s="259">
        <f>SUM(AJ139:AJ142)</f>
        <v>0</v>
      </c>
      <c r="AK143" s="260">
        <f>SUM(AK139:AK142)</f>
        <v>0</v>
      </c>
      <c r="AL143" s="256"/>
      <c r="AM143" s="260">
        <f>SUM(AM139:AM142)</f>
        <v>0</v>
      </c>
      <c r="AN143" s="260">
        <f>SUM(AN139:AN142)</f>
        <v>0</v>
      </c>
      <c r="AO143" s="260">
        <f>SUM(AO139:AO142)</f>
        <v>0</v>
      </c>
      <c r="AP143" s="259">
        <f>SUM(AP139:AP142)</f>
        <v>0</v>
      </c>
      <c r="AQ143" s="428">
        <f>SUM(AQ139:AQ142)</f>
        <v>0</v>
      </c>
      <c r="AS143" s="724">
        <f t="shared" ref="AS143:BJ143" si="28">SUM(AS139:AS142)</f>
        <v>0</v>
      </c>
      <c r="AT143" s="725">
        <f t="shared" si="28"/>
        <v>0</v>
      </c>
      <c r="AU143" s="725">
        <f t="shared" si="28"/>
        <v>0</v>
      </c>
      <c r="AV143" s="725">
        <f t="shared" si="28"/>
        <v>0</v>
      </c>
      <c r="AW143" s="725">
        <f t="shared" si="28"/>
        <v>0</v>
      </c>
      <c r="AX143" s="725">
        <f t="shared" si="28"/>
        <v>0</v>
      </c>
      <c r="AY143" s="725">
        <f t="shared" si="28"/>
        <v>0</v>
      </c>
      <c r="AZ143" s="725">
        <f t="shared" si="28"/>
        <v>0</v>
      </c>
      <c r="BA143" s="725">
        <f t="shared" si="28"/>
        <v>0</v>
      </c>
      <c r="BB143" s="725">
        <f t="shared" si="28"/>
        <v>0</v>
      </c>
      <c r="BC143" s="725">
        <f t="shared" si="28"/>
        <v>0</v>
      </c>
      <c r="BD143" s="725">
        <f t="shared" si="28"/>
        <v>0</v>
      </c>
      <c r="BE143" s="726">
        <f t="shared" si="28"/>
        <v>0</v>
      </c>
      <c r="BF143" s="726">
        <f t="shared" si="28"/>
        <v>0</v>
      </c>
      <c r="BG143" s="727">
        <f t="shared" si="28"/>
        <v>0</v>
      </c>
      <c r="BH143" s="724">
        <f t="shared" si="28"/>
        <v>0</v>
      </c>
      <c r="BI143" s="725">
        <f t="shared" si="28"/>
        <v>0</v>
      </c>
      <c r="BJ143" s="728">
        <f t="shared" si="28"/>
        <v>0</v>
      </c>
    </row>
    <row r="144" spans="2:62" outlineLevel="1" x14ac:dyDescent="0.2">
      <c r="V144" s="42"/>
    </row>
    <row r="145" spans="2:62" outlineLevel="1" x14ac:dyDescent="0.2">
      <c r="B145" s="195" t="s">
        <v>3162</v>
      </c>
      <c r="C145" s="196"/>
      <c r="D145" s="196"/>
      <c r="E145" s="196"/>
      <c r="F145" s="196"/>
      <c r="G145" s="198"/>
      <c r="H145" s="198"/>
      <c r="I145" s="198"/>
      <c r="J145" s="198"/>
      <c r="K145" s="198"/>
      <c r="L145" s="198"/>
      <c r="M145" s="198"/>
      <c r="N145" s="199"/>
      <c r="X145" s="1746" t="s">
        <v>723</v>
      </c>
      <c r="Y145" s="1747"/>
      <c r="Z145" s="1747"/>
      <c r="AA145" s="1747"/>
      <c r="AB145" s="1747"/>
      <c r="AC145" s="1747"/>
      <c r="AD145" s="1748"/>
      <c r="AF145" s="1746" t="s">
        <v>2066</v>
      </c>
      <c r="AG145" s="1747"/>
      <c r="AH145" s="1747"/>
      <c r="AI145" s="1747"/>
      <c r="AJ145" s="1747"/>
      <c r="AK145" s="1747"/>
      <c r="AL145" s="1747"/>
      <c r="AM145" s="1747"/>
      <c r="AN145" s="1747"/>
      <c r="AO145" s="1747"/>
      <c r="AP145" s="1747"/>
      <c r="AQ145" s="1748"/>
      <c r="AS145" s="1755" t="s">
        <v>2073</v>
      </c>
      <c r="AT145" s="1756"/>
      <c r="AU145" s="1756"/>
      <c r="AV145" s="1756"/>
      <c r="AW145" s="1756"/>
      <c r="AX145" s="1756"/>
      <c r="AY145" s="1756"/>
      <c r="AZ145" s="1756"/>
      <c r="BA145" s="1756"/>
      <c r="BB145" s="1756"/>
      <c r="BC145" s="1756"/>
      <c r="BD145" s="1756"/>
      <c r="BE145" s="1756"/>
      <c r="BF145" s="1756"/>
      <c r="BG145" s="1756"/>
      <c r="BH145" s="1756"/>
      <c r="BI145" s="1756"/>
      <c r="BJ145" s="1757"/>
    </row>
    <row r="146" spans="2:62" outlineLevel="1" x14ac:dyDescent="0.2">
      <c r="B146" s="200"/>
      <c r="C146" s="201"/>
      <c r="D146" s="503"/>
      <c r="E146" s="503"/>
      <c r="F146" s="201"/>
      <c r="G146" s="201"/>
      <c r="H146" s="201"/>
      <c r="I146" s="201"/>
      <c r="J146" s="201"/>
      <c r="K146" s="201"/>
      <c r="L146" s="1745" t="s">
        <v>2646</v>
      </c>
      <c r="M146" s="1745"/>
      <c r="N146" s="710" t="s">
        <v>2639</v>
      </c>
      <c r="X146" s="709"/>
      <c r="Y146" s="706"/>
      <c r="Z146" s="706"/>
      <c r="AA146" s="706"/>
      <c r="AB146" s="706"/>
      <c r="AC146" s="706"/>
      <c r="AD146" s="710" t="s">
        <v>2639</v>
      </c>
      <c r="AE146" s="42"/>
      <c r="AF146" s="216"/>
      <c r="AG146" s="503"/>
      <c r="AH146" s="503"/>
      <c r="AI146" s="503"/>
      <c r="AJ146" s="504"/>
      <c r="AK146" s="504" t="s">
        <v>2639</v>
      </c>
      <c r="AL146" s="217"/>
      <c r="AM146" s="503"/>
      <c r="AN146" s="503"/>
      <c r="AO146" s="503"/>
      <c r="AP146" s="504"/>
      <c r="AQ146" s="508" t="s">
        <v>2639</v>
      </c>
      <c r="AS146" s="1758" t="s">
        <v>61</v>
      </c>
      <c r="AT146" s="1759"/>
      <c r="AU146" s="1759"/>
      <c r="AV146" s="1759"/>
      <c r="AW146" s="1759"/>
      <c r="AX146" s="1759"/>
      <c r="AY146" s="1759"/>
      <c r="AZ146" s="1759"/>
      <c r="BA146" s="1759"/>
      <c r="BB146" s="1759"/>
      <c r="BC146" s="1759"/>
      <c r="BD146" s="1759"/>
      <c r="BE146" s="1759" t="s">
        <v>61</v>
      </c>
      <c r="BF146" s="1759"/>
      <c r="BG146" s="1760"/>
      <c r="BH146" s="730"/>
      <c r="BI146" s="785"/>
      <c r="BJ146" s="731"/>
    </row>
    <row r="147" spans="2:62" outlineLevel="1" x14ac:dyDescent="0.2">
      <c r="B147" s="1703" t="s">
        <v>3254</v>
      </c>
      <c r="C147" s="504"/>
      <c r="D147" s="504" t="s">
        <v>56</v>
      </c>
      <c r="E147" s="504" t="s">
        <v>56</v>
      </c>
      <c r="F147" s="205" t="s">
        <v>2669</v>
      </c>
      <c r="G147" s="205"/>
      <c r="H147" s="1744" t="s">
        <v>1281</v>
      </c>
      <c r="I147" s="1745"/>
      <c r="J147" s="1745"/>
      <c r="K147" s="705" t="s">
        <v>61</v>
      </c>
      <c r="L147" s="705" t="s">
        <v>61</v>
      </c>
      <c r="M147" s="705" t="s">
        <v>61</v>
      </c>
      <c r="N147" s="710" t="s">
        <v>30</v>
      </c>
      <c r="W147" s="32"/>
      <c r="X147" s="1633" t="s">
        <v>2605</v>
      </c>
      <c r="Y147" s="706" t="s">
        <v>2110</v>
      </c>
      <c r="Z147" s="706" t="s">
        <v>61</v>
      </c>
      <c r="AA147" s="706" t="s">
        <v>61</v>
      </c>
      <c r="AB147" s="706" t="s">
        <v>61</v>
      </c>
      <c r="AC147" s="705" t="s">
        <v>61</v>
      </c>
      <c r="AD147" s="710" t="s">
        <v>30</v>
      </c>
      <c r="AE147" s="42"/>
      <c r="AF147" s="507" t="s">
        <v>2065</v>
      </c>
      <c r="AG147" s="504" t="s">
        <v>61</v>
      </c>
      <c r="AH147" s="504" t="s">
        <v>61</v>
      </c>
      <c r="AI147" s="504" t="s">
        <v>61</v>
      </c>
      <c r="AJ147" s="503" t="s">
        <v>61</v>
      </c>
      <c r="AK147" s="504" t="s">
        <v>30</v>
      </c>
      <c r="AL147" s="504" t="s">
        <v>2558</v>
      </c>
      <c r="AM147" s="504" t="s">
        <v>61</v>
      </c>
      <c r="AN147" s="504" t="s">
        <v>61</v>
      </c>
      <c r="AO147" s="504" t="s">
        <v>61</v>
      </c>
      <c r="AP147" s="503" t="s">
        <v>61</v>
      </c>
      <c r="AQ147" s="508" t="s">
        <v>30</v>
      </c>
      <c r="AS147" s="1764" t="s">
        <v>14</v>
      </c>
      <c r="AT147" s="1761"/>
      <c r="AU147" s="1761"/>
      <c r="AV147" s="1761" t="s">
        <v>60</v>
      </c>
      <c r="AW147" s="1761"/>
      <c r="AX147" s="1761"/>
      <c r="AY147" s="1761" t="s">
        <v>27</v>
      </c>
      <c r="AZ147" s="1761"/>
      <c r="BA147" s="1761"/>
      <c r="BB147" s="1761" t="s">
        <v>2074</v>
      </c>
      <c r="BC147" s="1761"/>
      <c r="BD147" s="1761"/>
      <c r="BE147" s="1762" t="s">
        <v>41</v>
      </c>
      <c r="BF147" s="1762"/>
      <c r="BG147" s="1763"/>
      <c r="BH147" s="1764" t="s">
        <v>85</v>
      </c>
      <c r="BI147" s="1761"/>
      <c r="BJ147" s="1765"/>
    </row>
    <row r="148" spans="2:62" outlineLevel="1" x14ac:dyDescent="0.2">
      <c r="B148" s="507"/>
      <c r="C148" s="504"/>
      <c r="D148" s="504" t="s">
        <v>61</v>
      </c>
      <c r="E148" s="504" t="s">
        <v>63</v>
      </c>
      <c r="F148" s="208" t="s">
        <v>2054</v>
      </c>
      <c r="G148" s="208" t="s">
        <v>2636</v>
      </c>
      <c r="H148" s="708" t="s">
        <v>1279</v>
      </c>
      <c r="I148" s="708" t="s">
        <v>768</v>
      </c>
      <c r="J148" s="708" t="s">
        <v>24</v>
      </c>
      <c r="K148" s="707" t="s">
        <v>1279</v>
      </c>
      <c r="L148" s="707" t="s">
        <v>768</v>
      </c>
      <c r="M148" s="707" t="s">
        <v>24</v>
      </c>
      <c r="N148" s="710" t="s">
        <v>61</v>
      </c>
      <c r="W148" s="32"/>
      <c r="X148" s="1633" t="s">
        <v>2109</v>
      </c>
      <c r="Y148" s="706"/>
      <c r="Z148" s="708" t="s">
        <v>1279</v>
      </c>
      <c r="AA148" s="708" t="s">
        <v>768</v>
      </c>
      <c r="AB148" s="708" t="s">
        <v>24</v>
      </c>
      <c r="AC148" s="223" t="s">
        <v>41</v>
      </c>
      <c r="AD148" s="710" t="s">
        <v>61</v>
      </c>
      <c r="AE148" s="42"/>
      <c r="AF148" s="507"/>
      <c r="AG148" s="506" t="s">
        <v>1279</v>
      </c>
      <c r="AH148" s="506" t="s">
        <v>768</v>
      </c>
      <c r="AI148" s="506" t="s">
        <v>24</v>
      </c>
      <c r="AJ148" s="223" t="s">
        <v>41</v>
      </c>
      <c r="AK148" s="504" t="s">
        <v>61</v>
      </c>
      <c r="AL148" s="504"/>
      <c r="AM148" s="506" t="s">
        <v>1279</v>
      </c>
      <c r="AN148" s="506" t="s">
        <v>768</v>
      </c>
      <c r="AO148" s="506" t="s">
        <v>24</v>
      </c>
      <c r="AP148" s="223" t="s">
        <v>41</v>
      </c>
      <c r="AQ148" s="508" t="s">
        <v>61</v>
      </c>
      <c r="AS148" s="732" t="s">
        <v>1279</v>
      </c>
      <c r="AT148" s="733" t="s">
        <v>768</v>
      </c>
      <c r="AU148" s="733" t="s">
        <v>24</v>
      </c>
      <c r="AV148" s="733" t="s">
        <v>1279</v>
      </c>
      <c r="AW148" s="733" t="s">
        <v>768</v>
      </c>
      <c r="AX148" s="733" t="s">
        <v>24</v>
      </c>
      <c r="AY148" s="733" t="s">
        <v>1279</v>
      </c>
      <c r="AZ148" s="733" t="s">
        <v>768</v>
      </c>
      <c r="BA148" s="733" t="s">
        <v>24</v>
      </c>
      <c r="BB148" s="733" t="s">
        <v>1279</v>
      </c>
      <c r="BC148" s="733" t="s">
        <v>768</v>
      </c>
      <c r="BD148" s="733" t="s">
        <v>24</v>
      </c>
      <c r="BE148" s="734" t="s">
        <v>1279</v>
      </c>
      <c r="BF148" s="734" t="s">
        <v>768</v>
      </c>
      <c r="BG148" s="735" t="s">
        <v>24</v>
      </c>
      <c r="BH148" s="732" t="s">
        <v>1279</v>
      </c>
      <c r="BI148" s="733" t="s">
        <v>768</v>
      </c>
      <c r="BJ148" s="736" t="s">
        <v>24</v>
      </c>
    </row>
    <row r="149" spans="2:62" outlineLevel="1" x14ac:dyDescent="0.2">
      <c r="B149" s="236" t="s">
        <v>3157</v>
      </c>
      <c r="C149" s="504"/>
      <c r="D149" s="262">
        <f>SUM(K149:M149)</f>
        <v>0</v>
      </c>
      <c r="E149" s="265">
        <f>D149*12/44</f>
        <v>0</v>
      </c>
      <c r="F149" s="559"/>
      <c r="G149" s="182"/>
      <c r="H149" s="564">
        <f>VLOOKUP($B149,'Emissions factors'!$B$1431:$R$1476,2,FALSE)</f>
        <v>0.04</v>
      </c>
      <c r="I149" s="564">
        <f>VLOOKUP($B149,'Emissions factors'!$B$1431:$R$1476,3,FALSE)</f>
        <v>4.3020000000000003E-2</v>
      </c>
      <c r="J149" s="564">
        <f>VLOOKUP($B149,'Emissions factors'!$B$1431:$R$1476,4,FALSE)</f>
        <v>0.16500000000000001</v>
      </c>
      <c r="K149" s="465">
        <f>G149*H149</f>
        <v>0</v>
      </c>
      <c r="L149" s="465">
        <f>G149*I149</f>
        <v>0</v>
      </c>
      <c r="M149" s="465">
        <f>G149*J149</f>
        <v>0</v>
      </c>
      <c r="N149" s="222">
        <f>IF(OR(F149='Info utili'!$I$532,F149='Info utili'!$I$537),M149,0)</f>
        <v>0</v>
      </c>
      <c r="X149" s="282">
        <f>VLOOKUP($B149,'Emissions factors'!$B$1431:$R$1476,17,FALSE)</f>
        <v>0</v>
      </c>
      <c r="Y149" s="183"/>
      <c r="Z149" s="221">
        <f>K149*SQRT(X149^2+Y149^2)</f>
        <v>0</v>
      </c>
      <c r="AA149" s="221">
        <f>L149*SQRT(X149^2+Y149^2)</f>
        <v>0</v>
      </c>
      <c r="AB149" s="221">
        <f>M149*SQRT(X149^2+Y149^2)</f>
        <v>0</v>
      </c>
      <c r="AC149" s="210">
        <f>SQRT(SUMSQ(Z149:AB149))</f>
        <v>0</v>
      </c>
      <c r="AD149" s="222">
        <f>N149*SQRT(X149^2+Y149^2)</f>
        <v>0</v>
      </c>
      <c r="AF149" s="184"/>
      <c r="AG149" s="221">
        <f>K149*AF149</f>
        <v>0</v>
      </c>
      <c r="AH149" s="221">
        <f>L149*AF149</f>
        <v>0</v>
      </c>
      <c r="AI149" s="221">
        <f>M149*AF149</f>
        <v>0</v>
      </c>
      <c r="AJ149" s="210">
        <f>SUM(AG149:AI149)</f>
        <v>0</v>
      </c>
      <c r="AK149" s="221">
        <f>N149*AF149</f>
        <v>0</v>
      </c>
      <c r="AL149" s="184"/>
      <c r="AM149" s="221">
        <f>K149*AL149</f>
        <v>0</v>
      </c>
      <c r="AN149" s="221">
        <f>L149*AL149</f>
        <v>0</v>
      </c>
      <c r="AO149" s="221">
        <f>M149*AL149</f>
        <v>0</v>
      </c>
      <c r="AP149" s="210">
        <f>SUM(AM149:AO149)</f>
        <v>0</v>
      </c>
      <c r="AQ149" s="222">
        <f>N149*AL149</f>
        <v>0</v>
      </c>
      <c r="AS149" s="717">
        <f>G149*VLOOKUP($B149,'Emissions factors'!$B$1431:$R$1476,5,FALSE)</f>
        <v>0</v>
      </c>
      <c r="AT149" s="718">
        <f>G149*VLOOKUP($B149,'Emissions factors'!$B$1431:$R$1476,6,FALSE)</f>
        <v>0</v>
      </c>
      <c r="AU149" s="718">
        <f>G149*VLOOKUP($B149,'Emissions factors'!$B$1431:$R$1476,7,FALSE)</f>
        <v>0</v>
      </c>
      <c r="AV149" s="718">
        <f>G149*VLOOKUP($B149,'Emissions factors'!$B$1431:$R$1476,8,FALSE)</f>
        <v>0</v>
      </c>
      <c r="AW149" s="718">
        <f>G149*VLOOKUP($B149,'Emissions factors'!$B$1431:$R$1476,9,FALSE)</f>
        <v>0</v>
      </c>
      <c r="AX149" s="718">
        <f>G149*VLOOKUP($B149,'Emissions factors'!$B$1431:$R$1476,10,FALSE)</f>
        <v>0</v>
      </c>
      <c r="AY149" s="718">
        <f>G149*VLOOKUP($B149,'Emissions factors'!$B$1431:$R$1476,11,FALSE)</f>
        <v>0</v>
      </c>
      <c r="AZ149" s="718">
        <f>G149*VLOOKUP($B149,'Emissions factors'!$B$1431:$R$1476,12,FALSE)</f>
        <v>0</v>
      </c>
      <c r="BA149" s="718">
        <f>G149*VLOOKUP($B149,'Emissions factors'!$B$1431:$R$1476,13,FALSE)</f>
        <v>0</v>
      </c>
      <c r="BB149" s="718">
        <v>0</v>
      </c>
      <c r="BC149" s="718">
        <v>0</v>
      </c>
      <c r="BD149" s="718">
        <v>0</v>
      </c>
      <c r="BE149" s="719">
        <f t="shared" ref="BE149:BG151" si="29">K149</f>
        <v>0</v>
      </c>
      <c r="BF149" s="719">
        <f t="shared" si="29"/>
        <v>0</v>
      </c>
      <c r="BG149" s="720">
        <f t="shared" si="29"/>
        <v>0</v>
      </c>
      <c r="BH149" s="717">
        <f>G149*VLOOKUP($B149,'Emissions factors'!$B$1431:$R$1476,14,FALSE)</f>
        <v>0</v>
      </c>
      <c r="BI149" s="718">
        <f>G149*VLOOKUP($B149,'Emissions factors'!$B$1431:$R$1476,15,FALSE)</f>
        <v>0</v>
      </c>
      <c r="BJ149" s="721">
        <f>G149*VLOOKUP($B149,'Emissions factors'!$B$1431:$R$1476,16,FALSE)</f>
        <v>0</v>
      </c>
    </row>
    <row r="150" spans="2:62" outlineLevel="1" x14ac:dyDescent="0.2">
      <c r="B150" s="236" t="s">
        <v>3233</v>
      </c>
      <c r="C150" s="504"/>
      <c r="D150" s="262">
        <f>SUM(K150:M150)</f>
        <v>0</v>
      </c>
      <c r="E150" s="265">
        <f>D150*12/44</f>
        <v>0</v>
      </c>
      <c r="F150" s="442"/>
      <c r="G150" s="185"/>
      <c r="H150" s="564">
        <f>VLOOKUP($B150,'Emissions factors'!$B$1431:$R$1476,2,FALSE)</f>
        <v>0.04</v>
      </c>
      <c r="I150" s="564">
        <f>VLOOKUP($B150,'Emissions factors'!$B$1431:$R$1476,3,FALSE)</f>
        <v>5.0599999999999999E-2</v>
      </c>
      <c r="J150" s="564">
        <f>VLOOKUP($B150,'Emissions factors'!$B$1431:$R$1476,4,FALSE)</f>
        <v>0.17899999999999999</v>
      </c>
      <c r="K150" s="465">
        <f>G150*H150</f>
        <v>0</v>
      </c>
      <c r="L150" s="465">
        <f>G150*I150</f>
        <v>0</v>
      </c>
      <c r="M150" s="465">
        <f>G150*J150</f>
        <v>0</v>
      </c>
      <c r="N150" s="222">
        <f>IF(OR(F150='Info utili'!$I$532,F150='Info utili'!$I$537),M150,0)</f>
        <v>0</v>
      </c>
      <c r="X150" s="282">
        <f>VLOOKUP($B150,'Emissions factors'!$B$1431:$R$1476,17,FALSE)</f>
        <v>0</v>
      </c>
      <c r="Y150" s="186"/>
      <c r="Z150" s="221">
        <f>K150*SQRT(X150^2+Y150^2)</f>
        <v>0</v>
      </c>
      <c r="AA150" s="221">
        <f>L150*SQRT(X150^2+Y150^2)</f>
        <v>0</v>
      </c>
      <c r="AB150" s="221">
        <f>M150*SQRT(X150^2+Y150^2)</f>
        <v>0</v>
      </c>
      <c r="AC150" s="210">
        <f>SQRT(SUMSQ(Z150:AB150))</f>
        <v>0</v>
      </c>
      <c r="AD150" s="222">
        <f>N150*SQRT(X150^2+Y150^2)</f>
        <v>0</v>
      </c>
      <c r="AF150" s="187"/>
      <c r="AG150" s="221">
        <f>K150*AF150</f>
        <v>0</v>
      </c>
      <c r="AH150" s="221">
        <f>L150*AF150</f>
        <v>0</v>
      </c>
      <c r="AI150" s="221">
        <f>M150*AF150</f>
        <v>0</v>
      </c>
      <c r="AJ150" s="210">
        <f>SUM(AG150:AI150)</f>
        <v>0</v>
      </c>
      <c r="AK150" s="221">
        <f>N150*AF150</f>
        <v>0</v>
      </c>
      <c r="AL150" s="187"/>
      <c r="AM150" s="221">
        <f>K150*AL150</f>
        <v>0</v>
      </c>
      <c r="AN150" s="221">
        <f>L150*AL150</f>
        <v>0</v>
      </c>
      <c r="AO150" s="221">
        <f>M150*AL150</f>
        <v>0</v>
      </c>
      <c r="AP150" s="210">
        <f>SUM(AM150:AO150)</f>
        <v>0</v>
      </c>
      <c r="AQ150" s="222">
        <f>N150*AL150</f>
        <v>0</v>
      </c>
      <c r="AS150" s="717">
        <f>G150*VLOOKUP($B150,'Emissions factors'!$B$1431:$R$1476,5,FALSE)</f>
        <v>0</v>
      </c>
      <c r="AT150" s="718">
        <f>G150*VLOOKUP($B150,'Emissions factors'!$B$1431:$R$1476,6,FALSE)</f>
        <v>0</v>
      </c>
      <c r="AU150" s="718">
        <f>G150*VLOOKUP($B150,'Emissions factors'!$B$1431:$R$1476,7,FALSE)</f>
        <v>0</v>
      </c>
      <c r="AV150" s="718">
        <f>G150*VLOOKUP($B150,'Emissions factors'!$B$1431:$R$1476,8,FALSE)</f>
        <v>0</v>
      </c>
      <c r="AW150" s="718">
        <f>G150*VLOOKUP($B150,'Emissions factors'!$B$1431:$R$1476,9,FALSE)</f>
        <v>0</v>
      </c>
      <c r="AX150" s="718">
        <f>G150*VLOOKUP($B150,'Emissions factors'!$B$1431:$R$1476,10,FALSE)</f>
        <v>0</v>
      </c>
      <c r="AY150" s="718">
        <f>G150*VLOOKUP($B150,'Emissions factors'!$B$1431:$R$1476,11,FALSE)</f>
        <v>0</v>
      </c>
      <c r="AZ150" s="718">
        <f>G150*VLOOKUP($B150,'Emissions factors'!$B$1431:$R$1476,12,FALSE)</f>
        <v>0</v>
      </c>
      <c r="BA150" s="718">
        <f>G150*VLOOKUP($B150,'Emissions factors'!$B$1431:$R$1476,13,FALSE)</f>
        <v>0</v>
      </c>
      <c r="BB150" s="718">
        <v>0</v>
      </c>
      <c r="BC150" s="718">
        <v>0</v>
      </c>
      <c r="BD150" s="718">
        <v>0</v>
      </c>
      <c r="BE150" s="719">
        <f t="shared" si="29"/>
        <v>0</v>
      </c>
      <c r="BF150" s="719">
        <f t="shared" si="29"/>
        <v>0</v>
      </c>
      <c r="BG150" s="720">
        <f t="shared" si="29"/>
        <v>0</v>
      </c>
      <c r="BH150" s="717">
        <f>G150*VLOOKUP($B150,'Emissions factors'!$B$1431:$R$1476,14,FALSE)</f>
        <v>0</v>
      </c>
      <c r="BI150" s="718">
        <f>G150*VLOOKUP($B150,'Emissions factors'!$B$1431:$R$1476,15,FALSE)</f>
        <v>0</v>
      </c>
      <c r="BJ150" s="721">
        <f>G150*VLOOKUP($B150,'Emissions factors'!$B$1431:$R$1476,16,FALSE)</f>
        <v>0</v>
      </c>
    </row>
    <row r="151" spans="2:62" outlineLevel="1" x14ac:dyDescent="0.2">
      <c r="B151" s="236" t="s">
        <v>3233</v>
      </c>
      <c r="C151" s="504"/>
      <c r="D151" s="262">
        <f>SUM(K151:M151)</f>
        <v>0</v>
      </c>
      <c r="E151" s="265">
        <f>D151*12/44</f>
        <v>0</v>
      </c>
      <c r="F151" s="443"/>
      <c r="G151" s="188"/>
      <c r="H151" s="564">
        <f>VLOOKUP($B151,'Emissions factors'!$B$1431:$R$1476,2,FALSE)</f>
        <v>0.04</v>
      </c>
      <c r="I151" s="564">
        <f>VLOOKUP($B151,'Emissions factors'!$B$1431:$R$1476,3,FALSE)</f>
        <v>5.0599999999999999E-2</v>
      </c>
      <c r="J151" s="564">
        <f>VLOOKUP($B151,'Emissions factors'!$B$1431:$R$1476,4,FALSE)</f>
        <v>0.17899999999999999</v>
      </c>
      <c r="K151" s="465">
        <f>G151*H151</f>
        <v>0</v>
      </c>
      <c r="L151" s="465">
        <f>G151*I151</f>
        <v>0</v>
      </c>
      <c r="M151" s="465">
        <f>G151*J151</f>
        <v>0</v>
      </c>
      <c r="N151" s="222">
        <f>IF(OR(F151='Info utili'!$I$532,F151='Info utili'!$I$537),M151,0)</f>
        <v>0</v>
      </c>
      <c r="X151" s="282">
        <f>VLOOKUP($B151,'Emissions factors'!$B$1431:$R$1476,17,FALSE)</f>
        <v>0</v>
      </c>
      <c r="Y151" s="189"/>
      <c r="Z151" s="221">
        <f>K151*SQRT(X151^2+Y151^2)</f>
        <v>0</v>
      </c>
      <c r="AA151" s="221">
        <f>L151*SQRT(X151^2+Y151^2)</f>
        <v>0</v>
      </c>
      <c r="AB151" s="221">
        <f>M151*SQRT(X151^2+Y151^2)</f>
        <v>0</v>
      </c>
      <c r="AC151" s="210">
        <f>SQRT(SUMSQ(Z151:AB151))</f>
        <v>0</v>
      </c>
      <c r="AD151" s="222">
        <f>N151*SQRT(X151^2+Y151^2)</f>
        <v>0</v>
      </c>
      <c r="AF151" s="190"/>
      <c r="AG151" s="221">
        <f>K151*AF151</f>
        <v>0</v>
      </c>
      <c r="AH151" s="221">
        <f>L151*AF151</f>
        <v>0</v>
      </c>
      <c r="AI151" s="221">
        <f>M151*AF151</f>
        <v>0</v>
      </c>
      <c r="AJ151" s="210">
        <f>SUM(AG151:AI151)</f>
        <v>0</v>
      </c>
      <c r="AK151" s="221">
        <f>N151*AF151</f>
        <v>0</v>
      </c>
      <c r="AL151" s="190"/>
      <c r="AM151" s="221">
        <f>K151*AL151</f>
        <v>0</v>
      </c>
      <c r="AN151" s="221">
        <f>L151*AL151</f>
        <v>0</v>
      </c>
      <c r="AO151" s="221">
        <f>M151*AL151</f>
        <v>0</v>
      </c>
      <c r="AP151" s="210">
        <f>SUM(AM151:AO151)</f>
        <v>0</v>
      </c>
      <c r="AQ151" s="222">
        <f>N151*AL151</f>
        <v>0</v>
      </c>
      <c r="AS151" s="717">
        <f>G151*VLOOKUP($B151,'Emissions factors'!$B$1431:$R$1476,5,FALSE)</f>
        <v>0</v>
      </c>
      <c r="AT151" s="718">
        <f>G151*VLOOKUP($B151,'Emissions factors'!$B$1431:$R$1476,6,FALSE)</f>
        <v>0</v>
      </c>
      <c r="AU151" s="718">
        <f>G151*VLOOKUP($B151,'Emissions factors'!$B$1431:$R$1476,7,FALSE)</f>
        <v>0</v>
      </c>
      <c r="AV151" s="718">
        <f>G151*VLOOKUP($B151,'Emissions factors'!$B$1431:$R$1476,8,FALSE)</f>
        <v>0</v>
      </c>
      <c r="AW151" s="718">
        <f>G151*VLOOKUP($B151,'Emissions factors'!$B$1431:$R$1476,9,FALSE)</f>
        <v>0</v>
      </c>
      <c r="AX151" s="718">
        <f>G151*VLOOKUP($B151,'Emissions factors'!$B$1431:$R$1476,10,FALSE)</f>
        <v>0</v>
      </c>
      <c r="AY151" s="718">
        <f>G151*VLOOKUP($B151,'Emissions factors'!$B$1431:$R$1476,11,FALSE)</f>
        <v>0</v>
      </c>
      <c r="AZ151" s="718">
        <f>G151*VLOOKUP($B151,'Emissions factors'!$B$1431:$R$1476,12,FALSE)</f>
        <v>0</v>
      </c>
      <c r="BA151" s="718">
        <f>G151*VLOOKUP($B151,'Emissions factors'!$B$1431:$R$1476,13,FALSE)</f>
        <v>0</v>
      </c>
      <c r="BB151" s="718">
        <v>0</v>
      </c>
      <c r="BC151" s="718">
        <v>0</v>
      </c>
      <c r="BD151" s="718">
        <v>0</v>
      </c>
      <c r="BE151" s="719">
        <f t="shared" si="29"/>
        <v>0</v>
      </c>
      <c r="BF151" s="719">
        <f t="shared" si="29"/>
        <v>0</v>
      </c>
      <c r="BG151" s="720">
        <f t="shared" si="29"/>
        <v>0</v>
      </c>
      <c r="BH151" s="717">
        <f>G151*VLOOKUP($B151,'Emissions factors'!$B$1431:$R$1476,14,FALSE)</f>
        <v>0</v>
      </c>
      <c r="BI151" s="718">
        <f>G151*VLOOKUP($B151,'Emissions factors'!$B$1431:$R$1476,15,FALSE)</f>
        <v>0</v>
      </c>
      <c r="BJ151" s="721">
        <f>G151*VLOOKUP($B151,'Emissions factors'!$B$1431:$R$1476,16,FALSE)</f>
        <v>0</v>
      </c>
    </row>
    <row r="152" spans="2:62" outlineLevel="1" x14ac:dyDescent="0.2">
      <c r="B152" s="200"/>
      <c r="C152" s="201"/>
      <c r="D152" s="263"/>
      <c r="E152" s="266"/>
      <c r="F152" s="201"/>
      <c r="G152" s="201"/>
      <c r="H152" s="201"/>
      <c r="I152" s="201"/>
      <c r="J152" s="201"/>
      <c r="K152" s="225"/>
      <c r="L152" s="225"/>
      <c r="M152" s="225"/>
      <c r="N152" s="222"/>
      <c r="X152" s="213"/>
      <c r="Y152" s="214"/>
      <c r="Z152" s="201"/>
      <c r="AA152" s="201"/>
      <c r="AB152" s="201"/>
      <c r="AC152" s="210"/>
      <c r="AD152" s="211"/>
      <c r="AF152" s="213"/>
      <c r="AG152" s="214"/>
      <c r="AH152" s="214"/>
      <c r="AI152" s="214"/>
      <c r="AJ152" s="413"/>
      <c r="AK152" s="413"/>
      <c r="AL152" s="214"/>
      <c r="AM152" s="210"/>
      <c r="AN152" s="210"/>
      <c r="AO152" s="210"/>
      <c r="AP152" s="413"/>
      <c r="AQ152" s="222"/>
      <c r="AS152" s="717"/>
      <c r="AT152" s="718"/>
      <c r="AU152" s="718"/>
      <c r="AV152" s="718"/>
      <c r="AW152" s="718"/>
      <c r="AX152" s="718"/>
      <c r="AY152" s="718"/>
      <c r="AZ152" s="718"/>
      <c r="BA152" s="718"/>
      <c r="BB152" s="718"/>
      <c r="BC152" s="718"/>
      <c r="BD152" s="718"/>
      <c r="BE152" s="719"/>
      <c r="BF152" s="719"/>
      <c r="BG152" s="720"/>
      <c r="BH152" s="722"/>
      <c r="BI152" s="786"/>
      <c r="BJ152" s="723"/>
    </row>
    <row r="153" spans="2:62" outlineLevel="1" x14ac:dyDescent="0.2">
      <c r="B153" s="253" t="s">
        <v>2828</v>
      </c>
      <c r="C153" s="254"/>
      <c r="D153" s="264">
        <f>SUM(D149:D152)</f>
        <v>0</v>
      </c>
      <c r="E153" s="267">
        <f>SUM(E149:E152)</f>
        <v>0</v>
      </c>
      <c r="F153" s="254"/>
      <c r="G153" s="254"/>
      <c r="H153" s="254"/>
      <c r="I153" s="254"/>
      <c r="J153" s="254"/>
      <c r="K153" s="259">
        <f>SUM(K149:K152)</f>
        <v>0</v>
      </c>
      <c r="L153" s="259">
        <f>SUM(L149:L152)</f>
        <v>0</v>
      </c>
      <c r="M153" s="259">
        <f>SUM(M149:M152)</f>
        <v>0</v>
      </c>
      <c r="N153" s="428">
        <f>SUM(N149:N152)</f>
        <v>0</v>
      </c>
      <c r="X153" s="258"/>
      <c r="Y153" s="256"/>
      <c r="Z153" s="260">
        <f>SQRT(SUMSQ(Z148:Z152))</f>
        <v>0</v>
      </c>
      <c r="AA153" s="260">
        <f>SQRT(SUMSQ(AA148:AA152))</f>
        <v>0</v>
      </c>
      <c r="AB153" s="260">
        <f>SQRT(SUMSQ(AB148:AB152))</f>
        <v>0</v>
      </c>
      <c r="AC153" s="259">
        <f>SQRT(SUMSQ(AC148:AC152))</f>
        <v>0</v>
      </c>
      <c r="AD153" s="428">
        <f>SQRT(SUMSQ(AD148:AD152))</f>
        <v>0</v>
      </c>
      <c r="AF153" s="258"/>
      <c r="AG153" s="260">
        <f>SUM(AG149:AG152)</f>
        <v>0</v>
      </c>
      <c r="AH153" s="260">
        <f>SUM(AH149:AH152)</f>
        <v>0</v>
      </c>
      <c r="AI153" s="260">
        <f>SUM(AI149:AI152)</f>
        <v>0</v>
      </c>
      <c r="AJ153" s="259">
        <f>SUM(AJ149:AJ152)</f>
        <v>0</v>
      </c>
      <c r="AK153" s="260">
        <f>SUM(AK149:AK152)</f>
        <v>0</v>
      </c>
      <c r="AL153" s="256"/>
      <c r="AM153" s="260">
        <f>SUM(AM149:AM152)</f>
        <v>0</v>
      </c>
      <c r="AN153" s="260">
        <f>SUM(AN149:AN152)</f>
        <v>0</v>
      </c>
      <c r="AO153" s="260">
        <f>SUM(AO149:AO152)</f>
        <v>0</v>
      </c>
      <c r="AP153" s="259">
        <f>SUM(AP149:AP152)</f>
        <v>0</v>
      </c>
      <c r="AQ153" s="428">
        <f>SUM(AQ149:AQ152)</f>
        <v>0</v>
      </c>
      <c r="AS153" s="724">
        <f t="shared" ref="AS153:BJ153" si="30">SUM(AS149:AS152)</f>
        <v>0</v>
      </c>
      <c r="AT153" s="725">
        <f t="shared" si="30"/>
        <v>0</v>
      </c>
      <c r="AU153" s="725">
        <f t="shared" si="30"/>
        <v>0</v>
      </c>
      <c r="AV153" s="725">
        <f t="shared" si="30"/>
        <v>0</v>
      </c>
      <c r="AW153" s="725">
        <f t="shared" si="30"/>
        <v>0</v>
      </c>
      <c r="AX153" s="725">
        <f t="shared" si="30"/>
        <v>0</v>
      </c>
      <c r="AY153" s="725">
        <f t="shared" si="30"/>
        <v>0</v>
      </c>
      <c r="AZ153" s="725">
        <f t="shared" si="30"/>
        <v>0</v>
      </c>
      <c r="BA153" s="725">
        <f t="shared" si="30"/>
        <v>0</v>
      </c>
      <c r="BB153" s="725">
        <f t="shared" si="30"/>
        <v>0</v>
      </c>
      <c r="BC153" s="725">
        <f t="shared" si="30"/>
        <v>0</v>
      </c>
      <c r="BD153" s="725">
        <f t="shared" si="30"/>
        <v>0</v>
      </c>
      <c r="BE153" s="726">
        <f t="shared" si="30"/>
        <v>0</v>
      </c>
      <c r="BF153" s="726">
        <f t="shared" si="30"/>
        <v>0</v>
      </c>
      <c r="BG153" s="727">
        <f t="shared" si="30"/>
        <v>0</v>
      </c>
      <c r="BH153" s="724">
        <f t="shared" si="30"/>
        <v>0</v>
      </c>
      <c r="BI153" s="725">
        <f t="shared" si="30"/>
        <v>0</v>
      </c>
      <c r="BJ153" s="728">
        <f t="shared" si="30"/>
        <v>0</v>
      </c>
    </row>
    <row r="154" spans="2:62" outlineLevel="1" x14ac:dyDescent="0.2"/>
    <row r="155" spans="2:62" outlineLevel="1" x14ac:dyDescent="0.2">
      <c r="B155" s="195" t="s">
        <v>3163</v>
      </c>
      <c r="C155" s="196"/>
      <c r="D155" s="196"/>
      <c r="E155" s="196"/>
      <c r="F155" s="196"/>
      <c r="G155" s="198"/>
      <c r="H155" s="552"/>
      <c r="I155" s="552"/>
      <c r="J155" s="552"/>
      <c r="K155" s="552"/>
      <c r="L155" s="552"/>
      <c r="M155" s="552"/>
      <c r="N155" s="199"/>
      <c r="X155" s="1746" t="s">
        <v>723</v>
      </c>
      <c r="Y155" s="1747"/>
      <c r="Z155" s="1747"/>
      <c r="AA155" s="1747"/>
      <c r="AB155" s="1747"/>
      <c r="AC155" s="1747"/>
      <c r="AD155" s="1748"/>
      <c r="AF155" s="1746" t="s">
        <v>2066</v>
      </c>
      <c r="AG155" s="1747"/>
      <c r="AH155" s="1747"/>
      <c r="AI155" s="1747"/>
      <c r="AJ155" s="1747"/>
      <c r="AK155" s="1747"/>
      <c r="AL155" s="1747"/>
      <c r="AM155" s="1747"/>
      <c r="AN155" s="1747"/>
      <c r="AO155" s="1747"/>
      <c r="AP155" s="1747"/>
      <c r="AQ155" s="1748"/>
      <c r="AS155" s="1755" t="s">
        <v>2073</v>
      </c>
      <c r="AT155" s="1756"/>
      <c r="AU155" s="1756"/>
      <c r="AV155" s="1756"/>
      <c r="AW155" s="1756"/>
      <c r="AX155" s="1756"/>
      <c r="AY155" s="1756"/>
      <c r="AZ155" s="1756"/>
      <c r="BA155" s="1756"/>
      <c r="BB155" s="1756"/>
      <c r="BC155" s="1756"/>
      <c r="BD155" s="1756"/>
      <c r="BE155" s="1756"/>
      <c r="BF155" s="1756"/>
      <c r="BG155" s="1756"/>
      <c r="BH155" s="1756"/>
      <c r="BI155" s="1756"/>
      <c r="BJ155" s="1757"/>
    </row>
    <row r="156" spans="2:62" outlineLevel="1" x14ac:dyDescent="0.2">
      <c r="B156" s="417"/>
      <c r="C156" s="225"/>
      <c r="D156" s="503"/>
      <c r="E156" s="503"/>
      <c r="F156" s="201"/>
      <c r="G156" s="201"/>
      <c r="H156" s="475"/>
      <c r="I156" s="475"/>
      <c r="J156" s="475"/>
      <c r="K156" s="201"/>
      <c r="L156" s="1745" t="s">
        <v>2646</v>
      </c>
      <c r="M156" s="1745"/>
      <c r="N156" s="508" t="s">
        <v>2639</v>
      </c>
      <c r="X156" s="507"/>
      <c r="Y156" s="504"/>
      <c r="Z156" s="504"/>
      <c r="AA156" s="504"/>
      <c r="AB156" s="504"/>
      <c r="AC156" s="504"/>
      <c r="AD156" s="508" t="s">
        <v>2639</v>
      </c>
      <c r="AE156" s="42"/>
      <c r="AF156" s="216"/>
      <c r="AG156" s="503"/>
      <c r="AH156" s="503"/>
      <c r="AI156" s="503"/>
      <c r="AJ156" s="504"/>
      <c r="AK156" s="504" t="s">
        <v>2639</v>
      </c>
      <c r="AL156" s="217"/>
      <c r="AM156" s="503"/>
      <c r="AN156" s="503"/>
      <c r="AO156" s="503"/>
      <c r="AP156" s="504"/>
      <c r="AQ156" s="508" t="s">
        <v>2639</v>
      </c>
      <c r="AS156" s="1758" t="s">
        <v>61</v>
      </c>
      <c r="AT156" s="1759"/>
      <c r="AU156" s="1759"/>
      <c r="AV156" s="1759"/>
      <c r="AW156" s="1759"/>
      <c r="AX156" s="1759"/>
      <c r="AY156" s="1759"/>
      <c r="AZ156" s="1759"/>
      <c r="BA156" s="1759"/>
      <c r="BB156" s="1759"/>
      <c r="BC156" s="1759"/>
      <c r="BD156" s="1759"/>
      <c r="BE156" s="1759" t="s">
        <v>61</v>
      </c>
      <c r="BF156" s="1759"/>
      <c r="BG156" s="1760"/>
      <c r="BH156" s="730"/>
      <c r="BI156" s="785"/>
      <c r="BJ156" s="731"/>
    </row>
    <row r="157" spans="2:62" outlineLevel="1" x14ac:dyDescent="0.2">
      <c r="B157" s="507"/>
      <c r="C157" s="504"/>
      <c r="D157" s="504" t="s">
        <v>56</v>
      </c>
      <c r="E157" s="504" t="s">
        <v>56</v>
      </c>
      <c r="F157" s="205" t="s">
        <v>2669</v>
      </c>
      <c r="G157" s="205"/>
      <c r="H157" s="1839" t="s">
        <v>1281</v>
      </c>
      <c r="I157" s="1839"/>
      <c r="J157" s="1839"/>
      <c r="K157" s="503" t="s">
        <v>61</v>
      </c>
      <c r="L157" s="503" t="s">
        <v>61</v>
      </c>
      <c r="M157" s="503" t="s">
        <v>61</v>
      </c>
      <c r="N157" s="508" t="s">
        <v>30</v>
      </c>
      <c r="X157" s="1633" t="s">
        <v>2605</v>
      </c>
      <c r="Y157" s="504" t="s">
        <v>2110</v>
      </c>
      <c r="Z157" s="504" t="s">
        <v>61</v>
      </c>
      <c r="AA157" s="504" t="s">
        <v>61</v>
      </c>
      <c r="AB157" s="504" t="s">
        <v>61</v>
      </c>
      <c r="AC157" s="503" t="s">
        <v>61</v>
      </c>
      <c r="AD157" s="508" t="s">
        <v>30</v>
      </c>
      <c r="AE157" s="42"/>
      <c r="AF157" s="507" t="s">
        <v>2065</v>
      </c>
      <c r="AG157" s="504" t="s">
        <v>61</v>
      </c>
      <c r="AH157" s="504" t="s">
        <v>61</v>
      </c>
      <c r="AI157" s="504" t="s">
        <v>61</v>
      </c>
      <c r="AJ157" s="503" t="s">
        <v>61</v>
      </c>
      <c r="AK157" s="504" t="s">
        <v>30</v>
      </c>
      <c r="AL157" s="504" t="s">
        <v>2558</v>
      </c>
      <c r="AM157" s="504" t="s">
        <v>61</v>
      </c>
      <c r="AN157" s="504" t="s">
        <v>61</v>
      </c>
      <c r="AO157" s="504" t="s">
        <v>61</v>
      </c>
      <c r="AP157" s="503" t="s">
        <v>61</v>
      </c>
      <c r="AQ157" s="508" t="s">
        <v>30</v>
      </c>
      <c r="AS157" s="1764" t="s">
        <v>14</v>
      </c>
      <c r="AT157" s="1761"/>
      <c r="AU157" s="1761"/>
      <c r="AV157" s="1761" t="s">
        <v>60</v>
      </c>
      <c r="AW157" s="1761"/>
      <c r="AX157" s="1761"/>
      <c r="AY157" s="1761" t="s">
        <v>27</v>
      </c>
      <c r="AZ157" s="1761"/>
      <c r="BA157" s="1761"/>
      <c r="BB157" s="1761" t="s">
        <v>2074</v>
      </c>
      <c r="BC157" s="1761"/>
      <c r="BD157" s="1761"/>
      <c r="BE157" s="1762" t="s">
        <v>41</v>
      </c>
      <c r="BF157" s="1762"/>
      <c r="BG157" s="1763"/>
      <c r="BH157" s="1764" t="s">
        <v>85</v>
      </c>
      <c r="BI157" s="1761"/>
      <c r="BJ157" s="1765"/>
    </row>
    <row r="158" spans="2:62" outlineLevel="1" x14ac:dyDescent="0.2">
      <c r="B158" s="1636"/>
      <c r="C158" s="418"/>
      <c r="D158" s="504" t="s">
        <v>61</v>
      </c>
      <c r="E158" s="504" t="s">
        <v>63</v>
      </c>
      <c r="F158" s="208" t="s">
        <v>2054</v>
      </c>
      <c r="G158" s="212" t="s">
        <v>82</v>
      </c>
      <c r="H158" s="506" t="s">
        <v>1279</v>
      </c>
      <c r="I158" s="506" t="s">
        <v>768</v>
      </c>
      <c r="J158" s="506" t="s">
        <v>24</v>
      </c>
      <c r="K158" s="505" t="s">
        <v>1279</v>
      </c>
      <c r="L158" s="505" t="s">
        <v>768</v>
      </c>
      <c r="M158" s="505" t="s">
        <v>24</v>
      </c>
      <c r="N158" s="508" t="s">
        <v>61</v>
      </c>
      <c r="X158" s="1633" t="s">
        <v>2109</v>
      </c>
      <c r="Y158" s="504"/>
      <c r="Z158" s="506" t="s">
        <v>1279</v>
      </c>
      <c r="AA158" s="506" t="s">
        <v>768</v>
      </c>
      <c r="AB158" s="506" t="s">
        <v>24</v>
      </c>
      <c r="AC158" s="223" t="s">
        <v>41</v>
      </c>
      <c r="AD158" s="508" t="s">
        <v>61</v>
      </c>
      <c r="AE158" s="42"/>
      <c r="AF158" s="507"/>
      <c r="AG158" s="506" t="s">
        <v>1279</v>
      </c>
      <c r="AH158" s="506" t="s">
        <v>768</v>
      </c>
      <c r="AI158" s="506" t="s">
        <v>24</v>
      </c>
      <c r="AJ158" s="223" t="s">
        <v>41</v>
      </c>
      <c r="AK158" s="504" t="s">
        <v>61</v>
      </c>
      <c r="AL158" s="504"/>
      <c r="AM158" s="506" t="s">
        <v>1279</v>
      </c>
      <c r="AN158" s="506" t="s">
        <v>768</v>
      </c>
      <c r="AO158" s="506" t="s">
        <v>24</v>
      </c>
      <c r="AP158" s="223" t="s">
        <v>41</v>
      </c>
      <c r="AQ158" s="508" t="s">
        <v>61</v>
      </c>
      <c r="AS158" s="732" t="s">
        <v>1279</v>
      </c>
      <c r="AT158" s="733" t="s">
        <v>768</v>
      </c>
      <c r="AU158" s="733" t="s">
        <v>24</v>
      </c>
      <c r="AV158" s="733" t="s">
        <v>1279</v>
      </c>
      <c r="AW158" s="733" t="s">
        <v>768</v>
      </c>
      <c r="AX158" s="733" t="s">
        <v>24</v>
      </c>
      <c r="AY158" s="733" t="s">
        <v>1279</v>
      </c>
      <c r="AZ158" s="733" t="s">
        <v>768</v>
      </c>
      <c r="BA158" s="733" t="s">
        <v>24</v>
      </c>
      <c r="BB158" s="733" t="s">
        <v>1279</v>
      </c>
      <c r="BC158" s="733" t="s">
        <v>768</v>
      </c>
      <c r="BD158" s="733" t="s">
        <v>24</v>
      </c>
      <c r="BE158" s="734" t="s">
        <v>1279</v>
      </c>
      <c r="BF158" s="734" t="s">
        <v>768</v>
      </c>
      <c r="BG158" s="735" t="s">
        <v>24</v>
      </c>
      <c r="BH158" s="732" t="s">
        <v>1279</v>
      </c>
      <c r="BI158" s="733" t="s">
        <v>768</v>
      </c>
      <c r="BJ158" s="736" t="s">
        <v>24</v>
      </c>
    </row>
    <row r="159" spans="2:62" outlineLevel="1" x14ac:dyDescent="0.2">
      <c r="B159" s="200" t="s">
        <v>1442</v>
      </c>
      <c r="C159" s="201"/>
      <c r="D159" s="262">
        <f>SUM(K159:M159)</f>
        <v>0</v>
      </c>
      <c r="E159" s="265">
        <f>D159*12/44</f>
        <v>0</v>
      </c>
      <c r="F159" s="559"/>
      <c r="G159" s="182"/>
      <c r="H159" s="560">
        <f>VLOOKUP($B159,'Emissions factors'!$B$1506:$F$1523,2,FALSE)</f>
        <v>4.0257816972106009E-2</v>
      </c>
      <c r="I159" s="560">
        <f>VLOOKUP($B159,'Emissions factors'!$B$1506:$F$1523,3,FALSE)</f>
        <v>3.9296780935742605E-2</v>
      </c>
      <c r="J159" s="560">
        <f>VLOOKUP($B159,'Emissions factors'!$B$1506:$F$1523,4,FALSE)</f>
        <v>0.27440847915592781</v>
      </c>
      <c r="K159" s="465">
        <f>G159*H159</f>
        <v>0</v>
      </c>
      <c r="L159" s="465">
        <f>G159*I159</f>
        <v>0</v>
      </c>
      <c r="M159" s="465">
        <f>G159*J159</f>
        <v>0</v>
      </c>
      <c r="N159" s="222">
        <f>IF(OR(F159='Info utili'!$I$532,F159='Info utili'!$I$537),M159,0)</f>
        <v>0</v>
      </c>
      <c r="X159" s="282">
        <f>VLOOKUP($B159,'Emissions factors'!$B$1506:$F$1523,5,FALSE)</f>
        <v>0.13412035286792282</v>
      </c>
      <c r="Y159" s="183"/>
      <c r="Z159" s="221">
        <f>K159*SQRT(X159^2+Y159^2)</f>
        <v>0</v>
      </c>
      <c r="AA159" s="221">
        <f>L159*SQRT(X159^2+Y159^2)</f>
        <v>0</v>
      </c>
      <c r="AB159" s="221">
        <f>M159*SQRT(X159^2+Y159^2)</f>
        <v>0</v>
      </c>
      <c r="AC159" s="210">
        <f>SQRT(SUMSQ(Z159:AB159))</f>
        <v>0</v>
      </c>
      <c r="AD159" s="222">
        <f>N159*SQRT(X159^2+Y159^2)</f>
        <v>0</v>
      </c>
      <c r="AF159" s="184"/>
      <c r="AG159" s="221">
        <f>K159*AF159</f>
        <v>0</v>
      </c>
      <c r="AH159" s="221">
        <f>L159*AF159</f>
        <v>0</v>
      </c>
      <c r="AI159" s="221">
        <f>M159*AF159</f>
        <v>0</v>
      </c>
      <c r="AJ159" s="210">
        <f>SUM(AG159:AI159)</f>
        <v>0</v>
      </c>
      <c r="AK159" s="221">
        <f>N159*AF159</f>
        <v>0</v>
      </c>
      <c r="AL159" s="184"/>
      <c r="AM159" s="221">
        <f>K159*AL159</f>
        <v>0</v>
      </c>
      <c r="AN159" s="221">
        <f>L159*AL159</f>
        <v>0</v>
      </c>
      <c r="AO159" s="221">
        <f>M159*AL159</f>
        <v>0</v>
      </c>
      <c r="AP159" s="210">
        <f>SUM(AM159:AO159)</f>
        <v>0</v>
      </c>
      <c r="AQ159" s="222">
        <f>N159*AL159</f>
        <v>0</v>
      </c>
      <c r="AS159" s="717"/>
      <c r="AT159" s="718"/>
      <c r="AU159" s="718"/>
      <c r="AV159" s="718"/>
      <c r="AW159" s="718"/>
      <c r="AX159" s="718"/>
      <c r="AY159" s="718"/>
      <c r="AZ159" s="718"/>
      <c r="BA159" s="718"/>
      <c r="BB159" s="718"/>
      <c r="BC159" s="718"/>
      <c r="BD159" s="718"/>
      <c r="BE159" s="719">
        <f t="shared" ref="BE159:BG161" si="31">K159</f>
        <v>0</v>
      </c>
      <c r="BF159" s="719">
        <f t="shared" si="31"/>
        <v>0</v>
      </c>
      <c r="BG159" s="720">
        <f t="shared" si="31"/>
        <v>0</v>
      </c>
      <c r="BH159" s="717"/>
      <c r="BI159" s="718"/>
      <c r="BJ159" s="721"/>
    </row>
    <row r="160" spans="2:62" outlineLevel="1" x14ac:dyDescent="0.2">
      <c r="B160" s="200" t="s">
        <v>1443</v>
      </c>
      <c r="C160" s="201"/>
      <c r="D160" s="262">
        <f>SUM(K160:M160)</f>
        <v>0</v>
      </c>
      <c r="E160" s="265">
        <f>D160*12/44</f>
        <v>0</v>
      </c>
      <c r="F160" s="442"/>
      <c r="G160" s="185"/>
      <c r="H160" s="560">
        <f>VLOOKUP($B160,'Emissions factors'!$B$1506:$F$1523,2,FALSE)</f>
        <v>4.0257816972106009E-2</v>
      </c>
      <c r="I160" s="560">
        <f>VLOOKUP($B160,'Emissions factors'!$B$1506:$F$1523,3,FALSE)</f>
        <v>2.1975765614538123E-2</v>
      </c>
      <c r="J160" s="560">
        <f>VLOOKUP($B160,'Emissions factors'!$B$1506:$F$1523,4,FALSE)</f>
        <v>0.15411772404018367</v>
      </c>
      <c r="K160" s="465">
        <f>G160*H160</f>
        <v>0</v>
      </c>
      <c r="L160" s="465">
        <f>G160*I160</f>
        <v>0</v>
      </c>
      <c r="M160" s="465">
        <f>G160*J160</f>
        <v>0</v>
      </c>
      <c r="N160" s="222">
        <f>IF(OR(F160='Info utili'!$I$532,F160='Info utili'!$I$537),M160,0)</f>
        <v>0</v>
      </c>
      <c r="X160" s="282">
        <f>VLOOKUP($B160,'Emissions factors'!$B$1506:$F$1523,5,FALSE)</f>
        <v>0.15582284331872945</v>
      </c>
      <c r="Y160" s="186"/>
      <c r="Z160" s="221">
        <f>K160*SQRT(X160^2+Y160^2)</f>
        <v>0</v>
      </c>
      <c r="AA160" s="221">
        <f>L160*SQRT(X160^2+Y160^2)</f>
        <v>0</v>
      </c>
      <c r="AB160" s="221">
        <f>M160*SQRT(X160^2+Y160^2)</f>
        <v>0</v>
      </c>
      <c r="AC160" s="210">
        <f>SQRT(SUMSQ(Z160:AB160))</f>
        <v>0</v>
      </c>
      <c r="AD160" s="222">
        <f>N160*SQRT(X160^2+Y160^2)</f>
        <v>0</v>
      </c>
      <c r="AF160" s="187"/>
      <c r="AG160" s="221">
        <f>K160*AF160</f>
        <v>0</v>
      </c>
      <c r="AH160" s="221">
        <f>L160*AF160</f>
        <v>0</v>
      </c>
      <c r="AI160" s="221">
        <f>M160*AF160</f>
        <v>0</v>
      </c>
      <c r="AJ160" s="210">
        <f>SUM(AG160:AI160)</f>
        <v>0</v>
      </c>
      <c r="AK160" s="221">
        <f>N160*AF160</f>
        <v>0</v>
      </c>
      <c r="AL160" s="187"/>
      <c r="AM160" s="221">
        <f>K160*AL160</f>
        <v>0</v>
      </c>
      <c r="AN160" s="221">
        <f>L160*AL160</f>
        <v>0</v>
      </c>
      <c r="AO160" s="221">
        <f>M160*AL160</f>
        <v>0</v>
      </c>
      <c r="AP160" s="210">
        <f>SUM(AM160:AO160)</f>
        <v>0</v>
      </c>
      <c r="AQ160" s="222">
        <f>N160*AL160</f>
        <v>0</v>
      </c>
      <c r="AS160" s="717"/>
      <c r="AT160" s="718"/>
      <c r="AU160" s="718"/>
      <c r="AV160" s="718"/>
      <c r="AW160" s="718"/>
      <c r="AX160" s="718"/>
      <c r="AY160" s="718"/>
      <c r="AZ160" s="718"/>
      <c r="BA160" s="718"/>
      <c r="BB160" s="718"/>
      <c r="BC160" s="718"/>
      <c r="BD160" s="718"/>
      <c r="BE160" s="719">
        <f t="shared" si="31"/>
        <v>0</v>
      </c>
      <c r="BF160" s="719">
        <f t="shared" si="31"/>
        <v>0</v>
      </c>
      <c r="BG160" s="720">
        <f t="shared" si="31"/>
        <v>0</v>
      </c>
      <c r="BH160" s="717"/>
      <c r="BI160" s="718"/>
      <c r="BJ160" s="721"/>
    </row>
    <row r="161" spans="1:62" outlineLevel="1" x14ac:dyDescent="0.2">
      <c r="B161" s="200" t="s">
        <v>1450</v>
      </c>
      <c r="C161" s="201"/>
      <c r="D161" s="262">
        <f>SUM(K161:M161)</f>
        <v>0</v>
      </c>
      <c r="E161" s="265">
        <f>D161*12/44</f>
        <v>0</v>
      </c>
      <c r="F161" s="443"/>
      <c r="G161" s="188"/>
      <c r="H161" s="560">
        <f>VLOOKUP($B161,'Emissions factors'!$B$1506:$F$1523,2,FALSE)</f>
        <v>4.0257816972106009E-2</v>
      </c>
      <c r="I161" s="560">
        <f>VLOOKUP($B161,'Emissions factors'!$B$1506:$F$1523,3,FALSE)</f>
        <v>2.6968397212166026E-2</v>
      </c>
      <c r="J161" s="560">
        <f>VLOOKUP($B161,'Emissions factors'!$B$1506:$F$1523,4,FALSE)</f>
        <v>0.18873109737315166</v>
      </c>
      <c r="K161" s="465">
        <f>G161*H161</f>
        <v>0</v>
      </c>
      <c r="L161" s="465">
        <f>G161*I161</f>
        <v>0</v>
      </c>
      <c r="M161" s="465">
        <f>G161*J161</f>
        <v>0</v>
      </c>
      <c r="N161" s="222">
        <f>IF(OR(F161='Info utili'!$I$532,F161='Info utili'!$I$537),M161,0)</f>
        <v>0</v>
      </c>
      <c r="X161" s="282">
        <f>VLOOKUP($B161,'Emissions factors'!$B$1506:$F$1523,5,FALSE)</f>
        <v>0.14718499744408464</v>
      </c>
      <c r="Y161" s="189"/>
      <c r="Z161" s="221">
        <f>K161*SQRT(X161^2+Y161^2)</f>
        <v>0</v>
      </c>
      <c r="AA161" s="221">
        <f>L161*SQRT(X161^2+Y161^2)</f>
        <v>0</v>
      </c>
      <c r="AB161" s="221">
        <f>M161*SQRT(X161^2+Y161^2)</f>
        <v>0</v>
      </c>
      <c r="AC161" s="210">
        <f>SQRT(SUMSQ(Z161:AB161))</f>
        <v>0</v>
      </c>
      <c r="AD161" s="222">
        <f>N161*SQRT(X161^2+Y161^2)</f>
        <v>0</v>
      </c>
      <c r="AF161" s="190"/>
      <c r="AG161" s="221">
        <f>K161*AF161</f>
        <v>0</v>
      </c>
      <c r="AH161" s="221">
        <f>L161*AF161</f>
        <v>0</v>
      </c>
      <c r="AI161" s="221">
        <f>M161*AF161</f>
        <v>0</v>
      </c>
      <c r="AJ161" s="210">
        <f>SUM(AG161:AI161)</f>
        <v>0</v>
      </c>
      <c r="AK161" s="221">
        <f>N161*AF161</f>
        <v>0</v>
      </c>
      <c r="AL161" s="190"/>
      <c r="AM161" s="221">
        <f>K161*AL161</f>
        <v>0</v>
      </c>
      <c r="AN161" s="221">
        <f>L161*AL161</f>
        <v>0</v>
      </c>
      <c r="AO161" s="221">
        <f>M161*AL161</f>
        <v>0</v>
      </c>
      <c r="AP161" s="210">
        <f>SUM(AM161:AO161)</f>
        <v>0</v>
      </c>
      <c r="AQ161" s="222">
        <f>N161*AL161</f>
        <v>0</v>
      </c>
      <c r="AS161" s="717"/>
      <c r="AT161" s="718"/>
      <c r="AU161" s="718"/>
      <c r="AV161" s="718"/>
      <c r="AW161" s="718"/>
      <c r="AX161" s="718"/>
      <c r="AY161" s="718"/>
      <c r="AZ161" s="718"/>
      <c r="BA161" s="718"/>
      <c r="BB161" s="718"/>
      <c r="BC161" s="718"/>
      <c r="BD161" s="718"/>
      <c r="BE161" s="719">
        <f t="shared" si="31"/>
        <v>0</v>
      </c>
      <c r="BF161" s="719">
        <f t="shared" si="31"/>
        <v>0</v>
      </c>
      <c r="BG161" s="720">
        <f t="shared" si="31"/>
        <v>0</v>
      </c>
      <c r="BH161" s="717"/>
      <c r="BI161" s="718"/>
      <c r="BJ161" s="721"/>
    </row>
    <row r="162" spans="1:62" outlineLevel="1" x14ac:dyDescent="0.2">
      <c r="B162" s="200"/>
      <c r="C162" s="201"/>
      <c r="D162" s="263"/>
      <c r="E162" s="266"/>
      <c r="F162" s="201"/>
      <c r="G162" s="201"/>
      <c r="H162" s="201"/>
      <c r="I162" s="201"/>
      <c r="J162" s="201"/>
      <c r="K162" s="201"/>
      <c r="L162" s="201"/>
      <c r="M162" s="221"/>
      <c r="N162" s="222"/>
      <c r="X162" s="200"/>
      <c r="Y162" s="201"/>
      <c r="Z162" s="201"/>
      <c r="AA162" s="201"/>
      <c r="AB162" s="201"/>
      <c r="AC162" s="210"/>
      <c r="AD162" s="211"/>
      <c r="AF162" s="200"/>
      <c r="AG162" s="201"/>
      <c r="AH162" s="201"/>
      <c r="AI162" s="201"/>
      <c r="AJ162" s="413"/>
      <c r="AK162" s="504"/>
      <c r="AL162" s="201"/>
      <c r="AM162" s="201"/>
      <c r="AN162" s="201"/>
      <c r="AO162" s="201"/>
      <c r="AP162" s="413"/>
      <c r="AQ162" s="222"/>
      <c r="AS162" s="717"/>
      <c r="AT162" s="718"/>
      <c r="AU162" s="718"/>
      <c r="AV162" s="718"/>
      <c r="AW162" s="718"/>
      <c r="AX162" s="718"/>
      <c r="AY162" s="718"/>
      <c r="AZ162" s="718"/>
      <c r="BA162" s="718"/>
      <c r="BB162" s="718"/>
      <c r="BC162" s="718"/>
      <c r="BD162" s="718"/>
      <c r="BE162" s="719"/>
      <c r="BF162" s="719"/>
      <c r="BG162" s="720"/>
      <c r="BH162" s="722"/>
      <c r="BI162" s="786"/>
      <c r="BJ162" s="723"/>
    </row>
    <row r="163" spans="1:62" outlineLevel="1" x14ac:dyDescent="0.2">
      <c r="B163" s="253" t="s">
        <v>2828</v>
      </c>
      <c r="C163" s="254"/>
      <c r="D163" s="264">
        <f>SUM(D159:D162)</f>
        <v>0</v>
      </c>
      <c r="E163" s="267">
        <f>SUM(E159:E162)</f>
        <v>0</v>
      </c>
      <c r="F163" s="254"/>
      <c r="G163" s="254"/>
      <c r="H163" s="254"/>
      <c r="I163" s="254"/>
      <c r="J163" s="254"/>
      <c r="K163" s="259">
        <f>SUM(K159:K162)</f>
        <v>0</v>
      </c>
      <c r="L163" s="259">
        <f>SUM(L159:L162)</f>
        <v>0</v>
      </c>
      <c r="M163" s="259">
        <f>SUM(M159:M162)</f>
        <v>0</v>
      </c>
      <c r="N163" s="428">
        <f>SUM(N159:N162)</f>
        <v>0</v>
      </c>
      <c r="X163" s="258"/>
      <c r="Y163" s="256"/>
      <c r="Z163" s="260">
        <f>SQRT(SUMSQ(Z158:Z162))</f>
        <v>0</v>
      </c>
      <c r="AA163" s="260">
        <f>SQRT(SUMSQ(AA158:AA162))</f>
        <v>0</v>
      </c>
      <c r="AB163" s="260">
        <f>SQRT(SUMSQ(AB158:AB162))</f>
        <v>0</v>
      </c>
      <c r="AC163" s="259">
        <f>SQRT(SUMSQ(AC158:AC162))</f>
        <v>0</v>
      </c>
      <c r="AD163" s="428">
        <f>SQRT(SUMSQ(AD158:AD162))</f>
        <v>0</v>
      </c>
      <c r="AF163" s="258"/>
      <c r="AG163" s="260">
        <f>SUM(AG159:AG162)</f>
        <v>0</v>
      </c>
      <c r="AH163" s="260">
        <f>SUM(AH159:AH162)</f>
        <v>0</v>
      </c>
      <c r="AI163" s="260">
        <f>SUM(AI159:AI162)</f>
        <v>0</v>
      </c>
      <c r="AJ163" s="259">
        <f>SUM(AJ159:AJ162)</f>
        <v>0</v>
      </c>
      <c r="AK163" s="260">
        <f>SUM(AK159:AK162)</f>
        <v>0</v>
      </c>
      <c r="AL163" s="256"/>
      <c r="AM163" s="260">
        <f>SUM(AM159:AM162)</f>
        <v>0</v>
      </c>
      <c r="AN163" s="260">
        <f>SUM(AN159:AN162)</f>
        <v>0</v>
      </c>
      <c r="AO163" s="260">
        <f>SUM(AO159:AO162)</f>
        <v>0</v>
      </c>
      <c r="AP163" s="259">
        <f>SUM(AP159:AP162)</f>
        <v>0</v>
      </c>
      <c r="AQ163" s="428">
        <f>SUM(AQ159:AQ162)</f>
        <v>0</v>
      </c>
      <c r="AS163" s="724">
        <f t="shared" ref="AS163:BJ163" si="32">SUM(AS159:AS162)</f>
        <v>0</v>
      </c>
      <c r="AT163" s="725">
        <f t="shared" si="32"/>
        <v>0</v>
      </c>
      <c r="AU163" s="725">
        <f t="shared" si="32"/>
        <v>0</v>
      </c>
      <c r="AV163" s="725">
        <f t="shared" si="32"/>
        <v>0</v>
      </c>
      <c r="AW163" s="725">
        <f t="shared" si="32"/>
        <v>0</v>
      </c>
      <c r="AX163" s="725">
        <f t="shared" si="32"/>
        <v>0</v>
      </c>
      <c r="AY163" s="725">
        <f t="shared" si="32"/>
        <v>0</v>
      </c>
      <c r="AZ163" s="725">
        <f t="shared" si="32"/>
        <v>0</v>
      </c>
      <c r="BA163" s="725">
        <f t="shared" si="32"/>
        <v>0</v>
      </c>
      <c r="BB163" s="725">
        <f t="shared" si="32"/>
        <v>0</v>
      </c>
      <c r="BC163" s="725">
        <f t="shared" si="32"/>
        <v>0</v>
      </c>
      <c r="BD163" s="725">
        <f t="shared" si="32"/>
        <v>0</v>
      </c>
      <c r="BE163" s="726">
        <f t="shared" si="32"/>
        <v>0</v>
      </c>
      <c r="BF163" s="726">
        <f t="shared" si="32"/>
        <v>0</v>
      </c>
      <c r="BG163" s="727">
        <f t="shared" si="32"/>
        <v>0</v>
      </c>
      <c r="BH163" s="724">
        <f t="shared" si="32"/>
        <v>0</v>
      </c>
      <c r="BI163" s="725">
        <f t="shared" si="32"/>
        <v>0</v>
      </c>
      <c r="BJ163" s="728">
        <f t="shared" si="32"/>
        <v>0</v>
      </c>
    </row>
    <row r="164" spans="1:62" outlineLevel="1" x14ac:dyDescent="0.2">
      <c r="G164" s="333"/>
    </row>
    <row r="165" spans="1:62" x14ac:dyDescent="0.2">
      <c r="H165" s="333"/>
    </row>
    <row r="166" spans="1:62" s="191" customFormat="1" ht="16" x14ac:dyDescent="0.2">
      <c r="A166" s="40"/>
      <c r="B166" s="1795" t="s">
        <v>3064</v>
      </c>
      <c r="C166" s="1795"/>
      <c r="D166" s="1795"/>
      <c r="E166" s="1795"/>
      <c r="F166" s="1795"/>
      <c r="G166" s="1795"/>
      <c r="H166" s="1795"/>
      <c r="I166" s="1795"/>
      <c r="J166" s="1795"/>
      <c r="K166" s="1795"/>
      <c r="L166" s="1795"/>
      <c r="M166" s="1795"/>
      <c r="N166" s="1795"/>
      <c r="O166" s="1795"/>
      <c r="AS166" s="602"/>
      <c r="AT166" s="602"/>
      <c r="AU166" s="602"/>
      <c r="AV166" s="602"/>
      <c r="AW166" s="602"/>
      <c r="AX166" s="602"/>
      <c r="AY166" s="602"/>
      <c r="AZ166" s="602"/>
      <c r="BA166" s="602"/>
      <c r="BB166" s="751"/>
      <c r="BC166" s="751"/>
      <c r="BD166" s="751"/>
      <c r="BE166" s="751"/>
      <c r="BF166" s="751"/>
      <c r="BG166" s="751"/>
      <c r="BH166" s="602"/>
      <c r="BI166" s="602"/>
      <c r="BJ166" s="602"/>
    </row>
    <row r="167" spans="1:62" outlineLevel="1" x14ac:dyDescent="0.2">
      <c r="H167" s="333"/>
    </row>
    <row r="168" spans="1:62" ht="12.75" customHeight="1" outlineLevel="1" x14ac:dyDescent="0.2">
      <c r="B168" s="195" t="s">
        <v>2941</v>
      </c>
      <c r="C168" s="196"/>
      <c r="D168" s="196"/>
      <c r="E168" s="196"/>
      <c r="F168" s="196"/>
      <c r="G168" s="198"/>
      <c r="H168" s="196"/>
      <c r="I168" s="196"/>
      <c r="J168" s="196"/>
      <c r="K168" s="198"/>
      <c r="L168" s="198"/>
      <c r="M168" s="198"/>
      <c r="N168" s="199"/>
      <c r="W168" s="42"/>
      <c r="X168" s="1746" t="s">
        <v>723</v>
      </c>
      <c r="Y168" s="1747"/>
      <c r="Z168" s="1747"/>
      <c r="AA168" s="1747"/>
      <c r="AB168" s="1747"/>
      <c r="AC168" s="1747"/>
      <c r="AD168" s="1748"/>
      <c r="AF168" s="1746" t="s">
        <v>2066</v>
      </c>
      <c r="AG168" s="1747"/>
      <c r="AH168" s="1747"/>
      <c r="AI168" s="1747"/>
      <c r="AJ168" s="1747"/>
      <c r="AK168" s="1747"/>
      <c r="AL168" s="1747"/>
      <c r="AM168" s="1747"/>
      <c r="AN168" s="1747"/>
      <c r="AO168" s="1747"/>
      <c r="AP168" s="1747"/>
      <c r="AQ168" s="1748"/>
      <c r="AS168" s="1755" t="s">
        <v>2073</v>
      </c>
      <c r="AT168" s="1756"/>
      <c r="AU168" s="1756"/>
      <c r="AV168" s="1756"/>
      <c r="AW168" s="1756"/>
      <c r="AX168" s="1756"/>
      <c r="AY168" s="1756"/>
      <c r="AZ168" s="1756"/>
      <c r="BA168" s="1756"/>
      <c r="BB168" s="1756"/>
      <c r="BC168" s="1756"/>
      <c r="BD168" s="1756"/>
      <c r="BE168" s="1756"/>
      <c r="BF168" s="1756"/>
      <c r="BG168" s="1756"/>
      <c r="BH168" s="1756"/>
      <c r="BI168" s="1756"/>
      <c r="BJ168" s="1757"/>
    </row>
    <row r="169" spans="1:62" ht="12.75" customHeight="1" outlineLevel="1" x14ac:dyDescent="0.2">
      <c r="B169" s="417"/>
      <c r="C169" s="225"/>
      <c r="D169" s="503"/>
      <c r="E169" s="503"/>
      <c r="F169" s="201"/>
      <c r="G169" s="201"/>
      <c r="H169" s="201"/>
      <c r="I169" s="201"/>
      <c r="J169" s="201"/>
      <c r="K169" s="201"/>
      <c r="L169" s="1745" t="s">
        <v>2646</v>
      </c>
      <c r="M169" s="1745"/>
      <c r="N169" s="710" t="s">
        <v>2639</v>
      </c>
      <c r="W169" s="42"/>
      <c r="X169" s="709"/>
      <c r="Y169" s="706"/>
      <c r="Z169" s="706"/>
      <c r="AA169" s="706"/>
      <c r="AB169" s="706"/>
      <c r="AC169" s="706"/>
      <c r="AD169" s="710" t="s">
        <v>2639</v>
      </c>
      <c r="AE169" s="42"/>
      <c r="AF169" s="216"/>
      <c r="AG169" s="503"/>
      <c r="AH169" s="503"/>
      <c r="AI169" s="503"/>
      <c r="AJ169" s="504"/>
      <c r="AK169" s="504" t="s">
        <v>2639</v>
      </c>
      <c r="AL169" s="217"/>
      <c r="AM169" s="503"/>
      <c r="AN169" s="503"/>
      <c r="AO169" s="503"/>
      <c r="AP169" s="504"/>
      <c r="AQ169" s="508" t="s">
        <v>2639</v>
      </c>
      <c r="AS169" s="1758" t="s">
        <v>61</v>
      </c>
      <c r="AT169" s="1759"/>
      <c r="AU169" s="1759"/>
      <c r="AV169" s="1759"/>
      <c r="AW169" s="1759"/>
      <c r="AX169" s="1759"/>
      <c r="AY169" s="1759"/>
      <c r="AZ169" s="1759"/>
      <c r="BA169" s="1759"/>
      <c r="BB169" s="1759"/>
      <c r="BC169" s="1759"/>
      <c r="BD169" s="1759"/>
      <c r="BE169" s="1759" t="s">
        <v>61</v>
      </c>
      <c r="BF169" s="1759"/>
      <c r="BG169" s="1760"/>
      <c r="BH169" s="730"/>
      <c r="BI169" s="785"/>
      <c r="BJ169" s="731"/>
    </row>
    <row r="170" spans="1:62" ht="12.75" customHeight="1" outlineLevel="1" x14ac:dyDescent="0.2">
      <c r="B170" s="200"/>
      <c r="C170" s="201"/>
      <c r="D170" s="504" t="s">
        <v>56</v>
      </c>
      <c r="E170" s="504" t="s">
        <v>56</v>
      </c>
      <c r="F170" s="205" t="s">
        <v>2669</v>
      </c>
      <c r="G170" s="205"/>
      <c r="H170" s="1744" t="s">
        <v>1281</v>
      </c>
      <c r="I170" s="1745"/>
      <c r="J170" s="1745"/>
      <c r="K170" s="705" t="s">
        <v>61</v>
      </c>
      <c r="L170" s="705" t="s">
        <v>61</v>
      </c>
      <c r="M170" s="705" t="s">
        <v>61</v>
      </c>
      <c r="N170" s="710" t="s">
        <v>30</v>
      </c>
      <c r="W170" s="42"/>
      <c r="X170" s="1633" t="s">
        <v>2605</v>
      </c>
      <c r="Y170" s="706" t="s">
        <v>2110</v>
      </c>
      <c r="Z170" s="706" t="s">
        <v>61</v>
      </c>
      <c r="AA170" s="706" t="s">
        <v>61</v>
      </c>
      <c r="AB170" s="706" t="s">
        <v>61</v>
      </c>
      <c r="AC170" s="705" t="s">
        <v>61</v>
      </c>
      <c r="AD170" s="710" t="s">
        <v>30</v>
      </c>
      <c r="AE170" s="42"/>
      <c r="AF170" s="507" t="s">
        <v>2065</v>
      </c>
      <c r="AG170" s="504" t="s">
        <v>61</v>
      </c>
      <c r="AH170" s="504" t="s">
        <v>61</v>
      </c>
      <c r="AI170" s="504" t="s">
        <v>61</v>
      </c>
      <c r="AJ170" s="503" t="s">
        <v>61</v>
      </c>
      <c r="AK170" s="504" t="s">
        <v>30</v>
      </c>
      <c r="AL170" s="504" t="s">
        <v>2558</v>
      </c>
      <c r="AM170" s="504" t="s">
        <v>61</v>
      </c>
      <c r="AN170" s="504" t="s">
        <v>61</v>
      </c>
      <c r="AO170" s="504" t="s">
        <v>61</v>
      </c>
      <c r="AP170" s="503" t="s">
        <v>61</v>
      </c>
      <c r="AQ170" s="508" t="s">
        <v>30</v>
      </c>
      <c r="AS170" s="1764" t="s">
        <v>14</v>
      </c>
      <c r="AT170" s="1761"/>
      <c r="AU170" s="1761"/>
      <c r="AV170" s="1761" t="s">
        <v>60</v>
      </c>
      <c r="AW170" s="1761"/>
      <c r="AX170" s="1761"/>
      <c r="AY170" s="1761" t="s">
        <v>27</v>
      </c>
      <c r="AZ170" s="1761"/>
      <c r="BA170" s="1761"/>
      <c r="BB170" s="1761" t="s">
        <v>2074</v>
      </c>
      <c r="BC170" s="1761"/>
      <c r="BD170" s="1761"/>
      <c r="BE170" s="1762" t="s">
        <v>41</v>
      </c>
      <c r="BF170" s="1762"/>
      <c r="BG170" s="1763"/>
      <c r="BH170" s="1764" t="s">
        <v>85</v>
      </c>
      <c r="BI170" s="1761"/>
      <c r="BJ170" s="1765"/>
    </row>
    <row r="171" spans="1:62" ht="12.75" customHeight="1" outlineLevel="1" x14ac:dyDescent="0.2">
      <c r="B171" s="200"/>
      <c r="C171" s="201"/>
      <c r="D171" s="504" t="s">
        <v>61</v>
      </c>
      <c r="E171" s="504" t="s">
        <v>63</v>
      </c>
      <c r="F171" s="208" t="s">
        <v>2054</v>
      </c>
      <c r="G171" s="208" t="s">
        <v>2635</v>
      </c>
      <c r="H171" s="708" t="s">
        <v>1279</v>
      </c>
      <c r="I171" s="708" t="s">
        <v>768</v>
      </c>
      <c r="J171" s="708" t="s">
        <v>24</v>
      </c>
      <c r="K171" s="707" t="s">
        <v>1279</v>
      </c>
      <c r="L171" s="707" t="s">
        <v>768</v>
      </c>
      <c r="M171" s="707" t="s">
        <v>24</v>
      </c>
      <c r="N171" s="710" t="s">
        <v>61</v>
      </c>
      <c r="W171" s="42"/>
      <c r="X171" s="1633" t="s">
        <v>2109</v>
      </c>
      <c r="Y171" s="706"/>
      <c r="Z171" s="708" t="s">
        <v>1279</v>
      </c>
      <c r="AA171" s="708" t="s">
        <v>768</v>
      </c>
      <c r="AB171" s="708" t="s">
        <v>24</v>
      </c>
      <c r="AC171" s="223" t="s">
        <v>41</v>
      </c>
      <c r="AD171" s="710" t="s">
        <v>61</v>
      </c>
      <c r="AE171" s="42"/>
      <c r="AF171" s="507"/>
      <c r="AG171" s="506" t="s">
        <v>1279</v>
      </c>
      <c r="AH171" s="506" t="s">
        <v>768</v>
      </c>
      <c r="AI171" s="506" t="s">
        <v>24</v>
      </c>
      <c r="AJ171" s="223" t="s">
        <v>41</v>
      </c>
      <c r="AK171" s="504" t="s">
        <v>61</v>
      </c>
      <c r="AL171" s="504"/>
      <c r="AM171" s="506" t="s">
        <v>1279</v>
      </c>
      <c r="AN171" s="506" t="s">
        <v>768</v>
      </c>
      <c r="AO171" s="506" t="s">
        <v>24</v>
      </c>
      <c r="AP171" s="223" t="s">
        <v>41</v>
      </c>
      <c r="AQ171" s="508" t="s">
        <v>61</v>
      </c>
      <c r="AS171" s="732" t="s">
        <v>1279</v>
      </c>
      <c r="AT171" s="733" t="s">
        <v>768</v>
      </c>
      <c r="AU171" s="733" t="s">
        <v>24</v>
      </c>
      <c r="AV171" s="733" t="s">
        <v>1279</v>
      </c>
      <c r="AW171" s="733" t="s">
        <v>768</v>
      </c>
      <c r="AX171" s="733" t="s">
        <v>24</v>
      </c>
      <c r="AY171" s="733" t="s">
        <v>1279</v>
      </c>
      <c r="AZ171" s="733" t="s">
        <v>768</v>
      </c>
      <c r="BA171" s="733" t="s">
        <v>24</v>
      </c>
      <c r="BB171" s="733" t="s">
        <v>1279</v>
      </c>
      <c r="BC171" s="733" t="s">
        <v>768</v>
      </c>
      <c r="BD171" s="733" t="s">
        <v>24</v>
      </c>
      <c r="BE171" s="734" t="s">
        <v>1279</v>
      </c>
      <c r="BF171" s="734" t="s">
        <v>768</v>
      </c>
      <c r="BG171" s="735" t="s">
        <v>24</v>
      </c>
      <c r="BH171" s="732" t="s">
        <v>1279</v>
      </c>
      <c r="BI171" s="733" t="s">
        <v>768</v>
      </c>
      <c r="BJ171" s="736" t="s">
        <v>24</v>
      </c>
    </row>
    <row r="172" spans="1:62" ht="12.75" customHeight="1" outlineLevel="1" x14ac:dyDescent="0.2">
      <c r="B172" s="200" t="s">
        <v>1460</v>
      </c>
      <c r="C172" s="553"/>
      <c r="D172" s="262">
        <f>SUM(K172:M172)</f>
        <v>0</v>
      </c>
      <c r="E172" s="265">
        <f>D172*12/44</f>
        <v>0</v>
      </c>
      <c r="F172" s="559"/>
      <c r="G172" s="182"/>
      <c r="H172" s="493">
        <f>VLOOKUP($B172,'Emissions factors'!$B$1528:$R$1542,2,FALSE)</f>
        <v>0</v>
      </c>
      <c r="I172" s="493">
        <f>VLOOKUP($B172,'Emissions factors'!$B$1528:$R$1542,3,FALSE)</f>
        <v>0.29520000000000002</v>
      </c>
      <c r="J172" s="493">
        <f>VLOOKUP($B172,'Emissions factors'!$B$1528:$R$1542,4,FALSE)</f>
        <v>1.1499919999999999</v>
      </c>
      <c r="K172" s="465">
        <f>H172*G172</f>
        <v>0</v>
      </c>
      <c r="L172" s="465">
        <f>G172*I172</f>
        <v>0</v>
      </c>
      <c r="M172" s="210">
        <f>G172*J172</f>
        <v>0</v>
      </c>
      <c r="N172" s="222">
        <f>IF(OR(F172='Info utili'!$I$532,F172='Info utili'!$I$537),M172,0)</f>
        <v>0</v>
      </c>
      <c r="W172" s="42"/>
      <c r="X172" s="282">
        <f>VLOOKUP($B172,'Emissions factors'!$B$1528:$R$1542,17,FALSE)</f>
        <v>0.6</v>
      </c>
      <c r="Y172" s="184"/>
      <c r="Z172" s="221">
        <f>K172*SQRT(X172^2+Y172^2)</f>
        <v>0</v>
      </c>
      <c r="AA172" s="221">
        <f>L172*SQRT(X172^2+Y172^2)</f>
        <v>0</v>
      </c>
      <c r="AB172" s="221">
        <f>M172*SQRT(X172^2+Y172^2)</f>
        <v>0</v>
      </c>
      <c r="AC172" s="210">
        <f>SQRT(SUMSQ(Z172:AB172))</f>
        <v>0</v>
      </c>
      <c r="AD172" s="222">
        <f>N172*SQRT(X172^2+Y172^2)</f>
        <v>0</v>
      </c>
      <c r="AE172" s="42"/>
      <c r="AF172" s="184"/>
      <c r="AG172" s="221">
        <f t="shared" ref="AG172:AI174" si="33">K172*$AF172</f>
        <v>0</v>
      </c>
      <c r="AH172" s="221">
        <f t="shared" si="33"/>
        <v>0</v>
      </c>
      <c r="AI172" s="221">
        <f t="shared" si="33"/>
        <v>0</v>
      </c>
      <c r="AJ172" s="210">
        <f>SUM(AG172:AI172)</f>
        <v>0</v>
      </c>
      <c r="AK172" s="221">
        <f>N172*$AF172</f>
        <v>0</v>
      </c>
      <c r="AL172" s="184"/>
      <c r="AM172" s="221">
        <f>AL172*K172</f>
        <v>0</v>
      </c>
      <c r="AN172" s="221">
        <f>AL172*L172</f>
        <v>0</v>
      </c>
      <c r="AO172" s="221">
        <f>AL172*M172</f>
        <v>0</v>
      </c>
      <c r="AP172" s="210">
        <f>SUM(AM172:AO172)</f>
        <v>0</v>
      </c>
      <c r="AQ172" s="222">
        <f>AL172*N172</f>
        <v>0</v>
      </c>
      <c r="AS172" s="717">
        <f>G172*VLOOKUP($B172,'Emissions factors'!$B$1528:$R$1542,5,FALSE)</f>
        <v>0</v>
      </c>
      <c r="AT172" s="718">
        <f>G172*VLOOKUP($B172,'Emissions factors'!$B$1528:$R$1542,6,FALSE)</f>
        <v>0</v>
      </c>
      <c r="AU172" s="718">
        <f>G172*VLOOKUP($B172,'Emissions factors'!$B$1528:$R$1542,7,FALSE)</f>
        <v>0</v>
      </c>
      <c r="AV172" s="718">
        <f>G172*VLOOKUP($B172,'Emissions factors'!$B$1528:$R$1542,8,FALSE)</f>
        <v>0</v>
      </c>
      <c r="AW172" s="718">
        <f>G172*VLOOKUP($B172,'Emissions factors'!$B$1528:$R$1542,9,FALSE)</f>
        <v>0</v>
      </c>
      <c r="AX172" s="718">
        <f>G172*VLOOKUP($B172,'Emissions factors'!$B$1528:$R$1542,10,FALSE)</f>
        <v>0</v>
      </c>
      <c r="AY172" s="718">
        <f>G172*VLOOKUP($B172,'Emissions factors'!$B$1528:$R$1542,11,FALSE)</f>
        <v>0</v>
      </c>
      <c r="AZ172" s="718">
        <f>G172*VLOOKUP($B172,'Emissions factors'!$B$1528:$R$1542,12,FALSE)</f>
        <v>0</v>
      </c>
      <c r="BA172" s="718">
        <f>G172*VLOOKUP($B172,'Emissions factors'!$B$1528:$R$1542,13,FALSE)</f>
        <v>0</v>
      </c>
      <c r="BB172" s="718">
        <v>0</v>
      </c>
      <c r="BC172" s="718">
        <v>0</v>
      </c>
      <c r="BD172" s="718">
        <v>0</v>
      </c>
      <c r="BE172" s="719">
        <f t="shared" ref="BE172:BG174" si="34">K172</f>
        <v>0</v>
      </c>
      <c r="BF172" s="719">
        <f t="shared" si="34"/>
        <v>0</v>
      </c>
      <c r="BG172" s="720">
        <f t="shared" si="34"/>
        <v>0</v>
      </c>
      <c r="BH172" s="717">
        <f>G172*VLOOKUP($B172,'Emissions factors'!$B$1528:$R$1542,14,FALSE)</f>
        <v>0</v>
      </c>
      <c r="BI172" s="718">
        <f>G172*VLOOKUP($B172,'Emissions factors'!$B$1528:$R$1542,15,FALSE)</f>
        <v>0</v>
      </c>
      <c r="BJ172" s="721">
        <f>G172*VLOOKUP($B172,'Emissions factors'!$B$1528:$R$1542,16,FALSE)</f>
        <v>0</v>
      </c>
    </row>
    <row r="173" spans="1:62" ht="12.75" customHeight="1" outlineLevel="1" x14ac:dyDescent="0.2">
      <c r="B173" s="200" t="s">
        <v>1461</v>
      </c>
      <c r="C173" s="553"/>
      <c r="D173" s="262">
        <f>SUM(K173:M173)</f>
        <v>0</v>
      </c>
      <c r="E173" s="265">
        <f>D173*12/44</f>
        <v>0</v>
      </c>
      <c r="F173" s="442"/>
      <c r="G173" s="185"/>
      <c r="H173" s="493">
        <f>VLOOKUP($B173,'Emissions factors'!$B$1528:$R$1542,2,FALSE)</f>
        <v>0</v>
      </c>
      <c r="I173" s="493">
        <f>VLOOKUP($B173,'Emissions factors'!$B$1528:$R$1542,3,FALSE)</f>
        <v>0.33610000000000001</v>
      </c>
      <c r="J173" s="493">
        <f>VLOOKUP($B173,'Emissions factors'!$B$1528:$R$1542,4,FALSE)</f>
        <v>1.3220240000000001</v>
      </c>
      <c r="K173" s="465">
        <f>H173*G173</f>
        <v>0</v>
      </c>
      <c r="L173" s="465">
        <f>G173*I173</f>
        <v>0</v>
      </c>
      <c r="M173" s="210">
        <f>G173*J173</f>
        <v>0</v>
      </c>
      <c r="N173" s="222">
        <f>IF(OR(F173='Info utili'!$I$532,F173='Info utili'!$I$537),M173,0)</f>
        <v>0</v>
      </c>
      <c r="W173" s="42"/>
      <c r="X173" s="282">
        <f>VLOOKUP($B173,'Emissions factors'!$B$1528:$R$1542,17,FALSE)</f>
        <v>0.6</v>
      </c>
      <c r="Y173" s="187"/>
      <c r="Z173" s="221">
        <f>K173*SQRT(X173^2+Y173^2)</f>
        <v>0</v>
      </c>
      <c r="AA173" s="221">
        <f>L173*SQRT(X173^2+Y173^2)</f>
        <v>0</v>
      </c>
      <c r="AB173" s="221">
        <f>M173*SQRT(X173^2+Y173^2)</f>
        <v>0</v>
      </c>
      <c r="AC173" s="210">
        <f>SQRT(SUMSQ(Z173:AB173))</f>
        <v>0</v>
      </c>
      <c r="AD173" s="222">
        <f>N173*SQRT(X173^2+Y173^2)</f>
        <v>0</v>
      </c>
      <c r="AE173" s="42"/>
      <c r="AF173" s="187"/>
      <c r="AG173" s="221">
        <f t="shared" si="33"/>
        <v>0</v>
      </c>
      <c r="AH173" s="221">
        <f t="shared" si="33"/>
        <v>0</v>
      </c>
      <c r="AI173" s="221">
        <f t="shared" si="33"/>
        <v>0</v>
      </c>
      <c r="AJ173" s="210">
        <f>SUM(AG173:AI173)</f>
        <v>0</v>
      </c>
      <c r="AK173" s="221">
        <f>N173*$AF173</f>
        <v>0</v>
      </c>
      <c r="AL173" s="187"/>
      <c r="AM173" s="221">
        <f>AL173*K173</f>
        <v>0</v>
      </c>
      <c r="AN173" s="221">
        <f>AL173*L173</f>
        <v>0</v>
      </c>
      <c r="AO173" s="221">
        <f>AL173*M173</f>
        <v>0</v>
      </c>
      <c r="AP173" s="210">
        <f>SUM(AM173:AO173)</f>
        <v>0</v>
      </c>
      <c r="AQ173" s="222">
        <f>AL173*N173</f>
        <v>0</v>
      </c>
      <c r="AS173" s="717">
        <f>G173*VLOOKUP($B173,'Emissions factors'!$B$1528:$R$1542,5,FALSE)</f>
        <v>0</v>
      </c>
      <c r="AT173" s="718">
        <f>G173*VLOOKUP($B173,'Emissions factors'!$B$1528:$R$1542,6,FALSE)</f>
        <v>0</v>
      </c>
      <c r="AU173" s="718">
        <f>G173*VLOOKUP($B173,'Emissions factors'!$B$1528:$R$1542,7,FALSE)</f>
        <v>0</v>
      </c>
      <c r="AV173" s="718">
        <f>G173*VLOOKUP($B173,'Emissions factors'!$B$1528:$R$1542,8,FALSE)</f>
        <v>0</v>
      </c>
      <c r="AW173" s="718">
        <f>G173*VLOOKUP($B173,'Emissions factors'!$B$1528:$R$1542,9,FALSE)</f>
        <v>0</v>
      </c>
      <c r="AX173" s="718">
        <f>G173*VLOOKUP($B173,'Emissions factors'!$B$1528:$R$1542,10,FALSE)</f>
        <v>0</v>
      </c>
      <c r="AY173" s="718">
        <f>G173*VLOOKUP($B173,'Emissions factors'!$B$1528:$R$1542,11,FALSE)</f>
        <v>0</v>
      </c>
      <c r="AZ173" s="718">
        <f>G173*VLOOKUP($B173,'Emissions factors'!$B$1528:$R$1542,12,FALSE)</f>
        <v>0</v>
      </c>
      <c r="BA173" s="718">
        <f>G173*VLOOKUP($B173,'Emissions factors'!$B$1528:$R$1542,13,FALSE)</f>
        <v>0</v>
      </c>
      <c r="BB173" s="718">
        <v>0</v>
      </c>
      <c r="BC173" s="718">
        <v>0</v>
      </c>
      <c r="BD173" s="718">
        <v>0</v>
      </c>
      <c r="BE173" s="719">
        <f t="shared" si="34"/>
        <v>0</v>
      </c>
      <c r="BF173" s="719">
        <f t="shared" si="34"/>
        <v>0</v>
      </c>
      <c r="BG173" s="720">
        <f t="shared" si="34"/>
        <v>0</v>
      </c>
      <c r="BH173" s="717">
        <f>G173*VLOOKUP($B173,'Emissions factors'!$B$1528:$R$1542,14,FALSE)</f>
        <v>0</v>
      </c>
      <c r="BI173" s="718">
        <f>G173*VLOOKUP($B173,'Emissions factors'!$B$1528:$R$1542,15,FALSE)</f>
        <v>0</v>
      </c>
      <c r="BJ173" s="721">
        <f>G173*VLOOKUP($B173,'Emissions factors'!$B$1528:$R$1542,16,FALSE)</f>
        <v>0</v>
      </c>
    </row>
    <row r="174" spans="1:62" ht="12.75" customHeight="1" outlineLevel="1" x14ac:dyDescent="0.2">
      <c r="B174" s="200" t="s">
        <v>1462</v>
      </c>
      <c r="C174" s="553"/>
      <c r="D174" s="262">
        <f>SUM(K174:M174)</f>
        <v>0</v>
      </c>
      <c r="E174" s="265">
        <f>D174*12/44</f>
        <v>0</v>
      </c>
      <c r="F174" s="443"/>
      <c r="G174" s="188"/>
      <c r="H174" s="493">
        <f>VLOOKUP($B174,'Emissions factors'!$B$1528:$R$1542,2,FALSE)</f>
        <v>0</v>
      </c>
      <c r="I174" s="493">
        <f>VLOOKUP($B174,'Emissions factors'!$B$1528:$R$1542,3,FALSE)</f>
        <v>0.34869999999999995</v>
      </c>
      <c r="J174" s="493">
        <f>VLOOKUP($B174,'Emissions factors'!$B$1528:$R$1542,4,FALSE)</f>
        <v>1.3830200000000001</v>
      </c>
      <c r="K174" s="465">
        <f>H174*G174</f>
        <v>0</v>
      </c>
      <c r="L174" s="465">
        <f>G174*I174</f>
        <v>0</v>
      </c>
      <c r="M174" s="210">
        <f>G174*J174</f>
        <v>0</v>
      </c>
      <c r="N174" s="222">
        <f>IF(OR(F174='Info utili'!$I$532,F174='Info utili'!$I$537),M174,0)</f>
        <v>0</v>
      </c>
      <c r="W174" s="42"/>
      <c r="X174" s="282">
        <f>VLOOKUP($B174,'Emissions factors'!$B$1528:$R$1542,17,FALSE)</f>
        <v>0.6</v>
      </c>
      <c r="Y174" s="190"/>
      <c r="Z174" s="221">
        <f>K174*SQRT(X174^2+Y174^2)</f>
        <v>0</v>
      </c>
      <c r="AA174" s="221">
        <f>L174*SQRT(X174^2+Y174^2)</f>
        <v>0</v>
      </c>
      <c r="AB174" s="221">
        <f>M174*SQRT(X174^2+Y174^2)</f>
        <v>0</v>
      </c>
      <c r="AC174" s="210">
        <f>SQRT(SUMSQ(Z174:AB174))</f>
        <v>0</v>
      </c>
      <c r="AD174" s="222">
        <f>N174*SQRT(X174^2+Y174^2)</f>
        <v>0</v>
      </c>
      <c r="AE174" s="42"/>
      <c r="AF174" s="190"/>
      <c r="AG174" s="221">
        <f t="shared" si="33"/>
        <v>0</v>
      </c>
      <c r="AH174" s="221">
        <f t="shared" si="33"/>
        <v>0</v>
      </c>
      <c r="AI174" s="221">
        <f t="shared" si="33"/>
        <v>0</v>
      </c>
      <c r="AJ174" s="210">
        <f>SUM(AG174:AI174)</f>
        <v>0</v>
      </c>
      <c r="AK174" s="221">
        <f>N174*$AF174</f>
        <v>0</v>
      </c>
      <c r="AL174" s="190"/>
      <c r="AM174" s="221">
        <f>AL174*K174</f>
        <v>0</v>
      </c>
      <c r="AN174" s="221">
        <f>AL174*L174</f>
        <v>0</v>
      </c>
      <c r="AO174" s="221">
        <f>AL174*M174</f>
        <v>0</v>
      </c>
      <c r="AP174" s="210">
        <f>SUM(AM174:AO174)</f>
        <v>0</v>
      </c>
      <c r="AQ174" s="222">
        <f>AL174*N174</f>
        <v>0</v>
      </c>
      <c r="AS174" s="717">
        <f>G174*VLOOKUP($B174,'Emissions factors'!$B$1528:$R$1542,5,FALSE)</f>
        <v>0</v>
      </c>
      <c r="AT174" s="718">
        <f>G174*VLOOKUP($B174,'Emissions factors'!$B$1528:$R$1542,6,FALSE)</f>
        <v>0</v>
      </c>
      <c r="AU174" s="718">
        <f>G174*VLOOKUP($B174,'Emissions factors'!$B$1528:$R$1542,7,FALSE)</f>
        <v>0</v>
      </c>
      <c r="AV174" s="718">
        <f>G174*VLOOKUP($B174,'Emissions factors'!$B$1528:$R$1542,8,FALSE)</f>
        <v>0</v>
      </c>
      <c r="AW174" s="718">
        <f>G174*VLOOKUP($B174,'Emissions factors'!$B$1528:$R$1542,9,FALSE)</f>
        <v>0</v>
      </c>
      <c r="AX174" s="718">
        <f>G174*VLOOKUP($B174,'Emissions factors'!$B$1528:$R$1542,10,FALSE)</f>
        <v>0</v>
      </c>
      <c r="AY174" s="718">
        <f>G174*VLOOKUP($B174,'Emissions factors'!$B$1528:$R$1542,11,FALSE)</f>
        <v>0</v>
      </c>
      <c r="AZ174" s="718">
        <f>G174*VLOOKUP($B174,'Emissions factors'!$B$1528:$R$1542,12,FALSE)</f>
        <v>0</v>
      </c>
      <c r="BA174" s="718">
        <f>G174*VLOOKUP($B174,'Emissions factors'!$B$1528:$R$1542,13,FALSE)</f>
        <v>0</v>
      </c>
      <c r="BB174" s="718">
        <v>0</v>
      </c>
      <c r="BC174" s="718">
        <v>0</v>
      </c>
      <c r="BD174" s="718">
        <v>0</v>
      </c>
      <c r="BE174" s="719">
        <f t="shared" si="34"/>
        <v>0</v>
      </c>
      <c r="BF174" s="719">
        <f t="shared" si="34"/>
        <v>0</v>
      </c>
      <c r="BG174" s="720">
        <f t="shared" si="34"/>
        <v>0</v>
      </c>
      <c r="BH174" s="717">
        <f>G174*VLOOKUP($B174,'Emissions factors'!$B$1528:$R$1542,14,FALSE)</f>
        <v>0</v>
      </c>
      <c r="BI174" s="718">
        <f>G174*VLOOKUP($B174,'Emissions factors'!$B$1528:$R$1542,15,FALSE)</f>
        <v>0</v>
      </c>
      <c r="BJ174" s="721">
        <f>G174*VLOOKUP($B174,'Emissions factors'!$B$1528:$R$1542,16,FALSE)</f>
        <v>0</v>
      </c>
    </row>
    <row r="175" spans="1:62" ht="12.75" customHeight="1" outlineLevel="1" x14ac:dyDescent="0.2">
      <c r="B175" s="213"/>
      <c r="C175" s="214"/>
      <c r="D175" s="275"/>
      <c r="E175" s="268"/>
      <c r="F175" s="214"/>
      <c r="G175" s="214"/>
      <c r="H175" s="214"/>
      <c r="I175" s="214"/>
      <c r="J175" s="214"/>
      <c r="K175" s="214"/>
      <c r="L175" s="465"/>
      <c r="M175" s="214"/>
      <c r="N175" s="466"/>
      <c r="W175" s="42"/>
      <c r="X175" s="220"/>
      <c r="Y175" s="221"/>
      <c r="Z175" s="201"/>
      <c r="AA175" s="201"/>
      <c r="AB175" s="201"/>
      <c r="AC175" s="210"/>
      <c r="AD175" s="211"/>
      <c r="AE175" s="42"/>
      <c r="AF175" s="480"/>
      <c r="AG175" s="221"/>
      <c r="AH175" s="221"/>
      <c r="AI175" s="221"/>
      <c r="AJ175" s="413"/>
      <c r="AK175" s="221"/>
      <c r="AL175" s="221"/>
      <c r="AM175" s="221"/>
      <c r="AN175" s="221"/>
      <c r="AO175" s="221"/>
      <c r="AP175" s="413"/>
      <c r="AQ175" s="222"/>
      <c r="AS175" s="717"/>
      <c r="AT175" s="718"/>
      <c r="AU175" s="718"/>
      <c r="AV175" s="718"/>
      <c r="AW175" s="718"/>
      <c r="AX175" s="718"/>
      <c r="AY175" s="718"/>
      <c r="AZ175" s="718"/>
      <c r="BA175" s="718"/>
      <c r="BB175" s="718"/>
      <c r="BC175" s="718"/>
      <c r="BD175" s="718"/>
      <c r="BE175" s="719"/>
      <c r="BF175" s="719"/>
      <c r="BG175" s="720"/>
      <c r="BH175" s="722"/>
      <c r="BI175" s="786"/>
      <c r="BJ175" s="723"/>
    </row>
    <row r="176" spans="1:62" ht="12.75" customHeight="1" outlineLevel="1" x14ac:dyDescent="0.2">
      <c r="B176" s="253" t="s">
        <v>2828</v>
      </c>
      <c r="C176" s="254"/>
      <c r="D176" s="264">
        <f>SUM(D172:D175)</f>
        <v>0</v>
      </c>
      <c r="E176" s="267">
        <f>SUM(E172:E175)</f>
        <v>0</v>
      </c>
      <c r="F176" s="254"/>
      <c r="G176" s="254"/>
      <c r="H176" s="254"/>
      <c r="I176" s="254"/>
      <c r="J176" s="254"/>
      <c r="K176" s="259">
        <f>SUM(K172:K175)</f>
        <v>0</v>
      </c>
      <c r="L176" s="259">
        <f>SUM(L172:L175)</f>
        <v>0</v>
      </c>
      <c r="M176" s="259">
        <f>SUM(M172:M175)</f>
        <v>0</v>
      </c>
      <c r="N176" s="428">
        <f>SUM(N172:N175)</f>
        <v>0</v>
      </c>
      <c r="W176" s="42"/>
      <c r="X176" s="550"/>
      <c r="Y176" s="260"/>
      <c r="Z176" s="260">
        <f>SQRT(SUMSQ(Z171:Z175))</f>
        <v>0</v>
      </c>
      <c r="AA176" s="260">
        <f>SQRT(SUMSQ(AA171:AA175))</f>
        <v>0</v>
      </c>
      <c r="AB176" s="260">
        <f>SQRT(SUMSQ(AB171:AB175))</f>
        <v>0</v>
      </c>
      <c r="AC176" s="259">
        <f>SQRT(SUMSQ(AC171:AC175))</f>
        <v>0</v>
      </c>
      <c r="AD176" s="428">
        <f>SQRT(SUMSQ(AD171:AD175))</f>
        <v>0</v>
      </c>
      <c r="AE176" s="42"/>
      <c r="AF176" s="489"/>
      <c r="AG176" s="260">
        <f>SUM(AG172:AG175)</f>
        <v>0</v>
      </c>
      <c r="AH176" s="260">
        <f>SUM(AH172:AH175)</f>
        <v>0</v>
      </c>
      <c r="AI176" s="260">
        <f>SUM(AI172:AI175)</f>
        <v>0</v>
      </c>
      <c r="AJ176" s="259">
        <f>SUM(AJ172:AJ175)</f>
        <v>0</v>
      </c>
      <c r="AK176" s="260">
        <f>SUM(AK172:AK175)</f>
        <v>0</v>
      </c>
      <c r="AL176" s="259"/>
      <c r="AM176" s="260">
        <f>SUM(AM172:AM175)</f>
        <v>0</v>
      </c>
      <c r="AN176" s="260">
        <f>SUM(AN172:AN175)</f>
        <v>0</v>
      </c>
      <c r="AO176" s="260">
        <f>SUM(AO172:AO175)</f>
        <v>0</v>
      </c>
      <c r="AP176" s="259">
        <f>SUM(AP172:AP175)</f>
        <v>0</v>
      </c>
      <c r="AQ176" s="428">
        <f>SUM(AQ172:AQ175)</f>
        <v>0</v>
      </c>
      <c r="AS176" s="724">
        <f t="shared" ref="AS176:BJ176" si="35">SUM(AS172:AS175)</f>
        <v>0</v>
      </c>
      <c r="AT176" s="725">
        <f t="shared" si="35"/>
        <v>0</v>
      </c>
      <c r="AU176" s="725">
        <f t="shared" si="35"/>
        <v>0</v>
      </c>
      <c r="AV176" s="725">
        <f t="shared" si="35"/>
        <v>0</v>
      </c>
      <c r="AW176" s="725">
        <f t="shared" si="35"/>
        <v>0</v>
      </c>
      <c r="AX176" s="725">
        <f t="shared" si="35"/>
        <v>0</v>
      </c>
      <c r="AY176" s="725">
        <f t="shared" si="35"/>
        <v>0</v>
      </c>
      <c r="AZ176" s="725">
        <f t="shared" si="35"/>
        <v>0</v>
      </c>
      <c r="BA176" s="725">
        <f t="shared" si="35"/>
        <v>0</v>
      </c>
      <c r="BB176" s="725">
        <f t="shared" si="35"/>
        <v>0</v>
      </c>
      <c r="BC176" s="725">
        <f t="shared" si="35"/>
        <v>0</v>
      </c>
      <c r="BD176" s="725">
        <f t="shared" si="35"/>
        <v>0</v>
      </c>
      <c r="BE176" s="726">
        <f t="shared" si="35"/>
        <v>0</v>
      </c>
      <c r="BF176" s="726">
        <f t="shared" si="35"/>
        <v>0</v>
      </c>
      <c r="BG176" s="727">
        <f t="shared" si="35"/>
        <v>0</v>
      </c>
      <c r="BH176" s="724">
        <f t="shared" si="35"/>
        <v>0</v>
      </c>
      <c r="BI176" s="725">
        <f t="shared" si="35"/>
        <v>0</v>
      </c>
      <c r="BJ176" s="728">
        <f t="shared" si="35"/>
        <v>0</v>
      </c>
    </row>
    <row r="177" spans="2:62" ht="12.75" customHeight="1" outlineLevel="1" x14ac:dyDescent="0.2"/>
    <row r="178" spans="2:62" ht="12.75" customHeight="1" outlineLevel="1" x14ac:dyDescent="0.2">
      <c r="B178" s="195" t="s">
        <v>2940</v>
      </c>
      <c r="C178" s="196"/>
      <c r="D178" s="196"/>
      <c r="E178" s="196"/>
      <c r="F178" s="196"/>
      <c r="G178" s="198"/>
      <c r="H178" s="196"/>
      <c r="I178" s="196"/>
      <c r="J178" s="196"/>
      <c r="K178" s="198"/>
      <c r="L178" s="198"/>
      <c r="M178" s="198"/>
      <c r="N178" s="199"/>
      <c r="W178" s="316"/>
      <c r="X178" s="1746" t="s">
        <v>723</v>
      </c>
      <c r="Y178" s="1747"/>
      <c r="Z178" s="1747"/>
      <c r="AA178" s="1747"/>
      <c r="AB178" s="1747"/>
      <c r="AC178" s="1747"/>
      <c r="AD178" s="1748"/>
      <c r="AF178" s="1746" t="s">
        <v>2066</v>
      </c>
      <c r="AG178" s="1747"/>
      <c r="AH178" s="1747"/>
      <c r="AI178" s="1747"/>
      <c r="AJ178" s="1747"/>
      <c r="AK178" s="1747"/>
      <c r="AL178" s="1747"/>
      <c r="AM178" s="1747"/>
      <c r="AN178" s="1747"/>
      <c r="AO178" s="1747"/>
      <c r="AP178" s="1747"/>
      <c r="AQ178" s="1748"/>
      <c r="AS178" s="1755" t="s">
        <v>2073</v>
      </c>
      <c r="AT178" s="1756"/>
      <c r="AU178" s="1756"/>
      <c r="AV178" s="1756"/>
      <c r="AW178" s="1756"/>
      <c r="AX178" s="1756"/>
      <c r="AY178" s="1756"/>
      <c r="AZ178" s="1756"/>
      <c r="BA178" s="1756"/>
      <c r="BB178" s="1756"/>
      <c r="BC178" s="1756"/>
      <c r="BD178" s="1756"/>
      <c r="BE178" s="1756"/>
      <c r="BF178" s="1756"/>
      <c r="BG178" s="1756"/>
      <c r="BH178" s="1756"/>
      <c r="BI178" s="1756"/>
      <c r="BJ178" s="1757"/>
    </row>
    <row r="179" spans="2:62" ht="12.75" customHeight="1" outlineLevel="1" x14ac:dyDescent="0.2">
      <c r="B179" s="417"/>
      <c r="C179" s="225"/>
      <c r="D179" s="503" t="s">
        <v>2052</v>
      </c>
      <c r="E179" s="503" t="s">
        <v>2052</v>
      </c>
      <c r="F179" s="201"/>
      <c r="G179" s="201"/>
      <c r="H179" s="201"/>
      <c r="I179" s="201"/>
      <c r="J179" s="201"/>
      <c r="K179" s="201"/>
      <c r="L179" s="1745" t="s">
        <v>2646</v>
      </c>
      <c r="M179" s="1745"/>
      <c r="N179" s="710" t="s">
        <v>2639</v>
      </c>
      <c r="W179" s="316"/>
      <c r="X179" s="709"/>
      <c r="Y179" s="706"/>
      <c r="Z179" s="706"/>
      <c r="AA179" s="706"/>
      <c r="AB179" s="706"/>
      <c r="AC179" s="706"/>
      <c r="AD179" s="710" t="s">
        <v>2639</v>
      </c>
      <c r="AE179" s="42"/>
      <c r="AF179" s="216"/>
      <c r="AG179" s="503"/>
      <c r="AH179" s="503"/>
      <c r="AI179" s="503"/>
      <c r="AJ179" s="504"/>
      <c r="AK179" s="504" t="s">
        <v>2639</v>
      </c>
      <c r="AL179" s="217"/>
      <c r="AM179" s="503"/>
      <c r="AN179" s="503"/>
      <c r="AO179" s="503"/>
      <c r="AP179" s="504"/>
      <c r="AQ179" s="508" t="s">
        <v>2639</v>
      </c>
      <c r="AS179" s="1758" t="s">
        <v>61</v>
      </c>
      <c r="AT179" s="1759"/>
      <c r="AU179" s="1759"/>
      <c r="AV179" s="1759"/>
      <c r="AW179" s="1759"/>
      <c r="AX179" s="1759"/>
      <c r="AY179" s="1759"/>
      <c r="AZ179" s="1759"/>
      <c r="BA179" s="1759"/>
      <c r="BB179" s="1759"/>
      <c r="BC179" s="1759"/>
      <c r="BD179" s="1759"/>
      <c r="BE179" s="1759" t="s">
        <v>61</v>
      </c>
      <c r="BF179" s="1759"/>
      <c r="BG179" s="1760"/>
      <c r="BH179" s="730"/>
      <c r="BI179" s="785"/>
      <c r="BJ179" s="731"/>
    </row>
    <row r="180" spans="2:62" ht="12.75" customHeight="1" outlineLevel="1" x14ac:dyDescent="0.2">
      <c r="B180" s="200"/>
      <c r="C180" s="201"/>
      <c r="D180" s="504" t="s">
        <v>56</v>
      </c>
      <c r="E180" s="504" t="s">
        <v>56</v>
      </c>
      <c r="F180" s="205" t="s">
        <v>2669</v>
      </c>
      <c r="G180" s="205"/>
      <c r="H180" s="1744" t="s">
        <v>1457</v>
      </c>
      <c r="I180" s="1745"/>
      <c r="J180" s="1745"/>
      <c r="K180" s="705" t="s">
        <v>61</v>
      </c>
      <c r="L180" s="705" t="s">
        <v>61</v>
      </c>
      <c r="M180" s="705" t="s">
        <v>61</v>
      </c>
      <c r="N180" s="710" t="s">
        <v>30</v>
      </c>
      <c r="W180" s="316"/>
      <c r="X180" s="1633" t="s">
        <v>2605</v>
      </c>
      <c r="Y180" s="706" t="s">
        <v>2110</v>
      </c>
      <c r="Z180" s="706" t="s">
        <v>61</v>
      </c>
      <c r="AA180" s="706" t="s">
        <v>61</v>
      </c>
      <c r="AB180" s="706" t="s">
        <v>61</v>
      </c>
      <c r="AC180" s="705" t="s">
        <v>61</v>
      </c>
      <c r="AD180" s="710" t="s">
        <v>30</v>
      </c>
      <c r="AE180" s="42"/>
      <c r="AF180" s="507" t="s">
        <v>2065</v>
      </c>
      <c r="AG180" s="504" t="s">
        <v>61</v>
      </c>
      <c r="AH180" s="504" t="s">
        <v>61</v>
      </c>
      <c r="AI180" s="504" t="s">
        <v>61</v>
      </c>
      <c r="AJ180" s="503" t="s">
        <v>61</v>
      </c>
      <c r="AK180" s="504" t="s">
        <v>30</v>
      </c>
      <c r="AL180" s="504" t="s">
        <v>2558</v>
      </c>
      <c r="AM180" s="504" t="s">
        <v>61</v>
      </c>
      <c r="AN180" s="504" t="s">
        <v>61</v>
      </c>
      <c r="AO180" s="504" t="s">
        <v>61</v>
      </c>
      <c r="AP180" s="503" t="s">
        <v>61</v>
      </c>
      <c r="AQ180" s="508" t="s">
        <v>30</v>
      </c>
      <c r="AS180" s="1764" t="s">
        <v>14</v>
      </c>
      <c r="AT180" s="1761"/>
      <c r="AU180" s="1761"/>
      <c r="AV180" s="1761" t="s">
        <v>60</v>
      </c>
      <c r="AW180" s="1761"/>
      <c r="AX180" s="1761"/>
      <c r="AY180" s="1761" t="s">
        <v>27</v>
      </c>
      <c r="AZ180" s="1761"/>
      <c r="BA180" s="1761"/>
      <c r="BB180" s="1761" t="s">
        <v>2074</v>
      </c>
      <c r="BC180" s="1761"/>
      <c r="BD180" s="1761"/>
      <c r="BE180" s="1762" t="s">
        <v>41</v>
      </c>
      <c r="BF180" s="1762"/>
      <c r="BG180" s="1763"/>
      <c r="BH180" s="1764" t="s">
        <v>85</v>
      </c>
      <c r="BI180" s="1761"/>
      <c r="BJ180" s="1765"/>
    </row>
    <row r="181" spans="2:62" ht="12.75" customHeight="1" outlineLevel="1" x14ac:dyDescent="0.2">
      <c r="B181" s="200"/>
      <c r="C181" s="201"/>
      <c r="D181" s="504" t="s">
        <v>61</v>
      </c>
      <c r="E181" s="504" t="s">
        <v>63</v>
      </c>
      <c r="F181" s="208" t="s">
        <v>2054</v>
      </c>
      <c r="G181" s="208" t="s">
        <v>2676</v>
      </c>
      <c r="H181" s="708" t="s">
        <v>1279</v>
      </c>
      <c r="I181" s="708" t="s">
        <v>768</v>
      </c>
      <c r="J181" s="708" t="s">
        <v>24</v>
      </c>
      <c r="K181" s="707" t="s">
        <v>1279</v>
      </c>
      <c r="L181" s="707" t="s">
        <v>768</v>
      </c>
      <c r="M181" s="707" t="s">
        <v>24</v>
      </c>
      <c r="N181" s="710" t="s">
        <v>61</v>
      </c>
      <c r="W181" s="316"/>
      <c r="X181" s="1633" t="s">
        <v>2109</v>
      </c>
      <c r="Y181" s="706"/>
      <c r="Z181" s="708" t="s">
        <v>1279</v>
      </c>
      <c r="AA181" s="708" t="s">
        <v>768</v>
      </c>
      <c r="AB181" s="708" t="s">
        <v>24</v>
      </c>
      <c r="AC181" s="223" t="s">
        <v>41</v>
      </c>
      <c r="AD181" s="710" t="s">
        <v>61</v>
      </c>
      <c r="AE181" s="42"/>
      <c r="AF181" s="507"/>
      <c r="AG181" s="506" t="s">
        <v>1279</v>
      </c>
      <c r="AH181" s="506" t="s">
        <v>768</v>
      </c>
      <c r="AI181" s="506" t="s">
        <v>24</v>
      </c>
      <c r="AJ181" s="223" t="s">
        <v>41</v>
      </c>
      <c r="AK181" s="504" t="s">
        <v>61</v>
      </c>
      <c r="AL181" s="504"/>
      <c r="AM181" s="506" t="s">
        <v>1279</v>
      </c>
      <c r="AN181" s="506" t="s">
        <v>768</v>
      </c>
      <c r="AO181" s="506" t="s">
        <v>24</v>
      </c>
      <c r="AP181" s="223" t="s">
        <v>41</v>
      </c>
      <c r="AQ181" s="508" t="s">
        <v>61</v>
      </c>
      <c r="AS181" s="732" t="s">
        <v>1279</v>
      </c>
      <c r="AT181" s="733" t="s">
        <v>768</v>
      </c>
      <c r="AU181" s="733" t="s">
        <v>24</v>
      </c>
      <c r="AV181" s="733" t="s">
        <v>1279</v>
      </c>
      <c r="AW181" s="733" t="s">
        <v>768</v>
      </c>
      <c r="AX181" s="733" t="s">
        <v>24</v>
      </c>
      <c r="AY181" s="733" t="s">
        <v>1279</v>
      </c>
      <c r="AZ181" s="733" t="s">
        <v>768</v>
      </c>
      <c r="BA181" s="733" t="s">
        <v>24</v>
      </c>
      <c r="BB181" s="733" t="s">
        <v>1279</v>
      </c>
      <c r="BC181" s="733" t="s">
        <v>768</v>
      </c>
      <c r="BD181" s="733" t="s">
        <v>24</v>
      </c>
      <c r="BE181" s="734" t="s">
        <v>1279</v>
      </c>
      <c r="BF181" s="734" t="s">
        <v>768</v>
      </c>
      <c r="BG181" s="735" t="s">
        <v>24</v>
      </c>
      <c r="BH181" s="732" t="s">
        <v>1279</v>
      </c>
      <c r="BI181" s="733" t="s">
        <v>768</v>
      </c>
      <c r="BJ181" s="736" t="s">
        <v>24</v>
      </c>
    </row>
    <row r="182" spans="2:62" ht="12.75" customHeight="1" outlineLevel="1" x14ac:dyDescent="0.2">
      <c r="B182" s="200" t="s">
        <v>1460</v>
      </c>
      <c r="C182" s="553"/>
      <c r="D182" s="262">
        <f>SUM(K182:M182)</f>
        <v>0</v>
      </c>
      <c r="E182" s="265">
        <f>D182*12/44</f>
        <v>0</v>
      </c>
      <c r="F182" s="559"/>
      <c r="G182" s="182"/>
      <c r="H182" s="493">
        <f>VLOOKUP($B182,'Emissions factors'!$B$1547:$R$1561,2,FALSE)</f>
        <v>0</v>
      </c>
      <c r="I182" s="493">
        <f>VLOOKUP($B182,'Emissions factors'!$B$1547:$R$1561,3,FALSE)</f>
        <v>3.721E-2</v>
      </c>
      <c r="J182" s="493">
        <f>VLOOKUP($B182,'Emissions factors'!$B$1547:$R$1561,4,FALSE)</f>
        <v>0.14426099999999997</v>
      </c>
      <c r="K182" s="465">
        <f>H182*G182</f>
        <v>0</v>
      </c>
      <c r="L182" s="465">
        <f>G182*I182</f>
        <v>0</v>
      </c>
      <c r="M182" s="210">
        <f>G182*J182</f>
        <v>0</v>
      </c>
      <c r="N182" s="222">
        <f>IF(OR(F182='Info utili'!$I$532,F182='Info utili'!$I$537),M182,0)</f>
        <v>0</v>
      </c>
      <c r="W182" s="316"/>
      <c r="X182" s="282">
        <f>VLOOKUP($B182,'Emissions factors'!$B$1547:$R$1561,17,FALSE)</f>
        <v>0.6</v>
      </c>
      <c r="Y182" s="184"/>
      <c r="Z182" s="221">
        <f>K182*SQRT(X182^2+Y182^2)</f>
        <v>0</v>
      </c>
      <c r="AA182" s="221">
        <f>L182*SQRT(X182^2+Y182^2)</f>
        <v>0</v>
      </c>
      <c r="AB182" s="221">
        <f>M182*SQRT(X182^2+Y182^2)</f>
        <v>0</v>
      </c>
      <c r="AC182" s="210">
        <f>SQRT(SUMSQ(Z182:AB182))</f>
        <v>0</v>
      </c>
      <c r="AD182" s="222">
        <f>N182*SQRT(X182^2+Y182^2)</f>
        <v>0</v>
      </c>
      <c r="AF182" s="184"/>
      <c r="AG182" s="221">
        <f t="shared" ref="AG182:AI184" si="36">K182*$AF182</f>
        <v>0</v>
      </c>
      <c r="AH182" s="221">
        <f t="shared" si="36"/>
        <v>0</v>
      </c>
      <c r="AI182" s="221">
        <f t="shared" si="36"/>
        <v>0</v>
      </c>
      <c r="AJ182" s="210">
        <f>SUM(AG182:AI182)</f>
        <v>0</v>
      </c>
      <c r="AK182" s="221">
        <f>N182*AF182</f>
        <v>0</v>
      </c>
      <c r="AL182" s="184"/>
      <c r="AM182" s="221">
        <f>AL182*K182</f>
        <v>0</v>
      </c>
      <c r="AN182" s="221">
        <f>AL182*L182</f>
        <v>0</v>
      </c>
      <c r="AO182" s="221">
        <f>AL182*M182</f>
        <v>0</v>
      </c>
      <c r="AP182" s="210">
        <f>SUM(AM182:AO182)</f>
        <v>0</v>
      </c>
      <c r="AQ182" s="222">
        <f>AL182*N182</f>
        <v>0</v>
      </c>
      <c r="AS182" s="717">
        <f>G182*VLOOKUP($B182,'Emissions factors'!$B$1547:$R$1561,5,FALSE)</f>
        <v>0</v>
      </c>
      <c r="AT182" s="718">
        <f>G182*VLOOKUP($B182,'Emissions factors'!$B$1547:$R$1561,6,FALSE)</f>
        <v>0</v>
      </c>
      <c r="AU182" s="718">
        <f>G182*VLOOKUP($B182,'Emissions factors'!$B$1547:$R$1561,7,FALSE)</f>
        <v>0</v>
      </c>
      <c r="AV182" s="718">
        <f>G182*VLOOKUP($B182,'Emissions factors'!$B$1547:$R$1561,8,FALSE)</f>
        <v>0</v>
      </c>
      <c r="AW182" s="718">
        <f>G182*VLOOKUP($B182,'Emissions factors'!$B$1547:$R$1561,9,FALSE)</f>
        <v>0</v>
      </c>
      <c r="AX182" s="718">
        <f>G182*VLOOKUP($B182,'Emissions factors'!$B$1547:$R$1561,10,FALSE)</f>
        <v>0</v>
      </c>
      <c r="AY182" s="718">
        <f>G182*VLOOKUP($B182,'Emissions factors'!$B$1547:$R$1561,11,FALSE)</f>
        <v>0</v>
      </c>
      <c r="AZ182" s="718">
        <f>G182*VLOOKUP($B182,'Emissions factors'!$B$1547:$R$1561,12,FALSE)</f>
        <v>0</v>
      </c>
      <c r="BA182" s="718">
        <f>G182*VLOOKUP($B182,'Emissions factors'!$B$1547:$R$1561,13,FALSE)</f>
        <v>0</v>
      </c>
      <c r="BB182" s="718">
        <v>0</v>
      </c>
      <c r="BC182" s="718">
        <v>0</v>
      </c>
      <c r="BD182" s="718">
        <v>0</v>
      </c>
      <c r="BE182" s="719">
        <f t="shared" ref="BE182:BG184" si="37">K182</f>
        <v>0</v>
      </c>
      <c r="BF182" s="719">
        <f t="shared" si="37"/>
        <v>0</v>
      </c>
      <c r="BG182" s="720">
        <f t="shared" si="37"/>
        <v>0</v>
      </c>
      <c r="BH182" s="717">
        <f>G182*VLOOKUP($B182,'Emissions factors'!$B$1547:$R$1561,14,FALSE)</f>
        <v>0</v>
      </c>
      <c r="BI182" s="718">
        <f>G182*VLOOKUP($B182,'Emissions factors'!$B$1547:$R$1561,15,FALSE)</f>
        <v>0</v>
      </c>
      <c r="BJ182" s="721">
        <f>G182*VLOOKUP($B182,'Emissions factors'!$B$1547:$R$1561,16,FALSE)</f>
        <v>0</v>
      </c>
    </row>
    <row r="183" spans="2:62" ht="12.75" customHeight="1" outlineLevel="1" x14ac:dyDescent="0.2">
      <c r="B183" s="200" t="s">
        <v>1461</v>
      </c>
      <c r="C183" s="553"/>
      <c r="D183" s="262">
        <f>SUM(K183:M183)</f>
        <v>0</v>
      </c>
      <c r="E183" s="265">
        <f>D183*12/44</f>
        <v>0</v>
      </c>
      <c r="F183" s="442"/>
      <c r="G183" s="185"/>
      <c r="H183" s="493">
        <f>VLOOKUP($B183,'Emissions factors'!$B$1547:$R$1561,2,FALSE)</f>
        <v>0</v>
      </c>
      <c r="I183" s="493">
        <f>VLOOKUP($B183,'Emissions factors'!$B$1547:$R$1561,3,FALSE)</f>
        <v>3.3820000000000003E-2</v>
      </c>
      <c r="J183" s="493">
        <f>VLOOKUP($B183,'Emissions factors'!$B$1547:$R$1561,4,FALSE)</f>
        <v>0.13321300000000003</v>
      </c>
      <c r="K183" s="465">
        <f>H183*G183</f>
        <v>0</v>
      </c>
      <c r="L183" s="465">
        <f>G183*I183</f>
        <v>0</v>
      </c>
      <c r="M183" s="210">
        <f>G183*J183</f>
        <v>0</v>
      </c>
      <c r="N183" s="222">
        <f>IF(OR(F183='Info utili'!$I$532,F183='Info utili'!$I$537),M183,0)</f>
        <v>0</v>
      </c>
      <c r="W183" s="316"/>
      <c r="X183" s="282">
        <f>VLOOKUP($B183,'Emissions factors'!$B$1547:$R$1561,17,FALSE)</f>
        <v>0.6</v>
      </c>
      <c r="Y183" s="187"/>
      <c r="Z183" s="221">
        <f>K183*SQRT(X183^2+Y183^2)</f>
        <v>0</v>
      </c>
      <c r="AA183" s="221">
        <f>L183*SQRT(X183^2+Y183^2)</f>
        <v>0</v>
      </c>
      <c r="AB183" s="221">
        <f>M183*SQRT(X183^2+Y183^2)</f>
        <v>0</v>
      </c>
      <c r="AC183" s="210">
        <f>SQRT(SUMSQ(Z183:AB183))</f>
        <v>0</v>
      </c>
      <c r="AD183" s="222">
        <f>N183*SQRT(X183^2+Y183^2)</f>
        <v>0</v>
      </c>
      <c r="AF183" s="187"/>
      <c r="AG183" s="221">
        <f t="shared" si="36"/>
        <v>0</v>
      </c>
      <c r="AH183" s="221">
        <f t="shared" si="36"/>
        <v>0</v>
      </c>
      <c r="AI183" s="221">
        <f t="shared" si="36"/>
        <v>0</v>
      </c>
      <c r="AJ183" s="210">
        <f>SUM(AG183:AI183)</f>
        <v>0</v>
      </c>
      <c r="AK183" s="221">
        <f>N183*AF183</f>
        <v>0</v>
      </c>
      <c r="AL183" s="187"/>
      <c r="AM183" s="221">
        <f>AL183*K183</f>
        <v>0</v>
      </c>
      <c r="AN183" s="221">
        <f>AL183*L183</f>
        <v>0</v>
      </c>
      <c r="AO183" s="221">
        <f>AL183*M183</f>
        <v>0</v>
      </c>
      <c r="AP183" s="210">
        <f>SUM(AM183:AO183)</f>
        <v>0</v>
      </c>
      <c r="AQ183" s="222">
        <f>AL183*N183</f>
        <v>0</v>
      </c>
      <c r="AS183" s="717">
        <f>G183*VLOOKUP($B183,'Emissions factors'!$B$1547:$R$1561,5,FALSE)</f>
        <v>0</v>
      </c>
      <c r="AT183" s="718">
        <f>G183*VLOOKUP($B183,'Emissions factors'!$B$1547:$R$1561,6,FALSE)</f>
        <v>0</v>
      </c>
      <c r="AU183" s="718">
        <f>G183*VLOOKUP($B183,'Emissions factors'!$B$1547:$R$1561,7,FALSE)</f>
        <v>0</v>
      </c>
      <c r="AV183" s="718">
        <f>G183*VLOOKUP($B183,'Emissions factors'!$B$1547:$R$1561,8,FALSE)</f>
        <v>0</v>
      </c>
      <c r="AW183" s="718">
        <f>G183*VLOOKUP($B183,'Emissions factors'!$B$1547:$R$1561,9,FALSE)</f>
        <v>0</v>
      </c>
      <c r="AX183" s="718">
        <f>G183*VLOOKUP($B183,'Emissions factors'!$B$1547:$R$1561,10,FALSE)</f>
        <v>0</v>
      </c>
      <c r="AY183" s="718">
        <f>G183*VLOOKUP($B183,'Emissions factors'!$B$1547:$R$1561,11,FALSE)</f>
        <v>0</v>
      </c>
      <c r="AZ183" s="718">
        <f>G183*VLOOKUP($B183,'Emissions factors'!$B$1547:$R$1561,12,FALSE)</f>
        <v>0</v>
      </c>
      <c r="BA183" s="718">
        <f>G183*VLOOKUP($B183,'Emissions factors'!$B$1547:$R$1561,13,FALSE)</f>
        <v>0</v>
      </c>
      <c r="BB183" s="718">
        <v>0</v>
      </c>
      <c r="BC183" s="718">
        <v>0</v>
      </c>
      <c r="BD183" s="718">
        <v>0</v>
      </c>
      <c r="BE183" s="719">
        <f t="shared" si="37"/>
        <v>0</v>
      </c>
      <c r="BF183" s="719">
        <f t="shared" si="37"/>
        <v>0</v>
      </c>
      <c r="BG183" s="720">
        <f t="shared" si="37"/>
        <v>0</v>
      </c>
      <c r="BH183" s="717">
        <f>G183*VLOOKUP($B183,'Emissions factors'!$B$1547:$R$1561,14,FALSE)</f>
        <v>0</v>
      </c>
      <c r="BI183" s="718">
        <f>G183*VLOOKUP($B183,'Emissions factors'!$B$1547:$R$1561,15,FALSE)</f>
        <v>0</v>
      </c>
      <c r="BJ183" s="721">
        <f>G183*VLOOKUP($B183,'Emissions factors'!$B$1547:$R$1561,16,FALSE)</f>
        <v>0</v>
      </c>
    </row>
    <row r="184" spans="2:62" ht="12.75" customHeight="1" outlineLevel="1" x14ac:dyDescent="0.2">
      <c r="B184" s="200" t="s">
        <v>1462</v>
      </c>
      <c r="C184" s="553"/>
      <c r="D184" s="262">
        <f>SUM(K184:M184)</f>
        <v>0</v>
      </c>
      <c r="E184" s="265">
        <f>D184*12/44</f>
        <v>0</v>
      </c>
      <c r="F184" s="443"/>
      <c r="G184" s="188"/>
      <c r="H184" s="493">
        <f>VLOOKUP($B184,'Emissions factors'!$B$1547:$R$1561,2,FALSE)</f>
        <v>0</v>
      </c>
      <c r="I184" s="493">
        <f>VLOOKUP($B184,'Emissions factors'!$B$1547:$R$1561,3,FALSE)</f>
        <v>3.1E-2</v>
      </c>
      <c r="J184" s="493">
        <f>VLOOKUP($B184,'Emissions factors'!$B$1547:$R$1561,4,FALSE)</f>
        <v>0.12315960000000001</v>
      </c>
      <c r="K184" s="465">
        <f>H184*G184</f>
        <v>0</v>
      </c>
      <c r="L184" s="465">
        <f>G184*I184</f>
        <v>0</v>
      </c>
      <c r="M184" s="210">
        <f>G184*J184</f>
        <v>0</v>
      </c>
      <c r="N184" s="222">
        <f>IF(OR(F184='Info utili'!$I$532,F184='Info utili'!$I$537),M184,0)</f>
        <v>0</v>
      </c>
      <c r="W184" s="316"/>
      <c r="X184" s="282">
        <f>VLOOKUP($B184,'Emissions factors'!$B$1547:$R$1561,17,FALSE)</f>
        <v>0.6</v>
      </c>
      <c r="Y184" s="190"/>
      <c r="Z184" s="221">
        <f>K184*SQRT(X184^2+Y184^2)</f>
        <v>0</v>
      </c>
      <c r="AA184" s="221">
        <f>L184*SQRT(X184^2+Y184^2)</f>
        <v>0</v>
      </c>
      <c r="AB184" s="221">
        <f>M184*SQRT(X184^2+Y184^2)</f>
        <v>0</v>
      </c>
      <c r="AC184" s="210">
        <f>SQRT(SUMSQ(Z184:AB184))</f>
        <v>0</v>
      </c>
      <c r="AD184" s="222">
        <f>N184*SQRT(X184^2+Y184^2)</f>
        <v>0</v>
      </c>
      <c r="AF184" s="190"/>
      <c r="AG184" s="221">
        <f t="shared" si="36"/>
        <v>0</v>
      </c>
      <c r="AH184" s="221">
        <f t="shared" si="36"/>
        <v>0</v>
      </c>
      <c r="AI184" s="221">
        <f t="shared" si="36"/>
        <v>0</v>
      </c>
      <c r="AJ184" s="210">
        <f>SUM(AG184:AI184)</f>
        <v>0</v>
      </c>
      <c r="AK184" s="221">
        <f>N184*AF184</f>
        <v>0</v>
      </c>
      <c r="AL184" s="190"/>
      <c r="AM184" s="221">
        <f>AL184*K184</f>
        <v>0</v>
      </c>
      <c r="AN184" s="221">
        <f>AL184*L184</f>
        <v>0</v>
      </c>
      <c r="AO184" s="221">
        <f>AL184*M184</f>
        <v>0</v>
      </c>
      <c r="AP184" s="210">
        <f>SUM(AM184:AO184)</f>
        <v>0</v>
      </c>
      <c r="AQ184" s="222">
        <f>AL184*N184</f>
        <v>0</v>
      </c>
      <c r="AS184" s="717">
        <f>G184*VLOOKUP($B184,'Emissions factors'!$B$1547:$R$1561,5,FALSE)</f>
        <v>0</v>
      </c>
      <c r="AT184" s="718">
        <f>G184*VLOOKUP($B184,'Emissions factors'!$B$1547:$R$1561,6,FALSE)</f>
        <v>0</v>
      </c>
      <c r="AU184" s="718">
        <f>G184*VLOOKUP($B184,'Emissions factors'!$B$1547:$R$1561,7,FALSE)</f>
        <v>0</v>
      </c>
      <c r="AV184" s="718">
        <f>G184*VLOOKUP($B184,'Emissions factors'!$B$1547:$R$1561,8,FALSE)</f>
        <v>0</v>
      </c>
      <c r="AW184" s="718">
        <f>G184*VLOOKUP($B184,'Emissions factors'!$B$1547:$R$1561,9,FALSE)</f>
        <v>0</v>
      </c>
      <c r="AX184" s="718">
        <f>G184*VLOOKUP($B184,'Emissions factors'!$B$1547:$R$1561,10,FALSE)</f>
        <v>0</v>
      </c>
      <c r="AY184" s="718">
        <f>G184*VLOOKUP($B184,'Emissions factors'!$B$1547:$R$1561,11,FALSE)</f>
        <v>0</v>
      </c>
      <c r="AZ184" s="718">
        <f>G184*VLOOKUP($B184,'Emissions factors'!$B$1547:$R$1561,12,FALSE)</f>
        <v>0</v>
      </c>
      <c r="BA184" s="718">
        <f>G184*VLOOKUP($B184,'Emissions factors'!$B$1547:$R$1561,13,FALSE)</f>
        <v>0</v>
      </c>
      <c r="BB184" s="718">
        <v>0</v>
      </c>
      <c r="BC184" s="718">
        <v>0</v>
      </c>
      <c r="BD184" s="718">
        <v>0</v>
      </c>
      <c r="BE184" s="719">
        <f t="shared" si="37"/>
        <v>0</v>
      </c>
      <c r="BF184" s="719">
        <f t="shared" si="37"/>
        <v>0</v>
      </c>
      <c r="BG184" s="720">
        <f t="shared" si="37"/>
        <v>0</v>
      </c>
      <c r="BH184" s="717">
        <f>G184*VLOOKUP($B184,'Emissions factors'!$B$1547:$R$1561,14,FALSE)</f>
        <v>0</v>
      </c>
      <c r="BI184" s="718">
        <f>G184*VLOOKUP($B184,'Emissions factors'!$B$1547:$R$1561,15,FALSE)</f>
        <v>0</v>
      </c>
      <c r="BJ184" s="721">
        <f>G184*VLOOKUP($B184,'Emissions factors'!$B$1547:$R$1561,16,FALSE)</f>
        <v>0</v>
      </c>
    </row>
    <row r="185" spans="2:62" ht="12.75" customHeight="1" outlineLevel="1" x14ac:dyDescent="0.2">
      <c r="B185" s="200"/>
      <c r="C185" s="201"/>
      <c r="D185" s="275"/>
      <c r="E185" s="268"/>
      <c r="F185" s="201"/>
      <c r="G185" s="201"/>
      <c r="H185" s="201"/>
      <c r="I185" s="201"/>
      <c r="J185" s="201"/>
      <c r="K185" s="201"/>
      <c r="L185" s="201"/>
      <c r="M185" s="221"/>
      <c r="N185" s="466"/>
      <c r="W185" s="316"/>
      <c r="X185" s="200"/>
      <c r="Y185" s="221"/>
      <c r="Z185" s="201"/>
      <c r="AA185" s="201"/>
      <c r="AB185" s="201"/>
      <c r="AC185" s="210"/>
      <c r="AD185" s="211"/>
      <c r="AF185" s="480"/>
      <c r="AG185" s="221"/>
      <c r="AH185" s="221"/>
      <c r="AI185" s="221"/>
      <c r="AJ185" s="413"/>
      <c r="AK185" s="221"/>
      <c r="AL185" s="221"/>
      <c r="AM185" s="221"/>
      <c r="AN185" s="221"/>
      <c r="AO185" s="221"/>
      <c r="AP185" s="413"/>
      <c r="AQ185" s="222">
        <f>AL185*N185</f>
        <v>0</v>
      </c>
      <c r="AS185" s="717"/>
      <c r="AT185" s="718"/>
      <c r="AU185" s="718"/>
      <c r="AV185" s="718"/>
      <c r="AW185" s="718"/>
      <c r="AX185" s="718"/>
      <c r="AY185" s="718"/>
      <c r="AZ185" s="718"/>
      <c r="BA185" s="718"/>
      <c r="BB185" s="718"/>
      <c r="BC185" s="718"/>
      <c r="BD185" s="718"/>
      <c r="BE185" s="719"/>
      <c r="BF185" s="719"/>
      <c r="BG185" s="720"/>
      <c r="BH185" s="722"/>
      <c r="BI185" s="786"/>
      <c r="BJ185" s="723"/>
    </row>
    <row r="186" spans="2:62" ht="12.75" customHeight="1" outlineLevel="1" x14ac:dyDescent="0.2">
      <c r="B186" s="253" t="s">
        <v>2828</v>
      </c>
      <c r="C186" s="254"/>
      <c r="D186" s="264">
        <f>SUM(D182:D185)</f>
        <v>0</v>
      </c>
      <c r="E186" s="267">
        <f>SUM(E182:E185)</f>
        <v>0</v>
      </c>
      <c r="F186" s="254"/>
      <c r="G186" s="254"/>
      <c r="H186" s="254"/>
      <c r="I186" s="254"/>
      <c r="J186" s="254"/>
      <c r="K186" s="259">
        <f>SUM(K182:K185)</f>
        <v>0</v>
      </c>
      <c r="L186" s="259">
        <f>SUM(L182:L185)</f>
        <v>0</v>
      </c>
      <c r="M186" s="259">
        <f>SUM(M182:M185)</f>
        <v>0</v>
      </c>
      <c r="N186" s="428">
        <f>SUM(N182:N185)</f>
        <v>0</v>
      </c>
      <c r="W186" s="316"/>
      <c r="X186" s="258"/>
      <c r="Y186" s="260"/>
      <c r="Z186" s="260">
        <f>SQRT(SUMSQ(Z181:Z185))</f>
        <v>0</v>
      </c>
      <c r="AA186" s="260">
        <f>SQRT(SUMSQ(AA181:AA185))</f>
        <v>0</v>
      </c>
      <c r="AB186" s="260">
        <f>SQRT(SUMSQ(AB181:AB185))</f>
        <v>0</v>
      </c>
      <c r="AC186" s="259">
        <f>SQRT(SUMSQ(AC181:AC185))</f>
        <v>0</v>
      </c>
      <c r="AD186" s="428">
        <f>SQRT(SUMSQ(AD181:AD185))</f>
        <v>0</v>
      </c>
      <c r="AF186" s="489"/>
      <c r="AG186" s="260">
        <f>SUM(AG182:AG185)</f>
        <v>0</v>
      </c>
      <c r="AH186" s="260">
        <f>SUM(AH182:AH185)</f>
        <v>0</v>
      </c>
      <c r="AI186" s="260">
        <f>SUM(AI182:AI185)</f>
        <v>0</v>
      </c>
      <c r="AJ186" s="259">
        <f>SUM(AJ182:AJ185)</f>
        <v>0</v>
      </c>
      <c r="AK186" s="260">
        <f>SUM(AK182:AK185)</f>
        <v>0</v>
      </c>
      <c r="AL186" s="259"/>
      <c r="AM186" s="260">
        <f>SUM(AM182:AM185)</f>
        <v>0</v>
      </c>
      <c r="AN186" s="260">
        <f>SUM(AN182:AN185)</f>
        <v>0</v>
      </c>
      <c r="AO186" s="260">
        <f>SUM(AO182:AO185)</f>
        <v>0</v>
      </c>
      <c r="AP186" s="259">
        <f>SUM(AP182:AP185)</f>
        <v>0</v>
      </c>
      <c r="AQ186" s="428">
        <f>SUM(AQ182:AQ185)</f>
        <v>0</v>
      </c>
      <c r="AS186" s="724">
        <f t="shared" ref="AS186:BJ186" si="38">SUM(AS182:AS185)</f>
        <v>0</v>
      </c>
      <c r="AT186" s="725">
        <f t="shared" si="38"/>
        <v>0</v>
      </c>
      <c r="AU186" s="725">
        <f t="shared" si="38"/>
        <v>0</v>
      </c>
      <c r="AV186" s="725">
        <f t="shared" si="38"/>
        <v>0</v>
      </c>
      <c r="AW186" s="725">
        <f t="shared" si="38"/>
        <v>0</v>
      </c>
      <c r="AX186" s="725">
        <f t="shared" si="38"/>
        <v>0</v>
      </c>
      <c r="AY186" s="725">
        <f t="shared" si="38"/>
        <v>0</v>
      </c>
      <c r="AZ186" s="725">
        <f t="shared" si="38"/>
        <v>0</v>
      </c>
      <c r="BA186" s="725">
        <f t="shared" si="38"/>
        <v>0</v>
      </c>
      <c r="BB186" s="725">
        <f t="shared" si="38"/>
        <v>0</v>
      </c>
      <c r="BC186" s="725">
        <f t="shared" si="38"/>
        <v>0</v>
      </c>
      <c r="BD186" s="725">
        <f t="shared" si="38"/>
        <v>0</v>
      </c>
      <c r="BE186" s="726">
        <f t="shared" si="38"/>
        <v>0</v>
      </c>
      <c r="BF186" s="726">
        <f t="shared" si="38"/>
        <v>0</v>
      </c>
      <c r="BG186" s="727">
        <f t="shared" si="38"/>
        <v>0</v>
      </c>
      <c r="BH186" s="724">
        <f t="shared" si="38"/>
        <v>0</v>
      </c>
      <c r="BI186" s="725">
        <f t="shared" si="38"/>
        <v>0</v>
      </c>
      <c r="BJ186" s="728">
        <f t="shared" si="38"/>
        <v>0</v>
      </c>
    </row>
    <row r="187" spans="2:62" ht="12.75" customHeight="1" outlineLevel="1" x14ac:dyDescent="0.2">
      <c r="D187" s="316"/>
      <c r="E187" s="316"/>
    </row>
    <row r="188" spans="2:62" ht="12.75" customHeight="1" outlineLevel="1" x14ac:dyDescent="0.2">
      <c r="B188" s="195" t="s">
        <v>2942</v>
      </c>
      <c r="C188" s="196"/>
      <c r="D188" s="196"/>
      <c r="E188" s="196"/>
      <c r="F188" s="196"/>
      <c r="G188" s="198"/>
      <c r="H188" s="196"/>
      <c r="I188" s="196"/>
      <c r="J188" s="196"/>
      <c r="K188" s="198"/>
      <c r="L188" s="196"/>
      <c r="M188" s="196"/>
      <c r="N188" s="196"/>
      <c r="O188" s="198"/>
      <c r="P188" s="198"/>
      <c r="Q188" s="198"/>
      <c r="R188" s="199"/>
      <c r="X188" s="1746" t="s">
        <v>723</v>
      </c>
      <c r="Y188" s="1747"/>
      <c r="Z188" s="1747"/>
      <c r="AA188" s="1747"/>
      <c r="AB188" s="1747"/>
      <c r="AC188" s="1747"/>
      <c r="AD188" s="1748"/>
      <c r="AF188" s="1746" t="s">
        <v>2066</v>
      </c>
      <c r="AG188" s="1747"/>
      <c r="AH188" s="1747"/>
      <c r="AI188" s="1747"/>
      <c r="AJ188" s="1747"/>
      <c r="AK188" s="1747"/>
      <c r="AL188" s="1747"/>
      <c r="AM188" s="1747"/>
      <c r="AN188" s="1747"/>
      <c r="AO188" s="1747"/>
      <c r="AP188" s="1747"/>
      <c r="AQ188" s="1748"/>
      <c r="AS188" s="1755" t="s">
        <v>2073</v>
      </c>
      <c r="AT188" s="1756"/>
      <c r="AU188" s="1756"/>
      <c r="AV188" s="1756"/>
      <c r="AW188" s="1756"/>
      <c r="AX188" s="1756"/>
      <c r="AY188" s="1756"/>
      <c r="AZ188" s="1756"/>
      <c r="BA188" s="1756"/>
      <c r="BB188" s="1756"/>
      <c r="BC188" s="1756"/>
      <c r="BD188" s="1756"/>
      <c r="BE188" s="1756"/>
      <c r="BF188" s="1756"/>
      <c r="BG188" s="1756"/>
      <c r="BH188" s="1756"/>
      <c r="BI188" s="1756"/>
      <c r="BJ188" s="1757"/>
    </row>
    <row r="189" spans="2:62" ht="12.75" customHeight="1" outlineLevel="1" x14ac:dyDescent="0.2">
      <c r="B189" s="417"/>
      <c r="C189" s="225"/>
      <c r="D189" s="503" t="s">
        <v>2052</v>
      </c>
      <c r="E189" s="503" t="s">
        <v>2052</v>
      </c>
      <c r="F189" s="201"/>
      <c r="G189" s="201"/>
      <c r="H189" s="225"/>
      <c r="I189" s="225"/>
      <c r="J189" s="225"/>
      <c r="K189" s="201"/>
      <c r="L189" s="225"/>
      <c r="M189" s="225"/>
      <c r="N189" s="225"/>
      <c r="O189" s="201"/>
      <c r="P189" s="1745" t="s">
        <v>2646</v>
      </c>
      <c r="Q189" s="1745"/>
      <c r="R189" s="508" t="s">
        <v>2639</v>
      </c>
      <c r="X189" s="507"/>
      <c r="Y189" s="504"/>
      <c r="Z189" s="504"/>
      <c r="AA189" s="504"/>
      <c r="AB189" s="504"/>
      <c r="AC189" s="504"/>
      <c r="AD189" s="508" t="s">
        <v>2639</v>
      </c>
      <c r="AE189" s="42"/>
      <c r="AF189" s="216"/>
      <c r="AG189" s="503"/>
      <c r="AH189" s="503"/>
      <c r="AI189" s="503"/>
      <c r="AJ189" s="504"/>
      <c r="AK189" s="504" t="s">
        <v>2639</v>
      </c>
      <c r="AL189" s="217"/>
      <c r="AM189" s="503"/>
      <c r="AN189" s="503"/>
      <c r="AO189" s="503"/>
      <c r="AP189" s="504"/>
      <c r="AQ189" s="508" t="s">
        <v>2639</v>
      </c>
      <c r="AS189" s="1758" t="s">
        <v>61</v>
      </c>
      <c r="AT189" s="1759"/>
      <c r="AU189" s="1759"/>
      <c r="AV189" s="1759"/>
      <c r="AW189" s="1759"/>
      <c r="AX189" s="1759"/>
      <c r="AY189" s="1759"/>
      <c r="AZ189" s="1759"/>
      <c r="BA189" s="1759"/>
      <c r="BB189" s="1759"/>
      <c r="BC189" s="1759"/>
      <c r="BD189" s="1759"/>
      <c r="BE189" s="1759" t="s">
        <v>61</v>
      </c>
      <c r="BF189" s="1759"/>
      <c r="BG189" s="1760"/>
      <c r="BH189" s="730"/>
      <c r="BI189" s="785"/>
      <c r="BJ189" s="731"/>
    </row>
    <row r="190" spans="2:62" ht="12.75" customHeight="1" outlineLevel="1" x14ac:dyDescent="0.2">
      <c r="B190" s="200"/>
      <c r="C190" s="201"/>
      <c r="D190" s="504" t="s">
        <v>56</v>
      </c>
      <c r="E190" s="504" t="s">
        <v>56</v>
      </c>
      <c r="F190" s="205" t="s">
        <v>2669</v>
      </c>
      <c r="G190" s="205"/>
      <c r="H190" s="1744" t="s">
        <v>2538</v>
      </c>
      <c r="I190" s="1745"/>
      <c r="J190" s="1835"/>
      <c r="K190" s="205"/>
      <c r="L190" s="1744" t="s">
        <v>2539</v>
      </c>
      <c r="M190" s="1745"/>
      <c r="N190" s="1745"/>
      <c r="O190" s="699" t="s">
        <v>61</v>
      </c>
      <c r="P190" s="699" t="s">
        <v>61</v>
      </c>
      <c r="Q190" s="699" t="s">
        <v>61</v>
      </c>
      <c r="R190" s="702" t="s">
        <v>30</v>
      </c>
      <c r="X190" s="1633" t="s">
        <v>2605</v>
      </c>
      <c r="Y190" s="504" t="s">
        <v>2110</v>
      </c>
      <c r="Z190" s="504" t="s">
        <v>61</v>
      </c>
      <c r="AA190" s="504" t="s">
        <v>61</v>
      </c>
      <c r="AB190" s="504" t="s">
        <v>61</v>
      </c>
      <c r="AC190" s="503" t="s">
        <v>61</v>
      </c>
      <c r="AD190" s="508" t="s">
        <v>30</v>
      </c>
      <c r="AE190" s="42"/>
      <c r="AF190" s="507" t="s">
        <v>2065</v>
      </c>
      <c r="AG190" s="504" t="s">
        <v>61</v>
      </c>
      <c r="AH190" s="504" t="s">
        <v>61</v>
      </c>
      <c r="AI190" s="504" t="s">
        <v>61</v>
      </c>
      <c r="AJ190" s="503" t="s">
        <v>61</v>
      </c>
      <c r="AK190" s="504" t="s">
        <v>30</v>
      </c>
      <c r="AL190" s="504" t="s">
        <v>2558</v>
      </c>
      <c r="AM190" s="504" t="s">
        <v>61</v>
      </c>
      <c r="AN190" s="504" t="s">
        <v>61</v>
      </c>
      <c r="AO190" s="504" t="s">
        <v>61</v>
      </c>
      <c r="AP190" s="503" t="s">
        <v>61</v>
      </c>
      <c r="AQ190" s="508" t="s">
        <v>30</v>
      </c>
      <c r="AS190" s="1764" t="s">
        <v>14</v>
      </c>
      <c r="AT190" s="1761"/>
      <c r="AU190" s="1761"/>
      <c r="AV190" s="1761" t="s">
        <v>60</v>
      </c>
      <c r="AW190" s="1761"/>
      <c r="AX190" s="1761"/>
      <c r="AY190" s="1761" t="s">
        <v>27</v>
      </c>
      <c r="AZ190" s="1761"/>
      <c r="BA190" s="1761"/>
      <c r="BB190" s="1761" t="s">
        <v>2074</v>
      </c>
      <c r="BC190" s="1761"/>
      <c r="BD190" s="1761"/>
      <c r="BE190" s="1762" t="s">
        <v>41</v>
      </c>
      <c r="BF190" s="1762"/>
      <c r="BG190" s="1763"/>
      <c r="BH190" s="1764" t="s">
        <v>85</v>
      </c>
      <c r="BI190" s="1761"/>
      <c r="BJ190" s="1765"/>
    </row>
    <row r="191" spans="2:62" ht="12.75" customHeight="1" outlineLevel="1" x14ac:dyDescent="0.2">
      <c r="B191" s="200"/>
      <c r="C191" s="201"/>
      <c r="D191" s="504" t="s">
        <v>61</v>
      </c>
      <c r="E191" s="504" t="s">
        <v>63</v>
      </c>
      <c r="F191" s="208" t="s">
        <v>2054</v>
      </c>
      <c r="G191" s="208" t="s">
        <v>88</v>
      </c>
      <c r="H191" s="701" t="s">
        <v>1279</v>
      </c>
      <c r="I191" s="701" t="s">
        <v>768</v>
      </c>
      <c r="J191" s="701" t="s">
        <v>24</v>
      </c>
      <c r="K191" s="208" t="s">
        <v>89</v>
      </c>
      <c r="L191" s="701" t="s">
        <v>1279</v>
      </c>
      <c r="M191" s="701" t="s">
        <v>768</v>
      </c>
      <c r="N191" s="701" t="s">
        <v>24</v>
      </c>
      <c r="O191" s="700" t="s">
        <v>1279</v>
      </c>
      <c r="P191" s="700" t="s">
        <v>768</v>
      </c>
      <c r="Q191" s="700" t="s">
        <v>24</v>
      </c>
      <c r="R191" s="702" t="s">
        <v>61</v>
      </c>
      <c r="X191" s="1633" t="s">
        <v>2109</v>
      </c>
      <c r="Y191" s="504"/>
      <c r="Z191" s="506" t="s">
        <v>1279</v>
      </c>
      <c r="AA191" s="506" t="s">
        <v>768</v>
      </c>
      <c r="AB191" s="506" t="s">
        <v>24</v>
      </c>
      <c r="AC191" s="223" t="s">
        <v>41</v>
      </c>
      <c r="AD191" s="508" t="s">
        <v>61</v>
      </c>
      <c r="AE191" s="42"/>
      <c r="AF191" s="507"/>
      <c r="AG191" s="506" t="s">
        <v>1279</v>
      </c>
      <c r="AH191" s="506" t="s">
        <v>768</v>
      </c>
      <c r="AI191" s="506" t="s">
        <v>24</v>
      </c>
      <c r="AJ191" s="223" t="s">
        <v>41</v>
      </c>
      <c r="AK191" s="504" t="s">
        <v>61</v>
      </c>
      <c r="AL191" s="504"/>
      <c r="AM191" s="506" t="s">
        <v>1279</v>
      </c>
      <c r="AN191" s="506" t="s">
        <v>768</v>
      </c>
      <c r="AO191" s="506" t="s">
        <v>24</v>
      </c>
      <c r="AP191" s="223" t="s">
        <v>41</v>
      </c>
      <c r="AQ191" s="508" t="s">
        <v>61</v>
      </c>
      <c r="AS191" s="732" t="s">
        <v>1279</v>
      </c>
      <c r="AT191" s="733" t="s">
        <v>768</v>
      </c>
      <c r="AU191" s="733" t="s">
        <v>24</v>
      </c>
      <c r="AV191" s="733" t="s">
        <v>1279</v>
      </c>
      <c r="AW191" s="733" t="s">
        <v>768</v>
      </c>
      <c r="AX191" s="733" t="s">
        <v>24</v>
      </c>
      <c r="AY191" s="733" t="s">
        <v>1279</v>
      </c>
      <c r="AZ191" s="733" t="s">
        <v>768</v>
      </c>
      <c r="BA191" s="733" t="s">
        <v>24</v>
      </c>
      <c r="BB191" s="733" t="s">
        <v>1279</v>
      </c>
      <c r="BC191" s="733" t="s">
        <v>768</v>
      </c>
      <c r="BD191" s="733" t="s">
        <v>24</v>
      </c>
      <c r="BE191" s="734" t="s">
        <v>1279</v>
      </c>
      <c r="BF191" s="734" t="s">
        <v>768</v>
      </c>
      <c r="BG191" s="735" t="s">
        <v>24</v>
      </c>
      <c r="BH191" s="732" t="s">
        <v>1279</v>
      </c>
      <c r="BI191" s="733" t="s">
        <v>768</v>
      </c>
      <c r="BJ191" s="736" t="s">
        <v>24</v>
      </c>
    </row>
    <row r="192" spans="2:62" ht="12.75" customHeight="1" outlineLevel="1" x14ac:dyDescent="0.2">
      <c r="B192" s="467" t="s">
        <v>1463</v>
      </c>
      <c r="C192" s="468"/>
      <c r="D192" s="262">
        <f>SUM(O192:Q192)</f>
        <v>0</v>
      </c>
      <c r="E192" s="265">
        <f>D192*12/44</f>
        <v>0</v>
      </c>
      <c r="F192" s="559"/>
      <c r="G192" s="182"/>
      <c r="H192" s="493">
        <f>VLOOKUP($B192,'Emissions factors'!$B$1566:$AG$1580,2,FALSE)</f>
        <v>3.6700000000000003E-2</v>
      </c>
      <c r="I192" s="493">
        <f>VLOOKUP($B192,'Emissions factors'!$B$1566:$AG$1580,3,FALSE)</f>
        <v>3.1981000000000002E-2</v>
      </c>
      <c r="J192" s="493">
        <f>VLOOKUP($B192,'Emissions factors'!$B$1566:$AG$1580,4,FALSE)</f>
        <v>0.13542399999999999</v>
      </c>
      <c r="K192" s="182"/>
      <c r="L192" s="493">
        <f>VLOOKUP($B192,'Emissions factors'!$B$1566:$AG$1580,17,FALSE)</f>
        <v>7.3499999999999996E-2</v>
      </c>
      <c r="M192" s="493">
        <f>VLOOKUP($B192,'Emissions factors'!$B$1566:$AG$1580,18,FALSE)</f>
        <v>6.4049999999999996E-2</v>
      </c>
      <c r="N192" s="493">
        <f>VLOOKUP($B192,'Emissions factors'!$B$1566:$AG$1580,19,FALSE)</f>
        <v>0.27084799999999998</v>
      </c>
      <c r="O192" s="465">
        <f>H192*G192+K192*L192</f>
        <v>0</v>
      </c>
      <c r="P192" s="465">
        <f>I192*G192+K192*M192</f>
        <v>0</v>
      </c>
      <c r="Q192" s="210">
        <f>G192*J192+K192*N192</f>
        <v>0</v>
      </c>
      <c r="R192" s="222">
        <f>IF(OR(F192='Info utili'!$G$532,F192='Info utili'!$G$537),Q192,0)</f>
        <v>0</v>
      </c>
      <c r="X192" s="282">
        <f>VLOOKUP($B192,'Emissions factors'!$B$1566:$AG$1580,32,FALSE)</f>
        <v>0.6</v>
      </c>
      <c r="Y192" s="184"/>
      <c r="Z192" s="221">
        <f>O192*SQRT(X192^2+Y192^2)</f>
        <v>0</v>
      </c>
      <c r="AA192" s="221">
        <f>P192*SQRT(X192^2+Y192^2)</f>
        <v>0</v>
      </c>
      <c r="AB192" s="221">
        <f>Q192*(SQRT(X192^2+Y192^2))</f>
        <v>0</v>
      </c>
      <c r="AC192" s="210">
        <f>SQRT(SUMSQ(Z192:AB192))</f>
        <v>0</v>
      </c>
      <c r="AD192" s="222">
        <f>R192*SQRT(X192^2+Y192^2)</f>
        <v>0</v>
      </c>
      <c r="AF192" s="184"/>
      <c r="AG192" s="221">
        <f t="shared" ref="AG192:AI194" si="39">O192*$AF192</f>
        <v>0</v>
      </c>
      <c r="AH192" s="221">
        <f t="shared" si="39"/>
        <v>0</v>
      </c>
      <c r="AI192" s="221">
        <f t="shared" si="39"/>
        <v>0</v>
      </c>
      <c r="AJ192" s="210">
        <f>SUM(AG192:AI192)</f>
        <v>0</v>
      </c>
      <c r="AK192" s="221">
        <f>R192*$AF192</f>
        <v>0</v>
      </c>
      <c r="AL192" s="184"/>
      <c r="AM192" s="221">
        <f>AL192*O192</f>
        <v>0</v>
      </c>
      <c r="AN192" s="221">
        <f>AL192*P192</f>
        <v>0</v>
      </c>
      <c r="AO192" s="221">
        <f>AL192*Q192</f>
        <v>0</v>
      </c>
      <c r="AP192" s="210">
        <f>SUM(AM192:AO192)</f>
        <v>0</v>
      </c>
      <c r="AQ192" s="222">
        <f>AL192*R192</f>
        <v>0</v>
      </c>
      <c r="AS192" s="717">
        <f>G192*VLOOKUP($B192,'Emissions factors'!$B$1566:$AG$1580,5,FALSE)+K192*VLOOKUP($B192,'Emissions factors'!$B$1566:$AG$1580,20,FALSE)</f>
        <v>0</v>
      </c>
      <c r="AT192" s="718">
        <f>G192*VLOOKUP($B192,'Emissions factors'!$B$1566:$AG$1580,6,FALSE)+K192*VLOOKUP($B192,'Emissions factors'!$B$1566:$AG$1580,21,FALSE)</f>
        <v>0</v>
      </c>
      <c r="AU192" s="718">
        <f>G192*VLOOKUP($B192,'Emissions factors'!$B$1566:$AG$1580,7,FALSE)+K192*VLOOKUP($B192,'Emissions factors'!$B$1566:$AG$1580,22,FALSE)</f>
        <v>0</v>
      </c>
      <c r="AV192" s="718">
        <f>G192*VLOOKUP($B192,'Emissions factors'!$B$1566:$AG$1580,8,FALSE)+K192*VLOOKUP($B192,'Emissions factors'!$B$1566:$AG$1580,23,FALSE)</f>
        <v>0</v>
      </c>
      <c r="AW192" s="718">
        <f>G192*VLOOKUP($B192,'Emissions factors'!$B$1566:$AG$1580,9,FALSE)+K192*VLOOKUP($B192,'Emissions factors'!$B$1566:$AG$1580,24,FALSE)</f>
        <v>0</v>
      </c>
      <c r="AX192" s="718">
        <f>G192*VLOOKUP($B192,'Emissions factors'!$B$1566:$AG$1580,10,FALSE)+K192*VLOOKUP($B192,'Emissions factors'!$B$1566:$AG$1580,25,FALSE)</f>
        <v>0</v>
      </c>
      <c r="AY192" s="718">
        <f>G192*VLOOKUP($B192,'Emissions factors'!$B$1566:$AG$1580,11,FALSE)+K192*VLOOKUP($B192,'Emissions factors'!$B$1566:$AG$1580,26,FALSE)</f>
        <v>0</v>
      </c>
      <c r="AZ192" s="718">
        <f>G192*VLOOKUP($B192,'Emissions factors'!$B$1566:$AG$1580,12,FALSE)+K192*VLOOKUP($B192,'Emissions factors'!$B$1566:$AG$1580,27,FALSE)</f>
        <v>0</v>
      </c>
      <c r="BA192" s="718">
        <f>G192*VLOOKUP($B192,'Emissions factors'!$B$1566:$AG$1580,13,FALSE)+K192*VLOOKUP($B192,'Emissions factors'!$B$1566:$AG$1580,28,FALSE)</f>
        <v>0</v>
      </c>
      <c r="BB192" s="718">
        <v>0</v>
      </c>
      <c r="BC192" s="718">
        <v>0</v>
      </c>
      <c r="BD192" s="718">
        <v>0</v>
      </c>
      <c r="BE192" s="719">
        <f>O192</f>
        <v>0</v>
      </c>
      <c r="BF192" s="719">
        <f>P192</f>
        <v>0</v>
      </c>
      <c r="BG192" s="720">
        <f>Q192</f>
        <v>0</v>
      </c>
      <c r="BH192" s="717">
        <f>G192*VLOOKUP($B192,'Emissions factors'!$B$1566:$AG$1580,14,FALSE)+K192*VLOOKUP($B192,'Emissions factors'!$B$1566:$AG$1580,29,FALSE)</f>
        <v>0</v>
      </c>
      <c r="BI192" s="718">
        <f>G192*VLOOKUP($B192,'Emissions factors'!$B$1566:$AG$1580,15,FALSE)+K192*VLOOKUP($B192,'Emissions factors'!$B$1566:$AG$1580,30,FALSE)</f>
        <v>0</v>
      </c>
      <c r="BJ192" s="721">
        <f>G192*VLOOKUP($B192,'Emissions factors'!$B$1566:$AG$1580,16,FALSE)+K192*VLOOKUP($B192,'Emissions factors'!$B$1566:$AG$1580,31,FALSE)</f>
        <v>0</v>
      </c>
    </row>
    <row r="193" spans="1:62" ht="12.75" customHeight="1" outlineLevel="1" x14ac:dyDescent="0.2">
      <c r="B193" s="467" t="s">
        <v>1463</v>
      </c>
      <c r="C193" s="468"/>
      <c r="D193" s="262">
        <f>SUM(O193:Q193)</f>
        <v>0</v>
      </c>
      <c r="E193" s="265">
        <f>D193*12/44</f>
        <v>0</v>
      </c>
      <c r="F193" s="442"/>
      <c r="G193" s="185"/>
      <c r="H193" s="493">
        <f>VLOOKUP($B193,'Emissions factors'!$B$1566:$AG$1580,2,FALSE)</f>
        <v>3.6700000000000003E-2</v>
      </c>
      <c r="I193" s="493">
        <f>VLOOKUP($B193,'Emissions factors'!$B$1566:$AG$1580,3,FALSE)</f>
        <v>3.1981000000000002E-2</v>
      </c>
      <c r="J193" s="493">
        <f>VLOOKUP($B193,'Emissions factors'!$B$1566:$AG$1580,4,FALSE)</f>
        <v>0.13542399999999999</v>
      </c>
      <c r="K193" s="185"/>
      <c r="L193" s="493">
        <f>VLOOKUP($B193,'Emissions factors'!$B$1566:$AG$1580,17,FALSE)</f>
        <v>7.3499999999999996E-2</v>
      </c>
      <c r="M193" s="493">
        <f>VLOOKUP($B193,'Emissions factors'!$B$1566:$AG$1580,18,FALSE)</f>
        <v>6.4049999999999996E-2</v>
      </c>
      <c r="N193" s="493">
        <f>VLOOKUP($B193,'Emissions factors'!$B$1566:$AG$1580,19,FALSE)</f>
        <v>0.27084799999999998</v>
      </c>
      <c r="O193" s="465">
        <f>H193*G193+K193*L193</f>
        <v>0</v>
      </c>
      <c r="P193" s="465">
        <f>I193*G193+K193*M193</f>
        <v>0</v>
      </c>
      <c r="Q193" s="210">
        <f>G193*J193+K193*N193</f>
        <v>0</v>
      </c>
      <c r="R193" s="222">
        <f>IF(OR(F193='Info utili'!$G$532,F193='Info utili'!$G$537),Q193,0)</f>
        <v>0</v>
      </c>
      <c r="X193" s="282">
        <f>VLOOKUP($B193,'Emissions factors'!$B$1566:$AG$1580,32,FALSE)</f>
        <v>0.6</v>
      </c>
      <c r="Y193" s="187"/>
      <c r="Z193" s="221">
        <f>O193*SQRT(X193^2+Y193^2)</f>
        <v>0</v>
      </c>
      <c r="AA193" s="221">
        <f>P193*SQRT(X193^2+Y193^2)</f>
        <v>0</v>
      </c>
      <c r="AB193" s="221">
        <f>Q193*(SQRT(X193^2+Y193^2))</f>
        <v>0</v>
      </c>
      <c r="AC193" s="210">
        <f>SQRT(SUMSQ(Z193:AB193))</f>
        <v>0</v>
      </c>
      <c r="AD193" s="222">
        <f>R193*SQRT(X193^2+Y193^2)</f>
        <v>0</v>
      </c>
      <c r="AF193" s="187"/>
      <c r="AG193" s="221">
        <f t="shared" si="39"/>
        <v>0</v>
      </c>
      <c r="AH193" s="221">
        <f t="shared" si="39"/>
        <v>0</v>
      </c>
      <c r="AI193" s="221">
        <f t="shared" si="39"/>
        <v>0</v>
      </c>
      <c r="AJ193" s="210">
        <f>SUM(AG193:AI193)</f>
        <v>0</v>
      </c>
      <c r="AK193" s="221">
        <f>R193*$AF193</f>
        <v>0</v>
      </c>
      <c r="AL193" s="187"/>
      <c r="AM193" s="221">
        <f>AL193*O193</f>
        <v>0</v>
      </c>
      <c r="AN193" s="221">
        <f>AL193*P193</f>
        <v>0</v>
      </c>
      <c r="AO193" s="221">
        <f>AL193*Q193</f>
        <v>0</v>
      </c>
      <c r="AP193" s="210">
        <f>SUM(AM193:AO193)</f>
        <v>0</v>
      </c>
      <c r="AQ193" s="222">
        <f>AL193*R193</f>
        <v>0</v>
      </c>
      <c r="AS193" s="717">
        <f>G193*VLOOKUP($B193,'Emissions factors'!$B$1566:$AG$1580,5,FALSE)+K193*VLOOKUP($B193,'Emissions factors'!$B$1566:$AG$1580,20,FALSE)</f>
        <v>0</v>
      </c>
      <c r="AT193" s="718">
        <f>G193*VLOOKUP($B193,'Emissions factors'!$B$1566:$AG$1580,6,FALSE)+K193*VLOOKUP($B193,'Emissions factors'!$B$1566:$AG$1580,21,FALSE)</f>
        <v>0</v>
      </c>
      <c r="AU193" s="718">
        <f>G193*VLOOKUP($B193,'Emissions factors'!$B$1566:$AG$1580,7,FALSE)+K193*VLOOKUP($B193,'Emissions factors'!$B$1566:$AG$1580,22,FALSE)</f>
        <v>0</v>
      </c>
      <c r="AV193" s="718">
        <f>G193*VLOOKUP($B193,'Emissions factors'!$B$1566:$AG$1580,8,FALSE)+K193*VLOOKUP($B193,'Emissions factors'!$B$1566:$AG$1580,23,FALSE)</f>
        <v>0</v>
      </c>
      <c r="AW193" s="718">
        <f>G193*VLOOKUP($B193,'Emissions factors'!$B$1566:$AG$1580,9,FALSE)+K193*VLOOKUP($B193,'Emissions factors'!$B$1566:$AG$1580,24,FALSE)</f>
        <v>0</v>
      </c>
      <c r="AX193" s="718">
        <f>G193*VLOOKUP($B193,'Emissions factors'!$B$1566:$AG$1580,10,FALSE)+K193*VLOOKUP($B193,'Emissions factors'!$B$1566:$AG$1580,25,FALSE)</f>
        <v>0</v>
      </c>
      <c r="AY193" s="718">
        <f>G193*VLOOKUP($B193,'Emissions factors'!$B$1566:$AG$1580,11,FALSE)+K193*VLOOKUP($B193,'Emissions factors'!$B$1566:$AG$1580,26,FALSE)</f>
        <v>0</v>
      </c>
      <c r="AZ193" s="718">
        <f>G193*VLOOKUP($B193,'Emissions factors'!$B$1566:$AG$1580,12,FALSE)+K193*VLOOKUP($B193,'Emissions factors'!$B$1566:$AG$1580,27,FALSE)</f>
        <v>0</v>
      </c>
      <c r="BA193" s="718">
        <f>G193*VLOOKUP($B193,'Emissions factors'!$B$1566:$AG$1580,13,FALSE)+K193*VLOOKUP($B193,'Emissions factors'!$B$1566:$AG$1580,28,FALSE)</f>
        <v>0</v>
      </c>
      <c r="BB193" s="718">
        <v>0</v>
      </c>
      <c r="BC193" s="718">
        <v>0</v>
      </c>
      <c r="BD193" s="718">
        <v>0</v>
      </c>
      <c r="BE193" s="719">
        <f t="shared" ref="BE193:BG194" si="40">O193</f>
        <v>0</v>
      </c>
      <c r="BF193" s="719">
        <f t="shared" si="40"/>
        <v>0</v>
      </c>
      <c r="BG193" s="720">
        <f t="shared" si="40"/>
        <v>0</v>
      </c>
      <c r="BH193" s="717">
        <f>G193*VLOOKUP($B193,'Emissions factors'!$B$1566:$AG$1580,14,FALSE)+K193*VLOOKUP($B193,'Emissions factors'!$B$1566:$AG$1580,29,FALSE)</f>
        <v>0</v>
      </c>
      <c r="BI193" s="718">
        <f>G193*VLOOKUP($B193,'Emissions factors'!$B$1566:$AG$1580,15,FALSE)+K193*VLOOKUP($B193,'Emissions factors'!$B$1566:$AG$1580,30,FALSE)</f>
        <v>0</v>
      </c>
      <c r="BJ193" s="721">
        <f>G193*VLOOKUP($B193,'Emissions factors'!$B$1566:$AG$1580,16,FALSE)+K193*VLOOKUP($B193,'Emissions factors'!$B$1566:$AG$1580,31,FALSE)</f>
        <v>0</v>
      </c>
    </row>
    <row r="194" spans="1:62" ht="12.75" customHeight="1" outlineLevel="1" x14ac:dyDescent="0.2">
      <c r="B194" s="467" t="s">
        <v>1464</v>
      </c>
      <c r="C194" s="468"/>
      <c r="D194" s="262">
        <f>SUM(O194:Q194)</f>
        <v>0</v>
      </c>
      <c r="E194" s="265">
        <f>D194*12/44</f>
        <v>0</v>
      </c>
      <c r="F194" s="443"/>
      <c r="G194" s="188"/>
      <c r="H194" s="493">
        <f>VLOOKUP($B194,'Emissions factors'!$B$1566:$AG$1580,2,FALSE)</f>
        <v>3.6700000000000003E-2</v>
      </c>
      <c r="I194" s="493">
        <f>VLOOKUP($B194,'Emissions factors'!$B$1566:$AG$1580,3,FALSE)</f>
        <v>3.841E-2</v>
      </c>
      <c r="J194" s="493">
        <f>VLOOKUP($B194,'Emissions factors'!$B$1566:$AG$1580,4,FALSE)</f>
        <v>0.16270899999999999</v>
      </c>
      <c r="K194" s="188"/>
      <c r="L194" s="493">
        <f>VLOOKUP($B194,'Emissions factors'!$B$1566:$AG$1580,17,FALSE)</f>
        <v>7.3499999999999996E-2</v>
      </c>
      <c r="M194" s="493">
        <f>VLOOKUP($B194,'Emissions factors'!$B$1566:$AG$1580,18,FALSE)</f>
        <v>7.6830000000000009E-2</v>
      </c>
      <c r="N194" s="493">
        <f>VLOOKUP($B194,'Emissions factors'!$B$1566:$AG$1580,19,FALSE)</f>
        <v>0.32541799999999999</v>
      </c>
      <c r="O194" s="465">
        <f>H194*G194+K194*L194</f>
        <v>0</v>
      </c>
      <c r="P194" s="465">
        <f>I194*G194+K194*M194</f>
        <v>0</v>
      </c>
      <c r="Q194" s="210">
        <f>G194*J194+K194*N194</f>
        <v>0</v>
      </c>
      <c r="R194" s="222">
        <f>IF(OR(F194='Info utili'!$G$532,F194='Info utili'!$G$537),Q194,0)</f>
        <v>0</v>
      </c>
      <c r="X194" s="282">
        <f>VLOOKUP($B194,'Emissions factors'!$B$1566:$AG$1580,32,FALSE)</f>
        <v>0.6</v>
      </c>
      <c r="Y194" s="190"/>
      <c r="Z194" s="221">
        <f>O194*SQRT(X194^2+Y194^2)</f>
        <v>0</v>
      </c>
      <c r="AA194" s="221">
        <f>P194*SQRT(X194^2+Y194^2)</f>
        <v>0</v>
      </c>
      <c r="AB194" s="221">
        <f>Q194*(SQRT(X194^2+Y194^2))</f>
        <v>0</v>
      </c>
      <c r="AC194" s="210">
        <f>SQRT(SUMSQ(Z194:AB194))</f>
        <v>0</v>
      </c>
      <c r="AD194" s="222">
        <f>R194*SQRT(X194^2+Y194^2)</f>
        <v>0</v>
      </c>
      <c r="AF194" s="190"/>
      <c r="AG194" s="221">
        <f t="shared" si="39"/>
        <v>0</v>
      </c>
      <c r="AH194" s="221">
        <f t="shared" si="39"/>
        <v>0</v>
      </c>
      <c r="AI194" s="221">
        <f t="shared" si="39"/>
        <v>0</v>
      </c>
      <c r="AJ194" s="210">
        <f>SUM(AG194:AI194)</f>
        <v>0</v>
      </c>
      <c r="AK194" s="221">
        <f>R194*$AF194</f>
        <v>0</v>
      </c>
      <c r="AL194" s="190"/>
      <c r="AM194" s="221">
        <f>AL194*O194</f>
        <v>0</v>
      </c>
      <c r="AN194" s="221">
        <f>AL194*P194</f>
        <v>0</v>
      </c>
      <c r="AO194" s="221">
        <f>AL194*Q194</f>
        <v>0</v>
      </c>
      <c r="AP194" s="210">
        <f>SUM(AM194:AO194)</f>
        <v>0</v>
      </c>
      <c r="AQ194" s="222">
        <f>AL194*R194</f>
        <v>0</v>
      </c>
      <c r="AS194" s="717">
        <f>G194*VLOOKUP($B194,'Emissions factors'!$B$1566:$AG$1580,5,FALSE)+K194*VLOOKUP($B194,'Emissions factors'!$B$1566:$AG$1580,20,FALSE)</f>
        <v>0</v>
      </c>
      <c r="AT194" s="718">
        <f>G194*VLOOKUP($B194,'Emissions factors'!$B$1566:$AG$1580,6,FALSE)+K194*VLOOKUP($B194,'Emissions factors'!$B$1566:$AG$1580,21,FALSE)</f>
        <v>0</v>
      </c>
      <c r="AU194" s="718">
        <f>G194*VLOOKUP($B194,'Emissions factors'!$B$1566:$AG$1580,7,FALSE)+K194*VLOOKUP($B194,'Emissions factors'!$B$1566:$AG$1580,22,FALSE)</f>
        <v>0</v>
      </c>
      <c r="AV194" s="718">
        <f>G194*VLOOKUP($B194,'Emissions factors'!$B$1566:$AG$1580,8,FALSE)+K194*VLOOKUP($B194,'Emissions factors'!$B$1566:$AG$1580,23,FALSE)</f>
        <v>0</v>
      </c>
      <c r="AW194" s="718">
        <f>G194*VLOOKUP($B194,'Emissions factors'!$B$1566:$AG$1580,9,FALSE)+K194*VLOOKUP($B194,'Emissions factors'!$B$1566:$AG$1580,24,FALSE)</f>
        <v>0</v>
      </c>
      <c r="AX194" s="718">
        <f>G194*VLOOKUP($B194,'Emissions factors'!$B$1566:$AG$1580,10,FALSE)+K194*VLOOKUP($B194,'Emissions factors'!$B$1566:$AG$1580,25,FALSE)</f>
        <v>0</v>
      </c>
      <c r="AY194" s="718">
        <f>G194*VLOOKUP($B194,'Emissions factors'!$B$1566:$AG$1580,11,FALSE)+K194*VLOOKUP($B194,'Emissions factors'!$B$1566:$AG$1580,26,FALSE)</f>
        <v>0</v>
      </c>
      <c r="AZ194" s="718">
        <f>G194*VLOOKUP($B194,'Emissions factors'!$B$1566:$AG$1580,12,FALSE)+K194*VLOOKUP($B194,'Emissions factors'!$B$1566:$AG$1580,27,FALSE)</f>
        <v>0</v>
      </c>
      <c r="BA194" s="718">
        <f>G194*VLOOKUP($B194,'Emissions factors'!$B$1566:$AG$1580,13,FALSE)+K194*VLOOKUP($B194,'Emissions factors'!$B$1566:$AG$1580,28,FALSE)</f>
        <v>0</v>
      </c>
      <c r="BB194" s="718">
        <v>0</v>
      </c>
      <c r="BC194" s="718">
        <v>0</v>
      </c>
      <c r="BD194" s="718">
        <v>0</v>
      </c>
      <c r="BE194" s="719">
        <f t="shared" si="40"/>
        <v>0</v>
      </c>
      <c r="BF194" s="719">
        <f t="shared" si="40"/>
        <v>0</v>
      </c>
      <c r="BG194" s="720">
        <f t="shared" si="40"/>
        <v>0</v>
      </c>
      <c r="BH194" s="717">
        <f>G194*VLOOKUP($B194,'Emissions factors'!$B$1566:$AG$1580,14,FALSE)+K194*VLOOKUP($B194,'Emissions factors'!$B$1566:$AG$1580,29,FALSE)</f>
        <v>0</v>
      </c>
      <c r="BI194" s="718">
        <f>G194*VLOOKUP($B194,'Emissions factors'!$B$1566:$AG$1580,15,FALSE)+K194*VLOOKUP($B194,'Emissions factors'!$B$1566:$AG$1580,30,FALSE)</f>
        <v>0</v>
      </c>
      <c r="BJ194" s="721">
        <f>G194*VLOOKUP($B194,'Emissions factors'!$B$1566:$AG$1580,16,FALSE)+K194*VLOOKUP($B194,'Emissions factors'!$B$1566:$AG$1580,31,FALSE)</f>
        <v>0</v>
      </c>
    </row>
    <row r="195" spans="1:62" ht="12.75" customHeight="1" outlineLevel="1" x14ac:dyDescent="0.2">
      <c r="B195" s="200"/>
      <c r="C195" s="201"/>
      <c r="D195" s="263"/>
      <c r="E195" s="266"/>
      <c r="F195" s="201"/>
      <c r="G195" s="201"/>
      <c r="H195" s="201"/>
      <c r="I195" s="201"/>
      <c r="J195" s="201"/>
      <c r="K195" s="201"/>
      <c r="L195" s="201"/>
      <c r="M195" s="201"/>
      <c r="N195" s="201"/>
      <c r="O195" s="201"/>
      <c r="P195" s="201"/>
      <c r="Q195" s="221"/>
      <c r="R195" s="466"/>
      <c r="X195" s="200"/>
      <c r="Y195" s="221"/>
      <c r="Z195" s="221"/>
      <c r="AA195" s="221"/>
      <c r="AB195" s="221"/>
      <c r="AC195" s="210"/>
      <c r="AD195" s="222"/>
      <c r="AF195" s="480"/>
      <c r="AG195" s="221"/>
      <c r="AH195" s="221"/>
      <c r="AI195" s="221"/>
      <c r="AJ195" s="413"/>
      <c r="AK195" s="221"/>
      <c r="AL195" s="221"/>
      <c r="AM195" s="221"/>
      <c r="AN195" s="221"/>
      <c r="AO195" s="221">
        <f>AL195*Q195</f>
        <v>0</v>
      </c>
      <c r="AP195" s="413"/>
      <c r="AQ195" s="222">
        <f>AL195*R195</f>
        <v>0</v>
      </c>
      <c r="AS195" s="717"/>
      <c r="AT195" s="718"/>
      <c r="AU195" s="718"/>
      <c r="AV195" s="718"/>
      <c r="AW195" s="718"/>
      <c r="AX195" s="718"/>
      <c r="AY195" s="718"/>
      <c r="AZ195" s="718"/>
      <c r="BA195" s="718"/>
      <c r="BB195" s="718"/>
      <c r="BC195" s="718"/>
      <c r="BD195" s="718"/>
      <c r="BE195" s="719"/>
      <c r="BF195" s="719"/>
      <c r="BG195" s="720"/>
      <c r="BH195" s="722"/>
      <c r="BI195" s="786"/>
      <c r="BJ195" s="723"/>
    </row>
    <row r="196" spans="1:62" ht="12.75" customHeight="1" outlineLevel="1" x14ac:dyDescent="0.2">
      <c r="B196" s="253" t="s">
        <v>2828</v>
      </c>
      <c r="C196" s="254"/>
      <c r="D196" s="264">
        <f>SUM(D192:D195)</f>
        <v>0</v>
      </c>
      <c r="E196" s="267">
        <f>SUM(E192:E195)</f>
        <v>0</v>
      </c>
      <c r="F196" s="254"/>
      <c r="G196" s="254"/>
      <c r="H196" s="254"/>
      <c r="I196" s="254"/>
      <c r="J196" s="254"/>
      <c r="K196" s="254"/>
      <c r="L196" s="254"/>
      <c r="M196" s="254"/>
      <c r="N196" s="254"/>
      <c r="O196" s="259">
        <f>SUM(O192:O195)</f>
        <v>0</v>
      </c>
      <c r="P196" s="259">
        <f>SUM(P192:P195)</f>
        <v>0</v>
      </c>
      <c r="Q196" s="259">
        <f>SUM(Q192:Q195)</f>
        <v>0</v>
      </c>
      <c r="R196" s="428">
        <f>SUM(R192:R195)</f>
        <v>0</v>
      </c>
      <c r="X196" s="258"/>
      <c r="Y196" s="260"/>
      <c r="Z196" s="260">
        <f>SQRT(SUMSQ(Z192:Z195))</f>
        <v>0</v>
      </c>
      <c r="AA196" s="260">
        <f>SQRT(SUMSQ(AA192:AA195))</f>
        <v>0</v>
      </c>
      <c r="AB196" s="260">
        <f>SQRT(SUMSQ(AB192:AB195))</f>
        <v>0</v>
      </c>
      <c r="AC196" s="259">
        <f>SQRT(SUMSQ(AC192:AC195))</f>
        <v>0</v>
      </c>
      <c r="AD196" s="428">
        <f>SQRT(SUMSQ(AD192:AD195))</f>
        <v>0</v>
      </c>
      <c r="AF196" s="489"/>
      <c r="AG196" s="260">
        <f>SUM(AG192:AG195)</f>
        <v>0</v>
      </c>
      <c r="AH196" s="260">
        <f>SUM(AH192:AH195)</f>
        <v>0</v>
      </c>
      <c r="AI196" s="260">
        <f>SUM(AI192:AI195)</f>
        <v>0</v>
      </c>
      <c r="AJ196" s="259">
        <f>SUM(AJ192:AJ195)</f>
        <v>0</v>
      </c>
      <c r="AK196" s="260">
        <f>SUM(AK192:AK195)</f>
        <v>0</v>
      </c>
      <c r="AL196" s="259"/>
      <c r="AM196" s="260">
        <f>SUM(AM192:AM195)</f>
        <v>0</v>
      </c>
      <c r="AN196" s="260">
        <f>SUM(AN192:AN195)</f>
        <v>0</v>
      </c>
      <c r="AO196" s="260">
        <f>SUM(AO192:AO195)</f>
        <v>0</v>
      </c>
      <c r="AP196" s="259">
        <f>SUM(AP192:AP195)</f>
        <v>0</v>
      </c>
      <c r="AQ196" s="428">
        <f>SUM(AQ192:AQ195)</f>
        <v>0</v>
      </c>
      <c r="AS196" s="724">
        <f t="shared" ref="AS196:BJ196" si="41">SUM(AS192:AS195)</f>
        <v>0</v>
      </c>
      <c r="AT196" s="725">
        <f t="shared" si="41"/>
        <v>0</v>
      </c>
      <c r="AU196" s="725">
        <f t="shared" si="41"/>
        <v>0</v>
      </c>
      <c r="AV196" s="725">
        <f t="shared" si="41"/>
        <v>0</v>
      </c>
      <c r="AW196" s="725">
        <f t="shared" si="41"/>
        <v>0</v>
      </c>
      <c r="AX196" s="725">
        <f t="shared" si="41"/>
        <v>0</v>
      </c>
      <c r="AY196" s="725">
        <f t="shared" si="41"/>
        <v>0</v>
      </c>
      <c r="AZ196" s="725">
        <f t="shared" si="41"/>
        <v>0</v>
      </c>
      <c r="BA196" s="725">
        <f t="shared" si="41"/>
        <v>0</v>
      </c>
      <c r="BB196" s="725">
        <f t="shared" si="41"/>
        <v>0</v>
      </c>
      <c r="BC196" s="725">
        <f t="shared" si="41"/>
        <v>0</v>
      </c>
      <c r="BD196" s="725">
        <f t="shared" si="41"/>
        <v>0</v>
      </c>
      <c r="BE196" s="726">
        <f t="shared" si="41"/>
        <v>0</v>
      </c>
      <c r="BF196" s="726">
        <f t="shared" si="41"/>
        <v>0</v>
      </c>
      <c r="BG196" s="727">
        <f t="shared" si="41"/>
        <v>0</v>
      </c>
      <c r="BH196" s="724">
        <f t="shared" si="41"/>
        <v>0</v>
      </c>
      <c r="BI196" s="725">
        <f t="shared" si="41"/>
        <v>0</v>
      </c>
      <c r="BJ196" s="728">
        <f t="shared" si="41"/>
        <v>0</v>
      </c>
    </row>
    <row r="197" spans="1:62" ht="12.75" customHeight="1" outlineLevel="1" x14ac:dyDescent="0.2">
      <c r="B197" s="316"/>
      <c r="C197" s="316"/>
      <c r="D197" s="316"/>
      <c r="E197" s="316"/>
      <c r="F197" s="316"/>
      <c r="G197" s="316"/>
      <c r="H197" s="316"/>
      <c r="I197" s="316"/>
      <c r="J197" s="316"/>
      <c r="AV197" s="743"/>
      <c r="AW197" s="743"/>
      <c r="AX197" s="743"/>
      <c r="AY197" s="743"/>
      <c r="AZ197" s="743"/>
      <c r="BA197" s="743"/>
      <c r="BB197" s="743"/>
      <c r="BC197" s="743"/>
      <c r="BD197" s="743"/>
      <c r="BE197" s="743"/>
      <c r="BF197" s="743"/>
      <c r="BG197" s="743"/>
    </row>
    <row r="198" spans="1:62" x14ac:dyDescent="0.2">
      <c r="AS198" s="743"/>
      <c r="AT198" s="743"/>
      <c r="AU198" s="743"/>
      <c r="AV198" s="743"/>
      <c r="AW198" s="743"/>
      <c r="AX198" s="743"/>
      <c r="AY198" s="743"/>
      <c r="AZ198" s="743"/>
      <c r="BA198" s="743"/>
      <c r="BB198" s="743"/>
      <c r="BC198" s="743"/>
      <c r="BD198" s="743"/>
    </row>
    <row r="199" spans="1:62" s="191" customFormat="1" ht="16" x14ac:dyDescent="0.2">
      <c r="A199" s="40"/>
      <c r="B199" s="1795" t="s">
        <v>3065</v>
      </c>
      <c r="C199" s="1795"/>
      <c r="D199" s="1795"/>
      <c r="E199" s="1795"/>
      <c r="F199" s="1795"/>
      <c r="G199" s="1795"/>
      <c r="H199" s="1795"/>
      <c r="I199" s="1795"/>
      <c r="J199" s="1795"/>
      <c r="K199" s="1795"/>
      <c r="L199" s="1795"/>
      <c r="M199" s="1795"/>
      <c r="N199" s="1795"/>
      <c r="O199" s="1795"/>
      <c r="AS199" s="602"/>
      <c r="AT199" s="602"/>
      <c r="AU199" s="602"/>
      <c r="AV199" s="602"/>
      <c r="AW199" s="602"/>
      <c r="AX199" s="602"/>
      <c r="AY199" s="602"/>
      <c r="AZ199" s="602"/>
      <c r="BA199" s="602"/>
      <c r="BB199" s="602"/>
      <c r="BC199" s="602"/>
      <c r="BD199" s="602"/>
      <c r="BE199" s="751"/>
      <c r="BF199" s="751"/>
      <c r="BG199" s="751"/>
      <c r="BH199" s="751"/>
      <c r="BI199" s="751"/>
      <c r="BJ199" s="751"/>
    </row>
    <row r="200" spans="1:62" ht="12.75" customHeight="1" outlineLevel="1" x14ac:dyDescent="0.2">
      <c r="B200" s="108"/>
      <c r="C200" s="108"/>
      <c r="D200" s="108"/>
      <c r="E200" s="108"/>
      <c r="F200" s="108"/>
      <c r="G200" s="321"/>
    </row>
    <row r="201" spans="1:62" ht="12.75" customHeight="1" outlineLevel="1" x14ac:dyDescent="0.2">
      <c r="B201" s="195" t="s">
        <v>3057</v>
      </c>
      <c r="C201" s="196"/>
      <c r="D201" s="196"/>
      <c r="E201" s="196"/>
      <c r="F201" s="196"/>
      <c r="G201" s="198"/>
      <c r="H201" s="198"/>
      <c r="I201" s="199"/>
      <c r="J201" s="321"/>
      <c r="K201" s="321"/>
      <c r="L201" s="321"/>
      <c r="M201" s="321"/>
      <c r="N201" s="321"/>
      <c r="O201" s="321"/>
      <c r="P201" s="321"/>
      <c r="Q201" s="321"/>
      <c r="R201" s="321"/>
      <c r="S201" s="321"/>
      <c r="X201" s="1746" t="s">
        <v>723</v>
      </c>
      <c r="Y201" s="1747"/>
      <c r="Z201" s="1748"/>
      <c r="AF201" s="1746" t="s">
        <v>2066</v>
      </c>
      <c r="AG201" s="1747"/>
      <c r="AH201" s="1747"/>
      <c r="AI201" s="1748"/>
      <c r="AS201" s="1755" t="s">
        <v>2073</v>
      </c>
      <c r="AT201" s="1756"/>
      <c r="AU201" s="1756"/>
      <c r="AV201" s="1756"/>
      <c r="AW201" s="1756"/>
      <c r="AX201" s="1757"/>
    </row>
    <row r="202" spans="1:62" ht="12.75" customHeight="1" outlineLevel="1" x14ac:dyDescent="0.2">
      <c r="B202" s="200"/>
      <c r="C202" s="201"/>
      <c r="D202" s="503"/>
      <c r="E202" s="503"/>
      <c r="F202" s="201"/>
      <c r="G202" s="201"/>
      <c r="H202" s="201"/>
      <c r="I202" s="203"/>
      <c r="J202" s="321"/>
      <c r="N202" s="321"/>
      <c r="S202" s="321"/>
      <c r="X202" s="507"/>
      <c r="Y202" s="504"/>
      <c r="Z202" s="203"/>
      <c r="AA202" s="321"/>
      <c r="AF202" s="507"/>
      <c r="AG202" s="504"/>
      <c r="AH202" s="504"/>
      <c r="AI202" s="203"/>
      <c r="AS202" s="787"/>
      <c r="AT202" s="788"/>
      <c r="AU202" s="788"/>
      <c r="AV202" s="788"/>
      <c r="AW202" s="739"/>
      <c r="AX202" s="780"/>
    </row>
    <row r="203" spans="1:62" ht="12.75" customHeight="1" outlineLevel="1" x14ac:dyDescent="0.2">
      <c r="B203" s="507"/>
      <c r="C203" s="504"/>
      <c r="D203" s="504" t="s">
        <v>56</v>
      </c>
      <c r="E203" s="504" t="s">
        <v>56</v>
      </c>
      <c r="F203" s="205" t="s">
        <v>2669</v>
      </c>
      <c r="G203" s="205" t="s">
        <v>2053</v>
      </c>
      <c r="H203" s="504" t="s">
        <v>61</v>
      </c>
      <c r="I203" s="509" t="s">
        <v>61</v>
      </c>
      <c r="J203" s="321"/>
      <c r="N203" s="321"/>
      <c r="S203" s="321"/>
      <c r="X203" s="1633" t="s">
        <v>2605</v>
      </c>
      <c r="Y203" s="504" t="s">
        <v>2110</v>
      </c>
      <c r="Z203" s="509" t="s">
        <v>61</v>
      </c>
      <c r="AA203" s="321"/>
      <c r="AF203" s="507" t="s">
        <v>2065</v>
      </c>
      <c r="AG203" s="503" t="s">
        <v>61</v>
      </c>
      <c r="AH203" s="504" t="s">
        <v>2558</v>
      </c>
      <c r="AI203" s="509" t="s">
        <v>61</v>
      </c>
      <c r="AS203" s="1739" t="s">
        <v>61</v>
      </c>
      <c r="AT203" s="1740"/>
      <c r="AU203" s="1740"/>
      <c r="AV203" s="1740"/>
      <c r="AW203" s="741" t="s">
        <v>61</v>
      </c>
      <c r="AX203" s="742"/>
    </row>
    <row r="204" spans="1:62" ht="12.75" customHeight="1" outlineLevel="1" x14ac:dyDescent="0.2">
      <c r="B204" s="507"/>
      <c r="C204" s="504"/>
      <c r="D204" s="504" t="s">
        <v>61</v>
      </c>
      <c r="E204" s="504" t="s">
        <v>63</v>
      </c>
      <c r="F204" s="208" t="s">
        <v>2054</v>
      </c>
      <c r="G204" s="212" t="s">
        <v>74</v>
      </c>
      <c r="H204" s="504" t="s">
        <v>2057</v>
      </c>
      <c r="I204" s="509"/>
      <c r="J204" s="321"/>
      <c r="N204" s="321"/>
      <c r="S204" s="321"/>
      <c r="X204" s="1633" t="s">
        <v>2109</v>
      </c>
      <c r="Y204" s="504"/>
      <c r="Z204" s="509"/>
      <c r="AA204" s="321"/>
      <c r="AF204" s="507"/>
      <c r="AG204" s="503"/>
      <c r="AH204" s="504"/>
      <c r="AI204" s="509"/>
      <c r="AS204" s="744" t="s">
        <v>14</v>
      </c>
      <c r="AT204" s="745" t="s">
        <v>60</v>
      </c>
      <c r="AU204" s="745" t="s">
        <v>27</v>
      </c>
      <c r="AV204" s="745" t="s">
        <v>2074</v>
      </c>
      <c r="AW204" s="746" t="s">
        <v>41</v>
      </c>
      <c r="AX204" s="747" t="s">
        <v>85</v>
      </c>
    </row>
    <row r="205" spans="1:62" ht="12.75" customHeight="1" outlineLevel="1" x14ac:dyDescent="0.2">
      <c r="B205" s="471" t="s">
        <v>2647</v>
      </c>
      <c r="C205" s="472"/>
      <c r="D205" s="262">
        <f>I205</f>
        <v>0</v>
      </c>
      <c r="E205" s="265">
        <f>D205*12/44</f>
        <v>0</v>
      </c>
      <c r="F205" s="325"/>
      <c r="G205" s="325"/>
      <c r="H205" s="272">
        <f>IF(ISNA(VLOOKUP("Transports - "&amp;Description!D4&amp;" [1]",'Emissions factors'!$B$615:$D$684,2,FALSE)),'Emissions factors'!$C$682+'Emissions factors'!$D$682,VLOOKUP("Transports - "&amp;Description!D4&amp;" [1]",'Emissions factors'!$B$615:$D$684,2,FALSE)+VLOOKUP("Transports - "&amp;Description!D4&amp;" [1]",'Emissions factors'!$B$615:$D$684,3,FALSE))</f>
        <v>0.107</v>
      </c>
      <c r="I205" s="211">
        <f>G205*H205</f>
        <v>0</v>
      </c>
      <c r="J205" s="321"/>
      <c r="N205" s="321"/>
      <c r="S205" s="321"/>
      <c r="X205" s="282">
        <f>'Emissions factors'!$F$682</f>
        <v>0.3</v>
      </c>
      <c r="Y205" s="326"/>
      <c r="Z205" s="211">
        <f>I205*SQRT(X205^2+Y205^2)</f>
        <v>0</v>
      </c>
      <c r="AF205" s="327"/>
      <c r="AG205" s="210">
        <f>AF205*I205</f>
        <v>0</v>
      </c>
      <c r="AH205" s="327"/>
      <c r="AI205" s="211">
        <f>AH205*I205</f>
        <v>0</v>
      </c>
      <c r="AS205" s="717"/>
      <c r="AT205" s="718"/>
      <c r="AU205" s="718"/>
      <c r="AV205" s="718"/>
      <c r="AW205" s="720">
        <f>I205</f>
        <v>0</v>
      </c>
      <c r="AX205" s="748"/>
    </row>
    <row r="206" spans="1:62" ht="12.75" customHeight="1" outlineLevel="1" x14ac:dyDescent="0.2">
      <c r="B206" s="471"/>
      <c r="C206" s="472"/>
      <c r="D206" s="491"/>
      <c r="E206" s="498"/>
      <c r="F206" s="472"/>
      <c r="G206" s="221"/>
      <c r="H206" s="209"/>
      <c r="I206" s="211"/>
      <c r="J206" s="321"/>
      <c r="N206" s="321"/>
      <c r="S206" s="321"/>
      <c r="X206" s="200"/>
      <c r="Y206" s="201"/>
      <c r="Z206" s="222"/>
      <c r="AF206" s="200"/>
      <c r="AG206" s="504"/>
      <c r="AH206" s="201"/>
      <c r="AI206" s="222"/>
      <c r="AS206" s="717"/>
      <c r="AT206" s="718"/>
      <c r="AU206" s="718"/>
      <c r="AV206" s="718"/>
      <c r="AW206" s="720"/>
      <c r="AX206" s="749"/>
    </row>
    <row r="207" spans="1:62" ht="12.75" customHeight="1" outlineLevel="1" x14ac:dyDescent="0.2">
      <c r="B207" s="253" t="s">
        <v>2828</v>
      </c>
      <c r="C207" s="254"/>
      <c r="D207" s="264">
        <f>SUM(D205:D206)</f>
        <v>0</v>
      </c>
      <c r="E207" s="267">
        <f>SUM(E205:E206)</f>
        <v>0</v>
      </c>
      <c r="F207" s="255"/>
      <c r="G207" s="256"/>
      <c r="H207" s="256"/>
      <c r="I207" s="257">
        <f>SUM(I205:I206)</f>
        <v>0</v>
      </c>
      <c r="J207" s="321"/>
      <c r="N207" s="321"/>
      <c r="S207" s="321"/>
      <c r="X207" s="258"/>
      <c r="Y207" s="256"/>
      <c r="Z207" s="257">
        <f>SQRT(SUMSQ(Z205:Z206))</f>
        <v>0</v>
      </c>
      <c r="AF207" s="258"/>
      <c r="AG207" s="259">
        <f>SUM(AG205:AG206)</f>
        <v>0</v>
      </c>
      <c r="AH207" s="256"/>
      <c r="AI207" s="257">
        <f>SUM(AI205:AI206)</f>
        <v>0</v>
      </c>
      <c r="AS207" s="724">
        <f t="shared" ref="AS207:AX207" si="42">SUM(AS205:AS206)</f>
        <v>0</v>
      </c>
      <c r="AT207" s="725">
        <f t="shared" si="42"/>
        <v>0</v>
      </c>
      <c r="AU207" s="725">
        <f t="shared" si="42"/>
        <v>0</v>
      </c>
      <c r="AV207" s="725">
        <f t="shared" si="42"/>
        <v>0</v>
      </c>
      <c r="AW207" s="727">
        <f t="shared" si="42"/>
        <v>0</v>
      </c>
      <c r="AX207" s="750">
        <f t="shared" si="42"/>
        <v>0</v>
      </c>
    </row>
    <row r="208" spans="1:62" ht="12.75" customHeight="1" outlineLevel="1" x14ac:dyDescent="0.2">
      <c r="B208" s="42"/>
      <c r="C208" s="42"/>
      <c r="D208" s="42"/>
      <c r="E208" s="42"/>
      <c r="F208" s="42"/>
      <c r="G208" s="42"/>
      <c r="H208" s="42"/>
      <c r="I208" s="324"/>
      <c r="J208" s="42"/>
      <c r="K208" s="42"/>
      <c r="L208" s="42"/>
      <c r="M208" s="42"/>
      <c r="N208" s="321"/>
      <c r="R208" s="321"/>
      <c r="S208" s="321"/>
      <c r="Y208" s="321"/>
      <c r="Z208" s="321"/>
      <c r="AA208" s="321"/>
    </row>
    <row r="209" spans="1:62" outlineLevel="1" x14ac:dyDescent="0.2">
      <c r="B209" s="195" t="s">
        <v>2943</v>
      </c>
      <c r="C209" s="196"/>
      <c r="D209" s="196"/>
      <c r="E209" s="196"/>
      <c r="F209" s="198"/>
      <c r="G209" s="198"/>
      <c r="H209" s="198"/>
      <c r="I209" s="235"/>
      <c r="X209" s="1746" t="s">
        <v>723</v>
      </c>
      <c r="Y209" s="1747"/>
      <c r="Z209" s="1748"/>
      <c r="AF209" s="1746" t="s">
        <v>2066</v>
      </c>
      <c r="AG209" s="1747"/>
      <c r="AH209" s="1747"/>
      <c r="AI209" s="1748"/>
      <c r="AS209" s="1755" t="s">
        <v>2073</v>
      </c>
      <c r="AT209" s="1756"/>
      <c r="AU209" s="1756"/>
      <c r="AV209" s="1756"/>
      <c r="AW209" s="1756"/>
      <c r="AX209" s="1757"/>
    </row>
    <row r="210" spans="1:62" outlineLevel="1" x14ac:dyDescent="0.2">
      <c r="B210" s="200"/>
      <c r="C210" s="201"/>
      <c r="D210" s="503"/>
      <c r="E210" s="503"/>
      <c r="F210" s="201"/>
      <c r="G210" s="201"/>
      <c r="H210" s="201"/>
      <c r="I210" s="226"/>
      <c r="X210" s="507"/>
      <c r="Y210" s="504"/>
      <c r="Z210" s="203"/>
      <c r="AA210" s="321"/>
      <c r="AF210" s="507"/>
      <c r="AG210" s="504"/>
      <c r="AH210" s="504"/>
      <c r="AI210" s="203"/>
      <c r="AS210" s="787"/>
      <c r="AT210" s="788"/>
      <c r="AU210" s="788"/>
      <c r="AV210" s="788"/>
      <c r="AW210" s="739"/>
      <c r="AX210" s="780"/>
    </row>
    <row r="211" spans="1:62" outlineLevel="1" x14ac:dyDescent="0.2">
      <c r="B211" s="507"/>
      <c r="C211" s="504"/>
      <c r="D211" s="504" t="s">
        <v>56</v>
      </c>
      <c r="E211" s="504" t="s">
        <v>56</v>
      </c>
      <c r="F211" s="205" t="s">
        <v>2052</v>
      </c>
      <c r="G211" s="205" t="s">
        <v>40</v>
      </c>
      <c r="H211" s="1632" t="s">
        <v>849</v>
      </c>
      <c r="I211" s="509" t="s">
        <v>61</v>
      </c>
      <c r="T211" s="32"/>
      <c r="X211" s="507"/>
      <c r="Y211" s="504" t="s">
        <v>2110</v>
      </c>
      <c r="Z211" s="509" t="s">
        <v>61</v>
      </c>
      <c r="AA211" s="321"/>
      <c r="AF211" s="507" t="s">
        <v>2065</v>
      </c>
      <c r="AG211" s="503" t="s">
        <v>61</v>
      </c>
      <c r="AH211" s="504" t="s">
        <v>2558</v>
      </c>
      <c r="AI211" s="509" t="s">
        <v>61</v>
      </c>
      <c r="AS211" s="1739" t="s">
        <v>61</v>
      </c>
      <c r="AT211" s="1740"/>
      <c r="AU211" s="1740"/>
      <c r="AV211" s="1740"/>
      <c r="AW211" s="741" t="s">
        <v>61</v>
      </c>
      <c r="AX211" s="742"/>
    </row>
    <row r="212" spans="1:62" s="32" customFormat="1" outlineLevel="1" x14ac:dyDescent="0.2">
      <c r="A212" s="40"/>
      <c r="B212" s="507"/>
      <c r="C212" s="504"/>
      <c r="D212" s="504" t="s">
        <v>61</v>
      </c>
      <c r="E212" s="504" t="s">
        <v>63</v>
      </c>
      <c r="F212" s="208" t="s">
        <v>37</v>
      </c>
      <c r="G212" s="208" t="s">
        <v>43</v>
      </c>
      <c r="H212" s="1632" t="s">
        <v>2488</v>
      </c>
      <c r="I212" s="509"/>
      <c r="U212" s="40"/>
      <c r="V212" s="40"/>
      <c r="X212" s="507"/>
      <c r="Y212" s="504"/>
      <c r="Z212" s="509"/>
      <c r="AA212" s="321"/>
      <c r="AB212" s="40"/>
      <c r="AC212" s="40"/>
      <c r="AD212" s="40"/>
      <c r="AE212" s="40"/>
      <c r="AF212" s="507"/>
      <c r="AG212" s="503"/>
      <c r="AH212" s="504"/>
      <c r="AI212" s="509"/>
      <c r="AJ212" s="40"/>
      <c r="AK212" s="40"/>
      <c r="AL212" s="40"/>
      <c r="AM212" s="40"/>
      <c r="AN212" s="40"/>
      <c r="AO212" s="40"/>
      <c r="AP212" s="40"/>
      <c r="AQ212" s="40"/>
      <c r="AR212" s="40"/>
      <c r="AS212" s="744" t="s">
        <v>14</v>
      </c>
      <c r="AT212" s="745" t="s">
        <v>60</v>
      </c>
      <c r="AU212" s="745" t="s">
        <v>27</v>
      </c>
      <c r="AV212" s="745" t="s">
        <v>2074</v>
      </c>
      <c r="AW212" s="746" t="s">
        <v>41</v>
      </c>
      <c r="AX212" s="747" t="s">
        <v>85</v>
      </c>
      <c r="AY212" s="602"/>
      <c r="AZ212" s="602"/>
      <c r="BA212" s="602"/>
      <c r="BB212" s="602"/>
      <c r="BC212" s="602"/>
      <c r="BD212" s="743"/>
      <c r="BE212" s="743"/>
      <c r="BF212" s="743"/>
      <c r="BG212" s="743"/>
      <c r="BH212" s="743"/>
      <c r="BI212" s="743"/>
      <c r="BJ212" s="743"/>
    </row>
    <row r="213" spans="1:62" s="32" customFormat="1" outlineLevel="1" x14ac:dyDescent="0.2">
      <c r="A213" s="40"/>
      <c r="B213" s="200" t="s">
        <v>2487</v>
      </c>
      <c r="C213" s="234"/>
      <c r="D213" s="262">
        <f>I213</f>
        <v>0</v>
      </c>
      <c r="E213" s="265">
        <f>D213*12/44</f>
        <v>0</v>
      </c>
      <c r="F213" s="238">
        <f>G205</f>
        <v>0</v>
      </c>
      <c r="G213" s="238">
        <f>I207</f>
        <v>0</v>
      </c>
      <c r="H213" s="281">
        <f>'Emissions factors'!$C$994</f>
        <v>0.1</v>
      </c>
      <c r="I213" s="211">
        <f>G213*H213</f>
        <v>0</v>
      </c>
      <c r="T213" s="40"/>
      <c r="U213" s="40"/>
      <c r="V213" s="40"/>
      <c r="X213" s="282"/>
      <c r="Y213" s="549">
        <f>IF(I207=0,0,Z207/I207)</f>
        <v>0</v>
      </c>
      <c r="Z213" s="211">
        <f>IF(ISNUMBER(Y213),I213*Y213,0)</f>
        <v>0</v>
      </c>
      <c r="AF213" s="240">
        <f>AF205</f>
        <v>0</v>
      </c>
      <c r="AG213" s="210">
        <f>I213*AF213</f>
        <v>0</v>
      </c>
      <c r="AH213" s="240">
        <f>AH205</f>
        <v>0</v>
      </c>
      <c r="AI213" s="211">
        <f>I213*AH213</f>
        <v>0</v>
      </c>
      <c r="AS213" s="717">
        <f>AS207*H213</f>
        <v>0</v>
      </c>
      <c r="AT213" s="718">
        <f>AT207*H213</f>
        <v>0</v>
      </c>
      <c r="AU213" s="718">
        <f>AU207*H213</f>
        <v>0</v>
      </c>
      <c r="AV213" s="718">
        <f>AV207*H213</f>
        <v>0</v>
      </c>
      <c r="AW213" s="720">
        <f>I213</f>
        <v>0</v>
      </c>
      <c r="AX213" s="748">
        <f>AX207*H213</f>
        <v>0</v>
      </c>
      <c r="AY213" s="602"/>
      <c r="AZ213" s="602"/>
      <c r="BA213" s="602"/>
      <c r="BB213" s="602"/>
      <c r="BC213" s="602"/>
      <c r="BD213" s="743"/>
      <c r="BE213" s="743"/>
      <c r="BF213" s="743"/>
      <c r="BG213" s="743"/>
      <c r="BH213" s="743"/>
      <c r="BI213" s="743"/>
      <c r="BJ213" s="743"/>
    </row>
    <row r="214" spans="1:62" ht="12" customHeight="1" outlineLevel="1" x14ac:dyDescent="0.2">
      <c r="B214" s="200"/>
      <c r="C214" s="201"/>
      <c r="D214" s="263"/>
      <c r="E214" s="266"/>
      <c r="F214" s="201"/>
      <c r="G214" s="201"/>
      <c r="H214" s="201"/>
      <c r="I214" s="211"/>
      <c r="X214" s="200"/>
      <c r="Y214" s="234"/>
      <c r="Z214" s="222"/>
      <c r="AF214" s="200"/>
      <c r="AG214" s="504"/>
      <c r="AH214" s="201"/>
      <c r="AI214" s="222"/>
      <c r="AS214" s="717"/>
      <c r="AT214" s="718"/>
      <c r="AU214" s="718"/>
      <c r="AV214" s="718"/>
      <c r="AW214" s="720"/>
      <c r="AX214" s="749"/>
      <c r="AY214" s="751"/>
      <c r="AZ214" s="751"/>
      <c r="BA214" s="751"/>
      <c r="BB214" s="751"/>
      <c r="BC214" s="751"/>
    </row>
    <row r="215" spans="1:62" outlineLevel="1" x14ac:dyDescent="0.2">
      <c r="B215" s="253" t="s">
        <v>2828</v>
      </c>
      <c r="C215" s="254"/>
      <c r="D215" s="264">
        <f>SUM(D213:D214)</f>
        <v>0</v>
      </c>
      <c r="E215" s="267">
        <f>SUM(E213:E214)</f>
        <v>0</v>
      </c>
      <c r="F215" s="256"/>
      <c r="G215" s="256"/>
      <c r="H215" s="256"/>
      <c r="I215" s="257">
        <f>SUM(I213:I214)</f>
        <v>0</v>
      </c>
      <c r="X215" s="258"/>
      <c r="Y215" s="256"/>
      <c r="Z215" s="257">
        <f>SQRT(SUMSQ(Z213:Z214))</f>
        <v>0</v>
      </c>
      <c r="AF215" s="258"/>
      <c r="AG215" s="259">
        <f>SUM(AG213:AG214)</f>
        <v>0</v>
      </c>
      <c r="AH215" s="256"/>
      <c r="AI215" s="257">
        <f>SUM(AI213:AI214)</f>
        <v>0</v>
      </c>
      <c r="AS215" s="724">
        <f t="shared" ref="AS215:AX215" si="43">SUM(AS213:AS214)</f>
        <v>0</v>
      </c>
      <c r="AT215" s="725">
        <f t="shared" si="43"/>
        <v>0</v>
      </c>
      <c r="AU215" s="725">
        <f t="shared" si="43"/>
        <v>0</v>
      </c>
      <c r="AV215" s="725">
        <f t="shared" si="43"/>
        <v>0</v>
      </c>
      <c r="AW215" s="727">
        <f t="shared" si="43"/>
        <v>0</v>
      </c>
      <c r="AX215" s="750">
        <f t="shared" si="43"/>
        <v>0</v>
      </c>
    </row>
    <row r="216" spans="1:62" outlineLevel="1" x14ac:dyDescent="0.2">
      <c r="AY216" s="605"/>
      <c r="AZ216" s="605"/>
      <c r="BA216" s="605"/>
      <c r="BB216" s="605"/>
      <c r="BC216" s="605"/>
    </row>
    <row r="217" spans="1:62" outlineLevel="1" x14ac:dyDescent="0.2">
      <c r="B217" s="195" t="s">
        <v>3058</v>
      </c>
      <c r="C217" s="196"/>
      <c r="D217" s="196"/>
      <c r="E217" s="196"/>
      <c r="F217" s="196"/>
      <c r="G217" s="198"/>
      <c r="H217" s="198"/>
      <c r="I217" s="199"/>
      <c r="X217" s="1746" t="s">
        <v>723</v>
      </c>
      <c r="Y217" s="1747"/>
      <c r="Z217" s="1748"/>
      <c r="AF217" s="1746" t="s">
        <v>2066</v>
      </c>
      <c r="AG217" s="1747"/>
      <c r="AH217" s="1747"/>
      <c r="AI217" s="1748"/>
      <c r="AS217" s="1755" t="s">
        <v>2073</v>
      </c>
      <c r="AT217" s="1756"/>
      <c r="AU217" s="1756"/>
      <c r="AV217" s="1756"/>
      <c r="AW217" s="1756"/>
      <c r="AX217" s="1757"/>
    </row>
    <row r="218" spans="1:62" outlineLevel="1" x14ac:dyDescent="0.2">
      <c r="B218" s="417"/>
      <c r="C218" s="225"/>
      <c r="D218" s="503"/>
      <c r="E218" s="503"/>
      <c r="F218" s="201"/>
      <c r="G218" s="201"/>
      <c r="H218" s="201"/>
      <c r="I218" s="203"/>
      <c r="X218" s="507"/>
      <c r="Y218" s="504"/>
      <c r="Z218" s="203"/>
      <c r="AA218" s="321"/>
      <c r="AF218" s="507"/>
      <c r="AG218" s="504"/>
      <c r="AH218" s="504"/>
      <c r="AI218" s="203"/>
      <c r="AS218" s="787"/>
      <c r="AT218" s="788"/>
      <c r="AU218" s="788"/>
      <c r="AV218" s="788"/>
      <c r="AW218" s="739"/>
      <c r="AX218" s="780"/>
      <c r="AY218" s="743"/>
      <c r="AZ218" s="743"/>
      <c r="BA218" s="743"/>
      <c r="BB218" s="743"/>
      <c r="BC218" s="743"/>
    </row>
    <row r="219" spans="1:62" outlineLevel="1" x14ac:dyDescent="0.2">
      <c r="B219" s="507"/>
      <c r="C219" s="504"/>
      <c r="D219" s="504" t="s">
        <v>56</v>
      </c>
      <c r="E219" s="504" t="s">
        <v>56</v>
      </c>
      <c r="F219" s="205" t="s">
        <v>2669</v>
      </c>
      <c r="G219" s="205"/>
      <c r="H219" s="504" t="s">
        <v>61</v>
      </c>
      <c r="I219" s="509" t="s">
        <v>61</v>
      </c>
      <c r="X219" s="1633" t="s">
        <v>2605</v>
      </c>
      <c r="Y219" s="504" t="s">
        <v>2110</v>
      </c>
      <c r="Z219" s="509" t="s">
        <v>61</v>
      </c>
      <c r="AA219" s="321"/>
      <c r="AF219" s="507" t="s">
        <v>2065</v>
      </c>
      <c r="AG219" s="503" t="s">
        <v>61</v>
      </c>
      <c r="AH219" s="504" t="s">
        <v>2558</v>
      </c>
      <c r="AI219" s="509" t="s">
        <v>61</v>
      </c>
      <c r="AS219" s="1739" t="s">
        <v>61</v>
      </c>
      <c r="AT219" s="1740"/>
      <c r="AU219" s="1740"/>
      <c r="AV219" s="1740"/>
      <c r="AW219" s="741" t="s">
        <v>61</v>
      </c>
      <c r="AX219" s="742"/>
      <c r="AY219" s="743"/>
      <c r="AZ219" s="743"/>
      <c r="BA219" s="743"/>
      <c r="BB219" s="743"/>
      <c r="BC219" s="743"/>
    </row>
    <row r="220" spans="1:62" outlineLevel="1" x14ac:dyDescent="0.2">
      <c r="B220" s="507"/>
      <c r="C220" s="504"/>
      <c r="D220" s="504" t="s">
        <v>61</v>
      </c>
      <c r="E220" s="504" t="s">
        <v>63</v>
      </c>
      <c r="F220" s="208" t="s">
        <v>2054</v>
      </c>
      <c r="G220" s="212" t="s">
        <v>2676</v>
      </c>
      <c r="H220" s="504" t="s">
        <v>2541</v>
      </c>
      <c r="I220" s="509"/>
      <c r="X220" s="1633" t="s">
        <v>2109</v>
      </c>
      <c r="Y220" s="504"/>
      <c r="Z220" s="509"/>
      <c r="AA220" s="321"/>
      <c r="AF220" s="507"/>
      <c r="AG220" s="503"/>
      <c r="AH220" s="504"/>
      <c r="AI220" s="509"/>
      <c r="AS220" s="744" t="s">
        <v>14</v>
      </c>
      <c r="AT220" s="745" t="s">
        <v>60</v>
      </c>
      <c r="AU220" s="745" t="s">
        <v>27</v>
      </c>
      <c r="AV220" s="745" t="s">
        <v>2074</v>
      </c>
      <c r="AW220" s="746" t="s">
        <v>41</v>
      </c>
      <c r="AX220" s="747" t="s">
        <v>85</v>
      </c>
    </row>
    <row r="221" spans="1:62" outlineLevel="1" x14ac:dyDescent="0.2">
      <c r="B221" s="554" t="s">
        <v>699</v>
      </c>
      <c r="C221" s="556"/>
      <c r="D221" s="262">
        <f>I221</f>
        <v>0</v>
      </c>
      <c r="E221" s="265">
        <f>D221*12/44</f>
        <v>0</v>
      </c>
      <c r="F221" s="182"/>
      <c r="G221" s="182"/>
      <c r="H221" s="568">
        <f>VLOOKUP($B221,'Emissions factors'!$B$1587:$M$1614,2,FALSE)</f>
        <v>6.0000000000000001E-3</v>
      </c>
      <c r="I221" s="211">
        <f>G221*H221</f>
        <v>0</v>
      </c>
      <c r="J221" s="42"/>
      <c r="X221" s="282">
        <f>VLOOKUP($B221,'Emissions factors'!$B$1587:$M$1614,12,FALSE)</f>
        <v>0.2</v>
      </c>
      <c r="Y221" s="183"/>
      <c r="Z221" s="211">
        <f>I221*SQRT(X221^2+Y221^2)</f>
        <v>0</v>
      </c>
      <c r="AF221" s="184"/>
      <c r="AG221" s="210">
        <f>AF221*I221</f>
        <v>0</v>
      </c>
      <c r="AH221" s="184"/>
      <c r="AI221" s="211">
        <f>AH221*I221</f>
        <v>0</v>
      </c>
      <c r="AS221" s="717">
        <f>G221*VLOOKUP($B221,'Emissions factors'!$B$1587:$M$1614,3,FALSE)</f>
        <v>0</v>
      </c>
      <c r="AT221" s="718">
        <f>G221*VLOOKUP($B221,'Emissions factors'!$B$1587:$M$1614,4,FALSE)</f>
        <v>0</v>
      </c>
      <c r="AU221" s="718">
        <f>G221*VLOOKUP($B221,'Emissions factors'!$B$1587:$M$1614,5,FALSE)</f>
        <v>0</v>
      </c>
      <c r="AV221" s="718">
        <v>0</v>
      </c>
      <c r="AW221" s="720">
        <f>I221</f>
        <v>0</v>
      </c>
      <c r="AX221" s="748">
        <f>G221*VLOOKUP($B221,'Emissions factors'!$B$1587:$M$1614,6,FALSE)</f>
        <v>0</v>
      </c>
    </row>
    <row r="222" spans="1:62" outlineLevel="1" x14ac:dyDescent="0.2">
      <c r="B222" s="554" t="s">
        <v>935</v>
      </c>
      <c r="C222" s="555"/>
      <c r="D222" s="262">
        <f>I222</f>
        <v>0</v>
      </c>
      <c r="E222" s="265">
        <f>D222*12/44</f>
        <v>0</v>
      </c>
      <c r="F222" s="185"/>
      <c r="G222" s="185"/>
      <c r="H222" s="568">
        <f>VLOOKUP($B222,'Emissions factors'!$B$1587:$M$1614,2,FALSE)</f>
        <v>4.8399999999999999E-2</v>
      </c>
      <c r="I222" s="211">
        <f>G222*H222</f>
        <v>0</v>
      </c>
      <c r="J222" s="42"/>
      <c r="X222" s="282">
        <f>VLOOKUP($B222,'Emissions factors'!$B$1587:$M$1614,12,FALSE)</f>
        <v>0.2</v>
      </c>
      <c r="Y222" s="186"/>
      <c r="Z222" s="211">
        <f>I222*SQRT(X222^2+Y222^2)</f>
        <v>0</v>
      </c>
      <c r="AF222" s="187"/>
      <c r="AG222" s="210">
        <f>AF222*I222</f>
        <v>0</v>
      </c>
      <c r="AH222" s="187"/>
      <c r="AI222" s="211">
        <f>AH222*I222</f>
        <v>0</v>
      </c>
      <c r="AS222" s="717">
        <f>G222*VLOOKUP($B222,'Emissions factors'!$B$1587:$M$1614,3,FALSE)</f>
        <v>0</v>
      </c>
      <c r="AT222" s="718">
        <f>G222*VLOOKUP($B222,'Emissions factors'!$B$1587:$M$1614,4,FALSE)</f>
        <v>0</v>
      </c>
      <c r="AU222" s="718">
        <f>G222*VLOOKUP($B222,'Emissions factors'!$B$1587:$M$1614,5,FALSE)</f>
        <v>0</v>
      </c>
      <c r="AV222" s="718">
        <v>0</v>
      </c>
      <c r="AW222" s="720">
        <f>I222</f>
        <v>0</v>
      </c>
      <c r="AX222" s="748">
        <f>G222*VLOOKUP($B222,'Emissions factors'!$B$1587:$M$1614,6,FALSE)</f>
        <v>0</v>
      </c>
    </row>
    <row r="223" spans="1:62" outlineLevel="1" x14ac:dyDescent="0.2">
      <c r="B223" s="554" t="s">
        <v>970</v>
      </c>
      <c r="C223" s="555"/>
      <c r="D223" s="262">
        <f>I223</f>
        <v>0</v>
      </c>
      <c r="E223" s="265">
        <f>D223*12/44</f>
        <v>0</v>
      </c>
      <c r="F223" s="188"/>
      <c r="G223" s="188"/>
      <c r="H223" s="568">
        <f>VLOOKUP($B223,'Emissions factors'!$B$1587:$M$1614,2,FALSE)</f>
        <v>6.6199999999999995E-2</v>
      </c>
      <c r="I223" s="211">
        <f>G223*H223</f>
        <v>0</v>
      </c>
      <c r="J223" s="42"/>
      <c r="X223" s="282">
        <f>VLOOKUP($B223,'Emissions factors'!$B$1587:$M$1614,12,FALSE)</f>
        <v>0.2</v>
      </c>
      <c r="Y223" s="189"/>
      <c r="Z223" s="211">
        <f>I223*SQRT(X223^2+Y223^2)</f>
        <v>0</v>
      </c>
      <c r="AF223" s="190"/>
      <c r="AG223" s="210">
        <f>AF223*I223</f>
        <v>0</v>
      </c>
      <c r="AH223" s="190"/>
      <c r="AI223" s="211">
        <f>AH223*I223</f>
        <v>0</v>
      </c>
      <c r="AS223" s="717">
        <f>G223*VLOOKUP($B223,'Emissions factors'!$B$1587:$M$1614,3,FALSE)</f>
        <v>0</v>
      </c>
      <c r="AT223" s="718">
        <f>G223*VLOOKUP($B223,'Emissions factors'!$B$1587:$M$1614,4,FALSE)</f>
        <v>0</v>
      </c>
      <c r="AU223" s="718">
        <f>G223*VLOOKUP($B223,'Emissions factors'!$B$1587:$M$1614,5,FALSE)</f>
        <v>0</v>
      </c>
      <c r="AV223" s="718">
        <v>0</v>
      </c>
      <c r="AW223" s="720">
        <f>I223</f>
        <v>0</v>
      </c>
      <c r="AX223" s="748">
        <f>G223*VLOOKUP($B223,'Emissions factors'!$B$1587:$M$1614,6,FALSE)</f>
        <v>0</v>
      </c>
    </row>
    <row r="224" spans="1:62" ht="12.75" customHeight="1" outlineLevel="1" x14ac:dyDescent="0.2">
      <c r="B224" s="200"/>
      <c r="C224" s="201"/>
      <c r="D224" s="263"/>
      <c r="E224" s="266"/>
      <c r="F224" s="201"/>
      <c r="G224" s="201"/>
      <c r="H224" s="201"/>
      <c r="I224" s="203"/>
      <c r="X224" s="200"/>
      <c r="Y224" s="201"/>
      <c r="Z224" s="222"/>
      <c r="AF224" s="200"/>
      <c r="AG224" s="504"/>
      <c r="AH224" s="201"/>
      <c r="AI224" s="222"/>
      <c r="AS224" s="717"/>
      <c r="AT224" s="718"/>
      <c r="AU224" s="718"/>
      <c r="AV224" s="718"/>
      <c r="AW224" s="720"/>
      <c r="AX224" s="749"/>
    </row>
    <row r="225" spans="1:62" outlineLevel="1" x14ac:dyDescent="0.2">
      <c r="B225" s="253" t="s">
        <v>2828</v>
      </c>
      <c r="C225" s="254"/>
      <c r="D225" s="264">
        <f>SUM(D221:D224)</f>
        <v>0</v>
      </c>
      <c r="E225" s="267">
        <f>SUM(E221:E224)</f>
        <v>0</v>
      </c>
      <c r="F225" s="255"/>
      <c r="G225" s="254"/>
      <c r="H225" s="254"/>
      <c r="I225" s="257">
        <f>SUM(I221:I224)</f>
        <v>0</v>
      </c>
      <c r="X225" s="258"/>
      <c r="Y225" s="256"/>
      <c r="Z225" s="257">
        <f>SQRT(SUMSQ(Z223:Z224))</f>
        <v>0</v>
      </c>
      <c r="AF225" s="258"/>
      <c r="AG225" s="259">
        <f>SUM(AG221:AG224)</f>
        <v>0</v>
      </c>
      <c r="AH225" s="256"/>
      <c r="AI225" s="257">
        <f>SUM(AI221:AI224)</f>
        <v>0</v>
      </c>
      <c r="AS225" s="724">
        <f t="shared" ref="AS225:AX225" si="44">SUM(AS221:AS224)</f>
        <v>0</v>
      </c>
      <c r="AT225" s="725">
        <f t="shared" si="44"/>
        <v>0</v>
      </c>
      <c r="AU225" s="725">
        <f t="shared" si="44"/>
        <v>0</v>
      </c>
      <c r="AV225" s="725">
        <f t="shared" si="44"/>
        <v>0</v>
      </c>
      <c r="AW225" s="727">
        <f t="shared" si="44"/>
        <v>0</v>
      </c>
      <c r="AX225" s="750">
        <f t="shared" si="44"/>
        <v>0</v>
      </c>
    </row>
    <row r="226" spans="1:62" outlineLevel="1" x14ac:dyDescent="0.2"/>
    <row r="228" spans="1:62" s="191" customFormat="1" ht="16" collapsed="1" x14ac:dyDescent="0.2">
      <c r="A228" s="40"/>
      <c r="B228" s="1795" t="s">
        <v>3066</v>
      </c>
      <c r="C228" s="1795"/>
      <c r="D228" s="1795"/>
      <c r="E228" s="1795"/>
      <c r="F228" s="1795"/>
      <c r="G228" s="1795"/>
      <c r="H228" s="1795"/>
      <c r="I228" s="1795"/>
      <c r="J228" s="1795"/>
      <c r="K228" s="1795"/>
      <c r="L228" s="1795"/>
      <c r="M228" s="1795"/>
      <c r="N228" s="1795"/>
      <c r="O228" s="1795"/>
      <c r="AS228" s="602"/>
      <c r="AT228" s="602"/>
      <c r="AU228" s="602"/>
      <c r="AV228" s="602"/>
      <c r="AW228" s="602"/>
      <c r="AX228" s="602"/>
      <c r="AY228" s="602"/>
      <c r="AZ228" s="602"/>
      <c r="BA228" s="602"/>
      <c r="BB228" s="602"/>
      <c r="BC228" s="602"/>
      <c r="BD228" s="602"/>
      <c r="BE228" s="751"/>
      <c r="BF228" s="751"/>
      <c r="BG228" s="751"/>
      <c r="BH228" s="751"/>
      <c r="BI228" s="751"/>
      <c r="BJ228" s="751"/>
    </row>
    <row r="229" spans="1:62" hidden="1" outlineLevel="1" x14ac:dyDescent="0.2">
      <c r="J229" s="32"/>
      <c r="W229" s="42"/>
    </row>
    <row r="230" spans="1:62" s="42" customFormat="1" hidden="1" outlineLevel="1" x14ac:dyDescent="0.2">
      <c r="A230" s="40"/>
      <c r="B230" s="195" t="s">
        <v>3059</v>
      </c>
      <c r="C230" s="196"/>
      <c r="D230" s="196"/>
      <c r="E230" s="196"/>
      <c r="F230" s="196"/>
      <c r="G230" s="198"/>
      <c r="H230" s="198"/>
      <c r="I230" s="198"/>
      <c r="J230" s="198"/>
      <c r="K230" s="198"/>
      <c r="L230" s="198"/>
      <c r="M230" s="198"/>
      <c r="N230" s="198"/>
      <c r="O230" s="198"/>
      <c r="P230" s="198"/>
      <c r="Q230" s="198"/>
      <c r="R230" s="198"/>
      <c r="S230" s="198"/>
      <c r="T230" s="198"/>
      <c r="U230" s="199"/>
      <c r="X230" s="1746" t="s">
        <v>723</v>
      </c>
      <c r="Y230" s="1747"/>
      <c r="Z230" s="1747"/>
      <c r="AA230" s="1747"/>
      <c r="AB230" s="1747"/>
      <c r="AC230" s="1748"/>
      <c r="AD230" s="40"/>
      <c r="AE230" s="40"/>
      <c r="AF230" s="1746" t="s">
        <v>2066</v>
      </c>
      <c r="AG230" s="1747"/>
      <c r="AH230" s="1747"/>
      <c r="AI230" s="1747"/>
      <c r="AJ230" s="1747"/>
      <c r="AK230" s="1747"/>
      <c r="AL230" s="1747"/>
      <c r="AM230" s="1747"/>
      <c r="AN230" s="1747"/>
      <c r="AO230" s="1748"/>
      <c r="AP230" s="40"/>
      <c r="AQ230" s="40"/>
      <c r="AR230" s="40"/>
      <c r="AS230" s="1755" t="s">
        <v>2073</v>
      </c>
      <c r="AT230" s="1756"/>
      <c r="AU230" s="1756"/>
      <c r="AV230" s="1756"/>
      <c r="AW230" s="1756"/>
      <c r="AX230" s="1756"/>
      <c r="AY230" s="1756"/>
      <c r="AZ230" s="1756"/>
      <c r="BA230" s="1756"/>
      <c r="BB230" s="1756"/>
      <c r="BC230" s="1756"/>
      <c r="BD230" s="1756"/>
      <c r="BE230" s="1756"/>
      <c r="BF230" s="1756"/>
      <c r="BG230" s="1756"/>
      <c r="BH230" s="1756"/>
      <c r="BI230" s="1756"/>
      <c r="BJ230" s="1757"/>
    </row>
    <row r="231" spans="1:62" hidden="1" outlineLevel="1" x14ac:dyDescent="0.2">
      <c r="B231" s="200"/>
      <c r="C231" s="201"/>
      <c r="D231" s="503"/>
      <c r="E231" s="503"/>
      <c r="F231" s="539"/>
      <c r="G231" s="201"/>
      <c r="H231" s="201"/>
      <c r="I231" s="201"/>
      <c r="J231" s="201"/>
      <c r="K231" s="201"/>
      <c r="L231" s="201"/>
      <c r="M231" s="201"/>
      <c r="N231" s="201"/>
      <c r="O231" s="201"/>
      <c r="P231" s="201"/>
      <c r="Q231" s="201"/>
      <c r="R231" s="201"/>
      <c r="S231" s="503"/>
      <c r="T231" s="503"/>
      <c r="U231" s="509"/>
      <c r="V231" s="42"/>
      <c r="X231" s="499"/>
      <c r="Y231" s="500"/>
      <c r="Z231" s="500"/>
      <c r="AA231" s="500"/>
      <c r="AB231" s="500"/>
      <c r="AC231" s="501"/>
      <c r="AF231" s="502"/>
      <c r="AG231" s="503"/>
      <c r="AH231" s="503"/>
      <c r="AI231" s="503"/>
      <c r="AJ231" s="504"/>
      <c r="AK231" s="503"/>
      <c r="AL231" s="503"/>
      <c r="AM231" s="503"/>
      <c r="AN231" s="503"/>
      <c r="AO231" s="218"/>
      <c r="AR231" s="32"/>
      <c r="AS231" s="1758" t="s">
        <v>61</v>
      </c>
      <c r="AT231" s="1759"/>
      <c r="AU231" s="1759"/>
      <c r="AV231" s="1759"/>
      <c r="AW231" s="1759"/>
      <c r="AX231" s="1759"/>
      <c r="AY231" s="1759"/>
      <c r="AZ231" s="1759"/>
      <c r="BA231" s="1759"/>
      <c r="BB231" s="1759"/>
      <c r="BC231" s="1759"/>
      <c r="BD231" s="1759"/>
      <c r="BE231" s="1759" t="s">
        <v>61</v>
      </c>
      <c r="BF231" s="1759"/>
      <c r="BG231" s="1760"/>
      <c r="BH231" s="730"/>
      <c r="BI231" s="785"/>
      <c r="BJ231" s="731"/>
    </row>
    <row r="232" spans="1:62" s="32" customFormat="1" hidden="1" outlineLevel="1" x14ac:dyDescent="0.2">
      <c r="A232" s="40"/>
      <c r="B232" s="507" t="s">
        <v>2944</v>
      </c>
      <c r="C232" s="504"/>
      <c r="D232" s="504" t="s">
        <v>56</v>
      </c>
      <c r="E232" s="504" t="s">
        <v>56</v>
      </c>
      <c r="F232" s="205" t="s">
        <v>2669</v>
      </c>
      <c r="G232" s="205" t="s">
        <v>2053</v>
      </c>
      <c r="H232" s="1744" t="s">
        <v>767</v>
      </c>
      <c r="I232" s="1835"/>
      <c r="J232" s="205" t="s">
        <v>2053</v>
      </c>
      <c r="K232" s="1744" t="s">
        <v>769</v>
      </c>
      <c r="L232" s="1835"/>
      <c r="M232" s="205" t="s">
        <v>2053</v>
      </c>
      <c r="N232" s="1744" t="s">
        <v>771</v>
      </c>
      <c r="O232" s="1835"/>
      <c r="P232" s="205" t="s">
        <v>2053</v>
      </c>
      <c r="Q232" s="1744" t="s">
        <v>770</v>
      </c>
      <c r="R232" s="1745"/>
      <c r="S232" s="503" t="s">
        <v>61</v>
      </c>
      <c r="T232" s="503" t="s">
        <v>61</v>
      </c>
      <c r="U232" s="509" t="s">
        <v>61</v>
      </c>
      <c r="V232" s="42"/>
      <c r="X232" s="1633" t="s">
        <v>2605</v>
      </c>
      <c r="Y232" s="504" t="s">
        <v>2110</v>
      </c>
      <c r="Z232" s="504" t="s">
        <v>61</v>
      </c>
      <c r="AA232" s="504" t="s">
        <v>61</v>
      </c>
      <c r="AB232" s="504" t="s">
        <v>61</v>
      </c>
      <c r="AC232" s="509" t="s">
        <v>61</v>
      </c>
      <c r="AF232" s="507" t="s">
        <v>2065</v>
      </c>
      <c r="AG232" s="504" t="s">
        <v>61</v>
      </c>
      <c r="AH232" s="504" t="s">
        <v>61</v>
      </c>
      <c r="AI232" s="504" t="s">
        <v>61</v>
      </c>
      <c r="AJ232" s="503" t="s">
        <v>61</v>
      </c>
      <c r="AK232" s="504" t="s">
        <v>2558</v>
      </c>
      <c r="AL232" s="504" t="s">
        <v>61</v>
      </c>
      <c r="AM232" s="504" t="s">
        <v>61</v>
      </c>
      <c r="AN232" s="504" t="s">
        <v>61</v>
      </c>
      <c r="AO232" s="509" t="s">
        <v>61</v>
      </c>
      <c r="AS232" s="1764" t="s">
        <v>14</v>
      </c>
      <c r="AT232" s="1761"/>
      <c r="AU232" s="1761"/>
      <c r="AV232" s="1761" t="s">
        <v>60</v>
      </c>
      <c r="AW232" s="1761"/>
      <c r="AX232" s="1761"/>
      <c r="AY232" s="1761" t="s">
        <v>27</v>
      </c>
      <c r="AZ232" s="1761"/>
      <c r="BA232" s="1761"/>
      <c r="BB232" s="1761" t="s">
        <v>2074</v>
      </c>
      <c r="BC232" s="1761"/>
      <c r="BD232" s="1761"/>
      <c r="BE232" s="1762" t="s">
        <v>41</v>
      </c>
      <c r="BF232" s="1762"/>
      <c r="BG232" s="1763"/>
      <c r="BH232" s="1764" t="s">
        <v>85</v>
      </c>
      <c r="BI232" s="1761"/>
      <c r="BJ232" s="1765"/>
    </row>
    <row r="233" spans="1:62" s="32" customFormat="1" hidden="1" outlineLevel="1" x14ac:dyDescent="0.2">
      <c r="A233" s="40"/>
      <c r="B233" s="507"/>
      <c r="C233" s="504"/>
      <c r="D233" s="504" t="s">
        <v>61</v>
      </c>
      <c r="E233" s="504" t="s">
        <v>63</v>
      </c>
      <c r="F233" s="208" t="s">
        <v>2054</v>
      </c>
      <c r="G233" s="212" t="s">
        <v>34</v>
      </c>
      <c r="H233" s="506" t="s">
        <v>768</v>
      </c>
      <c r="I233" s="506" t="s">
        <v>24</v>
      </c>
      <c r="J233" s="208" t="s">
        <v>2061</v>
      </c>
      <c r="K233" s="506" t="s">
        <v>768</v>
      </c>
      <c r="L233" s="506" t="s">
        <v>24</v>
      </c>
      <c r="M233" s="212" t="s">
        <v>2059</v>
      </c>
      <c r="N233" s="506" t="s">
        <v>768</v>
      </c>
      <c r="O233" s="506" t="s">
        <v>24</v>
      </c>
      <c r="P233" s="212" t="s">
        <v>15</v>
      </c>
      <c r="Q233" s="506" t="s">
        <v>768</v>
      </c>
      <c r="R233" s="506" t="s">
        <v>24</v>
      </c>
      <c r="S233" s="505" t="s">
        <v>768</v>
      </c>
      <c r="T233" s="505" t="s">
        <v>24</v>
      </c>
      <c r="U233" s="274" t="s">
        <v>59</v>
      </c>
      <c r="V233" s="42"/>
      <c r="X233" s="1633" t="s">
        <v>2109</v>
      </c>
      <c r="Y233" s="504"/>
      <c r="Z233" s="506" t="s">
        <v>768</v>
      </c>
      <c r="AA233" s="506" t="s">
        <v>24</v>
      </c>
      <c r="AB233" s="506" t="s">
        <v>59</v>
      </c>
      <c r="AC233" s="509" t="s">
        <v>41</v>
      </c>
      <c r="AF233" s="507"/>
      <c r="AG233" s="506" t="s">
        <v>768</v>
      </c>
      <c r="AH233" s="506" t="s">
        <v>24</v>
      </c>
      <c r="AI233" s="506" t="s">
        <v>59</v>
      </c>
      <c r="AJ233" s="223" t="s">
        <v>41</v>
      </c>
      <c r="AK233" s="504"/>
      <c r="AL233" s="506" t="s">
        <v>768</v>
      </c>
      <c r="AM233" s="506" t="s">
        <v>24</v>
      </c>
      <c r="AN233" s="506" t="s">
        <v>59</v>
      </c>
      <c r="AO233" s="219" t="s">
        <v>41</v>
      </c>
      <c r="AR233" s="40"/>
      <c r="AS233" s="732" t="s">
        <v>768</v>
      </c>
      <c r="AT233" s="733" t="s">
        <v>24</v>
      </c>
      <c r="AU233" s="733" t="s">
        <v>59</v>
      </c>
      <c r="AV233" s="733" t="s">
        <v>768</v>
      </c>
      <c r="AW233" s="733" t="s">
        <v>24</v>
      </c>
      <c r="AX233" s="733" t="s">
        <v>59</v>
      </c>
      <c r="AY233" s="733" t="s">
        <v>768</v>
      </c>
      <c r="AZ233" s="733" t="s">
        <v>24</v>
      </c>
      <c r="BA233" s="733" t="s">
        <v>59</v>
      </c>
      <c r="BB233" s="733" t="s">
        <v>768</v>
      </c>
      <c r="BC233" s="733" t="s">
        <v>24</v>
      </c>
      <c r="BD233" s="733" t="s">
        <v>59</v>
      </c>
      <c r="BE233" s="734" t="s">
        <v>768</v>
      </c>
      <c r="BF233" s="734" t="s">
        <v>24</v>
      </c>
      <c r="BG233" s="735" t="s">
        <v>59</v>
      </c>
      <c r="BH233" s="732" t="s">
        <v>768</v>
      </c>
      <c r="BI233" s="733" t="s">
        <v>24</v>
      </c>
      <c r="BJ233" s="736" t="s">
        <v>59</v>
      </c>
    </row>
    <row r="234" spans="1:62" hidden="1" outlineLevel="1" x14ac:dyDescent="0.2">
      <c r="B234" s="200" t="s">
        <v>812</v>
      </c>
      <c r="C234" s="201"/>
      <c r="D234" s="262">
        <f>SUM(S234:U234)</f>
        <v>0</v>
      </c>
      <c r="E234" s="265">
        <f>D234*12/44</f>
        <v>0</v>
      </c>
      <c r="F234" s="182"/>
      <c r="G234" s="182"/>
      <c r="H234" s="271">
        <f>VLOOKUP($B234,'Emissions factors'!$B$84:$K$147,2,FALSE)</f>
        <v>665.2</v>
      </c>
      <c r="I234" s="271">
        <f>VLOOKUP($B234,'Emissions factors'!$B$84:$K$147,3,FALSE)</f>
        <v>3160.98</v>
      </c>
      <c r="J234" s="182"/>
      <c r="K234" s="277">
        <f>VLOOKUP($B234,'Emissions factors'!$B$84:$K$147,4,FALSE)</f>
        <v>5.5E-2</v>
      </c>
      <c r="L234" s="277">
        <f>VLOOKUP($B234,'Emissions factors'!$B$84:$K$147,5,FALSE)</f>
        <v>0.257913</v>
      </c>
      <c r="M234" s="182"/>
      <c r="N234" s="271">
        <f>VLOOKUP($B234,'Emissions factors'!$B$84:$K$147,6,FALSE)</f>
        <v>634.20000000000005</v>
      </c>
      <c r="O234" s="271">
        <f>VLOOKUP($B234,'Emissions factors'!$B$84:$K$147,7,FALSE)</f>
        <v>3010.46</v>
      </c>
      <c r="P234" s="182"/>
      <c r="Q234" s="277">
        <f>VLOOKUP($B234,'Emissions factors'!$B$84:$K$147,8,FALSE)</f>
        <v>0.5323</v>
      </c>
      <c r="R234" s="277">
        <f>VLOOKUP($B234,'Emissions factors'!$B$84:$K$147,9,FALSE)</f>
        <v>2.52</v>
      </c>
      <c r="S234" s="210">
        <f>G234*H234+J234*K234+M234*N234+P234*Q234</f>
        <v>0</v>
      </c>
      <c r="T234" s="210">
        <f>G234*I234+J234*L234+M234*O234+P234*R234</f>
        <v>0</v>
      </c>
      <c r="U234" s="211">
        <f>T234*'Emissions factors'!$C$1619</f>
        <v>0</v>
      </c>
      <c r="V234" s="42"/>
      <c r="X234" s="282">
        <f>VLOOKUP($B234,'Emissions factors'!$B$84:$K$147,10,FALSE)</f>
        <v>0.05</v>
      </c>
      <c r="Y234" s="183"/>
      <c r="Z234" s="435">
        <f>S234*SQRT(X234^2+Y234^2)</f>
        <v>0</v>
      </c>
      <c r="AA234" s="435">
        <f>T234*SQRT(X234^2+Y234^2)</f>
        <v>0</v>
      </c>
      <c r="AB234" s="221">
        <f>U234*SQRT(X234^2+Y234^2)</f>
        <v>0</v>
      </c>
      <c r="AC234" s="211">
        <f>SQRT(SUMSQ(Z234:AB234))</f>
        <v>0</v>
      </c>
      <c r="AF234" s="184"/>
      <c r="AG234" s="224">
        <f>S234*AF234</f>
        <v>0</v>
      </c>
      <c r="AH234" s="224">
        <f>T234*AF234</f>
        <v>0</v>
      </c>
      <c r="AI234" s="224">
        <f>U234*AF234</f>
        <v>0</v>
      </c>
      <c r="AJ234" s="210">
        <f>SUM(AG234:AI234)</f>
        <v>0</v>
      </c>
      <c r="AK234" s="184"/>
      <c r="AL234" s="435">
        <f>AK234*S234</f>
        <v>0</v>
      </c>
      <c r="AM234" s="435">
        <f>AK234*T234</f>
        <v>0</v>
      </c>
      <c r="AN234" s="224">
        <f>U234*AK234</f>
        <v>0</v>
      </c>
      <c r="AO234" s="211">
        <f>SUM(AL234:AN234)</f>
        <v>0</v>
      </c>
      <c r="AS234" s="717">
        <f>G234*VLOOKUP($B234,'Emissions factors'!$B$84:$AQ$147,11,FALSE)+J234*VLOOKUP($B234,'Emissions factors'!$B$84:$AQ$147,13,FALSE)+M234*VLOOKUP($B234,'Emissions factors'!$B$84:$AQ$147,15,FALSE)+P234*VLOOKUP($B234,'Emissions factors'!$B$84:$AQ$147,17,FALSE)</f>
        <v>0</v>
      </c>
      <c r="AT234" s="718">
        <f>G234*VLOOKUP($B234,'Emissions factors'!$B$84:$AQ$147,12,FALSE)+J234*VLOOKUP($B234,'Emissions factors'!$B$84:$AQ$147,14,FALSE)+M234*VLOOKUP($B234,'Emissions factors'!$B$84:$AQ$147,16,FALSE)+P234*VLOOKUP($B234,'Emissions factors'!$B$84:$AQ$147,18,FALSE)</f>
        <v>0</v>
      </c>
      <c r="AU234" s="718"/>
      <c r="AV234" s="718">
        <f>G234*VLOOKUP($B234,'Emissions factors'!$B$84:$AQ$147,19,FALSE)+J234*VLOOKUP($B234,'Emissions factors'!$B$84:$AQ$147,21,FALSE)+M234*VLOOKUP($B234,'Emissions factors'!$B$84:$AQ$147,23,FALSE)+P234*VLOOKUP($B234,'Emissions factors'!$B$84:$AQ$147,25,FALSE)</f>
        <v>0</v>
      </c>
      <c r="AW234" s="718">
        <f>G234*VLOOKUP($B234,'Emissions factors'!$B$84:$AQ$147,20,FALSE)+J234*VLOOKUP($B234,'Emissions factors'!$B$84:$AQ$147,22,FALSE)+M234*VLOOKUP($B234,'Emissions factors'!$B$84:$AQ$147,24,FALSE)+P234*VLOOKUP($B234,'Emissions factors'!$B$84:$AQ$147,26,FALSE)</f>
        <v>0</v>
      </c>
      <c r="AX234" s="718"/>
      <c r="AY234" s="718">
        <f>G234*VLOOKUP($B234,'Emissions factors'!$B$84:$AQ$147,27,FALSE)+J234*VLOOKUP($B234,'Emissions factors'!$B$84:$AQ$147,29,FALSE)+M234*VLOOKUP($B234,'Emissions factors'!$B$84:$AQ$147,31,FALSE)+P234*VLOOKUP($B234,'Emissions factors'!$B$84:$AQ$147,33,FALSE)</f>
        <v>0</v>
      </c>
      <c r="AZ234" s="718">
        <f>G234*VLOOKUP($B234,'Emissions factors'!$B$84:$AQ$147,28,FALSE)+J234*VLOOKUP($B234,'Emissions factors'!$B$84:$AQ$147,30,FALSE)+M234*VLOOKUP($B234,'Emissions factors'!$B$84:$AQ$147,32,FALSE)+P234*VLOOKUP($B234,'Emissions factors'!$B$84:$AQ$147,34,FALSE)</f>
        <v>0</v>
      </c>
      <c r="BA234" s="718"/>
      <c r="BB234" s="718"/>
      <c r="BC234" s="718"/>
      <c r="BD234" s="718">
        <f>U234</f>
        <v>0</v>
      </c>
      <c r="BE234" s="719">
        <f t="shared" ref="BE234:BG236" si="45">S234</f>
        <v>0</v>
      </c>
      <c r="BF234" s="719">
        <f t="shared" si="45"/>
        <v>0</v>
      </c>
      <c r="BG234" s="720">
        <f t="shared" si="45"/>
        <v>0</v>
      </c>
      <c r="BH234" s="717">
        <f>G234*VLOOKUP($B234,'Emissions factors'!$B$84:$AQ$147,35,FALSE)+J234*VLOOKUP($B234,'Emissions factors'!$B$84:$AQ$147,37,FALSE)+M234*VLOOKUP($B234,'Emissions factors'!$B$84:$AQ$147,39,FALSE)+P234*VLOOKUP($B234,'Emissions factors'!$B$84:$AQ$147,41,FALSE)</f>
        <v>0</v>
      </c>
      <c r="BI234" s="718">
        <f>G234*VLOOKUP($B234,'Emissions factors'!$B$84:$AQ$147,36,FALSE)+J234*VLOOKUP($B234,'Emissions factors'!$B$84:$AQ$147,38,FALSE)+M234*VLOOKUP($B234,'Emissions factors'!$B$84:$AQ$147,40,FALSE)+P234*VLOOKUP($B234,'Emissions factors'!$B$84:$AQ$147,42,FALSE)</f>
        <v>0</v>
      </c>
      <c r="BJ234" s="721"/>
    </row>
    <row r="235" spans="1:62" hidden="1" outlineLevel="1" x14ac:dyDescent="0.2">
      <c r="B235" s="200" t="s">
        <v>798</v>
      </c>
      <c r="C235" s="201"/>
      <c r="D235" s="262">
        <f>SUM(S235:U235)</f>
        <v>0</v>
      </c>
      <c r="E235" s="265">
        <f>D235*12/44</f>
        <v>0</v>
      </c>
      <c r="F235" s="185"/>
      <c r="G235" s="185"/>
      <c r="H235" s="271">
        <f>VLOOKUP($B235,'Emissions factors'!$B$84:$K$147,2,FALSE)</f>
        <v>634.20000000000005</v>
      </c>
      <c r="I235" s="271">
        <f>VLOOKUP($B235,'Emissions factors'!$B$84:$K$147,3,FALSE)</f>
        <v>3160.46</v>
      </c>
      <c r="J235" s="185"/>
      <c r="K235" s="277">
        <f>VLOOKUP($B235,'Emissions factors'!$B$84:$K$147,4,FALSE)</f>
        <v>5.4399999999999997E-2</v>
      </c>
      <c r="L235" s="277">
        <f>VLOOKUP($B235,'Emissions factors'!$B$84:$K$147,5,FALSE)</f>
        <v>0.258913</v>
      </c>
      <c r="M235" s="185"/>
      <c r="N235" s="271">
        <f>VLOOKUP($B235,'Emissions factors'!$B$84:$K$147,6,FALSE)</f>
        <v>634.20000000000005</v>
      </c>
      <c r="O235" s="271">
        <f>VLOOKUP($B235,'Emissions factors'!$B$84:$K$147,7,FALSE)</f>
        <v>3020.46</v>
      </c>
      <c r="P235" s="185"/>
      <c r="Q235" s="277">
        <f>VLOOKUP($B235,'Emissions factors'!$B$84:$K$147,8,FALSE)</f>
        <v>0.53129999999999999</v>
      </c>
      <c r="R235" s="277">
        <f>VLOOKUP($B235,'Emissions factors'!$B$84:$K$147,9,FALSE)</f>
        <v>2.48</v>
      </c>
      <c r="S235" s="210">
        <f>G235*H235+J235*K235+M235*N235+P235*Q235</f>
        <v>0</v>
      </c>
      <c r="T235" s="210">
        <f>G235*I235+J235*L235+M235*O235+P235*R235</f>
        <v>0</v>
      </c>
      <c r="U235" s="211">
        <f>T235*'Emissions factors'!$C$1619</f>
        <v>0</v>
      </c>
      <c r="V235" s="42"/>
      <c r="X235" s="282">
        <f>VLOOKUP($B235,'Emissions factors'!$B$84:$K$147,10,FALSE)</f>
        <v>0.05</v>
      </c>
      <c r="Y235" s="186"/>
      <c r="Z235" s="435">
        <f>S235*SQRT(X235^2+Y235^2)</f>
        <v>0</v>
      </c>
      <c r="AA235" s="435">
        <f>T235*SQRT(X235^2+Y235^2)</f>
        <v>0</v>
      </c>
      <c r="AB235" s="221">
        <f>U235*SQRT(X235^2+Y235^2)</f>
        <v>0</v>
      </c>
      <c r="AC235" s="211">
        <f>SQRT(SUMSQ(Z235:AB235))</f>
        <v>0</v>
      </c>
      <c r="AF235" s="187"/>
      <c r="AG235" s="224">
        <f>S235*AF235</f>
        <v>0</v>
      </c>
      <c r="AH235" s="224">
        <f>T235*AF235</f>
        <v>0</v>
      </c>
      <c r="AI235" s="224">
        <f>U235*AF235</f>
        <v>0</v>
      </c>
      <c r="AJ235" s="210">
        <f>SUM(AG235:AI235)</f>
        <v>0</v>
      </c>
      <c r="AK235" s="187"/>
      <c r="AL235" s="435">
        <f>AK235*S235</f>
        <v>0</v>
      </c>
      <c r="AM235" s="435">
        <f>AK235*T235</f>
        <v>0</v>
      </c>
      <c r="AN235" s="224">
        <f>U235*AK235</f>
        <v>0</v>
      </c>
      <c r="AO235" s="211">
        <f>SUM(AL235:AN235)</f>
        <v>0</v>
      </c>
      <c r="AS235" s="717">
        <f>G235*VLOOKUP($B235,'Emissions factors'!$B$84:$AQ$147,11,FALSE)+J235*VLOOKUP($B235,'Emissions factors'!$B$84:$AQ$147,13,FALSE)+M235*VLOOKUP($B235,'Emissions factors'!$B$84:$AQ$147,15,FALSE)+P235*VLOOKUP($B235,'Emissions factors'!$B$84:$AQ$147,17,FALSE)</f>
        <v>0</v>
      </c>
      <c r="AT235" s="718">
        <f>G235*VLOOKUP($B235,'Emissions factors'!$B$84:$AQ$147,12,FALSE)+J235*VLOOKUP($B235,'Emissions factors'!$B$84:$AQ$147,14,FALSE)+M235*VLOOKUP($B235,'Emissions factors'!$B$84:$AQ$147,16,FALSE)+P235*VLOOKUP($B235,'Emissions factors'!$B$84:$AQ$147,18,FALSE)</f>
        <v>0</v>
      </c>
      <c r="AU235" s="718"/>
      <c r="AV235" s="718">
        <f>G235*VLOOKUP($B235,'Emissions factors'!$B$84:$AQ$147,19,FALSE)+J235*VLOOKUP($B235,'Emissions factors'!$B$84:$AQ$147,21,FALSE)+M235*VLOOKUP($B235,'Emissions factors'!$B$84:$AQ$147,23,FALSE)+P235*VLOOKUP($B235,'Emissions factors'!$B$84:$AQ$147,25,FALSE)</f>
        <v>0</v>
      </c>
      <c r="AW235" s="718">
        <f>G235*VLOOKUP($B235,'Emissions factors'!$B$84:$AQ$147,20,FALSE)+J235*VLOOKUP($B235,'Emissions factors'!$B$84:$AQ$147,22,FALSE)+M235*VLOOKUP($B235,'Emissions factors'!$B$84:$AQ$147,24,FALSE)+P235*VLOOKUP($B235,'Emissions factors'!$B$84:$AQ$147,26,FALSE)</f>
        <v>0</v>
      </c>
      <c r="AX235" s="718"/>
      <c r="AY235" s="718">
        <f>G235*VLOOKUP($B235,'Emissions factors'!$B$84:$AQ$147,27,FALSE)+J235*VLOOKUP($B235,'Emissions factors'!$B$84:$AQ$147,29,FALSE)+M235*VLOOKUP($B235,'Emissions factors'!$B$84:$AQ$147,31,FALSE)+P235*VLOOKUP($B235,'Emissions factors'!$B$84:$AQ$147,33,FALSE)</f>
        <v>0</v>
      </c>
      <c r="AZ235" s="718">
        <f>G235*VLOOKUP($B235,'Emissions factors'!$B$84:$AQ$147,28,FALSE)+J235*VLOOKUP($B235,'Emissions factors'!$B$84:$AQ$147,30,FALSE)+M235*VLOOKUP($B235,'Emissions factors'!$B$84:$AQ$147,32,FALSE)+P235*VLOOKUP($B235,'Emissions factors'!$B$84:$AQ$147,34,FALSE)</f>
        <v>0</v>
      </c>
      <c r="BA235" s="718"/>
      <c r="BB235" s="718"/>
      <c r="BC235" s="718"/>
      <c r="BD235" s="718">
        <f>U235</f>
        <v>0</v>
      </c>
      <c r="BE235" s="719">
        <f t="shared" si="45"/>
        <v>0</v>
      </c>
      <c r="BF235" s="719">
        <f t="shared" si="45"/>
        <v>0</v>
      </c>
      <c r="BG235" s="720">
        <f t="shared" si="45"/>
        <v>0</v>
      </c>
      <c r="BH235" s="717">
        <f>G235*VLOOKUP($B235,'Emissions factors'!$B$84:$AQ$147,35,FALSE)+J235*VLOOKUP($B235,'Emissions factors'!$B$84:$AQ$147,37,FALSE)+M235*VLOOKUP($B235,'Emissions factors'!$B$84:$AQ$147,39,FALSE)+P235*VLOOKUP($B235,'Emissions factors'!$B$84:$AQ$147,41,FALSE)</f>
        <v>0</v>
      </c>
      <c r="BI235" s="718">
        <f>G235*VLOOKUP($B235,'Emissions factors'!$B$84:$AQ$147,36,FALSE)+J235*VLOOKUP($B235,'Emissions factors'!$B$84:$AQ$147,38,FALSE)+M235*VLOOKUP($B235,'Emissions factors'!$B$84:$AQ$147,40,FALSE)+P235*VLOOKUP($B235,'Emissions factors'!$B$84:$AQ$147,42,FALSE)</f>
        <v>0</v>
      </c>
      <c r="BJ235" s="721"/>
    </row>
    <row r="236" spans="1:62" hidden="1" outlineLevel="1" x14ac:dyDescent="0.2">
      <c r="B236" s="200" t="s">
        <v>797</v>
      </c>
      <c r="C236" s="201"/>
      <c r="D236" s="262">
        <f>SUM(S236:U236)</f>
        <v>0</v>
      </c>
      <c r="E236" s="265">
        <f>D236*12/44</f>
        <v>0</v>
      </c>
      <c r="F236" s="188"/>
      <c r="G236" s="188"/>
      <c r="H236" s="271">
        <f>VLOOKUP($B236,'Emissions factors'!$B$84:$K$147,2,FALSE)</f>
        <v>668.5</v>
      </c>
      <c r="I236" s="271">
        <f>VLOOKUP($B236,'Emissions factors'!$B$84:$K$147,3,FALSE)</f>
        <v>3111.04</v>
      </c>
      <c r="J236" s="188"/>
      <c r="K236" s="277">
        <f>VLOOKUP($B236,'Emissions factors'!$B$84:$K$147,4,FALSE)</f>
        <v>5.5E-2</v>
      </c>
      <c r="L236" s="277">
        <f>VLOOKUP($B236,'Emissions factors'!$B$84:$K$147,5,FALSE)</f>
        <v>0.252913</v>
      </c>
      <c r="M236" s="188"/>
      <c r="N236" s="271">
        <f>VLOOKUP($B236,'Emissions factors'!$B$84:$K$147,6,FALSE)</f>
        <v>634.20000000000005</v>
      </c>
      <c r="O236" s="271">
        <f>VLOOKUP($B236,'Emissions factors'!$B$84:$K$147,7,FALSE)</f>
        <v>2950.46</v>
      </c>
      <c r="P236" s="188"/>
      <c r="Q236" s="277">
        <f>VLOOKUP($B236,'Emissions factors'!$B$84:$K$147,8,FALSE)</f>
        <v>0.53459999999999996</v>
      </c>
      <c r="R236" s="277">
        <f>VLOOKUP($B236,'Emissions factors'!$B$84:$K$147,9,FALSE)</f>
        <v>2.48</v>
      </c>
      <c r="S236" s="210">
        <f>G236*H236+J236*K236+M236*N236+P236*Q236</f>
        <v>0</v>
      </c>
      <c r="T236" s="210">
        <f>G236*I236+J236*L236+M236*O236+P236*R236</f>
        <v>0</v>
      </c>
      <c r="U236" s="211">
        <f>T236*'Emissions factors'!$C$1619</f>
        <v>0</v>
      </c>
      <c r="V236" s="42"/>
      <c r="X236" s="282">
        <f>VLOOKUP($B236,'Emissions factors'!$B$84:$K$147,10,FALSE)</f>
        <v>0.05</v>
      </c>
      <c r="Y236" s="189"/>
      <c r="Z236" s="435">
        <f>S236*SQRT(X236^2+Y236^2)</f>
        <v>0</v>
      </c>
      <c r="AA236" s="435">
        <f>T236*SQRT(X236^2+Y236^2)</f>
        <v>0</v>
      </c>
      <c r="AB236" s="221">
        <f>U236*SQRT(X236^2+Y236^2)</f>
        <v>0</v>
      </c>
      <c r="AC236" s="211">
        <f>SQRT(SUMSQ(Z236:AB236))</f>
        <v>0</v>
      </c>
      <c r="AF236" s="190"/>
      <c r="AG236" s="224">
        <f>S236*AF236</f>
        <v>0</v>
      </c>
      <c r="AH236" s="224">
        <f>T236*AF236</f>
        <v>0</v>
      </c>
      <c r="AI236" s="224">
        <f>U236*AF236</f>
        <v>0</v>
      </c>
      <c r="AJ236" s="210">
        <f>SUM(AG236:AI236)</f>
        <v>0</v>
      </c>
      <c r="AK236" s="190"/>
      <c r="AL236" s="435">
        <f>AK236*S236</f>
        <v>0</v>
      </c>
      <c r="AM236" s="435">
        <f>AK236*T236</f>
        <v>0</v>
      </c>
      <c r="AN236" s="224">
        <f>U236*AK236</f>
        <v>0</v>
      </c>
      <c r="AO236" s="211">
        <f>SUM(AL236:AN236)</f>
        <v>0</v>
      </c>
      <c r="AR236" s="42"/>
      <c r="AS236" s="717">
        <f>G236*VLOOKUP($B236,'Emissions factors'!$B$84:$AQ$147,11,FALSE)+J236*VLOOKUP($B236,'Emissions factors'!$B$84:$AQ$147,13,FALSE)+M236*VLOOKUP($B236,'Emissions factors'!$B$84:$AQ$147,15,FALSE)+P236*VLOOKUP($B236,'Emissions factors'!$B$84:$AQ$147,17,FALSE)</f>
        <v>0</v>
      </c>
      <c r="AT236" s="718">
        <f>G236*VLOOKUP($B236,'Emissions factors'!$B$84:$AQ$147,12,FALSE)+J236*VLOOKUP($B236,'Emissions factors'!$B$84:$AQ$147,14,FALSE)+M236*VLOOKUP($B236,'Emissions factors'!$B$84:$AQ$147,16,FALSE)+P236*VLOOKUP($B236,'Emissions factors'!$B$84:$AQ$147,18,FALSE)</f>
        <v>0</v>
      </c>
      <c r="AU236" s="718"/>
      <c r="AV236" s="718">
        <f>G236*VLOOKUP($B236,'Emissions factors'!$B$84:$AQ$147,19,FALSE)+J236*VLOOKUP($B236,'Emissions factors'!$B$84:$AQ$147,21,FALSE)+M236*VLOOKUP($B236,'Emissions factors'!$B$84:$AQ$147,23,FALSE)+P236*VLOOKUP($B236,'Emissions factors'!$B$84:$AQ$147,25,FALSE)</f>
        <v>0</v>
      </c>
      <c r="AW236" s="718">
        <f>G236*VLOOKUP($B236,'Emissions factors'!$B$84:$AQ$147,20,FALSE)+J236*VLOOKUP($B236,'Emissions factors'!$B$84:$AQ$147,22,FALSE)+M236*VLOOKUP($B236,'Emissions factors'!$B$84:$AQ$147,24,FALSE)+P236*VLOOKUP($B236,'Emissions factors'!$B$84:$AQ$147,26,FALSE)</f>
        <v>0</v>
      </c>
      <c r="AX236" s="718"/>
      <c r="AY236" s="718">
        <f>G236*VLOOKUP($B236,'Emissions factors'!$B$84:$AQ$147,27,FALSE)+J236*VLOOKUP($B236,'Emissions factors'!$B$84:$AQ$147,29,FALSE)+M236*VLOOKUP($B236,'Emissions factors'!$B$84:$AQ$147,31,FALSE)+P236*VLOOKUP($B236,'Emissions factors'!$B$84:$AQ$147,33,FALSE)</f>
        <v>0</v>
      </c>
      <c r="AZ236" s="718">
        <f>G236*VLOOKUP($B236,'Emissions factors'!$B$84:$AQ$147,28,FALSE)+J236*VLOOKUP($B236,'Emissions factors'!$B$84:$AQ$147,30,FALSE)+M236*VLOOKUP($B236,'Emissions factors'!$B$84:$AQ$147,32,FALSE)+P236*VLOOKUP($B236,'Emissions factors'!$B$84:$AQ$147,34,FALSE)</f>
        <v>0</v>
      </c>
      <c r="BA236" s="718"/>
      <c r="BB236" s="718"/>
      <c r="BC236" s="718"/>
      <c r="BD236" s="718">
        <f>U236</f>
        <v>0</v>
      </c>
      <c r="BE236" s="719">
        <f t="shared" si="45"/>
        <v>0</v>
      </c>
      <c r="BF236" s="719">
        <f t="shared" si="45"/>
        <v>0</v>
      </c>
      <c r="BG236" s="720">
        <f t="shared" si="45"/>
        <v>0</v>
      </c>
      <c r="BH236" s="717">
        <f>G236*VLOOKUP($B236,'Emissions factors'!$B$84:$AQ$147,35,FALSE)+J236*VLOOKUP($B236,'Emissions factors'!$B$84:$AQ$147,37,FALSE)+M236*VLOOKUP($B236,'Emissions factors'!$B$84:$AQ$147,39,FALSE)+P236*VLOOKUP($B236,'Emissions factors'!$B$84:$AQ$147,41,FALSE)</f>
        <v>0</v>
      </c>
      <c r="BI236" s="718">
        <f>G236*VLOOKUP($B236,'Emissions factors'!$B$84:$AQ$147,36,FALSE)+J236*VLOOKUP($B236,'Emissions factors'!$B$84:$AQ$147,38,FALSE)+M236*VLOOKUP($B236,'Emissions factors'!$B$84:$AQ$147,40,FALSE)+P236*VLOOKUP($B236,'Emissions factors'!$B$84:$AQ$147,42,FALSE)</f>
        <v>0</v>
      </c>
      <c r="BJ236" s="721"/>
    </row>
    <row r="237" spans="1:62" hidden="1" outlineLevel="1" x14ac:dyDescent="0.2">
      <c r="B237" s="200"/>
      <c r="C237" s="201"/>
      <c r="D237" s="263"/>
      <c r="E237" s="266"/>
      <c r="F237" s="201"/>
      <c r="G237" s="201"/>
      <c r="H237" s="201"/>
      <c r="I237" s="201"/>
      <c r="J237" s="201"/>
      <c r="K237" s="201"/>
      <c r="L237" s="201"/>
      <c r="M237" s="201"/>
      <c r="N237" s="201"/>
      <c r="O237" s="201"/>
      <c r="P237" s="201"/>
      <c r="Q237" s="201"/>
      <c r="R237" s="201"/>
      <c r="S237" s="201"/>
      <c r="T237" s="201"/>
      <c r="U237" s="211"/>
      <c r="V237" s="42"/>
      <c r="X237" s="213"/>
      <c r="Y237" s="214"/>
      <c r="Z237" s="214"/>
      <c r="AA237" s="413"/>
      <c r="AB237" s="227"/>
      <c r="AC237" s="466"/>
      <c r="AD237" s="42"/>
      <c r="AF237" s="213"/>
      <c r="AG237" s="214"/>
      <c r="AH237" s="214"/>
      <c r="AI237" s="413"/>
      <c r="AJ237" s="413"/>
      <c r="AK237" s="214"/>
      <c r="AL237" s="214"/>
      <c r="AM237" s="214"/>
      <c r="AN237" s="227"/>
      <c r="AO237" s="543"/>
      <c r="AS237" s="717"/>
      <c r="AT237" s="718"/>
      <c r="AU237" s="718"/>
      <c r="AV237" s="718"/>
      <c r="AW237" s="718"/>
      <c r="AX237" s="718"/>
      <c r="AY237" s="718"/>
      <c r="AZ237" s="718"/>
      <c r="BA237" s="718"/>
      <c r="BB237" s="718"/>
      <c r="BC237" s="718"/>
      <c r="BD237" s="718"/>
      <c r="BE237" s="719"/>
      <c r="BF237" s="719"/>
      <c r="BG237" s="720"/>
      <c r="BH237" s="722"/>
      <c r="BI237" s="786"/>
      <c r="BJ237" s="723"/>
    </row>
    <row r="238" spans="1:62" hidden="1" outlineLevel="1" x14ac:dyDescent="0.2">
      <c r="B238" s="253" t="s">
        <v>2828</v>
      </c>
      <c r="C238" s="254"/>
      <c r="D238" s="264">
        <f>SUM(D234:D237)</f>
        <v>0</v>
      </c>
      <c r="E238" s="267">
        <f>SUM(E234:E237)</f>
        <v>0</v>
      </c>
      <c r="F238" s="255"/>
      <c r="G238" s="256"/>
      <c r="H238" s="256"/>
      <c r="I238" s="256"/>
      <c r="J238" s="256"/>
      <c r="K238" s="256"/>
      <c r="L238" s="256"/>
      <c r="M238" s="256"/>
      <c r="N238" s="256"/>
      <c r="O238" s="256"/>
      <c r="P238" s="256"/>
      <c r="Q238" s="256"/>
      <c r="R238" s="256"/>
      <c r="S238" s="259">
        <f>SUM(S234:S237)</f>
        <v>0</v>
      </c>
      <c r="T238" s="259">
        <f>SUM(T234:T237)</f>
        <v>0</v>
      </c>
      <c r="U238" s="257">
        <f>SUM(U234:U237)</f>
        <v>0</v>
      </c>
      <c r="V238" s="42"/>
      <c r="X238" s="258"/>
      <c r="Y238" s="256"/>
      <c r="Z238" s="260">
        <f>SQRT(SUMSQ(Z234:Z237))</f>
        <v>0</v>
      </c>
      <c r="AA238" s="260">
        <f>SQRT(SUMSQ(AA234:AA237))</f>
        <v>0</v>
      </c>
      <c r="AB238" s="260">
        <f>SQRT(SUMSQ(AB234:AB237))</f>
        <v>0</v>
      </c>
      <c r="AC238" s="257">
        <f>SQRT(SUMSQ(AC234:AC237))</f>
        <v>0</v>
      </c>
      <c r="AD238" s="42"/>
      <c r="AF238" s="258"/>
      <c r="AG238" s="490">
        <f>SUM(AG234:AG237)</f>
        <v>0</v>
      </c>
      <c r="AH238" s="490">
        <f>SUM(AH234:AH237)</f>
        <v>0</v>
      </c>
      <c r="AI238" s="260">
        <f>SUM(AI234:AI237)</f>
        <v>0</v>
      </c>
      <c r="AJ238" s="259">
        <f>SUM(AJ234:AJ237)</f>
        <v>0</v>
      </c>
      <c r="AK238" s="256"/>
      <c r="AL238" s="260">
        <f>SUM(AL234:AL237)</f>
        <v>0</v>
      </c>
      <c r="AM238" s="260">
        <f>SUM(AM234:AM237)</f>
        <v>0</v>
      </c>
      <c r="AN238" s="260">
        <f>SUM(AN234:AN237)</f>
        <v>0</v>
      </c>
      <c r="AO238" s="257">
        <f>SUM(AO234:AO237)</f>
        <v>0</v>
      </c>
      <c r="AS238" s="724">
        <f t="shared" ref="AS238:BJ238" si="46">SUM(AS234:AS237)</f>
        <v>0</v>
      </c>
      <c r="AT238" s="725">
        <f t="shared" si="46"/>
        <v>0</v>
      </c>
      <c r="AU238" s="725">
        <f t="shared" si="46"/>
        <v>0</v>
      </c>
      <c r="AV238" s="725">
        <f t="shared" si="46"/>
        <v>0</v>
      </c>
      <c r="AW238" s="725">
        <f t="shared" si="46"/>
        <v>0</v>
      </c>
      <c r="AX238" s="725">
        <f t="shared" si="46"/>
        <v>0</v>
      </c>
      <c r="AY238" s="725">
        <f t="shared" si="46"/>
        <v>0</v>
      </c>
      <c r="AZ238" s="725">
        <f t="shared" si="46"/>
        <v>0</v>
      </c>
      <c r="BA238" s="725">
        <f t="shared" si="46"/>
        <v>0</v>
      </c>
      <c r="BB238" s="725">
        <f t="shared" si="46"/>
        <v>0</v>
      </c>
      <c r="BC238" s="725">
        <f t="shared" si="46"/>
        <v>0</v>
      </c>
      <c r="BD238" s="725">
        <f t="shared" si="46"/>
        <v>0</v>
      </c>
      <c r="BE238" s="726">
        <f t="shared" si="46"/>
        <v>0</v>
      </c>
      <c r="BF238" s="726">
        <f t="shared" si="46"/>
        <v>0</v>
      </c>
      <c r="BG238" s="727">
        <f t="shared" si="46"/>
        <v>0</v>
      </c>
      <c r="BH238" s="724">
        <f t="shared" si="46"/>
        <v>0</v>
      </c>
      <c r="BI238" s="725">
        <f t="shared" si="46"/>
        <v>0</v>
      </c>
      <c r="BJ238" s="728">
        <f t="shared" si="46"/>
        <v>0</v>
      </c>
    </row>
    <row r="239" spans="1:62" hidden="1" outlineLevel="1" x14ac:dyDescent="0.2"/>
    <row r="240" spans="1:62" hidden="1" outlineLevel="1" x14ac:dyDescent="0.2">
      <c r="B240" s="195" t="s">
        <v>3060</v>
      </c>
      <c r="C240" s="196"/>
      <c r="D240" s="196"/>
      <c r="E240" s="196"/>
      <c r="F240" s="557"/>
      <c r="G240" s="557"/>
      <c r="H240" s="557"/>
      <c r="I240" s="557"/>
      <c r="J240" s="557"/>
      <c r="K240" s="217"/>
      <c r="L240" s="217"/>
      <c r="M240" s="217"/>
      <c r="N240" s="218"/>
      <c r="X240" s="1746" t="s">
        <v>723</v>
      </c>
      <c r="Y240" s="1747"/>
      <c r="Z240" s="1747"/>
      <c r="AA240" s="1747"/>
      <c r="AB240" s="1747"/>
      <c r="AC240" s="1747"/>
      <c r="AD240" s="1748"/>
      <c r="AF240" s="1746" t="s">
        <v>2066</v>
      </c>
      <c r="AG240" s="1747"/>
      <c r="AH240" s="1747"/>
      <c r="AI240" s="1747"/>
      <c r="AJ240" s="1747"/>
      <c r="AK240" s="1747"/>
      <c r="AL240" s="1747"/>
      <c r="AM240" s="1747"/>
      <c r="AN240" s="1747"/>
      <c r="AO240" s="1747"/>
      <c r="AP240" s="1747"/>
      <c r="AQ240" s="1748"/>
      <c r="AS240" s="1755" t="s">
        <v>2073</v>
      </c>
      <c r="AT240" s="1756"/>
      <c r="AU240" s="1756"/>
      <c r="AV240" s="1756"/>
      <c r="AW240" s="1756"/>
      <c r="AX240" s="1756"/>
      <c r="AY240" s="1756"/>
      <c r="AZ240" s="1756"/>
      <c r="BA240" s="1756"/>
      <c r="BB240" s="1756"/>
      <c r="BC240" s="1756"/>
      <c r="BD240" s="1756"/>
      <c r="BE240" s="1756"/>
      <c r="BF240" s="1756"/>
      <c r="BG240" s="1756"/>
      <c r="BH240" s="1756"/>
      <c r="BI240" s="1756"/>
      <c r="BJ240" s="1757"/>
    </row>
    <row r="241" spans="2:62" hidden="1" outlineLevel="1" x14ac:dyDescent="0.2">
      <c r="B241" s="417"/>
      <c r="C241" s="225"/>
      <c r="D241" s="503"/>
      <c r="E241" s="503"/>
      <c r="F241" s="539"/>
      <c r="G241" s="539"/>
      <c r="H241" s="539"/>
      <c r="I241" s="539"/>
      <c r="J241" s="539"/>
      <c r="K241" s="503"/>
      <c r="L241" s="503"/>
      <c r="M241" s="503"/>
      <c r="N241" s="508" t="s">
        <v>2639</v>
      </c>
      <c r="X241" s="499"/>
      <c r="Y241" s="500"/>
      <c r="Z241" s="503"/>
      <c r="AA241" s="503"/>
      <c r="AB241" s="503"/>
      <c r="AC241" s="503"/>
      <c r="AD241" s="508" t="s">
        <v>2639</v>
      </c>
      <c r="AF241" s="502"/>
      <c r="AG241" s="503"/>
      <c r="AH241" s="503"/>
      <c r="AI241" s="503"/>
      <c r="AJ241" s="504"/>
      <c r="AK241" s="503" t="s">
        <v>2639</v>
      </c>
      <c r="AL241" s="503"/>
      <c r="AM241" s="503"/>
      <c r="AN241" s="503"/>
      <c r="AO241" s="503"/>
      <c r="AP241" s="504"/>
      <c r="AQ241" s="508" t="s">
        <v>2639</v>
      </c>
      <c r="AS241" s="1758" t="s">
        <v>61</v>
      </c>
      <c r="AT241" s="1759"/>
      <c r="AU241" s="1759"/>
      <c r="AV241" s="1759"/>
      <c r="AW241" s="1759"/>
      <c r="AX241" s="1759"/>
      <c r="AY241" s="1759"/>
      <c r="AZ241" s="1759"/>
      <c r="BA241" s="1759"/>
      <c r="BB241" s="1759"/>
      <c r="BC241" s="1759"/>
      <c r="BD241" s="1759"/>
      <c r="BE241" s="1759" t="s">
        <v>61</v>
      </c>
      <c r="BF241" s="1759"/>
      <c r="BG241" s="1760"/>
      <c r="BH241" s="730"/>
      <c r="BI241" s="785"/>
      <c r="BJ241" s="731"/>
    </row>
    <row r="242" spans="2:62" hidden="1" outlineLevel="1" x14ac:dyDescent="0.2">
      <c r="B242" s="507"/>
      <c r="C242" s="504"/>
      <c r="D242" s="504" t="s">
        <v>56</v>
      </c>
      <c r="E242" s="504" t="s">
        <v>56</v>
      </c>
      <c r="F242" s="205" t="s">
        <v>2669</v>
      </c>
      <c r="G242" s="205"/>
      <c r="H242" s="1744" t="s">
        <v>1457</v>
      </c>
      <c r="I242" s="1745"/>
      <c r="J242" s="1745"/>
      <c r="K242" s="503" t="s">
        <v>61</v>
      </c>
      <c r="L242" s="503" t="s">
        <v>61</v>
      </c>
      <c r="M242" s="503" t="s">
        <v>61</v>
      </c>
      <c r="N242" s="508" t="s">
        <v>30</v>
      </c>
      <c r="X242" s="1633" t="s">
        <v>2605</v>
      </c>
      <c r="Y242" s="504" t="s">
        <v>2110</v>
      </c>
      <c r="Z242" s="504" t="s">
        <v>61</v>
      </c>
      <c r="AA242" s="504" t="s">
        <v>61</v>
      </c>
      <c r="AB242" s="504" t="s">
        <v>61</v>
      </c>
      <c r="AC242" s="503" t="s">
        <v>61</v>
      </c>
      <c r="AD242" s="508" t="s">
        <v>30</v>
      </c>
      <c r="AF242" s="507" t="s">
        <v>2065</v>
      </c>
      <c r="AG242" s="504" t="s">
        <v>61</v>
      </c>
      <c r="AH242" s="504" t="s">
        <v>61</v>
      </c>
      <c r="AI242" s="504" t="s">
        <v>61</v>
      </c>
      <c r="AJ242" s="503" t="s">
        <v>61</v>
      </c>
      <c r="AK242" s="504" t="s">
        <v>30</v>
      </c>
      <c r="AL242" s="504" t="s">
        <v>2558</v>
      </c>
      <c r="AM242" s="504" t="s">
        <v>61</v>
      </c>
      <c r="AN242" s="504" t="s">
        <v>61</v>
      </c>
      <c r="AO242" s="504" t="s">
        <v>61</v>
      </c>
      <c r="AP242" s="503" t="s">
        <v>61</v>
      </c>
      <c r="AQ242" s="508" t="s">
        <v>30</v>
      </c>
      <c r="AS242" s="1764" t="s">
        <v>14</v>
      </c>
      <c r="AT242" s="1761"/>
      <c r="AU242" s="1761"/>
      <c r="AV242" s="1761" t="s">
        <v>60</v>
      </c>
      <c r="AW242" s="1761"/>
      <c r="AX242" s="1761"/>
      <c r="AY242" s="1761" t="s">
        <v>27</v>
      </c>
      <c r="AZ242" s="1761"/>
      <c r="BA242" s="1761"/>
      <c r="BB242" s="1761" t="s">
        <v>2074</v>
      </c>
      <c r="BC242" s="1761"/>
      <c r="BD242" s="1761"/>
      <c r="BE242" s="1762" t="s">
        <v>41</v>
      </c>
      <c r="BF242" s="1762"/>
      <c r="BG242" s="1763"/>
      <c r="BH242" s="1764" t="s">
        <v>85</v>
      </c>
      <c r="BI242" s="1761"/>
      <c r="BJ242" s="1765"/>
    </row>
    <row r="243" spans="2:62" hidden="1" outlineLevel="1" x14ac:dyDescent="0.2">
      <c r="B243" s="507"/>
      <c r="C243" s="504"/>
      <c r="D243" s="504" t="s">
        <v>61</v>
      </c>
      <c r="E243" s="504" t="s">
        <v>63</v>
      </c>
      <c r="F243" s="208" t="s">
        <v>2054</v>
      </c>
      <c r="G243" s="212" t="s">
        <v>2676</v>
      </c>
      <c r="H243" s="506" t="s">
        <v>768</v>
      </c>
      <c r="I243" s="506" t="s">
        <v>24</v>
      </c>
      <c r="J243" s="506" t="s">
        <v>59</v>
      </c>
      <c r="K243" s="505" t="s">
        <v>768</v>
      </c>
      <c r="L243" s="505" t="s">
        <v>24</v>
      </c>
      <c r="M243" s="505" t="s">
        <v>59</v>
      </c>
      <c r="N243" s="508" t="s">
        <v>61</v>
      </c>
      <c r="X243" s="1633" t="s">
        <v>2109</v>
      </c>
      <c r="Y243" s="504"/>
      <c r="Z243" s="506" t="s">
        <v>768</v>
      </c>
      <c r="AA243" s="506" t="s">
        <v>24</v>
      </c>
      <c r="AB243" s="506" t="s">
        <v>59</v>
      </c>
      <c r="AC243" s="503" t="s">
        <v>41</v>
      </c>
      <c r="AD243" s="508" t="s">
        <v>61</v>
      </c>
      <c r="AF243" s="507"/>
      <c r="AG243" s="506" t="s">
        <v>768</v>
      </c>
      <c r="AH243" s="506" t="s">
        <v>24</v>
      </c>
      <c r="AI243" s="506" t="s">
        <v>59</v>
      </c>
      <c r="AJ243" s="223" t="s">
        <v>41</v>
      </c>
      <c r="AK243" s="504" t="s">
        <v>61</v>
      </c>
      <c r="AL243" s="504"/>
      <c r="AM243" s="506" t="s">
        <v>768</v>
      </c>
      <c r="AN243" s="506" t="s">
        <v>24</v>
      </c>
      <c r="AO243" s="506" t="s">
        <v>59</v>
      </c>
      <c r="AP243" s="223" t="s">
        <v>41</v>
      </c>
      <c r="AQ243" s="508" t="s">
        <v>61</v>
      </c>
      <c r="AS243" s="732" t="s">
        <v>768</v>
      </c>
      <c r="AT243" s="733" t="s">
        <v>24</v>
      </c>
      <c r="AU243" s="733" t="s">
        <v>59</v>
      </c>
      <c r="AV243" s="733" t="s">
        <v>768</v>
      </c>
      <c r="AW243" s="733" t="s">
        <v>24</v>
      </c>
      <c r="AX243" s="733" t="s">
        <v>59</v>
      </c>
      <c r="AY243" s="733" t="s">
        <v>768</v>
      </c>
      <c r="AZ243" s="733" t="s">
        <v>24</v>
      </c>
      <c r="BA243" s="733" t="s">
        <v>59</v>
      </c>
      <c r="BB243" s="733" t="s">
        <v>768</v>
      </c>
      <c r="BC243" s="733" t="s">
        <v>24</v>
      </c>
      <c r="BD243" s="733" t="s">
        <v>59</v>
      </c>
      <c r="BE243" s="734" t="s">
        <v>768</v>
      </c>
      <c r="BF243" s="734" t="s">
        <v>24</v>
      </c>
      <c r="BG243" s="735" t="s">
        <v>59</v>
      </c>
      <c r="BH243" s="732" t="s">
        <v>768</v>
      </c>
      <c r="BI243" s="733" t="s">
        <v>24</v>
      </c>
      <c r="BJ243" s="736" t="s">
        <v>59</v>
      </c>
    </row>
    <row r="244" spans="2:62" hidden="1" outlineLevel="1" x14ac:dyDescent="0.2">
      <c r="B244" s="200" t="s">
        <v>1486</v>
      </c>
      <c r="C244" s="201"/>
      <c r="D244" s="262">
        <f>SUM(K244:M244)</f>
        <v>0</v>
      </c>
      <c r="E244" s="265">
        <f>D244*12/44</f>
        <v>0</v>
      </c>
      <c r="F244" s="559"/>
      <c r="G244" s="182"/>
      <c r="H244" s="272">
        <f>VLOOKUP($B244,'Emissions factors'!$B$1624:$N$1666,2,FALSE)</f>
        <v>6.5079999999999999E-2</v>
      </c>
      <c r="I244" s="272">
        <f>VLOOKUP($B244,'Emissions factors'!$B$1624:$N$1666,3,FALSE)</f>
        <v>0.309</v>
      </c>
      <c r="J244" s="272">
        <f>IF(LEFT(B244,8)="Régional",0,I244*'Emissions factors'!$C$1619)</f>
        <v>0.309</v>
      </c>
      <c r="K244" s="465">
        <f>G244*H244</f>
        <v>0</v>
      </c>
      <c r="L244" s="465">
        <f>G244*I244</f>
        <v>0</v>
      </c>
      <c r="M244" s="210">
        <f>G244*J244</f>
        <v>0</v>
      </c>
      <c r="N244" s="222">
        <f>IF(OR(F244='Info utili'!$I$532,F244='Info utili'!$I$537),L244,0)</f>
        <v>0</v>
      </c>
      <c r="X244" s="282">
        <f>VLOOKUP($B244,'Emissions factors'!$B$1624:$N$1666,12,FALSE)</f>
        <v>0.5</v>
      </c>
      <c r="Y244" s="183"/>
      <c r="Z244" s="221">
        <f>K244*SQRT(X244^2+Y244^2)</f>
        <v>0</v>
      </c>
      <c r="AA244" s="221">
        <f>L244*SQRT(X244^2+Y244^2)</f>
        <v>0</v>
      </c>
      <c r="AB244" s="221">
        <f>M244*SQRT(X244^2+Y244^2)</f>
        <v>0</v>
      </c>
      <c r="AC244" s="210">
        <f>SQRT(SUMSQ(Z244:AB244))</f>
        <v>0</v>
      </c>
      <c r="AD244" s="222">
        <f>N244*SQRT(X244^2+Y244^2)</f>
        <v>0</v>
      </c>
      <c r="AF244" s="184"/>
      <c r="AG244" s="221">
        <f>AF244*K244</f>
        <v>0</v>
      </c>
      <c r="AH244" s="221">
        <f>AF244*L244</f>
        <v>0</v>
      </c>
      <c r="AI244" s="221">
        <f>AF244*M244</f>
        <v>0</v>
      </c>
      <c r="AJ244" s="210">
        <f>SUM(AG244:AI244)</f>
        <v>0</v>
      </c>
      <c r="AK244" s="221">
        <f>AF244*N244</f>
        <v>0</v>
      </c>
      <c r="AL244" s="184"/>
      <c r="AM244" s="221">
        <f>AL244*K244</f>
        <v>0</v>
      </c>
      <c r="AN244" s="221">
        <f>AL244*L244</f>
        <v>0</v>
      </c>
      <c r="AO244" s="221">
        <f>AL244*M244</f>
        <v>0</v>
      </c>
      <c r="AP244" s="210">
        <f>SUM(AM244:AO244)</f>
        <v>0</v>
      </c>
      <c r="AQ244" s="222">
        <f>AL244*N244</f>
        <v>0</v>
      </c>
      <c r="AS244" s="717">
        <f>G244*VLOOKUP($B244,'Emissions factors'!$B$1624:$N$1666,4,FALSE)</f>
        <v>0</v>
      </c>
      <c r="AT244" s="718">
        <f>G244*VLOOKUP($B244,'Emissions factors'!$B$1624:$N$1666,5,FALSE)</f>
        <v>0</v>
      </c>
      <c r="AU244" s="718"/>
      <c r="AV244" s="718">
        <f>G244*VLOOKUP($B244,'Emissions factors'!$B$1624:$N$1666,6,FALSE)</f>
        <v>0</v>
      </c>
      <c r="AW244" s="718">
        <f>G244*VLOOKUP($B244,'Emissions factors'!$B$1624:$N$1666,7,FALSE)</f>
        <v>0</v>
      </c>
      <c r="AX244" s="718"/>
      <c r="AY244" s="718">
        <f>G244*VLOOKUP($B244,'Emissions factors'!$B$1624:$N$1666,8,FALSE)</f>
        <v>0</v>
      </c>
      <c r="AZ244" s="718">
        <f>G244*VLOOKUP($B244,'Emissions factors'!$B$1624:$N$1666,9,FALSE)</f>
        <v>0</v>
      </c>
      <c r="BA244" s="718"/>
      <c r="BB244" s="718"/>
      <c r="BC244" s="718"/>
      <c r="BD244" s="718">
        <f>M244</f>
        <v>0</v>
      </c>
      <c r="BE244" s="719">
        <f t="shared" ref="BE244:BG247" si="47">K244</f>
        <v>0</v>
      </c>
      <c r="BF244" s="719">
        <f t="shared" si="47"/>
        <v>0</v>
      </c>
      <c r="BG244" s="720">
        <f t="shared" si="47"/>
        <v>0</v>
      </c>
      <c r="BH244" s="717">
        <f>G244*VLOOKUP($B244,'Emissions factors'!$B$1624:$N$1666,10,FALSE)</f>
        <v>0</v>
      </c>
      <c r="BI244" s="718">
        <f>G244*VLOOKUP($B244,'Emissions factors'!$B$1624:$N$1666,11,FALSE)</f>
        <v>0</v>
      </c>
      <c r="BJ244" s="721"/>
    </row>
    <row r="245" spans="2:62" hidden="1" outlineLevel="1" x14ac:dyDescent="0.2">
      <c r="B245" s="200" t="s">
        <v>1328</v>
      </c>
      <c r="C245" s="201"/>
      <c r="D245" s="262">
        <f>SUM(K245:M245)</f>
        <v>0</v>
      </c>
      <c r="E245" s="265">
        <f>D245*12/44</f>
        <v>0</v>
      </c>
      <c r="F245" s="442"/>
      <c r="G245" s="185"/>
      <c r="H245" s="272">
        <f>VLOOKUP($B245,'Emissions factors'!$B$1624:$N$1666,2,FALSE)</f>
        <v>8.6330000000000004E-2</v>
      </c>
      <c r="I245" s="272">
        <f>VLOOKUP($B245,'Emissions factors'!$B$1624:$N$1666,3,FALSE)</f>
        <v>0.41</v>
      </c>
      <c r="J245" s="272">
        <f>IF(LEFT(B245,8)="Régional",0,I245*'Emissions factors'!$C$1619)</f>
        <v>0.41</v>
      </c>
      <c r="K245" s="465">
        <f>G245*H245</f>
        <v>0</v>
      </c>
      <c r="L245" s="465">
        <f>G245*I245</f>
        <v>0</v>
      </c>
      <c r="M245" s="210">
        <f>G245*J245</f>
        <v>0</v>
      </c>
      <c r="N245" s="222">
        <f>IF(OR(F245='Info utili'!$I$532,F245='Info utili'!$I$537),L245,0)</f>
        <v>0</v>
      </c>
      <c r="X245" s="282">
        <f>VLOOKUP($B245,'Emissions factors'!$B$1624:$N$1666,12,FALSE)</f>
        <v>0.5</v>
      </c>
      <c r="Y245" s="186"/>
      <c r="Z245" s="221">
        <f>K245*SQRT(X245^2+Y245^2)</f>
        <v>0</v>
      </c>
      <c r="AA245" s="221">
        <f>L245*SQRT(X245^2+Y245^2)</f>
        <v>0</v>
      </c>
      <c r="AB245" s="221">
        <f>M245*SQRT(X245^2+Y245^2)</f>
        <v>0</v>
      </c>
      <c r="AC245" s="210">
        <f>SQRT(SUMSQ(Z245:AB245))</f>
        <v>0</v>
      </c>
      <c r="AD245" s="222">
        <f>N245*SQRT(X245^2+Y245^2)</f>
        <v>0</v>
      </c>
      <c r="AF245" s="187"/>
      <c r="AG245" s="221">
        <f>AF245*K245</f>
        <v>0</v>
      </c>
      <c r="AH245" s="221">
        <f>AF245*L245</f>
        <v>0</v>
      </c>
      <c r="AI245" s="221">
        <f>AF245*M245</f>
        <v>0</v>
      </c>
      <c r="AJ245" s="210">
        <f>SUM(AG245:AI245)</f>
        <v>0</v>
      </c>
      <c r="AK245" s="221">
        <f>AF245*N245</f>
        <v>0</v>
      </c>
      <c r="AL245" s="187"/>
      <c r="AM245" s="221">
        <f>AL245*K245</f>
        <v>0</v>
      </c>
      <c r="AN245" s="221">
        <f>AL245*L245</f>
        <v>0</v>
      </c>
      <c r="AO245" s="221">
        <f>AL245*M245</f>
        <v>0</v>
      </c>
      <c r="AP245" s="210">
        <f>SUM(AM245:AO245)</f>
        <v>0</v>
      </c>
      <c r="AQ245" s="222">
        <f>AL245*N245</f>
        <v>0</v>
      </c>
      <c r="AS245" s="717">
        <f>G245*VLOOKUP($B245,'Emissions factors'!$B$1624:$N$1666,4,FALSE)</f>
        <v>0</v>
      </c>
      <c r="AT245" s="718">
        <f>G245*VLOOKUP($B245,'Emissions factors'!$B$1624:$N$1666,5,FALSE)</f>
        <v>0</v>
      </c>
      <c r="AU245" s="718"/>
      <c r="AV245" s="718">
        <f>G245*VLOOKUP($B245,'Emissions factors'!$B$1624:$N$1666,6,FALSE)</f>
        <v>0</v>
      </c>
      <c r="AW245" s="718">
        <f>G245*VLOOKUP($B245,'Emissions factors'!$B$1624:$N$1666,7,FALSE)</f>
        <v>0</v>
      </c>
      <c r="AX245" s="718"/>
      <c r="AY245" s="718">
        <f>G245*VLOOKUP($B245,'Emissions factors'!$B$1624:$N$1666,8,FALSE)</f>
        <v>0</v>
      </c>
      <c r="AZ245" s="718">
        <f>G245*VLOOKUP($B245,'Emissions factors'!$B$1624:$N$1666,9,FALSE)</f>
        <v>0</v>
      </c>
      <c r="BA245" s="718"/>
      <c r="BB245" s="718"/>
      <c r="BC245" s="718"/>
      <c r="BD245" s="718">
        <f>M245</f>
        <v>0</v>
      </c>
      <c r="BE245" s="719">
        <f t="shared" si="47"/>
        <v>0</v>
      </c>
      <c r="BF245" s="719">
        <f t="shared" si="47"/>
        <v>0</v>
      </c>
      <c r="BG245" s="720">
        <f t="shared" si="47"/>
        <v>0</v>
      </c>
      <c r="BH245" s="717">
        <f>G245*VLOOKUP($B245,'Emissions factors'!$B$1624:$N$1666,10,FALSE)</f>
        <v>0</v>
      </c>
      <c r="BI245" s="718">
        <f>G245*VLOOKUP($B245,'Emissions factors'!$B$1624:$N$1666,11,FALSE)</f>
        <v>0</v>
      </c>
      <c r="BJ245" s="721"/>
    </row>
    <row r="246" spans="2:62" hidden="1" outlineLevel="1" x14ac:dyDescent="0.2">
      <c r="B246" s="200" t="s">
        <v>1332</v>
      </c>
      <c r="C246" s="201"/>
      <c r="D246" s="262">
        <f>SUM(K246:M246)</f>
        <v>0</v>
      </c>
      <c r="E246" s="265">
        <f>D246*12/44</f>
        <v>0</v>
      </c>
      <c r="F246" s="442"/>
      <c r="G246" s="185"/>
      <c r="H246" s="272">
        <f>VLOOKUP($B246,'Emissions factors'!$B$1624:$N$1666,2,FALSE)</f>
        <v>1.992E-2</v>
      </c>
      <c r="I246" s="272">
        <f>VLOOKUP($B246,'Emissions factors'!$B$1624:$N$1666,3,FALSE)</f>
        <v>9.4600000000000004E-2</v>
      </c>
      <c r="J246" s="272">
        <f>IF(LEFT(B246,8)="Régional",0,I246*'Emissions factors'!$C$1619)</f>
        <v>9.4600000000000004E-2</v>
      </c>
      <c r="K246" s="465">
        <f>G246*H246</f>
        <v>0</v>
      </c>
      <c r="L246" s="465">
        <f>G246*I246</f>
        <v>0</v>
      </c>
      <c r="M246" s="210">
        <f>G246*J246</f>
        <v>0</v>
      </c>
      <c r="N246" s="222">
        <f>IF(OR(F246='Info utili'!$I$532,F246='Info utili'!$I$537),L246,0)</f>
        <v>0</v>
      </c>
      <c r="X246" s="282">
        <f>VLOOKUP($B246,'Emissions factors'!$B$1624:$N$1666,12,FALSE)</f>
        <v>0.5</v>
      </c>
      <c r="Y246" s="186"/>
      <c r="Z246" s="221">
        <f>K246*SQRT(X246^2+Y246^2)</f>
        <v>0</v>
      </c>
      <c r="AA246" s="221">
        <f>L246*SQRT(X246^2+Y246^2)</f>
        <v>0</v>
      </c>
      <c r="AB246" s="221">
        <f>M246*SQRT(X246^2+Y246^2)</f>
        <v>0</v>
      </c>
      <c r="AC246" s="210">
        <f>SQRT(SUMSQ(Z246:AB246))</f>
        <v>0</v>
      </c>
      <c r="AD246" s="222">
        <f>N246*SQRT(X246^2+Y246^2)</f>
        <v>0</v>
      </c>
      <c r="AF246" s="187"/>
      <c r="AG246" s="221">
        <f>AF246*K246</f>
        <v>0</v>
      </c>
      <c r="AH246" s="221">
        <f>AF246*L246</f>
        <v>0</v>
      </c>
      <c r="AI246" s="221">
        <f>AF246*M246</f>
        <v>0</v>
      </c>
      <c r="AJ246" s="210">
        <f>SUM(AG246:AI246)</f>
        <v>0</v>
      </c>
      <c r="AK246" s="221">
        <f>AF246*N246</f>
        <v>0</v>
      </c>
      <c r="AL246" s="187"/>
      <c r="AM246" s="221">
        <f>AL246*K246</f>
        <v>0</v>
      </c>
      <c r="AN246" s="221">
        <f>AL246*L246</f>
        <v>0</v>
      </c>
      <c r="AO246" s="221">
        <f>AL246*M246</f>
        <v>0</v>
      </c>
      <c r="AP246" s="210">
        <f>SUM(AM246:AO246)</f>
        <v>0</v>
      </c>
      <c r="AQ246" s="222">
        <f>AL246*N246</f>
        <v>0</v>
      </c>
      <c r="AS246" s="717">
        <f>G246*VLOOKUP($B246,'Emissions factors'!$B$1624:$N$1666,4,FALSE)</f>
        <v>0</v>
      </c>
      <c r="AT246" s="718">
        <f>G246*VLOOKUP($B246,'Emissions factors'!$B$1624:$N$1666,5,FALSE)</f>
        <v>0</v>
      </c>
      <c r="AU246" s="718"/>
      <c r="AV246" s="718">
        <f>G246*VLOOKUP($B246,'Emissions factors'!$B$1624:$N$1666,6,FALSE)</f>
        <v>0</v>
      </c>
      <c r="AW246" s="718">
        <f>G246*VLOOKUP($B246,'Emissions factors'!$B$1624:$N$1666,7,FALSE)</f>
        <v>0</v>
      </c>
      <c r="AX246" s="718"/>
      <c r="AY246" s="718">
        <f>G246*VLOOKUP($B246,'Emissions factors'!$B$1624:$N$1666,8,FALSE)</f>
        <v>0</v>
      </c>
      <c r="AZ246" s="718">
        <f>G246*VLOOKUP($B246,'Emissions factors'!$B$1624:$N$1666,9,FALSE)</f>
        <v>0</v>
      </c>
      <c r="BA246" s="718"/>
      <c r="BB246" s="718"/>
      <c r="BC246" s="718"/>
      <c r="BD246" s="718">
        <f>M246</f>
        <v>0</v>
      </c>
      <c r="BE246" s="719">
        <f t="shared" si="47"/>
        <v>0</v>
      </c>
      <c r="BF246" s="719">
        <f t="shared" si="47"/>
        <v>0</v>
      </c>
      <c r="BG246" s="720">
        <f t="shared" si="47"/>
        <v>0</v>
      </c>
      <c r="BH246" s="717">
        <f>G246*VLOOKUP($B246,'Emissions factors'!$B$1624:$N$1666,10,FALSE)</f>
        <v>0</v>
      </c>
      <c r="BI246" s="718">
        <f>G246*VLOOKUP($B246,'Emissions factors'!$B$1624:$N$1666,11,FALSE)</f>
        <v>0</v>
      </c>
      <c r="BJ246" s="721"/>
    </row>
    <row r="247" spans="2:62" hidden="1" outlineLevel="1" x14ac:dyDescent="0.2">
      <c r="B247" s="200" t="s">
        <v>1336</v>
      </c>
      <c r="C247" s="201"/>
      <c r="D247" s="262">
        <f>SUM(K247:M247)</f>
        <v>0</v>
      </c>
      <c r="E247" s="265">
        <f>D247*12/44</f>
        <v>0</v>
      </c>
      <c r="F247" s="443"/>
      <c r="G247" s="188"/>
      <c r="H247" s="272">
        <f>VLOOKUP($B247,'Emissions factors'!$B$1624:$N$1666,2,FALSE)</f>
        <v>2.1920000000000002E-2</v>
      </c>
      <c r="I247" s="272">
        <f>VLOOKUP($B247,'Emissions factors'!$B$1624:$N$1666,3,FALSE)</f>
        <v>0.104</v>
      </c>
      <c r="J247" s="272">
        <f>IF(LEFT(B247,8)="Régional",0,I247*'Emissions factors'!$C$1619)</f>
        <v>0.104</v>
      </c>
      <c r="K247" s="465">
        <f>G247*H247</f>
        <v>0</v>
      </c>
      <c r="L247" s="465">
        <f>G247*I247</f>
        <v>0</v>
      </c>
      <c r="M247" s="210">
        <f>G247*J247</f>
        <v>0</v>
      </c>
      <c r="N247" s="222">
        <f>IF(OR(F247='Info utili'!$I$532,F247='Info utili'!$I$537),L247,0)</f>
        <v>0</v>
      </c>
      <c r="X247" s="282">
        <f>VLOOKUP($B247,'Emissions factors'!$B$1624:$N$1666,12,FALSE)</f>
        <v>0.5</v>
      </c>
      <c r="Y247" s="189"/>
      <c r="Z247" s="221">
        <f>K247*SQRT(X247^2+Y247^2)</f>
        <v>0</v>
      </c>
      <c r="AA247" s="221">
        <f>L247*SQRT(X247^2+Y247^2)</f>
        <v>0</v>
      </c>
      <c r="AB247" s="221">
        <f>M247*SQRT(X247^2+Y247^2)</f>
        <v>0</v>
      </c>
      <c r="AC247" s="210">
        <f>SQRT(SUMSQ(Z247:AB247))</f>
        <v>0</v>
      </c>
      <c r="AD247" s="222">
        <f>N247*SQRT(X247^2+Y247^2)</f>
        <v>0</v>
      </c>
      <c r="AF247" s="190"/>
      <c r="AG247" s="221">
        <f>AF247*K247</f>
        <v>0</v>
      </c>
      <c r="AH247" s="221">
        <f>AF247*L247</f>
        <v>0</v>
      </c>
      <c r="AI247" s="221">
        <f>AF247*M247</f>
        <v>0</v>
      </c>
      <c r="AJ247" s="210">
        <f>SUM(AG247:AI247)</f>
        <v>0</v>
      </c>
      <c r="AK247" s="221">
        <f>AF247*N247</f>
        <v>0</v>
      </c>
      <c r="AL247" s="190"/>
      <c r="AM247" s="221">
        <f>AL247*K247</f>
        <v>0</v>
      </c>
      <c r="AN247" s="221">
        <f>AL247*L247</f>
        <v>0</v>
      </c>
      <c r="AO247" s="221">
        <f>AL247*M247</f>
        <v>0</v>
      </c>
      <c r="AP247" s="210">
        <f>SUM(AM247:AO247)</f>
        <v>0</v>
      </c>
      <c r="AQ247" s="222">
        <f>AL247*N247</f>
        <v>0</v>
      </c>
      <c r="AS247" s="717">
        <f>G247*VLOOKUP($B247,'Emissions factors'!$B$1624:$N$1666,4,FALSE)</f>
        <v>0</v>
      </c>
      <c r="AT247" s="718">
        <f>G247*VLOOKUP($B247,'Emissions factors'!$B$1624:$N$1666,5,FALSE)</f>
        <v>0</v>
      </c>
      <c r="AU247" s="718"/>
      <c r="AV247" s="718">
        <f>G247*VLOOKUP($B247,'Emissions factors'!$B$1624:$N$1666,6,FALSE)</f>
        <v>0</v>
      </c>
      <c r="AW247" s="718">
        <f>G247*VLOOKUP($B247,'Emissions factors'!$B$1624:$N$1666,7,FALSE)</f>
        <v>0</v>
      </c>
      <c r="AX247" s="718"/>
      <c r="AY247" s="718">
        <f>G247*VLOOKUP($B247,'Emissions factors'!$B$1624:$N$1666,8,FALSE)</f>
        <v>0</v>
      </c>
      <c r="AZ247" s="718">
        <f>G247*VLOOKUP($B247,'Emissions factors'!$B$1624:$N$1666,9,FALSE)</f>
        <v>0</v>
      </c>
      <c r="BA247" s="718"/>
      <c r="BB247" s="718"/>
      <c r="BC247" s="718"/>
      <c r="BD247" s="718">
        <f>M247</f>
        <v>0</v>
      </c>
      <c r="BE247" s="719">
        <f t="shared" si="47"/>
        <v>0</v>
      </c>
      <c r="BF247" s="719">
        <f t="shared" si="47"/>
        <v>0</v>
      </c>
      <c r="BG247" s="720">
        <f t="shared" si="47"/>
        <v>0</v>
      </c>
      <c r="BH247" s="717">
        <f>G247*VLOOKUP($B247,'Emissions factors'!$B$1624:$N$1666,10,FALSE)</f>
        <v>0</v>
      </c>
      <c r="BI247" s="718">
        <f>G247*VLOOKUP($B247,'Emissions factors'!$B$1624:$N$1666,11,FALSE)</f>
        <v>0</v>
      </c>
      <c r="BJ247" s="721"/>
    </row>
    <row r="248" spans="2:62" ht="12.75" hidden="1" customHeight="1" outlineLevel="1" x14ac:dyDescent="0.2">
      <c r="B248" s="200"/>
      <c r="C248" s="201"/>
      <c r="D248" s="263"/>
      <c r="E248" s="266"/>
      <c r="F248" s="201"/>
      <c r="G248" s="201"/>
      <c r="H248" s="201"/>
      <c r="I248" s="201"/>
      <c r="J248" s="201"/>
      <c r="K248" s="201"/>
      <c r="L248" s="201"/>
      <c r="M248" s="201"/>
      <c r="N248" s="203"/>
      <c r="X248" s="200"/>
      <c r="Y248" s="201"/>
      <c r="Z248" s="201"/>
      <c r="AA248" s="201"/>
      <c r="AB248" s="201"/>
      <c r="AC248" s="210"/>
      <c r="AD248" s="211"/>
      <c r="AF248" s="200"/>
      <c r="AG248" s="201"/>
      <c r="AH248" s="201"/>
      <c r="AI248" s="201"/>
      <c r="AJ248" s="413"/>
      <c r="AK248" s="504"/>
      <c r="AL248" s="201"/>
      <c r="AM248" s="201"/>
      <c r="AN248" s="201"/>
      <c r="AO248" s="221"/>
      <c r="AP248" s="413"/>
      <c r="AQ248" s="222"/>
      <c r="AS248" s="717"/>
      <c r="AT248" s="718"/>
      <c r="AU248" s="718"/>
      <c r="AV248" s="718"/>
      <c r="AW248" s="718"/>
      <c r="AX248" s="718"/>
      <c r="AY248" s="718"/>
      <c r="AZ248" s="718"/>
      <c r="BA248" s="718"/>
      <c r="BB248" s="718"/>
      <c r="BC248" s="718"/>
      <c r="BD248" s="718"/>
      <c r="BE248" s="719"/>
      <c r="BF248" s="719"/>
      <c r="BG248" s="720"/>
      <c r="BH248" s="722"/>
      <c r="BI248" s="786"/>
      <c r="BJ248" s="723"/>
    </row>
    <row r="249" spans="2:62" hidden="1" outlineLevel="1" x14ac:dyDescent="0.2">
      <c r="B249" s="253" t="s">
        <v>2828</v>
      </c>
      <c r="C249" s="254"/>
      <c r="D249" s="264">
        <f>SUM(D244:D248)</f>
        <v>0</v>
      </c>
      <c r="E249" s="267">
        <f>SUM(E244:E248)</f>
        <v>0</v>
      </c>
      <c r="F249" s="254"/>
      <c r="G249" s="254"/>
      <c r="H249" s="254"/>
      <c r="I249" s="254"/>
      <c r="J249" s="254"/>
      <c r="K249" s="259">
        <f>SUM(K244:K248)</f>
        <v>0</v>
      </c>
      <c r="L249" s="259">
        <f>SUM(L244:L248)</f>
        <v>0</v>
      </c>
      <c r="M249" s="259">
        <f>SUM(M244:M248)</f>
        <v>0</v>
      </c>
      <c r="N249" s="428">
        <f>SUM(N244:N248)</f>
        <v>0</v>
      </c>
      <c r="X249" s="258"/>
      <c r="Y249" s="256"/>
      <c r="Z249" s="260">
        <f>SQRT(SUMSQ(Z244:Z248))</f>
        <v>0</v>
      </c>
      <c r="AA249" s="260">
        <f>SQRT(SUMSQ(AA244:AA248))</f>
        <v>0</v>
      </c>
      <c r="AB249" s="260">
        <f>SQRT(SUMSQ(AB244:AB248))</f>
        <v>0</v>
      </c>
      <c r="AC249" s="259">
        <f>SQRT(SUMSQ(AC244:AC248))</f>
        <v>0</v>
      </c>
      <c r="AD249" s="428">
        <f>SQRT(SUMSQ(AD244:AD248))</f>
        <v>0</v>
      </c>
      <c r="AF249" s="258"/>
      <c r="AG249" s="260">
        <f>SUM(AG244:AG248)</f>
        <v>0</v>
      </c>
      <c r="AH249" s="260">
        <f>SUM(AH244:AH248)</f>
        <v>0</v>
      </c>
      <c r="AI249" s="260">
        <f>SUM(AI244:AI248)</f>
        <v>0</v>
      </c>
      <c r="AJ249" s="259">
        <f>SUM(AJ244:AJ248)</f>
        <v>0</v>
      </c>
      <c r="AK249" s="260">
        <f>SUM(AK244:AK248)</f>
        <v>0</v>
      </c>
      <c r="AL249" s="256"/>
      <c r="AM249" s="260">
        <f>SUM(AM244:AM248)</f>
        <v>0</v>
      </c>
      <c r="AN249" s="260">
        <f>SUM(AN244:AN248)</f>
        <v>0</v>
      </c>
      <c r="AO249" s="260">
        <f>SUM(AO244:AO248)</f>
        <v>0</v>
      </c>
      <c r="AP249" s="259">
        <f>SUM(AP244:AP248)</f>
        <v>0</v>
      </c>
      <c r="AQ249" s="428">
        <f>SUM(AQ244:AQ248)</f>
        <v>0</v>
      </c>
      <c r="AS249" s="724">
        <f t="shared" ref="AS249:BJ249" si="48">SUM(AS244:AS248)</f>
        <v>0</v>
      </c>
      <c r="AT249" s="725">
        <f t="shared" si="48"/>
        <v>0</v>
      </c>
      <c r="AU249" s="725">
        <f t="shared" si="48"/>
        <v>0</v>
      </c>
      <c r="AV249" s="725">
        <f t="shared" si="48"/>
        <v>0</v>
      </c>
      <c r="AW249" s="725">
        <f t="shared" si="48"/>
        <v>0</v>
      </c>
      <c r="AX249" s="725">
        <f t="shared" si="48"/>
        <v>0</v>
      </c>
      <c r="AY249" s="725">
        <f t="shared" si="48"/>
        <v>0</v>
      </c>
      <c r="AZ249" s="725">
        <f t="shared" si="48"/>
        <v>0</v>
      </c>
      <c r="BA249" s="725">
        <f t="shared" si="48"/>
        <v>0</v>
      </c>
      <c r="BB249" s="725">
        <f t="shared" si="48"/>
        <v>0</v>
      </c>
      <c r="BC249" s="725">
        <f t="shared" si="48"/>
        <v>0</v>
      </c>
      <c r="BD249" s="725">
        <f t="shared" si="48"/>
        <v>0</v>
      </c>
      <c r="BE249" s="726">
        <f t="shared" si="48"/>
        <v>0</v>
      </c>
      <c r="BF249" s="726">
        <f t="shared" si="48"/>
        <v>0</v>
      </c>
      <c r="BG249" s="727">
        <f t="shared" si="48"/>
        <v>0</v>
      </c>
      <c r="BH249" s="724">
        <f t="shared" si="48"/>
        <v>0</v>
      </c>
      <c r="BI249" s="725">
        <f t="shared" si="48"/>
        <v>0</v>
      </c>
      <c r="BJ249" s="728">
        <f t="shared" si="48"/>
        <v>0</v>
      </c>
    </row>
    <row r="250" spans="2:62" ht="16" hidden="1" outlineLevel="1" x14ac:dyDescent="0.2">
      <c r="AV250" s="751"/>
      <c r="AW250" s="751"/>
      <c r="AX250" s="751"/>
      <c r="AY250" s="751"/>
      <c r="AZ250" s="751"/>
      <c r="BA250" s="751"/>
    </row>
    <row r="251" spans="2:62" hidden="1" outlineLevel="1" x14ac:dyDescent="0.2">
      <c r="B251" s="195" t="s">
        <v>3061</v>
      </c>
      <c r="C251" s="196"/>
      <c r="D251" s="500"/>
      <c r="E251" s="500"/>
      <c r="F251" s="196"/>
      <c r="G251" s="198"/>
      <c r="H251" s="198"/>
      <c r="I251" s="198"/>
      <c r="J251" s="558"/>
      <c r="K251" s="557"/>
      <c r="L251" s="557"/>
      <c r="M251" s="217"/>
      <c r="N251" s="217"/>
      <c r="O251" s="217"/>
      <c r="P251" s="218"/>
      <c r="X251" s="1746" t="s">
        <v>723</v>
      </c>
      <c r="Y251" s="1747"/>
      <c r="Z251" s="1747"/>
      <c r="AA251" s="1747"/>
      <c r="AB251" s="1747"/>
      <c r="AC251" s="1747"/>
      <c r="AD251" s="1748"/>
      <c r="AF251" s="1746" t="s">
        <v>2066</v>
      </c>
      <c r="AG251" s="1747"/>
      <c r="AH251" s="1747"/>
      <c r="AI251" s="1747"/>
      <c r="AJ251" s="1747"/>
      <c r="AK251" s="1747"/>
      <c r="AL251" s="1747"/>
      <c r="AM251" s="1747"/>
      <c r="AN251" s="1747"/>
      <c r="AO251" s="1747"/>
      <c r="AP251" s="1747"/>
      <c r="AQ251" s="1748"/>
      <c r="AS251" s="1755" t="s">
        <v>2073</v>
      </c>
      <c r="AT251" s="1756"/>
      <c r="AU251" s="1756"/>
      <c r="AV251" s="1756"/>
      <c r="AW251" s="1756"/>
      <c r="AX251" s="1756"/>
      <c r="AY251" s="1756"/>
      <c r="AZ251" s="1756"/>
      <c r="BA251" s="1756"/>
      <c r="BB251" s="1756"/>
      <c r="BC251" s="1756"/>
      <c r="BD251" s="1756"/>
      <c r="BE251" s="1756"/>
      <c r="BF251" s="1756"/>
      <c r="BG251" s="1756"/>
      <c r="BH251" s="1756"/>
      <c r="BI251" s="1756"/>
      <c r="BJ251" s="1757"/>
    </row>
    <row r="252" spans="2:62" hidden="1" outlineLevel="1" x14ac:dyDescent="0.2">
      <c r="B252" s="417"/>
      <c r="C252" s="225"/>
      <c r="D252" s="503"/>
      <c r="E252" s="503"/>
      <c r="F252" s="539"/>
      <c r="G252" s="201"/>
      <c r="H252" s="201"/>
      <c r="I252" s="201"/>
      <c r="J252" s="551"/>
      <c r="K252" s="539"/>
      <c r="L252" s="539"/>
      <c r="M252" s="503"/>
      <c r="N252" s="503"/>
      <c r="O252" s="503"/>
      <c r="P252" s="508" t="s">
        <v>2639</v>
      </c>
      <c r="X252" s="499"/>
      <c r="Y252" s="500"/>
      <c r="Z252" s="503"/>
      <c r="AA252" s="503"/>
      <c r="AB252" s="503"/>
      <c r="AC252" s="503"/>
      <c r="AD252" s="508" t="s">
        <v>2639</v>
      </c>
      <c r="AF252" s="502"/>
      <c r="AG252" s="503"/>
      <c r="AH252" s="503"/>
      <c r="AI252" s="503"/>
      <c r="AJ252" s="504"/>
      <c r="AK252" s="503" t="s">
        <v>2639</v>
      </c>
      <c r="AL252" s="503"/>
      <c r="AM252" s="503"/>
      <c r="AN252" s="503"/>
      <c r="AO252" s="503"/>
      <c r="AP252" s="504"/>
      <c r="AQ252" s="508" t="s">
        <v>2639</v>
      </c>
      <c r="AS252" s="1758" t="s">
        <v>61</v>
      </c>
      <c r="AT252" s="1759"/>
      <c r="AU252" s="1759"/>
      <c r="AV252" s="1759"/>
      <c r="AW252" s="1759"/>
      <c r="AX252" s="1759"/>
      <c r="AY252" s="1759"/>
      <c r="AZ252" s="1759"/>
      <c r="BA252" s="1759"/>
      <c r="BB252" s="1759"/>
      <c r="BC252" s="1759"/>
      <c r="BD252" s="1759"/>
      <c r="BE252" s="1759" t="s">
        <v>61</v>
      </c>
      <c r="BF252" s="1759"/>
      <c r="BG252" s="1760"/>
      <c r="BH252" s="730"/>
      <c r="BI252" s="785"/>
      <c r="BJ252" s="731"/>
    </row>
    <row r="253" spans="2:62" hidden="1" outlineLevel="1" x14ac:dyDescent="0.2">
      <c r="B253" s="507"/>
      <c r="C253" s="504"/>
      <c r="D253" s="504" t="s">
        <v>56</v>
      </c>
      <c r="E253" s="504" t="s">
        <v>56</v>
      </c>
      <c r="F253" s="205" t="s">
        <v>2669</v>
      </c>
      <c r="G253" s="205" t="s">
        <v>1426</v>
      </c>
      <c r="H253" s="1632" t="s">
        <v>2542</v>
      </c>
      <c r="I253" s="1632" t="s">
        <v>2677</v>
      </c>
      <c r="J253" s="1745" t="s">
        <v>1457</v>
      </c>
      <c r="K253" s="1745"/>
      <c r="L253" s="1745"/>
      <c r="M253" s="503" t="s">
        <v>61</v>
      </c>
      <c r="N253" s="503" t="s">
        <v>61</v>
      </c>
      <c r="O253" s="503" t="s">
        <v>61</v>
      </c>
      <c r="P253" s="508" t="s">
        <v>30</v>
      </c>
      <c r="X253" s="1633" t="s">
        <v>2605</v>
      </c>
      <c r="Y253" s="504" t="s">
        <v>2110</v>
      </c>
      <c r="Z253" s="504" t="s">
        <v>61</v>
      </c>
      <c r="AA253" s="504" t="s">
        <v>61</v>
      </c>
      <c r="AB253" s="504" t="s">
        <v>61</v>
      </c>
      <c r="AC253" s="503" t="s">
        <v>61</v>
      </c>
      <c r="AD253" s="508" t="s">
        <v>30</v>
      </c>
      <c r="AF253" s="507" t="s">
        <v>2065</v>
      </c>
      <c r="AG253" s="504" t="s">
        <v>61</v>
      </c>
      <c r="AH253" s="504" t="s">
        <v>61</v>
      </c>
      <c r="AI253" s="504" t="s">
        <v>61</v>
      </c>
      <c r="AJ253" s="503" t="s">
        <v>61</v>
      </c>
      <c r="AK253" s="504" t="s">
        <v>30</v>
      </c>
      <c r="AL253" s="504" t="s">
        <v>2558</v>
      </c>
      <c r="AM253" s="504" t="s">
        <v>61</v>
      </c>
      <c r="AN253" s="504" t="s">
        <v>61</v>
      </c>
      <c r="AO253" s="504" t="s">
        <v>61</v>
      </c>
      <c r="AP253" s="503" t="s">
        <v>61</v>
      </c>
      <c r="AQ253" s="508" t="s">
        <v>30</v>
      </c>
      <c r="AS253" s="1764" t="s">
        <v>14</v>
      </c>
      <c r="AT253" s="1761"/>
      <c r="AU253" s="1761"/>
      <c r="AV253" s="1761" t="s">
        <v>60</v>
      </c>
      <c r="AW253" s="1761"/>
      <c r="AX253" s="1761"/>
      <c r="AY253" s="1761" t="s">
        <v>27</v>
      </c>
      <c r="AZ253" s="1761"/>
      <c r="BA253" s="1761"/>
      <c r="BB253" s="1761" t="s">
        <v>2074</v>
      </c>
      <c r="BC253" s="1761"/>
      <c r="BD253" s="1761"/>
      <c r="BE253" s="1762" t="s">
        <v>41</v>
      </c>
      <c r="BF253" s="1762"/>
      <c r="BG253" s="1763"/>
      <c r="BH253" s="1764" t="s">
        <v>85</v>
      </c>
      <c r="BI253" s="1761"/>
      <c r="BJ253" s="1765"/>
    </row>
    <row r="254" spans="2:62" hidden="1" outlineLevel="1" x14ac:dyDescent="0.2">
      <c r="B254" s="507"/>
      <c r="C254" s="504"/>
      <c r="D254" s="504" t="s">
        <v>61</v>
      </c>
      <c r="E254" s="504" t="s">
        <v>63</v>
      </c>
      <c r="F254" s="208" t="s">
        <v>2054</v>
      </c>
      <c r="G254" s="208" t="s">
        <v>2678</v>
      </c>
      <c r="H254" s="1632" t="s">
        <v>2679</v>
      </c>
      <c r="I254" s="1632" t="s">
        <v>2680</v>
      </c>
      <c r="J254" s="506" t="s">
        <v>768</v>
      </c>
      <c r="K254" s="506" t="s">
        <v>24</v>
      </c>
      <c r="L254" s="506" t="s">
        <v>59</v>
      </c>
      <c r="M254" s="505" t="s">
        <v>768</v>
      </c>
      <c r="N254" s="505" t="s">
        <v>24</v>
      </c>
      <c r="O254" s="505" t="s">
        <v>59</v>
      </c>
      <c r="P254" s="508" t="s">
        <v>61</v>
      </c>
      <c r="X254" s="1633" t="s">
        <v>2109</v>
      </c>
      <c r="Y254" s="504"/>
      <c r="Z254" s="506" t="s">
        <v>768</v>
      </c>
      <c r="AA254" s="506" t="s">
        <v>24</v>
      </c>
      <c r="AB254" s="506" t="s">
        <v>59</v>
      </c>
      <c r="AC254" s="503" t="s">
        <v>41</v>
      </c>
      <c r="AD254" s="508" t="s">
        <v>61</v>
      </c>
      <c r="AF254" s="507"/>
      <c r="AG254" s="506" t="s">
        <v>768</v>
      </c>
      <c r="AH254" s="506" t="s">
        <v>24</v>
      </c>
      <c r="AI254" s="506" t="s">
        <v>59</v>
      </c>
      <c r="AJ254" s="223" t="s">
        <v>41</v>
      </c>
      <c r="AK254" s="504" t="s">
        <v>61</v>
      </c>
      <c r="AL254" s="504"/>
      <c r="AM254" s="506" t="s">
        <v>768</v>
      </c>
      <c r="AN254" s="506" t="s">
        <v>24</v>
      </c>
      <c r="AO254" s="506" t="s">
        <v>59</v>
      </c>
      <c r="AP254" s="223" t="s">
        <v>41</v>
      </c>
      <c r="AQ254" s="508" t="s">
        <v>61</v>
      </c>
      <c r="AS254" s="732" t="s">
        <v>768</v>
      </c>
      <c r="AT254" s="733" t="s">
        <v>24</v>
      </c>
      <c r="AU254" s="733" t="s">
        <v>59</v>
      </c>
      <c r="AV254" s="733" t="s">
        <v>768</v>
      </c>
      <c r="AW254" s="733" t="s">
        <v>24</v>
      </c>
      <c r="AX254" s="733" t="s">
        <v>59</v>
      </c>
      <c r="AY254" s="733" t="s">
        <v>768</v>
      </c>
      <c r="AZ254" s="733" t="s">
        <v>24</v>
      </c>
      <c r="BA254" s="733" t="s">
        <v>59</v>
      </c>
      <c r="BB254" s="733" t="s">
        <v>768</v>
      </c>
      <c r="BC254" s="733" t="s">
        <v>24</v>
      </c>
      <c r="BD254" s="733" t="s">
        <v>59</v>
      </c>
      <c r="BE254" s="734" t="s">
        <v>768</v>
      </c>
      <c r="BF254" s="734" t="s">
        <v>24</v>
      </c>
      <c r="BG254" s="735" t="s">
        <v>59</v>
      </c>
      <c r="BH254" s="732" t="s">
        <v>768</v>
      </c>
      <c r="BI254" s="733" t="s">
        <v>24</v>
      </c>
      <c r="BJ254" s="736" t="s">
        <v>59</v>
      </c>
    </row>
    <row r="255" spans="2:62" hidden="1" outlineLevel="1" x14ac:dyDescent="0.2">
      <c r="B255" s="200" t="s">
        <v>1486</v>
      </c>
      <c r="C255" s="201"/>
      <c r="D255" s="262">
        <f>SUM(M255:O255)</f>
        <v>0</v>
      </c>
      <c r="E255" s="265">
        <f>D255*12/44</f>
        <v>0</v>
      </c>
      <c r="F255" s="559"/>
      <c r="G255" s="559"/>
      <c r="H255" s="273">
        <f>VLOOKUP($B255,'Emissions factors'!$B$1624:$N$1666,13,FALSE)</f>
        <v>500</v>
      </c>
      <c r="I255" s="221">
        <f>G255*H255</f>
        <v>0</v>
      </c>
      <c r="J255" s="272">
        <f>VLOOKUP($B255,'Emissions factors'!$B$1624:$N$1666,2,FALSE)</f>
        <v>6.5079999999999999E-2</v>
      </c>
      <c r="K255" s="272">
        <f>VLOOKUP($B255,'Emissions factors'!$B$1624:$N$1666,3,FALSE)</f>
        <v>0.309</v>
      </c>
      <c r="L255" s="272">
        <f>IF(LEFT(B255,8)="Régional",0,K255*'Emissions factors'!$C$1619)</f>
        <v>0.309</v>
      </c>
      <c r="M255" s="465">
        <f>I255*J255</f>
        <v>0</v>
      </c>
      <c r="N255" s="465">
        <f>I255*K255</f>
        <v>0</v>
      </c>
      <c r="O255" s="210">
        <f>I255*L255</f>
        <v>0</v>
      </c>
      <c r="P255" s="222">
        <f>IF(OR(F255='Info utili'!$I$532,F255='Info utili'!$I$537),N255,0)</f>
        <v>0</v>
      </c>
      <c r="X255" s="282">
        <f>VLOOKUP($B255,'Emissions factors'!$B$1624:$N$1666,12,FALSE)</f>
        <v>0.5</v>
      </c>
      <c r="Y255" s="183"/>
      <c r="Z255" s="432">
        <f>M255*SQRT(X255^2+Y255^2)</f>
        <v>0</v>
      </c>
      <c r="AA255" s="432">
        <f>N255*SQRT(X255^2+Y255^2)</f>
        <v>0</v>
      </c>
      <c r="AB255" s="221">
        <f>O255*SQRT(X255^2+Y255^2)</f>
        <v>0</v>
      </c>
      <c r="AC255" s="210">
        <f>SQRT(SUMSQ(Z255:AB255))</f>
        <v>0</v>
      </c>
      <c r="AD255" s="222">
        <f>P255*SQRT(X255^2+Y255^2)</f>
        <v>0</v>
      </c>
      <c r="AF255" s="184"/>
      <c r="AG255" s="221">
        <f>AF255*M255</f>
        <v>0</v>
      </c>
      <c r="AH255" s="221">
        <f>AF255*N255</f>
        <v>0</v>
      </c>
      <c r="AI255" s="221">
        <f>AF255*O255</f>
        <v>0</v>
      </c>
      <c r="AJ255" s="210">
        <f>SUM(AG255:AI255)</f>
        <v>0</v>
      </c>
      <c r="AK255" s="221">
        <f>AF255*P255</f>
        <v>0</v>
      </c>
      <c r="AL255" s="183"/>
      <c r="AM255" s="221">
        <f>AL255*M255</f>
        <v>0</v>
      </c>
      <c r="AN255" s="221">
        <f>AL255*N255</f>
        <v>0</v>
      </c>
      <c r="AO255" s="221">
        <f>AL255*O255</f>
        <v>0</v>
      </c>
      <c r="AP255" s="210">
        <f>SUM(AM255:AO255)</f>
        <v>0</v>
      </c>
      <c r="AQ255" s="222">
        <f>AL255*P255</f>
        <v>0</v>
      </c>
      <c r="AS255" s="717">
        <f>I255*VLOOKUP($B255,'Emissions factors'!$B$1624:$N$1666,4,FALSE)</f>
        <v>0</v>
      </c>
      <c r="AT255" s="718">
        <f>I255*VLOOKUP($B255,'Emissions factors'!$B$1624:$N$1666,5,FALSE)</f>
        <v>0</v>
      </c>
      <c r="AU255" s="718"/>
      <c r="AV255" s="718">
        <f>I255*VLOOKUP($B255,'Emissions factors'!$B$1624:$N$1666,6,FALSE)</f>
        <v>0</v>
      </c>
      <c r="AW255" s="718">
        <f>I255*VLOOKUP($B255,'Emissions factors'!$B$1624:$N$1666,7,FALSE)</f>
        <v>0</v>
      </c>
      <c r="AX255" s="718"/>
      <c r="AY255" s="718">
        <f>I255*VLOOKUP($B255,'Emissions factors'!$B$1624:$N$1666,8,FALSE)</f>
        <v>0</v>
      </c>
      <c r="AZ255" s="718">
        <f>I255*VLOOKUP($B255,'Emissions factors'!$B$1624:$N$1666,9,FALSE)</f>
        <v>0</v>
      </c>
      <c r="BA255" s="718"/>
      <c r="BB255" s="718"/>
      <c r="BC255" s="718"/>
      <c r="BD255" s="718">
        <f>O255</f>
        <v>0</v>
      </c>
      <c r="BE255" s="719">
        <f>M255</f>
        <v>0</v>
      </c>
      <c r="BF255" s="719">
        <f t="shared" ref="BF255:BG258" si="49">N255</f>
        <v>0</v>
      </c>
      <c r="BG255" s="720">
        <f t="shared" si="49"/>
        <v>0</v>
      </c>
      <c r="BH255" s="717">
        <f>I255*VLOOKUP($B255,'Emissions factors'!$B$1624:$N$1666,10,FALSE)</f>
        <v>0</v>
      </c>
      <c r="BI255" s="718">
        <f>I255*VLOOKUP($B255,'Emissions factors'!$B$1624:$N$1666,11,FALSE)</f>
        <v>0</v>
      </c>
      <c r="BJ255" s="721"/>
    </row>
    <row r="256" spans="2:62" hidden="1" outlineLevel="1" x14ac:dyDescent="0.2">
      <c r="B256" s="200" t="s">
        <v>1328</v>
      </c>
      <c r="C256" s="201"/>
      <c r="D256" s="262">
        <f>SUM(M256:O256)</f>
        <v>0</v>
      </c>
      <c r="E256" s="265">
        <f>D256*12/44</f>
        <v>0</v>
      </c>
      <c r="F256" s="442"/>
      <c r="G256" s="442"/>
      <c r="H256" s="273">
        <f>VLOOKUP($B256,'Emissions factors'!$B$1624:$N$1666,13,FALSE)</f>
        <v>1500</v>
      </c>
      <c r="I256" s="221">
        <f>G256*H256</f>
        <v>0</v>
      </c>
      <c r="J256" s="272">
        <f>VLOOKUP($B256,'Emissions factors'!$B$1624:$N$1666,2,FALSE)</f>
        <v>8.6330000000000004E-2</v>
      </c>
      <c r="K256" s="272">
        <f>VLOOKUP($B256,'Emissions factors'!$B$1624:$N$1666,3,FALSE)</f>
        <v>0.41</v>
      </c>
      <c r="L256" s="272">
        <f>IF(LEFT(B256,8)="Régional",0,K256*'Emissions factors'!$C$1619)</f>
        <v>0.41</v>
      </c>
      <c r="M256" s="465">
        <f>I256*J256</f>
        <v>0</v>
      </c>
      <c r="N256" s="465">
        <f>I256*K256</f>
        <v>0</v>
      </c>
      <c r="O256" s="210">
        <f>I256*L256</f>
        <v>0</v>
      </c>
      <c r="P256" s="222">
        <f>IF(OR(F256='Info utili'!$I$532,F256='Info utili'!$I$537),N256,0)</f>
        <v>0</v>
      </c>
      <c r="X256" s="282">
        <f>VLOOKUP($B256,'Emissions factors'!$B$1624:$N$1666,12,FALSE)</f>
        <v>0.5</v>
      </c>
      <c r="Y256" s="186"/>
      <c r="Z256" s="432">
        <f>M256*SQRT(X256^2+Y256^2)</f>
        <v>0</v>
      </c>
      <c r="AA256" s="432">
        <f>N256*SQRT(X256^2+Y256^2)</f>
        <v>0</v>
      </c>
      <c r="AB256" s="221">
        <f>O256*SQRT(X256^2+Y256^2)</f>
        <v>0</v>
      </c>
      <c r="AC256" s="210">
        <f>SQRT(SUMSQ(Z256:AB256))</f>
        <v>0</v>
      </c>
      <c r="AD256" s="222">
        <f>P256*SQRT(X256^2+Y256^2)</f>
        <v>0</v>
      </c>
      <c r="AF256" s="187"/>
      <c r="AG256" s="221">
        <f>AF256*M256</f>
        <v>0</v>
      </c>
      <c r="AH256" s="221">
        <f>AF256*N256</f>
        <v>0</v>
      </c>
      <c r="AI256" s="221">
        <f>AF256*O256</f>
        <v>0</v>
      </c>
      <c r="AJ256" s="210">
        <f>SUM(AG256:AI256)</f>
        <v>0</v>
      </c>
      <c r="AK256" s="221">
        <f>AF256*P256</f>
        <v>0</v>
      </c>
      <c r="AL256" s="187"/>
      <c r="AM256" s="221">
        <f>AL256*M256</f>
        <v>0</v>
      </c>
      <c r="AN256" s="221">
        <f>AL256*N256</f>
        <v>0</v>
      </c>
      <c r="AO256" s="221">
        <f>AL256*O256</f>
        <v>0</v>
      </c>
      <c r="AP256" s="210">
        <f>SUM(AM256:AO256)</f>
        <v>0</v>
      </c>
      <c r="AQ256" s="222">
        <f>AL256*P256</f>
        <v>0</v>
      </c>
      <c r="AS256" s="717">
        <f>I256*VLOOKUP($B256,'Emissions factors'!$B$1624:$N$1666,4,FALSE)</f>
        <v>0</v>
      </c>
      <c r="AT256" s="718">
        <f>I256*VLOOKUP($B256,'Emissions factors'!$B$1624:$N$1666,5,FALSE)</f>
        <v>0</v>
      </c>
      <c r="AU256" s="718"/>
      <c r="AV256" s="718">
        <f>I256*VLOOKUP($B256,'Emissions factors'!$B$1624:$N$1666,6,FALSE)</f>
        <v>0</v>
      </c>
      <c r="AW256" s="718">
        <f>I256*VLOOKUP($B256,'Emissions factors'!$B$1624:$N$1666,7,FALSE)</f>
        <v>0</v>
      </c>
      <c r="AX256" s="718"/>
      <c r="AY256" s="718">
        <f>I256*VLOOKUP($B256,'Emissions factors'!$B$1624:$N$1666,8,FALSE)</f>
        <v>0</v>
      </c>
      <c r="AZ256" s="718">
        <f>I256*VLOOKUP($B256,'Emissions factors'!$B$1624:$N$1666,9,FALSE)</f>
        <v>0</v>
      </c>
      <c r="BA256" s="718"/>
      <c r="BB256" s="718"/>
      <c r="BC256" s="718"/>
      <c r="BD256" s="718">
        <f>O256</f>
        <v>0</v>
      </c>
      <c r="BE256" s="719">
        <f>M256</f>
        <v>0</v>
      </c>
      <c r="BF256" s="719">
        <f t="shared" si="49"/>
        <v>0</v>
      </c>
      <c r="BG256" s="720">
        <f t="shared" si="49"/>
        <v>0</v>
      </c>
      <c r="BH256" s="717">
        <f>I256*VLOOKUP($B256,'Emissions factors'!$B$1624:$N$1666,10,FALSE)</f>
        <v>0</v>
      </c>
      <c r="BI256" s="718">
        <f>I256*VLOOKUP($B256,'Emissions factors'!$B$1624:$N$1666,11,FALSE)</f>
        <v>0</v>
      </c>
      <c r="BJ256" s="721"/>
    </row>
    <row r="257" spans="1:62" hidden="1" outlineLevel="1" x14ac:dyDescent="0.2">
      <c r="B257" s="200" t="s">
        <v>1329</v>
      </c>
      <c r="C257" s="201"/>
      <c r="D257" s="262">
        <f>SUM(M257:O257)</f>
        <v>0</v>
      </c>
      <c r="E257" s="265">
        <f>D257*12/44</f>
        <v>0</v>
      </c>
      <c r="F257" s="442"/>
      <c r="G257" s="442"/>
      <c r="H257" s="273">
        <f>VLOOKUP($B257,'Emissions factors'!$B$1624:$N$1666,13,FALSE)</f>
        <v>2500</v>
      </c>
      <c r="I257" s="221">
        <f>G257*H257</f>
        <v>0</v>
      </c>
      <c r="J257" s="272">
        <f>VLOOKUP($B257,'Emissions factors'!$B$1624:$N$1666,2,FALSE)</f>
        <v>0.11399999999999999</v>
      </c>
      <c r="K257" s="272">
        <f>VLOOKUP($B257,'Emissions factors'!$B$1624:$N$1666,3,FALSE)</f>
        <v>0.54200000000000004</v>
      </c>
      <c r="L257" s="272">
        <f>IF(LEFT(B257,8)="Régional",0,K257*'Emissions factors'!$C$1619)</f>
        <v>0.54200000000000004</v>
      </c>
      <c r="M257" s="465">
        <f>I257*J257</f>
        <v>0</v>
      </c>
      <c r="N257" s="465">
        <f>I257*K257</f>
        <v>0</v>
      </c>
      <c r="O257" s="210">
        <f>I257*L257</f>
        <v>0</v>
      </c>
      <c r="P257" s="222">
        <f>IF(OR(F257='Info utili'!$I$532,F257='Info utili'!$I$537),N257,0)</f>
        <v>0</v>
      </c>
      <c r="X257" s="282">
        <f>VLOOKUP($B257,'Emissions factors'!$B$1624:$N$1666,12,FALSE)</f>
        <v>0.5</v>
      </c>
      <c r="Y257" s="186"/>
      <c r="Z257" s="432">
        <f>M257*SQRT(X257^2+Y257^2)</f>
        <v>0</v>
      </c>
      <c r="AA257" s="432">
        <f>N257*SQRT(X257^2+Y257^2)</f>
        <v>0</v>
      </c>
      <c r="AB257" s="221">
        <f>O257*SQRT(X257^2+Y257^2)</f>
        <v>0</v>
      </c>
      <c r="AC257" s="210">
        <f>SQRT(SUMSQ(Z257:AB257))</f>
        <v>0</v>
      </c>
      <c r="AD257" s="222">
        <f>P257*SQRT(X257^2+Y257^2)</f>
        <v>0</v>
      </c>
      <c r="AF257" s="187"/>
      <c r="AG257" s="221">
        <f>AF257*M257</f>
        <v>0</v>
      </c>
      <c r="AH257" s="221">
        <f>AF257*N257</f>
        <v>0</v>
      </c>
      <c r="AI257" s="221">
        <f>AF257*O257</f>
        <v>0</v>
      </c>
      <c r="AJ257" s="210">
        <f>SUM(AG257:AI257)</f>
        <v>0</v>
      </c>
      <c r="AK257" s="221">
        <f>AF257*P257</f>
        <v>0</v>
      </c>
      <c r="AL257" s="187"/>
      <c r="AM257" s="221">
        <f>AL257*M257</f>
        <v>0</v>
      </c>
      <c r="AN257" s="221">
        <f>AL257*N257</f>
        <v>0</v>
      </c>
      <c r="AO257" s="221">
        <f>AL257*O257</f>
        <v>0</v>
      </c>
      <c r="AP257" s="210">
        <f>SUM(AM257:AO257)</f>
        <v>0</v>
      </c>
      <c r="AQ257" s="222">
        <f>AL257*P257</f>
        <v>0</v>
      </c>
      <c r="AS257" s="717">
        <f>I257*VLOOKUP($B257,'Emissions factors'!$B$1624:$N$1666,4,FALSE)</f>
        <v>0</v>
      </c>
      <c r="AT257" s="718">
        <f>I257*VLOOKUP($B257,'Emissions factors'!$B$1624:$N$1666,5,FALSE)</f>
        <v>0</v>
      </c>
      <c r="AU257" s="718"/>
      <c r="AV257" s="718">
        <f>I257*VLOOKUP($B257,'Emissions factors'!$B$1624:$N$1666,6,FALSE)</f>
        <v>0</v>
      </c>
      <c r="AW257" s="718">
        <f>I257*VLOOKUP($B257,'Emissions factors'!$B$1624:$N$1666,7,FALSE)</f>
        <v>0</v>
      </c>
      <c r="AX257" s="718"/>
      <c r="AY257" s="718">
        <f>I257*VLOOKUP($B257,'Emissions factors'!$B$1624:$N$1666,8,FALSE)</f>
        <v>0</v>
      </c>
      <c r="AZ257" s="718">
        <f>I257*VLOOKUP($B257,'Emissions factors'!$B$1624:$N$1666,9,FALSE)</f>
        <v>0</v>
      </c>
      <c r="BA257" s="718"/>
      <c r="BB257" s="718"/>
      <c r="BC257" s="718"/>
      <c r="BD257" s="718">
        <f>O257</f>
        <v>0</v>
      </c>
      <c r="BE257" s="719">
        <f>M257</f>
        <v>0</v>
      </c>
      <c r="BF257" s="719">
        <f t="shared" si="49"/>
        <v>0</v>
      </c>
      <c r="BG257" s="720">
        <f t="shared" si="49"/>
        <v>0</v>
      </c>
      <c r="BH257" s="717">
        <f>I257*VLOOKUP($B257,'Emissions factors'!$B$1624:$N$1666,10,FALSE)</f>
        <v>0</v>
      </c>
      <c r="BI257" s="718">
        <f>I257*VLOOKUP($B257,'Emissions factors'!$B$1624:$N$1666,11,FALSE)</f>
        <v>0</v>
      </c>
      <c r="BJ257" s="721"/>
    </row>
    <row r="258" spans="1:62" hidden="1" outlineLevel="1" x14ac:dyDescent="0.2">
      <c r="B258" s="200" t="s">
        <v>1336</v>
      </c>
      <c r="C258" s="201"/>
      <c r="D258" s="262">
        <f>SUM(M258:O258)</f>
        <v>0</v>
      </c>
      <c r="E258" s="265">
        <f>D258*12/44</f>
        <v>0</v>
      </c>
      <c r="F258" s="443"/>
      <c r="G258" s="188"/>
      <c r="H258" s="273">
        <f>VLOOKUP($B258,'Emissions factors'!$B$1624:$N$1666,13,FALSE)</f>
        <v>3500</v>
      </c>
      <c r="I258" s="221">
        <f>G258*H258</f>
        <v>0</v>
      </c>
      <c r="J258" s="272">
        <f>VLOOKUP($B258,'Emissions factors'!$B$1624:$N$1666,2,FALSE)</f>
        <v>2.1920000000000002E-2</v>
      </c>
      <c r="K258" s="272">
        <f>VLOOKUP($B258,'Emissions factors'!$B$1624:$N$1666,3,FALSE)</f>
        <v>0.104</v>
      </c>
      <c r="L258" s="272">
        <f>IF(LEFT(B258,8)="Régional",0,K258*'Emissions factors'!$C$1619)</f>
        <v>0.104</v>
      </c>
      <c r="M258" s="465">
        <f>I258*J258</f>
        <v>0</v>
      </c>
      <c r="N258" s="465">
        <f>I258*K258</f>
        <v>0</v>
      </c>
      <c r="O258" s="210">
        <f>I258*L258</f>
        <v>0</v>
      </c>
      <c r="P258" s="222">
        <f>IF(OR(F258='Info utili'!$I$532,F258='Info utili'!$I$537),N258,0)</f>
        <v>0</v>
      </c>
      <c r="X258" s="282">
        <f>VLOOKUP($B258,'Emissions factors'!$B$1624:$N$1666,12,FALSE)</f>
        <v>0.5</v>
      </c>
      <c r="Y258" s="189"/>
      <c r="Z258" s="432">
        <f>M258*SQRT(X258^2+Y258^2)</f>
        <v>0</v>
      </c>
      <c r="AA258" s="432">
        <f>N258*SQRT(X258^2+Y258^2)</f>
        <v>0</v>
      </c>
      <c r="AB258" s="221">
        <f>O258*SQRT(X258^2+Y258^2)</f>
        <v>0</v>
      </c>
      <c r="AC258" s="210">
        <f>SQRT(SUMSQ(Z258:AB258))</f>
        <v>0</v>
      </c>
      <c r="AD258" s="222">
        <f>P258*SQRT(X258^2+Y258^2)</f>
        <v>0</v>
      </c>
      <c r="AF258" s="190"/>
      <c r="AG258" s="221">
        <f>AF258*M258</f>
        <v>0</v>
      </c>
      <c r="AH258" s="221">
        <f>AF258*N258</f>
        <v>0</v>
      </c>
      <c r="AI258" s="221">
        <f>AF258*O258</f>
        <v>0</v>
      </c>
      <c r="AJ258" s="210">
        <f>SUM(AG258:AI258)</f>
        <v>0</v>
      </c>
      <c r="AK258" s="221">
        <f>AF258*P258</f>
        <v>0</v>
      </c>
      <c r="AL258" s="190"/>
      <c r="AM258" s="221">
        <f>AL258*M258</f>
        <v>0</v>
      </c>
      <c r="AN258" s="221">
        <f>AL258*N258</f>
        <v>0</v>
      </c>
      <c r="AO258" s="221">
        <f>AL258*O258</f>
        <v>0</v>
      </c>
      <c r="AP258" s="210">
        <f>SUM(AM258:AO258)</f>
        <v>0</v>
      </c>
      <c r="AQ258" s="222">
        <f>AL258*P258</f>
        <v>0</v>
      </c>
      <c r="AS258" s="717">
        <f>I258*VLOOKUP($B258,'Emissions factors'!$B$1624:$N$1666,4,FALSE)</f>
        <v>0</v>
      </c>
      <c r="AT258" s="718">
        <f>I258*VLOOKUP($B258,'Emissions factors'!$B$1624:$N$1666,5,FALSE)</f>
        <v>0</v>
      </c>
      <c r="AU258" s="718"/>
      <c r="AV258" s="718">
        <f>I258*VLOOKUP($B258,'Emissions factors'!$B$1624:$N$1666,6,FALSE)</f>
        <v>0</v>
      </c>
      <c r="AW258" s="718">
        <f>I258*VLOOKUP($B258,'Emissions factors'!$B$1624:$N$1666,7,FALSE)</f>
        <v>0</v>
      </c>
      <c r="AX258" s="718"/>
      <c r="AY258" s="718">
        <f>I258*VLOOKUP($B258,'Emissions factors'!$B$1624:$N$1666,8,FALSE)</f>
        <v>0</v>
      </c>
      <c r="AZ258" s="718">
        <f>I258*VLOOKUP($B258,'Emissions factors'!$B$1624:$N$1666,9,FALSE)</f>
        <v>0</v>
      </c>
      <c r="BA258" s="718"/>
      <c r="BB258" s="718"/>
      <c r="BC258" s="718"/>
      <c r="BD258" s="718">
        <f>O258</f>
        <v>0</v>
      </c>
      <c r="BE258" s="719">
        <f>M258</f>
        <v>0</v>
      </c>
      <c r="BF258" s="719">
        <f t="shared" si="49"/>
        <v>0</v>
      </c>
      <c r="BG258" s="720">
        <f t="shared" si="49"/>
        <v>0</v>
      </c>
      <c r="BH258" s="717">
        <f>I258*VLOOKUP($B258,'Emissions factors'!$B$1624:$N$1666,10,FALSE)</f>
        <v>0</v>
      </c>
      <c r="BI258" s="718">
        <f>I258*VLOOKUP($B258,'Emissions factors'!$B$1624:$N$1666,11,FALSE)</f>
        <v>0</v>
      </c>
      <c r="BJ258" s="721"/>
    </row>
    <row r="259" spans="1:62" ht="12.75" hidden="1" customHeight="1" outlineLevel="1" x14ac:dyDescent="0.2">
      <c r="B259" s="200"/>
      <c r="C259" s="201"/>
      <c r="D259" s="263"/>
      <c r="E259" s="266"/>
      <c r="F259" s="201"/>
      <c r="G259" s="201"/>
      <c r="H259" s="201"/>
      <c r="I259" s="201"/>
      <c r="J259" s="201"/>
      <c r="K259" s="201"/>
      <c r="L259" s="201"/>
      <c r="M259" s="201"/>
      <c r="N259" s="201"/>
      <c r="O259" s="210"/>
      <c r="P259" s="222"/>
      <c r="X259" s="213"/>
      <c r="Y259" s="214"/>
      <c r="Z259" s="214"/>
      <c r="AA259" s="214"/>
      <c r="AB259" s="214"/>
      <c r="AC259" s="214"/>
      <c r="AD259" s="466"/>
      <c r="AF259" s="213"/>
      <c r="AG259" s="214"/>
      <c r="AH259" s="214"/>
      <c r="AI259" s="214"/>
      <c r="AJ259" s="413"/>
      <c r="AK259" s="413"/>
      <c r="AL259" s="214"/>
      <c r="AM259" s="214"/>
      <c r="AN259" s="214"/>
      <c r="AO259" s="214"/>
      <c r="AP259" s="413"/>
      <c r="AQ259" s="466"/>
      <c r="AS259" s="717"/>
      <c r="AT259" s="718"/>
      <c r="AU259" s="718"/>
      <c r="AV259" s="718"/>
      <c r="AW259" s="718"/>
      <c r="AX259" s="718"/>
      <c r="AY259" s="718"/>
      <c r="AZ259" s="718"/>
      <c r="BA259" s="718"/>
      <c r="BB259" s="718"/>
      <c r="BC259" s="718"/>
      <c r="BD259" s="718"/>
      <c r="BE259" s="719"/>
      <c r="BF259" s="719"/>
      <c r="BG259" s="720"/>
      <c r="BH259" s="722"/>
      <c r="BI259" s="786"/>
      <c r="BJ259" s="723"/>
    </row>
    <row r="260" spans="1:62" hidden="1" outlineLevel="1" x14ac:dyDescent="0.2">
      <c r="B260" s="253" t="s">
        <v>2828</v>
      </c>
      <c r="C260" s="254"/>
      <c r="D260" s="264">
        <f>SUM(D255:D259)</f>
        <v>0</v>
      </c>
      <c r="E260" s="267">
        <f>SUM(E255:E259)</f>
        <v>0</v>
      </c>
      <c r="F260" s="254"/>
      <c r="G260" s="254"/>
      <c r="H260" s="254"/>
      <c r="I260" s="254"/>
      <c r="J260" s="254"/>
      <c r="K260" s="254"/>
      <c r="L260" s="254"/>
      <c r="M260" s="259">
        <f>SUM(M255:M259)</f>
        <v>0</v>
      </c>
      <c r="N260" s="259">
        <f>SUM(N255:N259)</f>
        <v>0</v>
      </c>
      <c r="O260" s="259">
        <f>SUM(O255:O259)</f>
        <v>0</v>
      </c>
      <c r="P260" s="428">
        <f>SUM(P255:P259)</f>
        <v>0</v>
      </c>
      <c r="X260" s="258"/>
      <c r="Y260" s="256"/>
      <c r="Z260" s="260">
        <f>SQRT(SUMSQ(Z255:Z259))</f>
        <v>0</v>
      </c>
      <c r="AA260" s="260">
        <f>SQRT(SUMSQ(AA255:AA259))</f>
        <v>0</v>
      </c>
      <c r="AB260" s="260">
        <f>SQRT(SUMSQ(AB255:AB259))</f>
        <v>0</v>
      </c>
      <c r="AC260" s="259">
        <f>SQRT(SUMSQ(AC255:AC259))</f>
        <v>0</v>
      </c>
      <c r="AD260" s="428">
        <f>SQRT(SUMSQ(AD255:AD259))</f>
        <v>0</v>
      </c>
      <c r="AF260" s="258"/>
      <c r="AG260" s="260">
        <f>SUM(AG255:AG259)</f>
        <v>0</v>
      </c>
      <c r="AH260" s="260">
        <f>SUM(AH255:AH259)</f>
        <v>0</v>
      </c>
      <c r="AI260" s="260">
        <f>SUM(AI255:AI259)</f>
        <v>0</v>
      </c>
      <c r="AJ260" s="259">
        <f>SUM(AJ255:AJ259)</f>
        <v>0</v>
      </c>
      <c r="AK260" s="260">
        <f>SUM(AK255:AK259)</f>
        <v>0</v>
      </c>
      <c r="AL260" s="256"/>
      <c r="AM260" s="260">
        <f>SUM(AM255:AM259)</f>
        <v>0</v>
      </c>
      <c r="AN260" s="260">
        <f>SUM(AN255:AN259)</f>
        <v>0</v>
      </c>
      <c r="AO260" s="260">
        <f>SUM(AO255:AO259)</f>
        <v>0</v>
      </c>
      <c r="AP260" s="259">
        <f>SUM(AP255:AP259)</f>
        <v>0</v>
      </c>
      <c r="AQ260" s="428">
        <f>SUM(AQ255:AQ259)</f>
        <v>0</v>
      </c>
      <c r="AS260" s="724">
        <f t="shared" ref="AS260:BJ260" si="50">SUM(AS255:AS259)</f>
        <v>0</v>
      </c>
      <c r="AT260" s="725">
        <f t="shared" si="50"/>
        <v>0</v>
      </c>
      <c r="AU260" s="725">
        <f t="shared" si="50"/>
        <v>0</v>
      </c>
      <c r="AV260" s="725">
        <f t="shared" si="50"/>
        <v>0</v>
      </c>
      <c r="AW260" s="725">
        <f t="shared" si="50"/>
        <v>0</v>
      </c>
      <c r="AX260" s="725">
        <f t="shared" si="50"/>
        <v>0</v>
      </c>
      <c r="AY260" s="725">
        <f t="shared" si="50"/>
        <v>0</v>
      </c>
      <c r="AZ260" s="725">
        <f t="shared" si="50"/>
        <v>0</v>
      </c>
      <c r="BA260" s="725">
        <f t="shared" si="50"/>
        <v>0</v>
      </c>
      <c r="BB260" s="725">
        <f t="shared" si="50"/>
        <v>0</v>
      </c>
      <c r="BC260" s="725">
        <f t="shared" si="50"/>
        <v>0</v>
      </c>
      <c r="BD260" s="725">
        <f t="shared" si="50"/>
        <v>0</v>
      </c>
      <c r="BE260" s="726">
        <f t="shared" si="50"/>
        <v>0</v>
      </c>
      <c r="BF260" s="726">
        <f t="shared" si="50"/>
        <v>0</v>
      </c>
      <c r="BG260" s="727">
        <f t="shared" si="50"/>
        <v>0</v>
      </c>
      <c r="BH260" s="724">
        <f t="shared" si="50"/>
        <v>0</v>
      </c>
      <c r="BI260" s="725">
        <f t="shared" si="50"/>
        <v>0</v>
      </c>
      <c r="BJ260" s="728">
        <f t="shared" si="50"/>
        <v>0</v>
      </c>
    </row>
    <row r="261" spans="1:62" hidden="1" outlineLevel="1" x14ac:dyDescent="0.2"/>
    <row r="262" spans="1:62" x14ac:dyDescent="0.2">
      <c r="K262" s="314"/>
    </row>
    <row r="263" spans="1:62" s="191" customFormat="1" ht="16" collapsed="1" x14ac:dyDescent="0.2">
      <c r="A263" s="40"/>
      <c r="B263" s="1795" t="s">
        <v>3067</v>
      </c>
      <c r="C263" s="1795"/>
      <c r="D263" s="1795"/>
      <c r="E263" s="1795"/>
      <c r="F263" s="1795"/>
      <c r="G263" s="1795"/>
      <c r="H263" s="1795"/>
      <c r="I263" s="1795"/>
      <c r="J263" s="1795"/>
      <c r="K263" s="1795"/>
      <c r="L263" s="1795"/>
      <c r="M263" s="1795"/>
      <c r="N263" s="1795"/>
      <c r="O263" s="1795"/>
      <c r="AS263" s="602"/>
      <c r="AT263" s="602"/>
      <c r="AU263" s="602"/>
      <c r="AV263" s="602"/>
      <c r="AW263" s="602"/>
      <c r="AX263" s="602"/>
      <c r="AY263" s="602"/>
      <c r="AZ263" s="602"/>
      <c r="BA263" s="602"/>
      <c r="BB263" s="602"/>
      <c r="BC263" s="602"/>
      <c r="BD263" s="602"/>
      <c r="BE263" s="751"/>
      <c r="BF263" s="751"/>
      <c r="BG263" s="751"/>
      <c r="BH263" s="751"/>
      <c r="BI263" s="751"/>
      <c r="BJ263" s="751"/>
    </row>
    <row r="264" spans="1:62" ht="13.25" hidden="1" customHeight="1" outlineLevel="1" x14ac:dyDescent="0.2"/>
    <row r="265" spans="1:62" s="42" customFormat="1" ht="13.25" hidden="1" customHeight="1" outlineLevel="1" x14ac:dyDescent="0.2">
      <c r="A265" s="40"/>
      <c r="B265" s="195" t="s">
        <v>3062</v>
      </c>
      <c r="C265" s="196"/>
      <c r="D265" s="196"/>
      <c r="E265" s="196"/>
      <c r="F265" s="196"/>
      <c r="G265" s="198"/>
      <c r="H265" s="198"/>
      <c r="I265" s="198"/>
      <c r="J265" s="198"/>
      <c r="K265" s="198"/>
      <c r="L265" s="198"/>
      <c r="M265" s="198"/>
      <c r="N265" s="198"/>
      <c r="O265" s="198"/>
      <c r="P265" s="198"/>
      <c r="Q265" s="198"/>
      <c r="R265" s="198"/>
      <c r="S265" s="198"/>
      <c r="T265" s="199"/>
      <c r="X265" s="1746" t="s">
        <v>723</v>
      </c>
      <c r="Y265" s="1747"/>
      <c r="Z265" s="1747"/>
      <c r="AA265" s="1747"/>
      <c r="AB265" s="1748"/>
      <c r="AF265" s="1746" t="s">
        <v>2066</v>
      </c>
      <c r="AG265" s="1747"/>
      <c r="AH265" s="1747"/>
      <c r="AI265" s="1747"/>
      <c r="AJ265" s="1747"/>
      <c r="AK265" s="1747"/>
      <c r="AL265" s="1747"/>
      <c r="AM265" s="1748"/>
      <c r="AR265" s="40"/>
      <c r="AS265" s="1755" t="s">
        <v>2073</v>
      </c>
      <c r="AT265" s="1756"/>
      <c r="AU265" s="1756"/>
      <c r="AV265" s="1756"/>
      <c r="AW265" s="1756"/>
      <c r="AX265" s="1756"/>
      <c r="AY265" s="1756"/>
      <c r="AZ265" s="1756"/>
      <c r="BA265" s="1756"/>
      <c r="BB265" s="1756"/>
      <c r="BC265" s="1756"/>
      <c r="BD265" s="1757"/>
      <c r="BE265" s="605"/>
      <c r="BF265" s="605"/>
      <c r="BG265" s="605"/>
      <c r="BH265" s="605"/>
      <c r="BI265" s="605"/>
      <c r="BJ265" s="605"/>
    </row>
    <row r="266" spans="1:62" ht="13.25" hidden="1" customHeight="1" outlineLevel="1" x14ac:dyDescent="0.2">
      <c r="B266" s="200"/>
      <c r="C266" s="201"/>
      <c r="D266" s="503"/>
      <c r="E266" s="503"/>
      <c r="F266" s="201"/>
      <c r="G266" s="201"/>
      <c r="H266" s="201"/>
      <c r="I266" s="201"/>
      <c r="J266" s="201"/>
      <c r="K266" s="201"/>
      <c r="L266" s="201"/>
      <c r="M266" s="201"/>
      <c r="N266" s="201"/>
      <c r="O266" s="201"/>
      <c r="P266" s="201"/>
      <c r="Q266" s="201"/>
      <c r="R266" s="201"/>
      <c r="S266" s="201"/>
      <c r="T266" s="203"/>
      <c r="U266" s="42"/>
      <c r="V266" s="42"/>
      <c r="W266" s="42"/>
      <c r="X266" s="216"/>
      <c r="Y266" s="217"/>
      <c r="Z266" s="217"/>
      <c r="AA266" s="217"/>
      <c r="AB266" s="218"/>
      <c r="AF266" s="216"/>
      <c r="AG266" s="217"/>
      <c r="AH266" s="217"/>
      <c r="AI266" s="217"/>
      <c r="AJ266" s="217"/>
      <c r="AK266" s="217"/>
      <c r="AL266" s="198"/>
      <c r="AM266" s="199"/>
      <c r="AR266" s="32"/>
      <c r="AS266" s="1758" t="s">
        <v>61</v>
      </c>
      <c r="AT266" s="1759"/>
      <c r="AU266" s="1759"/>
      <c r="AV266" s="1759"/>
      <c r="AW266" s="1759"/>
      <c r="AX266" s="1759"/>
      <c r="AY266" s="1759"/>
      <c r="AZ266" s="1759"/>
      <c r="BA266" s="1759" t="s">
        <v>61</v>
      </c>
      <c r="BB266" s="1760"/>
      <c r="BC266" s="730"/>
      <c r="BD266" s="731"/>
    </row>
    <row r="267" spans="1:62" s="32" customFormat="1" ht="13.25" hidden="1" customHeight="1" outlineLevel="1" x14ac:dyDescent="0.2">
      <c r="A267" s="40"/>
      <c r="B267" s="507" t="s">
        <v>766</v>
      </c>
      <c r="C267" s="504"/>
      <c r="D267" s="504" t="s">
        <v>56</v>
      </c>
      <c r="E267" s="504" t="s">
        <v>56</v>
      </c>
      <c r="F267" s="205" t="s">
        <v>2669</v>
      </c>
      <c r="G267" s="205" t="s">
        <v>2053</v>
      </c>
      <c r="H267" s="1744" t="s">
        <v>767</v>
      </c>
      <c r="I267" s="1835"/>
      <c r="J267" s="205" t="s">
        <v>2053</v>
      </c>
      <c r="K267" s="1744" t="s">
        <v>769</v>
      </c>
      <c r="L267" s="1835"/>
      <c r="M267" s="205" t="s">
        <v>2053</v>
      </c>
      <c r="N267" s="1744" t="s">
        <v>771</v>
      </c>
      <c r="O267" s="1835"/>
      <c r="P267" s="205" t="s">
        <v>2053</v>
      </c>
      <c r="Q267" s="1744" t="s">
        <v>770</v>
      </c>
      <c r="R267" s="1745"/>
      <c r="S267" s="503" t="s">
        <v>61</v>
      </c>
      <c r="T267" s="509" t="s">
        <v>61</v>
      </c>
      <c r="U267" s="42"/>
      <c r="V267" s="42"/>
      <c r="W267" s="42"/>
      <c r="X267" s="1633" t="s">
        <v>2605</v>
      </c>
      <c r="Y267" s="504" t="s">
        <v>2110</v>
      </c>
      <c r="Z267" s="504" t="s">
        <v>61</v>
      </c>
      <c r="AA267" s="504" t="s">
        <v>61</v>
      </c>
      <c r="AB267" s="509" t="s">
        <v>61</v>
      </c>
      <c r="AF267" s="507" t="s">
        <v>2065</v>
      </c>
      <c r="AG267" s="504" t="s">
        <v>61</v>
      </c>
      <c r="AH267" s="504" t="s">
        <v>61</v>
      </c>
      <c r="AI267" s="503" t="s">
        <v>61</v>
      </c>
      <c r="AJ267" s="504" t="s">
        <v>2558</v>
      </c>
      <c r="AK267" s="504" t="s">
        <v>61</v>
      </c>
      <c r="AL267" s="504" t="s">
        <v>61</v>
      </c>
      <c r="AM267" s="509" t="s">
        <v>61</v>
      </c>
      <c r="AS267" s="1764" t="s">
        <v>14</v>
      </c>
      <c r="AT267" s="1761"/>
      <c r="AU267" s="1761" t="s">
        <v>60</v>
      </c>
      <c r="AV267" s="1761"/>
      <c r="AW267" s="1761" t="s">
        <v>27</v>
      </c>
      <c r="AX267" s="1761"/>
      <c r="AY267" s="1761" t="s">
        <v>2074</v>
      </c>
      <c r="AZ267" s="1761"/>
      <c r="BA267" s="1762" t="s">
        <v>41</v>
      </c>
      <c r="BB267" s="1763"/>
      <c r="BC267" s="1764" t="s">
        <v>85</v>
      </c>
      <c r="BD267" s="1765"/>
      <c r="BE267" s="743"/>
      <c r="BF267" s="743"/>
      <c r="BG267" s="743"/>
      <c r="BH267" s="743"/>
      <c r="BI267" s="743"/>
      <c r="BJ267" s="743"/>
    </row>
    <row r="268" spans="1:62" s="32" customFormat="1" ht="13.25" hidden="1" customHeight="1" outlineLevel="1" x14ac:dyDescent="0.2">
      <c r="A268" s="40"/>
      <c r="B268" s="507"/>
      <c r="C268" s="504"/>
      <c r="D268" s="504" t="s">
        <v>61</v>
      </c>
      <c r="E268" s="504" t="s">
        <v>63</v>
      </c>
      <c r="F268" s="208" t="s">
        <v>2054</v>
      </c>
      <c r="G268" s="212" t="s">
        <v>34</v>
      </c>
      <c r="H268" s="506" t="s">
        <v>768</v>
      </c>
      <c r="I268" s="506" t="s">
        <v>24</v>
      </c>
      <c r="J268" s="212" t="s">
        <v>2061</v>
      </c>
      <c r="K268" s="506" t="s">
        <v>768</v>
      </c>
      <c r="L268" s="506" t="s">
        <v>24</v>
      </c>
      <c r="M268" s="212" t="s">
        <v>2059</v>
      </c>
      <c r="N268" s="506" t="s">
        <v>768</v>
      </c>
      <c r="O268" s="506" t="s">
        <v>24</v>
      </c>
      <c r="P268" s="212" t="s">
        <v>15</v>
      </c>
      <c r="Q268" s="506" t="s">
        <v>768</v>
      </c>
      <c r="R268" s="506" t="s">
        <v>24</v>
      </c>
      <c r="S268" s="505" t="s">
        <v>768</v>
      </c>
      <c r="T268" s="274" t="s">
        <v>24</v>
      </c>
      <c r="U268" s="42"/>
      <c r="V268" s="42"/>
      <c r="W268" s="42"/>
      <c r="X268" s="1633" t="s">
        <v>2109</v>
      </c>
      <c r="Y268" s="504"/>
      <c r="Z268" s="506" t="s">
        <v>768</v>
      </c>
      <c r="AA268" s="506" t="s">
        <v>24</v>
      </c>
      <c r="AB268" s="219" t="s">
        <v>41</v>
      </c>
      <c r="AF268" s="507"/>
      <c r="AG268" s="506" t="s">
        <v>768</v>
      </c>
      <c r="AH268" s="506" t="s">
        <v>24</v>
      </c>
      <c r="AI268" s="223" t="s">
        <v>41</v>
      </c>
      <c r="AJ268" s="504"/>
      <c r="AK268" s="506" t="s">
        <v>768</v>
      </c>
      <c r="AL268" s="506" t="s">
        <v>24</v>
      </c>
      <c r="AM268" s="219" t="s">
        <v>41</v>
      </c>
      <c r="AR268" s="40"/>
      <c r="AS268" s="732" t="s">
        <v>768</v>
      </c>
      <c r="AT268" s="733" t="s">
        <v>24</v>
      </c>
      <c r="AU268" s="733" t="s">
        <v>768</v>
      </c>
      <c r="AV268" s="733" t="s">
        <v>24</v>
      </c>
      <c r="AW268" s="733" t="s">
        <v>768</v>
      </c>
      <c r="AX268" s="733" t="s">
        <v>24</v>
      </c>
      <c r="AY268" s="733" t="s">
        <v>768</v>
      </c>
      <c r="AZ268" s="733" t="s">
        <v>24</v>
      </c>
      <c r="BA268" s="734" t="s">
        <v>768</v>
      </c>
      <c r="BB268" s="735" t="s">
        <v>24</v>
      </c>
      <c r="BC268" s="732" t="s">
        <v>768</v>
      </c>
      <c r="BD268" s="736" t="s">
        <v>24</v>
      </c>
      <c r="BE268" s="743"/>
      <c r="BF268" s="743"/>
      <c r="BG268" s="743"/>
      <c r="BH268" s="743"/>
      <c r="BI268" s="743"/>
      <c r="BJ268" s="743"/>
    </row>
    <row r="269" spans="1:62" ht="13.25" hidden="1" customHeight="1" outlineLevel="1" x14ac:dyDescent="0.2">
      <c r="B269" s="200" t="s">
        <v>805</v>
      </c>
      <c r="C269" s="201"/>
      <c r="D269" s="262">
        <f>S269+T269</f>
        <v>0</v>
      </c>
      <c r="E269" s="265">
        <f>D269*12/44</f>
        <v>0</v>
      </c>
      <c r="F269" s="182"/>
      <c r="G269" s="182"/>
      <c r="H269" s="271">
        <f>VLOOKUP($B269,'Emissions factors'!$B$84:$K$147,2,FALSE)</f>
        <v>775.9</v>
      </c>
      <c r="I269" s="271">
        <f>VLOOKUP($B269,'Emissions factors'!$B$84:$K$147,3,FALSE)</f>
        <v>2975.0299999999997</v>
      </c>
      <c r="J269" s="182"/>
      <c r="K269" s="277">
        <f>VLOOKUP($B269,'Emissions factors'!$B$84:$K$147,4,FALSE)</f>
        <v>6.7080000000000001E-2</v>
      </c>
      <c r="L269" s="277">
        <f>VLOOKUP($B269,'Emissions factors'!$B$84:$K$147,5,FALSE)</f>
        <v>0.25615399999999999</v>
      </c>
      <c r="M269" s="182"/>
      <c r="N269" s="271">
        <f>VLOOKUP($B269,'Emissions factors'!$B$84:$K$147,6,FALSE)</f>
        <v>783.2</v>
      </c>
      <c r="O269" s="271">
        <f>VLOOKUP($B269,'Emissions factors'!$B$84:$K$147,7,FALSE)</f>
        <v>2985.1400000000003</v>
      </c>
      <c r="P269" s="182"/>
      <c r="Q269" s="277">
        <f>VLOOKUP($B269,'Emissions factors'!$B$84:$K$147,8,FALSE)</f>
        <v>0.65529999999999988</v>
      </c>
      <c r="R269" s="277">
        <f>VLOOKUP($B269,'Emissions factors'!$B$84:$K$147,9,FALSE)</f>
        <v>2.5111300000000001</v>
      </c>
      <c r="S269" s="210">
        <f>G269*H269+J269*K269+M269*N269+P269*Q269</f>
        <v>0</v>
      </c>
      <c r="T269" s="211">
        <f>G269*I269+J269*L269+M269*O269+P269*R269</f>
        <v>0</v>
      </c>
      <c r="U269" s="42"/>
      <c r="X269" s="282">
        <f>VLOOKUP($B269,'Emissions factors'!$B$84:$K$147,10,FALSE)</f>
        <v>0.05</v>
      </c>
      <c r="Y269" s="184"/>
      <c r="Z269" s="221">
        <f>S269*SQRT(X269^2+Y269^2)</f>
        <v>0</v>
      </c>
      <c r="AA269" s="221">
        <f>T269*SQRT(X269^2+Y269^2)</f>
        <v>0</v>
      </c>
      <c r="AB269" s="211">
        <f>SQRT(Z269^2+AA269^2)</f>
        <v>0</v>
      </c>
      <c r="AF269" s="184"/>
      <c r="AG269" s="221">
        <f>S269*AF269</f>
        <v>0</v>
      </c>
      <c r="AH269" s="224">
        <f>T269*AF269</f>
        <v>0</v>
      </c>
      <c r="AI269" s="210">
        <f>AG269+AH269</f>
        <v>0</v>
      </c>
      <c r="AJ269" s="184"/>
      <c r="AK269" s="221">
        <f>S269*AJ269</f>
        <v>0</v>
      </c>
      <c r="AL269" s="224">
        <f>T269*AJ269</f>
        <v>0</v>
      </c>
      <c r="AM269" s="211">
        <f>AK269+AL269</f>
        <v>0</v>
      </c>
      <c r="AS269" s="717">
        <f>G269*VLOOKUP($B269,'Emissions factors'!$B$84:$AQ$147,11,FALSE)+J269*VLOOKUP($B269,'Emissions factors'!$B$84:$AQ$147,13,FALSE)+M269*VLOOKUP($B269,'Emissions factors'!$B$84:$AQ$147,15,FALSE)+P269*VLOOKUP($B269,'Emissions factors'!$B$84:$AQ$147,17,FALSE)</f>
        <v>0</v>
      </c>
      <c r="AT269" s="718">
        <f>G269*VLOOKUP($B269,'Emissions factors'!$B$84:$AQ$147,12,FALSE)+J269*VLOOKUP($B269,'Emissions factors'!$B$84:$AQ$147,14,FALSE)+M269*VLOOKUP($B269,'Emissions factors'!$B$84:$AQ$147,16,FALSE)+P269*VLOOKUP($B269,'Emissions factors'!$B$84:$AQ$147,18,FALSE)</f>
        <v>0</v>
      </c>
      <c r="AU269" s="718">
        <f>G269*VLOOKUP($B269,'Emissions factors'!$B$84:$AQ$147,19,FALSE)+J269*VLOOKUP($B269,'Emissions factors'!$B$84:$AQ$147,21,FALSE)+M269*VLOOKUP($B269,'Emissions factors'!$B$84:$AQ$147,23,FALSE)+P269*VLOOKUP($B269,'Emissions factors'!$B$84:$AQ$147,25,FALSE)</f>
        <v>0</v>
      </c>
      <c r="AV269" s="718">
        <f>G269*VLOOKUP($B269,'Emissions factors'!$B$84:$AQ$147,20,FALSE)+J269*VLOOKUP($B269,'Emissions factors'!$B$84:$AQ$147,22,FALSE)+M269*VLOOKUP($B269,'Emissions factors'!$B$84:$AQ$147,24,FALSE)+P269*VLOOKUP($B269,'Emissions factors'!$B$84:$AQ$147,26,FALSE)</f>
        <v>0</v>
      </c>
      <c r="AW269" s="718">
        <f>G269*VLOOKUP($B269,'Emissions factors'!$B$84:$AQ$147,27,FALSE)+J269*VLOOKUP($B269,'Emissions factors'!$B$84:$AQ$147,29,FALSE)+M269*VLOOKUP($B269,'Emissions factors'!$B$84:$AQ$147,31,FALSE)+P269*VLOOKUP($B269,'Emissions factors'!$B$84:$AQ$147,33,FALSE)</f>
        <v>0</v>
      </c>
      <c r="AX269" s="718">
        <f>G269*VLOOKUP($B269,'Emissions factors'!$B$84:$AQ$147,28,FALSE)+J269*VLOOKUP($B269,'Emissions factors'!$B$84:$AQ$147,30,FALSE)+M269*VLOOKUP($B269,'Emissions factors'!$B$84:$AQ$147,32,FALSE)+P269*VLOOKUP($B269,'Emissions factors'!$B$84:$AQ$147,34,FALSE)</f>
        <v>0</v>
      </c>
      <c r="AY269" s="718">
        <v>0</v>
      </c>
      <c r="AZ269" s="718">
        <v>0</v>
      </c>
      <c r="BA269" s="719">
        <f t="shared" ref="BA269:BB271" si="51">S269</f>
        <v>0</v>
      </c>
      <c r="BB269" s="720">
        <f t="shared" si="51"/>
        <v>0</v>
      </c>
      <c r="BC269" s="718">
        <f>G269*VLOOKUP($B269,'Emissions factors'!$B$84:$AQ$147,35,FALSE)+J269*VLOOKUP($B269,'Emissions factors'!$B$84:$AQ$147,37,FALSE)+M269*VLOOKUP($B269,'Emissions factors'!$B$84:$AQ$147,39,FALSE)+P269*VLOOKUP($B269,'Emissions factors'!$B$84:$AQ$147,41,FALSE)</f>
        <v>0</v>
      </c>
      <c r="BD269" s="721">
        <f>G269*VLOOKUP($B269,'Emissions factors'!$B$84:$AQ$147,36,FALSE)+J269*VLOOKUP($B269,'Emissions factors'!$B$84:$AQ$147,38,FALSE)+M269*VLOOKUP($B269,'Emissions factors'!$B$84:$AQ$147,40,FALSE)+P269*VLOOKUP($B269,'Emissions factors'!$B$84:$AQ$147,42,FALSE)</f>
        <v>0</v>
      </c>
    </row>
    <row r="270" spans="1:62" ht="13.25" hidden="1" customHeight="1" outlineLevel="1" x14ac:dyDescent="0.2">
      <c r="B270" s="200" t="s">
        <v>796</v>
      </c>
      <c r="C270" s="201"/>
      <c r="D270" s="262">
        <f>S270+T270</f>
        <v>0</v>
      </c>
      <c r="E270" s="265">
        <f>D270*12/44</f>
        <v>0</v>
      </c>
      <c r="F270" s="185"/>
      <c r="G270" s="185"/>
      <c r="H270" s="271">
        <f>VLOOKUP($B270,'Emissions factors'!$B$84:$K$147,2,FALSE)</f>
        <v>707.3</v>
      </c>
      <c r="I270" s="271">
        <f>VLOOKUP($B270,'Emissions factors'!$B$84:$K$147,3,FALSE)</f>
        <v>3008.5</v>
      </c>
      <c r="J270" s="185"/>
      <c r="K270" s="277">
        <f>VLOOKUP($B270,'Emissions factors'!$B$84:$K$147,4,FALSE)</f>
        <v>6.0859999999999997E-2</v>
      </c>
      <c r="L270" s="277">
        <f>VLOOKUP($B270,'Emissions factors'!$B$84:$K$147,5,FALSE)</f>
        <v>0.25307999999999997</v>
      </c>
      <c r="M270" s="185"/>
      <c r="N270" s="271">
        <f>VLOOKUP($B270,'Emissions factors'!$B$84:$K$147,6,FALSE)</f>
        <v>694.7</v>
      </c>
      <c r="O270" s="271">
        <f>VLOOKUP($B270,'Emissions factors'!$B$84:$K$147,7,FALSE)</f>
        <v>2957.6</v>
      </c>
      <c r="P270" s="185"/>
      <c r="Q270" s="277">
        <f>VLOOKUP($B270,'Emissions factors'!$B$84:$K$147,8,FALSE)</f>
        <v>0.53329999999999989</v>
      </c>
      <c r="R270" s="277">
        <f>VLOOKUP($B270,'Emissions factors'!$B$84:$K$147,9,FALSE)</f>
        <v>2.2637</v>
      </c>
      <c r="S270" s="210">
        <f>G270*H270+J270*K270+M270*N270+P270*Q270</f>
        <v>0</v>
      </c>
      <c r="T270" s="211">
        <f>G270*I270+J270*L270+M270*O270+P270*R270</f>
        <v>0</v>
      </c>
      <c r="U270" s="42"/>
      <c r="X270" s="282">
        <f>VLOOKUP($B270,'Emissions factors'!$B$84:$K$147,10,FALSE)</f>
        <v>0.05</v>
      </c>
      <c r="Y270" s="187"/>
      <c r="Z270" s="221">
        <f>S270*SQRT(X270^2+Y270^2)</f>
        <v>0</v>
      </c>
      <c r="AA270" s="221">
        <f>T270*SQRT(X270^2+Y270^2)</f>
        <v>0</v>
      </c>
      <c r="AB270" s="211">
        <f>SQRT(Z270^2+AA270^2)</f>
        <v>0</v>
      </c>
      <c r="AF270" s="187"/>
      <c r="AG270" s="221">
        <f>S270*AF270</f>
        <v>0</v>
      </c>
      <c r="AH270" s="224">
        <f>T270*AF270</f>
        <v>0</v>
      </c>
      <c r="AI270" s="210">
        <f>AG270+AH270</f>
        <v>0</v>
      </c>
      <c r="AJ270" s="187"/>
      <c r="AK270" s="221">
        <f>S270*AJ270</f>
        <v>0</v>
      </c>
      <c r="AL270" s="224">
        <f>T270*AJ270</f>
        <v>0</v>
      </c>
      <c r="AM270" s="211">
        <f>AK270+AL270</f>
        <v>0</v>
      </c>
      <c r="AS270" s="717">
        <f>G270*VLOOKUP($B270,'Emissions factors'!$B$84:$AQ$147,11,FALSE)+J270*VLOOKUP($B270,'Emissions factors'!$B$84:$AQ$147,13,FALSE)+M270*VLOOKUP($B270,'Emissions factors'!$B$84:$AQ$147,15,FALSE)+P270*VLOOKUP($B270,'Emissions factors'!$B$84:$AQ$147,17,FALSE)</f>
        <v>0</v>
      </c>
      <c r="AT270" s="718">
        <f>G270*VLOOKUP($B270,'Emissions factors'!$B$84:$AQ$147,12,FALSE)+J270*VLOOKUP($B270,'Emissions factors'!$B$84:$AQ$147,14,FALSE)+M270*VLOOKUP($B270,'Emissions factors'!$B$84:$AQ$147,16,FALSE)+P270*VLOOKUP($B270,'Emissions factors'!$B$84:$AQ$147,18,FALSE)</f>
        <v>0</v>
      </c>
      <c r="AU270" s="718">
        <f>G270*VLOOKUP($B270,'Emissions factors'!$B$84:$AQ$147,19,FALSE)+J270*VLOOKUP($B270,'Emissions factors'!$B$84:$AQ$147,21,FALSE)+M270*VLOOKUP($B270,'Emissions factors'!$B$84:$AQ$147,23,FALSE)+P270*VLOOKUP($B270,'Emissions factors'!$B$84:$AQ$147,25,FALSE)</f>
        <v>0</v>
      </c>
      <c r="AV270" s="718">
        <f>G270*VLOOKUP($B270,'Emissions factors'!$B$84:$AQ$147,20,FALSE)+J270*VLOOKUP($B270,'Emissions factors'!$B$84:$AQ$147,22,FALSE)+M270*VLOOKUP($B270,'Emissions factors'!$B$84:$AQ$147,24,FALSE)+P270*VLOOKUP($B270,'Emissions factors'!$B$84:$AQ$147,26,FALSE)</f>
        <v>0</v>
      </c>
      <c r="AW270" s="718">
        <f>G270*VLOOKUP($B270,'Emissions factors'!$B$84:$AQ$147,27,FALSE)+J270*VLOOKUP($B270,'Emissions factors'!$B$84:$AQ$147,29,FALSE)+M270*VLOOKUP($B270,'Emissions factors'!$B$84:$AQ$147,31,FALSE)+P270*VLOOKUP($B270,'Emissions factors'!$B$84:$AQ$147,33,FALSE)</f>
        <v>0</v>
      </c>
      <c r="AX270" s="718">
        <f>G270*VLOOKUP($B270,'Emissions factors'!$B$84:$AQ$147,28,FALSE)+J270*VLOOKUP($B270,'Emissions factors'!$B$84:$AQ$147,30,FALSE)+M270*VLOOKUP($B270,'Emissions factors'!$B$84:$AQ$147,32,FALSE)+P270*VLOOKUP($B270,'Emissions factors'!$B$84:$AQ$147,34,FALSE)</f>
        <v>0</v>
      </c>
      <c r="AY270" s="718">
        <v>0</v>
      </c>
      <c r="AZ270" s="718">
        <v>0</v>
      </c>
      <c r="BA270" s="719">
        <f t="shared" si="51"/>
        <v>0</v>
      </c>
      <c r="BB270" s="720">
        <f t="shared" si="51"/>
        <v>0</v>
      </c>
      <c r="BC270" s="718">
        <f>G270*VLOOKUP($B270,'Emissions factors'!$B$84:$AQ$147,35,FALSE)+J270*VLOOKUP($B270,'Emissions factors'!$B$84:$AQ$147,37,FALSE)+M270*VLOOKUP($B270,'Emissions factors'!$B$84:$AQ$147,39,FALSE)+P270*VLOOKUP($B270,'Emissions factors'!$B$84:$AQ$147,41,FALSE)</f>
        <v>0</v>
      </c>
      <c r="BD270" s="721">
        <f>G270*VLOOKUP($B270,'Emissions factors'!$B$84:$AQ$147,36,FALSE)+J270*VLOOKUP($B270,'Emissions factors'!$B$84:$AQ$147,38,FALSE)+M270*VLOOKUP($B270,'Emissions factors'!$B$84:$AQ$147,40,FALSE)+P270*VLOOKUP($B270,'Emissions factors'!$B$84:$AQ$147,42,FALSE)</f>
        <v>0</v>
      </c>
    </row>
    <row r="271" spans="1:62" ht="13.25" hidden="1" customHeight="1" outlineLevel="1" x14ac:dyDescent="0.2">
      <c r="B271" s="200" t="s">
        <v>803</v>
      </c>
      <c r="C271" s="201"/>
      <c r="D271" s="262">
        <f>S271+T271</f>
        <v>0</v>
      </c>
      <c r="E271" s="265">
        <f>D271*12/44</f>
        <v>0</v>
      </c>
      <c r="F271" s="188"/>
      <c r="G271" s="188"/>
      <c r="H271" s="271">
        <f>VLOOKUP($B271,'Emissions factors'!$B$84:$K$147,2,FALSE)</f>
        <v>1153.9000000000001</v>
      </c>
      <c r="I271" s="271">
        <f>VLOOKUP($B271,'Emissions factors'!$B$84:$K$147,3,FALSE)</f>
        <v>2228.6959999999999</v>
      </c>
      <c r="J271" s="188"/>
      <c r="K271" s="277">
        <f>VLOOKUP($B271,'Emissions factors'!$B$84:$K$147,4,FALSE)</f>
        <v>0.1023</v>
      </c>
      <c r="L271" s="277">
        <f>VLOOKUP($B271,'Emissions factors'!$B$84:$K$147,5,FALSE)</f>
        <v>0.19462700000000002</v>
      </c>
      <c r="M271" s="188"/>
      <c r="N271" s="271">
        <f>VLOOKUP($B271,'Emissions factors'!$B$84:$K$147,6,FALSE)</f>
        <v>1178.0999999999999</v>
      </c>
      <c r="O271" s="271">
        <f>VLOOKUP($B271,'Emissions factors'!$B$84:$K$147,7,FALSE)</f>
        <v>2269.11</v>
      </c>
      <c r="P271" s="188"/>
      <c r="Q271" s="277">
        <f>VLOOKUP($B271,'Emissions factors'!$B$84:$K$147,8,FALSE)</f>
        <v>0.97550000000000003</v>
      </c>
      <c r="R271" s="277">
        <f>VLOOKUP($B271,'Emissions factors'!$B$84:$K$147,9,FALSE)</f>
        <v>1.87584</v>
      </c>
      <c r="S271" s="210">
        <f>G271*H271+J271*K271+M271*N271+P271*Q271</f>
        <v>0</v>
      </c>
      <c r="T271" s="211">
        <f>G271*I271+J271*L271+M271*O271+P271*R271</f>
        <v>0</v>
      </c>
      <c r="U271" s="42"/>
      <c r="X271" s="282">
        <f>VLOOKUP($B271,'Emissions factors'!$B$84:$K$147,10,FALSE)</f>
        <v>0.05</v>
      </c>
      <c r="Y271" s="190"/>
      <c r="Z271" s="221">
        <f>S271*SQRT(X271^2+Y271^2)</f>
        <v>0</v>
      </c>
      <c r="AA271" s="221">
        <f>T271*SQRT(X271^2+Y271^2)</f>
        <v>0</v>
      </c>
      <c r="AB271" s="211">
        <f>SQRT(Z271^2+AA271^2)</f>
        <v>0</v>
      </c>
      <c r="AF271" s="190"/>
      <c r="AG271" s="221">
        <f>S271*AF271</f>
        <v>0</v>
      </c>
      <c r="AH271" s="224">
        <f>T271*AF271</f>
        <v>0</v>
      </c>
      <c r="AI271" s="210">
        <f>AG271+AH271</f>
        <v>0</v>
      </c>
      <c r="AJ271" s="190"/>
      <c r="AK271" s="221">
        <f>S271*AJ271</f>
        <v>0</v>
      </c>
      <c r="AL271" s="224">
        <f>T271*AJ271</f>
        <v>0</v>
      </c>
      <c r="AM271" s="211">
        <f>AK271+AL271</f>
        <v>0</v>
      </c>
      <c r="AS271" s="717">
        <f>G271*VLOOKUP($B271,'Emissions factors'!$B$84:$AQ$147,11,FALSE)+J271*VLOOKUP($B271,'Emissions factors'!$B$84:$AQ$147,13,FALSE)+M271*VLOOKUP($B271,'Emissions factors'!$B$84:$AQ$147,15,FALSE)+P271*VLOOKUP($B271,'Emissions factors'!$B$84:$AQ$147,17,FALSE)</f>
        <v>0</v>
      </c>
      <c r="AT271" s="718">
        <f>G271*VLOOKUP($B271,'Emissions factors'!$B$84:$AQ$147,12,FALSE)+J271*VLOOKUP($B271,'Emissions factors'!$B$84:$AQ$147,14,FALSE)+M271*VLOOKUP($B271,'Emissions factors'!$B$84:$AQ$147,16,FALSE)+P271*VLOOKUP($B271,'Emissions factors'!$B$84:$AQ$147,18,FALSE)</f>
        <v>0</v>
      </c>
      <c r="AU271" s="718">
        <f>G271*VLOOKUP($B271,'Emissions factors'!$B$84:$AQ$147,19,FALSE)+J271*VLOOKUP($B271,'Emissions factors'!$B$84:$AQ$147,21,FALSE)+M271*VLOOKUP($B271,'Emissions factors'!$B$84:$AQ$147,23,FALSE)+P271*VLOOKUP($B271,'Emissions factors'!$B$84:$AQ$147,25,FALSE)</f>
        <v>0</v>
      </c>
      <c r="AV271" s="718">
        <f>G271*VLOOKUP($B271,'Emissions factors'!$B$84:$AQ$147,20,FALSE)+J271*VLOOKUP($B271,'Emissions factors'!$B$84:$AQ$147,22,FALSE)+M271*VLOOKUP($B271,'Emissions factors'!$B$84:$AQ$147,24,FALSE)+P271*VLOOKUP($B271,'Emissions factors'!$B$84:$AQ$147,26,FALSE)</f>
        <v>0</v>
      </c>
      <c r="AW271" s="718">
        <f>G271*VLOOKUP($B271,'Emissions factors'!$B$84:$AQ$147,27,FALSE)+J271*VLOOKUP($B271,'Emissions factors'!$B$84:$AQ$147,29,FALSE)+M271*VLOOKUP($B271,'Emissions factors'!$B$84:$AQ$147,31,FALSE)+P271*VLOOKUP($B271,'Emissions factors'!$B$84:$AQ$147,33,FALSE)</f>
        <v>0</v>
      </c>
      <c r="AX271" s="718">
        <f>G271*VLOOKUP($B271,'Emissions factors'!$B$84:$AQ$147,28,FALSE)+J271*VLOOKUP($B271,'Emissions factors'!$B$84:$AQ$147,30,FALSE)+M271*VLOOKUP($B271,'Emissions factors'!$B$84:$AQ$147,32,FALSE)+P271*VLOOKUP($B271,'Emissions factors'!$B$84:$AQ$147,34,FALSE)</f>
        <v>0</v>
      </c>
      <c r="AY271" s="718">
        <v>0</v>
      </c>
      <c r="AZ271" s="718">
        <v>0</v>
      </c>
      <c r="BA271" s="719">
        <f t="shared" si="51"/>
        <v>0</v>
      </c>
      <c r="BB271" s="720">
        <f t="shared" si="51"/>
        <v>0</v>
      </c>
      <c r="BC271" s="718">
        <f>G271*VLOOKUP($B271,'Emissions factors'!$B$84:$AQ$147,35,FALSE)+J271*VLOOKUP($B271,'Emissions factors'!$B$84:$AQ$147,37,FALSE)+M271*VLOOKUP($B271,'Emissions factors'!$B$84:$AQ$147,39,FALSE)+P271*VLOOKUP($B271,'Emissions factors'!$B$84:$AQ$147,41,FALSE)</f>
        <v>0</v>
      </c>
      <c r="BD271" s="721">
        <f>G271*VLOOKUP($B271,'Emissions factors'!$B$84:$AQ$147,36,FALSE)+J271*VLOOKUP($B271,'Emissions factors'!$B$84:$AQ$147,38,FALSE)+M271*VLOOKUP($B271,'Emissions factors'!$B$84:$AQ$147,40,FALSE)+P271*VLOOKUP($B271,'Emissions factors'!$B$84:$AQ$147,42,FALSE)</f>
        <v>0</v>
      </c>
    </row>
    <row r="272" spans="1:62" ht="13.25" hidden="1" customHeight="1" outlineLevel="1" x14ac:dyDescent="0.2">
      <c r="B272" s="200"/>
      <c r="C272" s="201"/>
      <c r="D272" s="263"/>
      <c r="E272" s="266"/>
      <c r="F272" s="410"/>
      <c r="G272" s="410"/>
      <c r="H272" s="273"/>
      <c r="I272" s="273"/>
      <c r="J272" s="410"/>
      <c r="K272" s="273"/>
      <c r="L272" s="273"/>
      <c r="M272" s="410"/>
      <c r="N272" s="273"/>
      <c r="O272" s="273"/>
      <c r="P272" s="410"/>
      <c r="Q272" s="273"/>
      <c r="R272" s="272"/>
      <c r="S272" s="210"/>
      <c r="T272" s="211"/>
      <c r="U272" s="42"/>
      <c r="X272" s="282"/>
      <c r="Y272" s="221"/>
      <c r="Z272" s="221"/>
      <c r="AA272" s="221"/>
      <c r="AB272" s="211"/>
      <c r="AF272" s="200"/>
      <c r="AG272" s="221"/>
      <c r="AH272" s="224"/>
      <c r="AI272" s="285"/>
      <c r="AJ272" s="224"/>
      <c r="AK272" s="221"/>
      <c r="AL272" s="224"/>
      <c r="AM272" s="211"/>
      <c r="AS272" s="717"/>
      <c r="AT272" s="718"/>
      <c r="AU272" s="718"/>
      <c r="AV272" s="718"/>
      <c r="AW272" s="718"/>
      <c r="AX272" s="718"/>
      <c r="AY272" s="718"/>
      <c r="AZ272" s="718"/>
      <c r="BA272" s="719"/>
      <c r="BB272" s="720"/>
      <c r="BC272" s="717"/>
      <c r="BD272" s="721"/>
    </row>
    <row r="273" spans="2:56" ht="13.25" hidden="1" customHeight="1" outlineLevel="1" x14ac:dyDescent="0.2">
      <c r="B273" s="200" t="s">
        <v>834</v>
      </c>
      <c r="C273" s="201"/>
      <c r="D273" s="262">
        <f>S273+T273</f>
        <v>0</v>
      </c>
      <c r="E273" s="265">
        <f>D273*12/44</f>
        <v>0</v>
      </c>
      <c r="F273" s="182"/>
      <c r="G273" s="182"/>
      <c r="H273" s="271">
        <f>VLOOKUP($B273,'Emissions factors'!$B$152:$K$165,2,FALSE)</f>
        <v>1134.9000000000001</v>
      </c>
      <c r="I273" s="271">
        <f>VLOOKUP($B273,'Emissions factors'!$B$152:$K$165,3,FALSE)</f>
        <v>0</v>
      </c>
      <c r="J273" s="182"/>
      <c r="K273" s="277">
        <f>VLOOKUP($B273,'Emissions factors'!$B$152:$K$165,4,FALSE)</f>
        <v>0.10988999999999999</v>
      </c>
      <c r="L273" s="277">
        <f>VLOOKUP($B273,'Emissions factors'!$B$152:$K$165,5,FALSE)</f>
        <v>0</v>
      </c>
      <c r="M273" s="182"/>
      <c r="N273" s="271">
        <f>VLOOKUP($B273,'Emissions factors'!$B$152:$K$165,6,FALSE)</f>
        <v>1278.0999999999999</v>
      </c>
      <c r="O273" s="271">
        <f>VLOOKUP($B273,'Emissions factors'!$B$152:$K$165,7,FALSE)</f>
        <v>0</v>
      </c>
      <c r="P273" s="182"/>
      <c r="Q273" s="277">
        <f>VLOOKUP($B273,'Emissions factors'!$B$152:$K$165,8,FALSE)</f>
        <v>1.0113000000000001</v>
      </c>
      <c r="R273" s="277">
        <f>VLOOKUP($B273,'Emissions factors'!$B$152:$K$165,9,FALSE)</f>
        <v>0</v>
      </c>
      <c r="S273" s="210">
        <f>G273*H273+J273*K273+M273*N273+P273*Q273</f>
        <v>0</v>
      </c>
      <c r="T273" s="211">
        <f>G273*I273+J273*L273+M273*O273+P273*R273</f>
        <v>0</v>
      </c>
      <c r="U273" s="42"/>
      <c r="X273" s="282">
        <f>VLOOKUP($B273,'Emissions factors'!$B$152:$K$165,10,FALSE)</f>
        <v>0.2</v>
      </c>
      <c r="Y273" s="184"/>
      <c r="Z273" s="221">
        <f>S273*SQRT(X273^2+Y273^2)</f>
        <v>0</v>
      </c>
      <c r="AA273" s="221">
        <f>T273*SQRT(X273^2+Y273^2)</f>
        <v>0</v>
      </c>
      <c r="AB273" s="211">
        <f>SQRT(Z273^2+AA273^2)</f>
        <v>0</v>
      </c>
      <c r="AF273" s="184"/>
      <c r="AG273" s="221">
        <f>S273*AF273</f>
        <v>0</v>
      </c>
      <c r="AH273" s="224">
        <f>T273*AF273</f>
        <v>0</v>
      </c>
      <c r="AI273" s="210">
        <f>AG273+AH273</f>
        <v>0</v>
      </c>
      <c r="AJ273" s="184"/>
      <c r="AK273" s="221">
        <f>S273*AJ273</f>
        <v>0</v>
      </c>
      <c r="AL273" s="224">
        <f>T273*AJ273</f>
        <v>0</v>
      </c>
      <c r="AM273" s="211">
        <f>AK273+AL273</f>
        <v>0</v>
      </c>
      <c r="AS273" s="717">
        <f>G273*VLOOKUP($B273,'Emissions factors'!$B$152:$AQ$165,11,FALSE)+J273*VLOOKUP($B273,'Emissions factors'!$B$152:$AQ$165,13,FALSE)+M273*VLOOKUP($B273,'Emissions factors'!$B$152:$AQ$165,15,FALSE)+P273*VLOOKUP($B273,'Emissions factors'!$B$152:$AQ$165,17,FALSE)</f>
        <v>0</v>
      </c>
      <c r="AT273" s="718">
        <f>G273*VLOOKUP($B273,'Emissions factors'!$B$152:$AQ$165,12,FALSE)+J273*VLOOKUP($B273,'Emissions factors'!$B$152:$AQ$165,14,FALSE)+M273*VLOOKUP($B273,'Emissions factors'!$B$152:$AQ$165,16,FALSE)+P273*VLOOKUP($B273,'Emissions factors'!$B$152:$AQ$165,18,FALSE)</f>
        <v>0</v>
      </c>
      <c r="AU273" s="718">
        <f>G273*VLOOKUP($B273,'Emissions factors'!$B$152:$AQ$165,19,FALSE)+J273*VLOOKUP($B273,'Emissions factors'!$B$152:$AQ$165,21,FALSE)+M273*VLOOKUP($B273,'Emissions factors'!$B$152:$AQ$165,23,FALSE)+P273*VLOOKUP($B273,'Emissions factors'!$B$152:$AQ$165,25,FALSE)</f>
        <v>0</v>
      </c>
      <c r="AV273" s="718">
        <f>G273*VLOOKUP($B273,'Emissions factors'!$B$152:$AQ$165,20,FALSE)+J273*VLOOKUP($B273,'Emissions factors'!$B$152:$AQ$165,22,FALSE)+M273*VLOOKUP($B273,'Emissions factors'!$B$152:$AQ$165,24,FALSE)+P273*VLOOKUP($B273,'Emissions factors'!$B$152:$AQ$165,26,FALSE)</f>
        <v>0</v>
      </c>
      <c r="AW273" s="718">
        <f>G273*VLOOKUP($B273,'Emissions factors'!$B$152:$AQ$165,27,FALSE)+J273*VLOOKUP($B273,'Emissions factors'!$B$152:$AQ$165,29,FALSE)+M273*VLOOKUP($B273,'Emissions factors'!$B$152:$AQ$165,31,FALSE)+P273*VLOOKUP($B273,'Emissions factors'!$B$152:$AQ$165,33,FALSE)</f>
        <v>0</v>
      </c>
      <c r="AX273" s="718">
        <f>G273*VLOOKUP($B273,'Emissions factors'!$B$152:$AQ$165,28,FALSE)+J273*VLOOKUP($B273,'Emissions factors'!$B$152:$AQ$165,30,FALSE)+M273*VLOOKUP($B273,'Emissions factors'!$B$152:$AQ$165,32,FALSE)+P273*VLOOKUP($B273,'Emissions factors'!$B$152:$AQ$165,34,FALSE)</f>
        <v>0</v>
      </c>
      <c r="AY273" s="718">
        <v>0</v>
      </c>
      <c r="AZ273" s="718">
        <v>0</v>
      </c>
      <c r="BA273" s="719">
        <f>S273</f>
        <v>0</v>
      </c>
      <c r="BB273" s="720">
        <f>T273</f>
        <v>0</v>
      </c>
      <c r="BC273" s="717">
        <f>G273*VLOOKUP($B273,'Emissions factors'!$B$152:$AQ$165,35,FALSE)+J273*VLOOKUP($B273,'Emissions factors'!$B$152:$AQ$165,37,FALSE)+M273*VLOOKUP($B273,'Emissions factors'!$B$152:$AQ$165,39,FALSE)+P273*VLOOKUP($B273,'Emissions factors'!$B$152:$AQ$165,41,FALSE)</f>
        <v>0</v>
      </c>
      <c r="BD273" s="721">
        <f>G273*VLOOKUP($B273,'Emissions factors'!$B$152:$AQ$165,36,FALSE)+J273*VLOOKUP($B273,'Emissions factors'!$B$152:$AQ$165,38,FALSE)+M273*VLOOKUP($B273,'Emissions factors'!$B$152:$AQ$165,40,FALSE)+P273*VLOOKUP($B273,'Emissions factors'!$B$152:$AQ$165,42,FALSE)</f>
        <v>0</v>
      </c>
    </row>
    <row r="274" spans="2:56" ht="13.25" hidden="1" customHeight="1" outlineLevel="1" x14ac:dyDescent="0.2">
      <c r="B274" s="200" t="s">
        <v>839</v>
      </c>
      <c r="C274" s="201"/>
      <c r="D274" s="262">
        <f>S274+T274</f>
        <v>0</v>
      </c>
      <c r="E274" s="265">
        <f>D274*12/44</f>
        <v>0</v>
      </c>
      <c r="F274" s="188"/>
      <c r="G274" s="188"/>
      <c r="H274" s="271">
        <f>VLOOKUP($B274,'Emissions factors'!$B$152:$K$165,2,FALSE)</f>
        <v>41.2</v>
      </c>
      <c r="I274" s="271">
        <f>VLOOKUP($B274,'Emissions factors'!$B$152:$K$165,3,FALSE)</f>
        <v>72.599999999999994</v>
      </c>
      <c r="J274" s="188"/>
      <c r="K274" s="277">
        <f>VLOOKUP($B274,'Emissions factors'!$B$152:$K$165,4,FALSE)</f>
        <v>1.068E-2</v>
      </c>
      <c r="L274" s="277">
        <f>VLOOKUP($B274,'Emissions factors'!$B$152:$K$165,5,FALSE)</f>
        <v>1.8800000000000001E-2</v>
      </c>
      <c r="M274" s="188"/>
      <c r="N274" s="271">
        <f>VLOOKUP($B274,'Emissions factors'!$B$152:$K$165,6,FALSE)</f>
        <v>0</v>
      </c>
      <c r="O274" s="271">
        <f>VLOOKUP($B274,'Emissions factors'!$B$152:$K$165,7,FALSE)</f>
        <v>0</v>
      </c>
      <c r="P274" s="188"/>
      <c r="Q274" s="277"/>
      <c r="R274" s="277"/>
      <c r="S274" s="210">
        <f>G274*H274+J274*K274+M274*N274+P274*Q274</f>
        <v>0</v>
      </c>
      <c r="T274" s="211">
        <f>G274*I274+J274*L274+M274*O274+P274*R274</f>
        <v>0</v>
      </c>
      <c r="U274" s="42"/>
      <c r="X274" s="282">
        <f>VLOOKUP($B274,'Emissions factors'!$B$152:$K$165,10,FALSE)</f>
        <v>0.5</v>
      </c>
      <c r="Y274" s="190"/>
      <c r="Z274" s="221">
        <f>S274*SQRT(X274^2+Y274^2)</f>
        <v>0</v>
      </c>
      <c r="AA274" s="221">
        <f>T274*SQRT(X274^2+Y274^2)</f>
        <v>0</v>
      </c>
      <c r="AB274" s="211">
        <f>SQRT(Z274^2+AA274^2)</f>
        <v>0</v>
      </c>
      <c r="AF274" s="190"/>
      <c r="AG274" s="221">
        <f>S274*AF274</f>
        <v>0</v>
      </c>
      <c r="AH274" s="224">
        <f>T274*AF274</f>
        <v>0</v>
      </c>
      <c r="AI274" s="210">
        <f>AG274+AH274</f>
        <v>0</v>
      </c>
      <c r="AJ274" s="190"/>
      <c r="AK274" s="221">
        <f>S274*AJ274</f>
        <v>0</v>
      </c>
      <c r="AL274" s="224">
        <f>T274*AJ274</f>
        <v>0</v>
      </c>
      <c r="AM274" s="211">
        <f>AK274+AL274</f>
        <v>0</v>
      </c>
      <c r="AS274" s="717">
        <f>G274*VLOOKUP($B274,'Emissions factors'!$B$152:$AQ$165,11,FALSE)+J274*VLOOKUP($B274,'Emissions factors'!$B$152:$AQ$165,13,FALSE)+M274*VLOOKUP($B274,'Emissions factors'!$B$152:$AQ$165,15,FALSE)+P274*VLOOKUP($B274,'Emissions factors'!$B$152:$AQ$165,17,FALSE)</f>
        <v>0</v>
      </c>
      <c r="AT274" s="718">
        <f>G274*VLOOKUP($B274,'Emissions factors'!$B$152:$AQ$165,12,FALSE)+J274*VLOOKUP($B274,'Emissions factors'!$B$152:$AQ$165,14,FALSE)+M274*VLOOKUP($B274,'Emissions factors'!$B$152:$AQ$165,16,FALSE)+P274*VLOOKUP($B274,'Emissions factors'!$B$152:$AQ$165,18,FALSE)</f>
        <v>0</v>
      </c>
      <c r="AU274" s="718">
        <f>G274*VLOOKUP($B274,'Emissions factors'!$B$152:$AQ$165,19,FALSE)+J274*VLOOKUP($B274,'Emissions factors'!$B$152:$AQ$165,21,FALSE)+M274*VLOOKUP($B274,'Emissions factors'!$B$152:$AQ$165,23,FALSE)+P274*VLOOKUP($B274,'Emissions factors'!$B$152:$AQ$165,25,FALSE)</f>
        <v>0</v>
      </c>
      <c r="AV274" s="718">
        <f>G274*VLOOKUP($B274,'Emissions factors'!$B$152:$AQ$165,20,FALSE)+J274*VLOOKUP($B274,'Emissions factors'!$B$152:$AQ$165,22,FALSE)+M274*VLOOKUP($B274,'Emissions factors'!$B$152:$AQ$165,24,FALSE)+P274*VLOOKUP($B274,'Emissions factors'!$B$152:$AQ$165,26,FALSE)</f>
        <v>0</v>
      </c>
      <c r="AW274" s="718">
        <f>G274*VLOOKUP($B274,'Emissions factors'!$B$152:$AQ$165,27,FALSE)+J274*VLOOKUP($B274,'Emissions factors'!$B$152:$AQ$165,29,FALSE)+M274*VLOOKUP($B274,'Emissions factors'!$B$152:$AQ$165,31,FALSE)+P274*VLOOKUP($B274,'Emissions factors'!$B$152:$AQ$165,33,FALSE)</f>
        <v>0</v>
      </c>
      <c r="AX274" s="718">
        <f>G274*VLOOKUP($B274,'Emissions factors'!$B$152:$AQ$165,28,FALSE)+J274*VLOOKUP($B274,'Emissions factors'!$B$152:$AQ$165,30,FALSE)+M274*VLOOKUP($B274,'Emissions factors'!$B$152:$AQ$165,32,FALSE)+P274*VLOOKUP($B274,'Emissions factors'!$B$152:$AQ$165,34,FALSE)</f>
        <v>0</v>
      </c>
      <c r="AY274" s="718">
        <v>0</v>
      </c>
      <c r="AZ274" s="718">
        <v>0</v>
      </c>
      <c r="BA274" s="719">
        <f>S274</f>
        <v>0</v>
      </c>
      <c r="BB274" s="720">
        <f>T274</f>
        <v>0</v>
      </c>
      <c r="BC274" s="717">
        <f>G274*VLOOKUP($B274,'Emissions factors'!$B$152:$AQ$165,35,FALSE)+J274*VLOOKUP($B274,'Emissions factors'!$B$152:$AQ$165,37,FALSE)+M274*VLOOKUP($B274,'Emissions factors'!$B$152:$AQ$165,39,FALSE)+P274*VLOOKUP($B274,'Emissions factors'!$B$152:$AQ$165,41,FALSE)</f>
        <v>0</v>
      </c>
      <c r="BD274" s="721">
        <f>G274*VLOOKUP($B274,'Emissions factors'!$B$152:$AQ$165,36,FALSE)+J274*VLOOKUP($B274,'Emissions factors'!$B$152:$AQ$165,38,FALSE)+M274*VLOOKUP($B274,'Emissions factors'!$B$152:$AQ$165,40,FALSE)+P274*VLOOKUP($B274,'Emissions factors'!$B$152:$AQ$165,42,FALSE)</f>
        <v>0</v>
      </c>
    </row>
    <row r="275" spans="2:56" ht="13.25" hidden="1" customHeight="1" outlineLevel="1" x14ac:dyDescent="0.2">
      <c r="B275" s="213"/>
      <c r="C275" s="201"/>
      <c r="D275" s="262"/>
      <c r="E275" s="265"/>
      <c r="F275" s="462"/>
      <c r="G275" s="214"/>
      <c r="H275" s="214"/>
      <c r="I275" s="214"/>
      <c r="J275" s="214"/>
      <c r="K275" s="214"/>
      <c r="L275" s="214"/>
      <c r="M275" s="214"/>
      <c r="N275" s="214"/>
      <c r="O275" s="214"/>
      <c r="P275" s="214"/>
      <c r="Q275" s="214"/>
      <c r="R275" s="214"/>
      <c r="S275" s="463"/>
      <c r="T275" s="215"/>
      <c r="U275" s="42"/>
      <c r="V275" s="42"/>
      <c r="W275" s="42"/>
      <c r="X275" s="213"/>
      <c r="Y275" s="214"/>
      <c r="Z275" s="227"/>
      <c r="AA275" s="227"/>
      <c r="AB275" s="215"/>
      <c r="AE275" s="42"/>
      <c r="AF275" s="213"/>
      <c r="AG275" s="413"/>
      <c r="AH275" s="413"/>
      <c r="AI275" s="413"/>
      <c r="AJ275" s="214"/>
      <c r="AK275" s="227"/>
      <c r="AL275" s="227"/>
      <c r="AM275" s="543"/>
      <c r="AS275" s="717"/>
      <c r="AT275" s="718"/>
      <c r="AU275" s="718"/>
      <c r="AV275" s="718"/>
      <c r="AW275" s="718"/>
      <c r="AX275" s="718"/>
      <c r="AY275" s="718"/>
      <c r="AZ275" s="718"/>
      <c r="BA275" s="719"/>
      <c r="BB275" s="720"/>
      <c r="BC275" s="722"/>
      <c r="BD275" s="723"/>
    </row>
    <row r="276" spans="2:56" ht="13.25" hidden="1" customHeight="1" outlineLevel="1" x14ac:dyDescent="0.2">
      <c r="B276" s="253" t="s">
        <v>2828</v>
      </c>
      <c r="C276" s="254"/>
      <c r="D276" s="264">
        <f>SUM(D269:D275)</f>
        <v>0</v>
      </c>
      <c r="E276" s="267">
        <f>SUM(E269:E275)</f>
        <v>0</v>
      </c>
      <c r="F276" s="255"/>
      <c r="G276" s="256"/>
      <c r="H276" s="256"/>
      <c r="I276" s="256"/>
      <c r="J276" s="256"/>
      <c r="K276" s="256"/>
      <c r="L276" s="256"/>
      <c r="M276" s="256"/>
      <c r="N276" s="256"/>
      <c r="O276" s="256"/>
      <c r="P276" s="256"/>
      <c r="Q276" s="256"/>
      <c r="R276" s="256"/>
      <c r="S276" s="259">
        <f>SUM(S269:S275)</f>
        <v>0</v>
      </c>
      <c r="T276" s="257">
        <f>SUM(T269:T275)</f>
        <v>0</v>
      </c>
      <c r="U276" s="42"/>
      <c r="V276" s="42"/>
      <c r="W276" s="42"/>
      <c r="X276" s="258"/>
      <c r="Y276" s="256"/>
      <c r="Z276" s="260">
        <f>SQRT(SUMSQ(Z268:Z275))</f>
        <v>0</v>
      </c>
      <c r="AA276" s="260">
        <f>SQRT(SUMSQ(AA268:AA275))</f>
        <v>0</v>
      </c>
      <c r="AB276" s="257">
        <f>SQRT(SUMSQ(AB268:AB275))</f>
        <v>0</v>
      </c>
      <c r="AE276" s="42"/>
      <c r="AF276" s="258"/>
      <c r="AG276" s="260">
        <f>SUM(AG269:AG275)</f>
        <v>0</v>
      </c>
      <c r="AH276" s="260">
        <f>SUM(AH269:AH275)</f>
        <v>0</v>
      </c>
      <c r="AI276" s="259">
        <f>SUM(AI269:AI275)</f>
        <v>0</v>
      </c>
      <c r="AJ276" s="256"/>
      <c r="AK276" s="260">
        <f>SUM(AK269:AK275)</f>
        <v>0</v>
      </c>
      <c r="AL276" s="260">
        <f>SUM(AL269:AL275)</f>
        <v>0</v>
      </c>
      <c r="AM276" s="257">
        <f>SUM(AM269:AM275)</f>
        <v>0</v>
      </c>
      <c r="AS276" s="724">
        <f t="shared" ref="AS276:BD276" si="52">SUM(AS269:AS275)</f>
        <v>0</v>
      </c>
      <c r="AT276" s="725">
        <f t="shared" si="52"/>
        <v>0</v>
      </c>
      <c r="AU276" s="725">
        <f t="shared" si="52"/>
        <v>0</v>
      </c>
      <c r="AV276" s="725">
        <f t="shared" si="52"/>
        <v>0</v>
      </c>
      <c r="AW276" s="725">
        <f t="shared" si="52"/>
        <v>0</v>
      </c>
      <c r="AX276" s="725">
        <f t="shared" si="52"/>
        <v>0</v>
      </c>
      <c r="AY276" s="725">
        <f t="shared" si="52"/>
        <v>0</v>
      </c>
      <c r="AZ276" s="725">
        <f t="shared" si="52"/>
        <v>0</v>
      </c>
      <c r="BA276" s="726">
        <f t="shared" si="52"/>
        <v>0</v>
      </c>
      <c r="BB276" s="727">
        <f t="shared" si="52"/>
        <v>0</v>
      </c>
      <c r="BC276" s="724">
        <f t="shared" si="52"/>
        <v>0</v>
      </c>
      <c r="BD276" s="728">
        <f t="shared" si="52"/>
        <v>0</v>
      </c>
    </row>
    <row r="277" spans="2:56" ht="13.25" hidden="1" customHeight="1" outlineLevel="1" x14ac:dyDescent="0.2">
      <c r="Q277" s="42"/>
      <c r="AS277" s="605"/>
      <c r="AT277" s="605"/>
      <c r="AU277" s="605"/>
      <c r="AV277" s="605"/>
      <c r="BC277" s="605"/>
      <c r="BD277" s="605"/>
    </row>
    <row r="278" spans="2:56" ht="13.25" hidden="1" customHeight="1" outlineLevel="1" x14ac:dyDescent="0.2">
      <c r="B278" s="195" t="s">
        <v>3068</v>
      </c>
      <c r="C278" s="196"/>
      <c r="D278" s="196"/>
      <c r="E278" s="196"/>
      <c r="F278" s="198"/>
      <c r="G278" s="198"/>
      <c r="H278" s="198"/>
      <c r="I278" s="198"/>
      <c r="J278" s="198"/>
      <c r="K278" s="198"/>
      <c r="L278" s="198"/>
      <c r="M278" s="217"/>
      <c r="N278" s="217"/>
      <c r="O278" s="218"/>
      <c r="X278" s="1746" t="s">
        <v>723</v>
      </c>
      <c r="Y278" s="1747"/>
      <c r="Z278" s="1747"/>
      <c r="AA278" s="1747"/>
      <c r="AB278" s="1747"/>
      <c r="AC278" s="1748"/>
      <c r="AF278" s="1746" t="s">
        <v>2066</v>
      </c>
      <c r="AG278" s="1747"/>
      <c r="AH278" s="1747"/>
      <c r="AI278" s="1747"/>
      <c r="AJ278" s="1747"/>
      <c r="AK278" s="1747"/>
      <c r="AL278" s="1747"/>
      <c r="AM278" s="1747"/>
      <c r="AN278" s="1747"/>
      <c r="AO278" s="1748"/>
      <c r="AS278" s="1755" t="s">
        <v>2073</v>
      </c>
      <c r="AT278" s="1756"/>
      <c r="AU278" s="1756"/>
      <c r="AV278" s="1756"/>
      <c r="AW278" s="1756"/>
      <c r="AX278" s="1756"/>
      <c r="AY278" s="1756"/>
      <c r="AZ278" s="1756"/>
      <c r="BA278" s="1756"/>
      <c r="BB278" s="1756"/>
      <c r="BC278" s="1756"/>
      <c r="BD278" s="1757"/>
    </row>
    <row r="279" spans="2:56" ht="13.25" hidden="1" customHeight="1" outlineLevel="1" x14ac:dyDescent="0.2">
      <c r="B279" s="417"/>
      <c r="C279" s="225"/>
      <c r="D279" s="503"/>
      <c r="E279" s="503"/>
      <c r="F279" s="201"/>
      <c r="G279" s="201"/>
      <c r="H279" s="201"/>
      <c r="I279" s="201"/>
      <c r="J279" s="201"/>
      <c r="K279" s="201"/>
      <c r="L279" s="201"/>
      <c r="M279" s="201"/>
      <c r="N279" s="201"/>
      <c r="O279" s="508" t="s">
        <v>2639</v>
      </c>
      <c r="X279" s="216"/>
      <c r="Y279" s="217"/>
      <c r="Z279" s="503"/>
      <c r="AA279" s="503"/>
      <c r="AB279" s="503"/>
      <c r="AC279" s="508" t="s">
        <v>2639</v>
      </c>
      <c r="AF279" s="216"/>
      <c r="AG279" s="503"/>
      <c r="AH279" s="503"/>
      <c r="AI279" s="503"/>
      <c r="AJ279" s="504" t="s">
        <v>2639</v>
      </c>
      <c r="AK279" s="217"/>
      <c r="AL279" s="503"/>
      <c r="AM279" s="503"/>
      <c r="AN279" s="503"/>
      <c r="AO279" s="508" t="s">
        <v>2639</v>
      </c>
      <c r="AS279" s="1758" t="s">
        <v>61</v>
      </c>
      <c r="AT279" s="1759"/>
      <c r="AU279" s="1759"/>
      <c r="AV279" s="1759"/>
      <c r="AW279" s="1759"/>
      <c r="AX279" s="1759"/>
      <c r="AY279" s="1759"/>
      <c r="AZ279" s="1759"/>
      <c r="BA279" s="1759" t="s">
        <v>61</v>
      </c>
      <c r="BB279" s="1760"/>
      <c r="BC279" s="730"/>
      <c r="BD279" s="731"/>
    </row>
    <row r="280" spans="2:56" ht="13.25" hidden="1" customHeight="1" outlineLevel="1" x14ac:dyDescent="0.2">
      <c r="B280" s="507"/>
      <c r="C280" s="504"/>
      <c r="D280" s="504" t="s">
        <v>56</v>
      </c>
      <c r="E280" s="504" t="s">
        <v>56</v>
      </c>
      <c r="F280" s="205" t="s">
        <v>2669</v>
      </c>
      <c r="G280" s="205"/>
      <c r="H280" s="1744" t="s">
        <v>1457</v>
      </c>
      <c r="I280" s="1745"/>
      <c r="J280" s="205"/>
      <c r="K280" s="1744" t="s">
        <v>2664</v>
      </c>
      <c r="L280" s="1745"/>
      <c r="M280" s="503" t="s">
        <v>61</v>
      </c>
      <c r="N280" s="503" t="s">
        <v>61</v>
      </c>
      <c r="O280" s="508" t="s">
        <v>30</v>
      </c>
      <c r="X280" s="1633" t="s">
        <v>2605</v>
      </c>
      <c r="Y280" s="504" t="s">
        <v>2110</v>
      </c>
      <c r="Z280" s="504" t="s">
        <v>61</v>
      </c>
      <c r="AA280" s="504" t="s">
        <v>61</v>
      </c>
      <c r="AB280" s="503" t="s">
        <v>61</v>
      </c>
      <c r="AC280" s="508" t="s">
        <v>30</v>
      </c>
      <c r="AF280" s="507" t="s">
        <v>2065</v>
      </c>
      <c r="AG280" s="504" t="s">
        <v>61</v>
      </c>
      <c r="AH280" s="504" t="s">
        <v>61</v>
      </c>
      <c r="AI280" s="503" t="s">
        <v>61</v>
      </c>
      <c r="AJ280" s="504" t="s">
        <v>30</v>
      </c>
      <c r="AK280" s="504" t="s">
        <v>2558</v>
      </c>
      <c r="AL280" s="504" t="s">
        <v>61</v>
      </c>
      <c r="AM280" s="504" t="s">
        <v>61</v>
      </c>
      <c r="AN280" s="503" t="s">
        <v>61</v>
      </c>
      <c r="AO280" s="508" t="s">
        <v>30</v>
      </c>
      <c r="AS280" s="1764" t="s">
        <v>14</v>
      </c>
      <c r="AT280" s="1761"/>
      <c r="AU280" s="1761" t="s">
        <v>60</v>
      </c>
      <c r="AV280" s="1761"/>
      <c r="AW280" s="1761" t="s">
        <v>27</v>
      </c>
      <c r="AX280" s="1761"/>
      <c r="AY280" s="1761" t="s">
        <v>2074</v>
      </c>
      <c r="AZ280" s="1761"/>
      <c r="BA280" s="1762" t="s">
        <v>41</v>
      </c>
      <c r="BB280" s="1763"/>
      <c r="BC280" s="1764" t="s">
        <v>85</v>
      </c>
      <c r="BD280" s="1765"/>
    </row>
    <row r="281" spans="2:56" ht="13.25" hidden="1" customHeight="1" outlineLevel="1" x14ac:dyDescent="0.2">
      <c r="B281" s="507"/>
      <c r="C281" s="504"/>
      <c r="D281" s="504" t="s">
        <v>61</v>
      </c>
      <c r="E281" s="504" t="s">
        <v>63</v>
      </c>
      <c r="F281" s="208" t="s">
        <v>2054</v>
      </c>
      <c r="G281" s="212" t="s">
        <v>2676</v>
      </c>
      <c r="H281" s="506" t="s">
        <v>768</v>
      </c>
      <c r="I281" s="506" t="s">
        <v>24</v>
      </c>
      <c r="J281" s="212" t="s">
        <v>2635</v>
      </c>
      <c r="K281" s="693" t="s">
        <v>768</v>
      </c>
      <c r="L281" s="693" t="s">
        <v>24</v>
      </c>
      <c r="M281" s="505" t="s">
        <v>768</v>
      </c>
      <c r="N281" s="505" t="s">
        <v>24</v>
      </c>
      <c r="O281" s="508" t="s">
        <v>61</v>
      </c>
      <c r="X281" s="1633" t="s">
        <v>2109</v>
      </c>
      <c r="Y281" s="504"/>
      <c r="Z281" s="506" t="s">
        <v>768</v>
      </c>
      <c r="AA281" s="506" t="s">
        <v>24</v>
      </c>
      <c r="AB281" s="223" t="s">
        <v>41</v>
      </c>
      <c r="AC281" s="508" t="s">
        <v>61</v>
      </c>
      <c r="AF281" s="507"/>
      <c r="AG281" s="506" t="s">
        <v>768</v>
      </c>
      <c r="AH281" s="506" t="s">
        <v>24</v>
      </c>
      <c r="AI281" s="223" t="s">
        <v>41</v>
      </c>
      <c r="AJ281" s="504" t="s">
        <v>61</v>
      </c>
      <c r="AK281" s="504"/>
      <c r="AL281" s="506" t="s">
        <v>768</v>
      </c>
      <c r="AM281" s="506" t="s">
        <v>24</v>
      </c>
      <c r="AN281" s="223" t="s">
        <v>41</v>
      </c>
      <c r="AO281" s="508" t="s">
        <v>61</v>
      </c>
      <c r="AS281" s="732" t="s">
        <v>768</v>
      </c>
      <c r="AT281" s="733" t="s">
        <v>24</v>
      </c>
      <c r="AU281" s="733" t="s">
        <v>768</v>
      </c>
      <c r="AV281" s="733" t="s">
        <v>24</v>
      </c>
      <c r="AW281" s="733" t="s">
        <v>768</v>
      </c>
      <c r="AX281" s="733" t="s">
        <v>24</v>
      </c>
      <c r="AY281" s="733" t="s">
        <v>768</v>
      </c>
      <c r="AZ281" s="733" t="s">
        <v>24</v>
      </c>
      <c r="BA281" s="734" t="s">
        <v>768</v>
      </c>
      <c r="BB281" s="735" t="s">
        <v>24</v>
      </c>
      <c r="BC281" s="732" t="s">
        <v>768</v>
      </c>
      <c r="BD281" s="736" t="s">
        <v>24</v>
      </c>
    </row>
    <row r="282" spans="2:56" ht="13.25" hidden="1" customHeight="1" outlineLevel="1" x14ac:dyDescent="0.2">
      <c r="B282" s="200" t="s">
        <v>1501</v>
      </c>
      <c r="C282" s="201"/>
      <c r="D282" s="262">
        <f>M282+N282</f>
        <v>0</v>
      </c>
      <c r="E282" s="265">
        <f>D282*12/44</f>
        <v>0</v>
      </c>
      <c r="F282" s="559"/>
      <c r="G282" s="182"/>
      <c r="H282" s="272">
        <f>VLOOKUP($B282,'Emissions factors'!$B$1674:$AG$1682,12,FALSE)</f>
        <v>0.13930000000000001</v>
      </c>
      <c r="I282" s="272">
        <f>VLOOKUP($B282,'Emissions factors'!$B$1674:$AG$1682,13,FALSE)</f>
        <v>0.83930199999999999</v>
      </c>
      <c r="J282" s="182"/>
      <c r="K282" s="272">
        <f>VLOOKUP($B282,'Emissions factors'!$B$1674:$AG$1682,22,FALSE)</f>
        <v>3.7620000000000001E-2</v>
      </c>
      <c r="L282" s="272">
        <f>VLOOKUP($B282,'Emissions factors'!$B$1674:$AG$1682,23,FALSE)</f>
        <v>0.22642799999999999</v>
      </c>
      <c r="M282" s="210">
        <f>G282*H282+J282*K282</f>
        <v>0</v>
      </c>
      <c r="N282" s="210">
        <f>G282*I282+J282*L282</f>
        <v>0</v>
      </c>
      <c r="O282" s="222">
        <f>IF(OR(F282='Info utili'!$I$532,F282='Info utili'!$I$537),N282,0)</f>
        <v>0</v>
      </c>
      <c r="X282" s="282">
        <f>VLOOKUP($B282,'Emissions factors'!$B$1674:$AG$1682,32,FALSE)</f>
        <v>0.6</v>
      </c>
      <c r="Y282" s="183"/>
      <c r="Z282" s="221">
        <f>M282*SQRT(X282^2+Y282^2)</f>
        <v>0</v>
      </c>
      <c r="AA282" s="221">
        <f>N282*SQRT(X282^2+Y282^2)</f>
        <v>0</v>
      </c>
      <c r="AB282" s="210">
        <f>SQRT(SUMSQ(Z282:AA282))</f>
        <v>0</v>
      </c>
      <c r="AC282" s="222">
        <f>O282*SQRT(X282^2+Y282^2)</f>
        <v>0</v>
      </c>
      <c r="AF282" s="184"/>
      <c r="AG282" s="221">
        <f>AF282*M282</f>
        <v>0</v>
      </c>
      <c r="AH282" s="221">
        <f>AF282*N282</f>
        <v>0</v>
      </c>
      <c r="AI282" s="210">
        <f>SUM(AG282:AH282)</f>
        <v>0</v>
      </c>
      <c r="AJ282" s="221">
        <f>AF282*O282</f>
        <v>0</v>
      </c>
      <c r="AK282" s="184"/>
      <c r="AL282" s="221">
        <f>AK282*M282</f>
        <v>0</v>
      </c>
      <c r="AM282" s="221">
        <f>AK282*N282</f>
        <v>0</v>
      </c>
      <c r="AN282" s="210">
        <f>SUM(AL282:AM282)</f>
        <v>0</v>
      </c>
      <c r="AO282" s="222">
        <f>AK282*O282</f>
        <v>0</v>
      </c>
      <c r="AS282" s="717">
        <f>G282*VLOOKUP($B282,'Emissions factors'!$B$1674:$AG$1682,14,FALSE)+J282*VLOOKUP($B282,'Emissions factors'!$B$1674:$AG$1682,24,FALSE)</f>
        <v>0</v>
      </c>
      <c r="AT282" s="718">
        <f>G282*VLOOKUP($B282,'Emissions factors'!$B$1674:$AG$1682,15,FALSE)+J282*VLOOKUP($B282,'Emissions factors'!$B$1674:$AG$1682,25,FALSE)</f>
        <v>0</v>
      </c>
      <c r="AU282" s="718">
        <f>G282*VLOOKUP($B282,'Emissions factors'!$B$1674:$AG$1682,16,FALSE)+J282*VLOOKUP($B282,'Emissions factors'!$B$1674:$AG$1682,26,FALSE)</f>
        <v>0</v>
      </c>
      <c r="AV282" s="718">
        <f>G282*VLOOKUP($B282,'Emissions factors'!$B$1674:$AG$1682,17,FALSE)+J282*VLOOKUP($B282,'Emissions factors'!$B$1674:$AG$1682,27,FALSE)</f>
        <v>0</v>
      </c>
      <c r="AW282" s="718">
        <f>G282*VLOOKUP($B282,'Emissions factors'!$B$1674:$AG$1682,18,FALSE)+J282*VLOOKUP($B282,'Emissions factors'!$B$1674:$AG$1682,28,FALSE)</f>
        <v>0</v>
      </c>
      <c r="AX282" s="718">
        <f>G282*VLOOKUP($B282,'Emissions factors'!$B$1674:$AG$1682,19,FALSE)+J282*VLOOKUP($B282,'Emissions factors'!$B$1674:$AG$1682,29,FALSE)</f>
        <v>0</v>
      </c>
      <c r="AY282" s="718">
        <v>0</v>
      </c>
      <c r="AZ282" s="718">
        <v>0</v>
      </c>
      <c r="BA282" s="719">
        <f t="shared" ref="BA282:BB284" si="53">M282</f>
        <v>0</v>
      </c>
      <c r="BB282" s="720">
        <f t="shared" si="53"/>
        <v>0</v>
      </c>
      <c r="BC282" s="717">
        <f>G282*VLOOKUP($B282,'Emissions factors'!$B$1674:$AG$1682,20,FALSE)+J282*VLOOKUP($B282,'Emissions factors'!$B$1674:$AG$1682,30,FALSE)</f>
        <v>0</v>
      </c>
      <c r="BD282" s="721">
        <f>G282*VLOOKUP($B282,'Emissions factors'!$B$1674:$AG$1682,21,FALSE)+J282*VLOOKUP($B282,'Emissions factors'!$B$1674:$AG$1682,31,FALSE)</f>
        <v>0</v>
      </c>
    </row>
    <row r="283" spans="2:56" ht="13.25" hidden="1" customHeight="1" outlineLevel="1" x14ac:dyDescent="0.2">
      <c r="B283" s="200" t="s">
        <v>1498</v>
      </c>
      <c r="C283" s="201"/>
      <c r="D283" s="262">
        <f>M283+N283</f>
        <v>0</v>
      </c>
      <c r="E283" s="265">
        <f>D283*12/44</f>
        <v>0</v>
      </c>
      <c r="F283" s="442"/>
      <c r="G283" s="185"/>
      <c r="H283" s="272">
        <f>VLOOKUP($B283,'Emissions factors'!$B$1674:$AG$1682,12,FALSE)</f>
        <v>8.0360000000000001E-2</v>
      </c>
      <c r="I283" s="272">
        <f>VLOOKUP($B283,'Emissions factors'!$B$1674:$AG$1682,13,FALSE)</f>
        <v>0.44372100000000003</v>
      </c>
      <c r="J283" s="185"/>
      <c r="K283" s="272">
        <f>VLOOKUP($B283,'Emissions factors'!$B$1674:$AG$1682,22,FALSE)</f>
        <v>7.1470000000000006E-2</v>
      </c>
      <c r="L283" s="272">
        <f>VLOOKUP($B283,'Emissions factors'!$B$1674:$AG$1682,23,FALSE)</f>
        <v>0.39441800000000005</v>
      </c>
      <c r="M283" s="210">
        <f>G283*H283+J283*K283</f>
        <v>0</v>
      </c>
      <c r="N283" s="210">
        <f>G283*I283+J283*L283</f>
        <v>0</v>
      </c>
      <c r="O283" s="222">
        <f>IF(OR(F283='Info utili'!$I$532,F283='Info utili'!$I$537),N283,0)</f>
        <v>0</v>
      </c>
      <c r="X283" s="282">
        <f>VLOOKUP($B283,'Emissions factors'!$B$1674:$AG$1682,32,FALSE)</f>
        <v>0.6</v>
      </c>
      <c r="Y283" s="186"/>
      <c r="Z283" s="221">
        <f>M283*SQRT(X283^2+Y283^2)</f>
        <v>0</v>
      </c>
      <c r="AA283" s="221">
        <f>N283*SQRT(X283^2+Y283^2)</f>
        <v>0</v>
      </c>
      <c r="AB283" s="210">
        <f>SQRT(SUMSQ(Z283:AA283))</f>
        <v>0</v>
      </c>
      <c r="AC283" s="222">
        <f>O283*SQRT(X283^2+Y283^2)</f>
        <v>0</v>
      </c>
      <c r="AF283" s="187"/>
      <c r="AG283" s="221">
        <f>AF283*M283</f>
        <v>0</v>
      </c>
      <c r="AH283" s="221">
        <f>AF283*N283</f>
        <v>0</v>
      </c>
      <c r="AI283" s="210">
        <f>SUM(AG283:AH283)</f>
        <v>0</v>
      </c>
      <c r="AJ283" s="221">
        <f>AF283*O283</f>
        <v>0</v>
      </c>
      <c r="AK283" s="187"/>
      <c r="AL283" s="221">
        <f>AK283*M283</f>
        <v>0</v>
      </c>
      <c r="AM283" s="221">
        <f>AK283*N283</f>
        <v>0</v>
      </c>
      <c r="AN283" s="210">
        <f>SUM(AL283:AM283)</f>
        <v>0</v>
      </c>
      <c r="AO283" s="222">
        <f>AK283*O283</f>
        <v>0</v>
      </c>
      <c r="AS283" s="717">
        <f>G283*VLOOKUP($B283,'Emissions factors'!$B$1674:$AG$1682,14,FALSE)+J283*VLOOKUP($B283,'Emissions factors'!$B$1674:$AG$1682,24,FALSE)</f>
        <v>0</v>
      </c>
      <c r="AT283" s="718">
        <f>G283*VLOOKUP($B283,'Emissions factors'!$B$1674:$AG$1682,15,FALSE)+J283*VLOOKUP($B283,'Emissions factors'!$B$1674:$AG$1682,25,FALSE)</f>
        <v>0</v>
      </c>
      <c r="AU283" s="718">
        <f>G283*VLOOKUP($B283,'Emissions factors'!$B$1674:$AG$1682,16,FALSE)+J283*VLOOKUP($B283,'Emissions factors'!$B$1674:$AG$1682,26,FALSE)</f>
        <v>0</v>
      </c>
      <c r="AV283" s="718">
        <f>G283*VLOOKUP($B283,'Emissions factors'!$B$1674:$AG$1682,17,FALSE)+J283*VLOOKUP($B283,'Emissions factors'!$B$1674:$AG$1682,27,FALSE)</f>
        <v>0</v>
      </c>
      <c r="AW283" s="718">
        <f>G283*VLOOKUP($B283,'Emissions factors'!$B$1674:$AG$1682,18,FALSE)+J283*VLOOKUP($B283,'Emissions factors'!$B$1674:$AG$1682,28,FALSE)</f>
        <v>0</v>
      </c>
      <c r="AX283" s="718">
        <f>G283*VLOOKUP($B283,'Emissions factors'!$B$1674:$AG$1682,19,FALSE)+J283*VLOOKUP($B283,'Emissions factors'!$B$1674:$AG$1682,29,FALSE)</f>
        <v>0</v>
      </c>
      <c r="AY283" s="718">
        <v>0</v>
      </c>
      <c r="AZ283" s="718">
        <v>0</v>
      </c>
      <c r="BA283" s="719">
        <f t="shared" si="53"/>
        <v>0</v>
      </c>
      <c r="BB283" s="720">
        <f t="shared" si="53"/>
        <v>0</v>
      </c>
      <c r="BC283" s="717">
        <f>G283*VLOOKUP($B283,'Emissions factors'!$B$1674:$AG$1682,20,FALSE)+J283*VLOOKUP($B283,'Emissions factors'!$B$1674:$AG$1682,30,FALSE)</f>
        <v>0</v>
      </c>
      <c r="BD283" s="721">
        <f>G283*VLOOKUP($B283,'Emissions factors'!$B$1674:$AG$1682,21,FALSE)+J283*VLOOKUP($B283,'Emissions factors'!$B$1674:$AG$1682,31,FALSE)</f>
        <v>0</v>
      </c>
    </row>
    <row r="284" spans="2:56" ht="13.25" hidden="1" customHeight="1" outlineLevel="1" x14ac:dyDescent="0.2">
      <c r="B284" s="200" t="s">
        <v>1497</v>
      </c>
      <c r="C284" s="201"/>
      <c r="D284" s="262">
        <f>M284+N284</f>
        <v>0</v>
      </c>
      <c r="E284" s="265">
        <f>D284*12/44</f>
        <v>0</v>
      </c>
      <c r="F284" s="443"/>
      <c r="G284" s="188"/>
      <c r="H284" s="272">
        <f>VLOOKUP($B284,'Emissions factors'!$B$1674:$AG$1682,12,FALSE)</f>
        <v>1.3313E-2</v>
      </c>
      <c r="I284" s="272">
        <f>VLOOKUP($B284,'Emissions factors'!$B$1674:$AG$1682,13,FALSE)</f>
        <v>5.1027800000000005E-2</v>
      </c>
      <c r="J284" s="188"/>
      <c r="K284" s="272">
        <f>VLOOKUP($B284,'Emissions factors'!$B$1674:$AG$1682,22,FALSE)</f>
        <v>0</v>
      </c>
      <c r="L284" s="272">
        <f>VLOOKUP($B284,'Emissions factors'!$B$1674:$AG$1682,23,FALSE)</f>
        <v>0</v>
      </c>
      <c r="M284" s="210">
        <f>G284*H284+J284*K284</f>
        <v>0</v>
      </c>
      <c r="N284" s="210">
        <f>G284*I284+J284*L284</f>
        <v>0</v>
      </c>
      <c r="O284" s="222">
        <f>IF(OR(F284='Info utili'!$I$532,F284='Info utili'!$I$537),N284,0)</f>
        <v>0</v>
      </c>
      <c r="X284" s="282">
        <f>VLOOKUP($B284,'Emissions factors'!$B$1674:$AG$1682,32,FALSE)</f>
        <v>0.6</v>
      </c>
      <c r="Y284" s="189"/>
      <c r="Z284" s="221">
        <f>M284*SQRT(X284^2+Y284^2)</f>
        <v>0</v>
      </c>
      <c r="AA284" s="221">
        <f>N284*SQRT(X284^2+Y284^2)</f>
        <v>0</v>
      </c>
      <c r="AB284" s="210">
        <f>SQRT(SUMSQ(Z284:AA284))</f>
        <v>0</v>
      </c>
      <c r="AC284" s="222">
        <f>O284*SQRT(X284^2+Y284^2)</f>
        <v>0</v>
      </c>
      <c r="AF284" s="190"/>
      <c r="AG284" s="221">
        <f>AF284*M284</f>
        <v>0</v>
      </c>
      <c r="AH284" s="221">
        <f>AF284*N284</f>
        <v>0</v>
      </c>
      <c r="AI284" s="210">
        <f>SUM(AG284:AH284)</f>
        <v>0</v>
      </c>
      <c r="AJ284" s="221">
        <f>AF284*O284</f>
        <v>0</v>
      </c>
      <c r="AK284" s="190"/>
      <c r="AL284" s="221">
        <f>AK284*M284</f>
        <v>0</v>
      </c>
      <c r="AM284" s="221">
        <f>AK284*N284</f>
        <v>0</v>
      </c>
      <c r="AN284" s="210">
        <f>SUM(AL284:AM284)</f>
        <v>0</v>
      </c>
      <c r="AO284" s="222">
        <f>AK284*O284</f>
        <v>0</v>
      </c>
      <c r="AS284" s="717">
        <f>G284*VLOOKUP($B284,'Emissions factors'!$B$1674:$AG$1682,14,FALSE)+J284*VLOOKUP($B284,'Emissions factors'!$B$1674:$AG$1682,24,FALSE)</f>
        <v>0</v>
      </c>
      <c r="AT284" s="718">
        <f>G284*VLOOKUP($B284,'Emissions factors'!$B$1674:$AG$1682,15,FALSE)+J284*VLOOKUP($B284,'Emissions factors'!$B$1674:$AG$1682,25,FALSE)</f>
        <v>0</v>
      </c>
      <c r="AU284" s="718">
        <f>G284*VLOOKUP($B284,'Emissions factors'!$B$1674:$AG$1682,16,FALSE)+J284*VLOOKUP($B284,'Emissions factors'!$B$1674:$AG$1682,26,FALSE)</f>
        <v>0</v>
      </c>
      <c r="AV284" s="718">
        <f>G284*VLOOKUP($B284,'Emissions factors'!$B$1674:$AG$1682,17,FALSE)+J284*VLOOKUP($B284,'Emissions factors'!$B$1674:$AG$1682,27,FALSE)</f>
        <v>0</v>
      </c>
      <c r="AW284" s="718">
        <f>G284*VLOOKUP($B284,'Emissions factors'!$B$1674:$AG$1682,18,FALSE)+J284*VLOOKUP($B284,'Emissions factors'!$B$1674:$AG$1682,28,FALSE)</f>
        <v>0</v>
      </c>
      <c r="AX284" s="718">
        <f>G284*VLOOKUP($B284,'Emissions factors'!$B$1674:$AG$1682,19,FALSE)+J284*VLOOKUP($B284,'Emissions factors'!$B$1674:$AG$1682,29,FALSE)</f>
        <v>0</v>
      </c>
      <c r="AY284" s="718">
        <v>0</v>
      </c>
      <c r="AZ284" s="718">
        <v>0</v>
      </c>
      <c r="BA284" s="719">
        <f t="shared" si="53"/>
        <v>0</v>
      </c>
      <c r="BB284" s="720">
        <f t="shared" si="53"/>
        <v>0</v>
      </c>
      <c r="BC284" s="717">
        <f>G284*VLOOKUP($B284,'Emissions factors'!$B$1674:$AG$1682,20,FALSE)+J284*VLOOKUP($B284,'Emissions factors'!$B$1674:$AG$1682,30,FALSE)</f>
        <v>0</v>
      </c>
      <c r="BD284" s="721">
        <f>G284*VLOOKUP($B284,'Emissions factors'!$B$1674:$AG$1682,21,FALSE)+J284*VLOOKUP($B284,'Emissions factors'!$B$1674:$AG$1682,31,FALSE)</f>
        <v>0</v>
      </c>
    </row>
    <row r="285" spans="2:56" ht="13.25" hidden="1" customHeight="1" outlineLevel="1" x14ac:dyDescent="0.2">
      <c r="B285" s="213"/>
      <c r="C285" s="214"/>
      <c r="D285" s="275"/>
      <c r="E285" s="268"/>
      <c r="F285" s="214"/>
      <c r="G285" s="214"/>
      <c r="H285" s="214"/>
      <c r="I285" s="214"/>
      <c r="J285" s="214"/>
      <c r="K285" s="214"/>
      <c r="L285" s="214"/>
      <c r="M285" s="269"/>
      <c r="N285" s="269"/>
      <c r="O285" s="478"/>
      <c r="X285" s="213"/>
      <c r="Y285" s="214"/>
      <c r="Z285" s="214"/>
      <c r="AA285" s="214"/>
      <c r="AB285" s="227"/>
      <c r="AC285" s="478"/>
      <c r="AF285" s="213"/>
      <c r="AG285" s="413"/>
      <c r="AH285" s="413"/>
      <c r="AI285" s="413"/>
      <c r="AJ285" s="413"/>
      <c r="AK285" s="413"/>
      <c r="AL285" s="413"/>
      <c r="AM285" s="413"/>
      <c r="AN285" s="227"/>
      <c r="AO285" s="478"/>
      <c r="AS285" s="717"/>
      <c r="AT285" s="718"/>
      <c r="AU285" s="718"/>
      <c r="AV285" s="718"/>
      <c r="AW285" s="718"/>
      <c r="AX285" s="718"/>
      <c r="AY285" s="718"/>
      <c r="AZ285" s="718"/>
      <c r="BA285" s="719"/>
      <c r="BB285" s="720"/>
      <c r="BC285" s="722"/>
      <c r="BD285" s="723"/>
    </row>
    <row r="286" spans="2:56" ht="13.25" hidden="1" customHeight="1" outlineLevel="1" x14ac:dyDescent="0.2">
      <c r="B286" s="253" t="s">
        <v>2828</v>
      </c>
      <c r="C286" s="254"/>
      <c r="D286" s="264">
        <f>SUM(D282:D285)</f>
        <v>0</v>
      </c>
      <c r="E286" s="267">
        <f>SUM(E282:E285)</f>
        <v>0</v>
      </c>
      <c r="F286" s="255"/>
      <c r="G286" s="254"/>
      <c r="H286" s="254"/>
      <c r="I286" s="254"/>
      <c r="J286" s="254"/>
      <c r="K286" s="254"/>
      <c r="L286" s="254"/>
      <c r="M286" s="259">
        <f>SUM(M282:M285)</f>
        <v>0</v>
      </c>
      <c r="N286" s="259">
        <f>SUM(N282:N285)</f>
        <v>0</v>
      </c>
      <c r="O286" s="428">
        <f>SUM(O282:O285)</f>
        <v>0</v>
      </c>
      <c r="X286" s="253"/>
      <c r="Y286" s="254"/>
      <c r="Z286" s="260">
        <f>SQRT(SUMSQ(Z282:Z285))</f>
        <v>0</v>
      </c>
      <c r="AA286" s="260">
        <f>SQRT(SUMSQ(AA282:AA285))</f>
        <v>0</v>
      </c>
      <c r="AB286" s="259">
        <f>SQRT(SUMSQ(AB282:AB285))</f>
        <v>0</v>
      </c>
      <c r="AC286" s="428">
        <f>SQRT(SUMSQ(AC282:AC285))</f>
        <v>0</v>
      </c>
      <c r="AF286" s="253"/>
      <c r="AG286" s="260">
        <f>SUM(AG282:AG285)</f>
        <v>0</v>
      </c>
      <c r="AH286" s="260">
        <f>SUM(AH282:AH285)</f>
        <v>0</v>
      </c>
      <c r="AI286" s="259">
        <f>SUM(AI282:AI285)</f>
        <v>0</v>
      </c>
      <c r="AJ286" s="260">
        <f>SUM(AJ282:AJ285)</f>
        <v>0</v>
      </c>
      <c r="AK286" s="254"/>
      <c r="AL286" s="260">
        <f>SUM(AL282:AL285)</f>
        <v>0</v>
      </c>
      <c r="AM286" s="260">
        <f>SUM(AM282:AM285)</f>
        <v>0</v>
      </c>
      <c r="AN286" s="259">
        <f>SUM(AN282:AN285)</f>
        <v>0</v>
      </c>
      <c r="AO286" s="428">
        <f>SUM(AO282:AO285)</f>
        <v>0</v>
      </c>
      <c r="AS286" s="724">
        <f t="shared" ref="AS286:BD286" si="54">SUM(AS282:AS285)</f>
        <v>0</v>
      </c>
      <c r="AT286" s="725">
        <f t="shared" si="54"/>
        <v>0</v>
      </c>
      <c r="AU286" s="725">
        <f t="shared" si="54"/>
        <v>0</v>
      </c>
      <c r="AV286" s="725">
        <f t="shared" si="54"/>
        <v>0</v>
      </c>
      <c r="AW286" s="725">
        <f t="shared" si="54"/>
        <v>0</v>
      </c>
      <c r="AX286" s="725">
        <f t="shared" si="54"/>
        <v>0</v>
      </c>
      <c r="AY286" s="725">
        <f t="shared" si="54"/>
        <v>0</v>
      </c>
      <c r="AZ286" s="725">
        <f t="shared" si="54"/>
        <v>0</v>
      </c>
      <c r="BA286" s="726">
        <f t="shared" si="54"/>
        <v>0</v>
      </c>
      <c r="BB286" s="727">
        <f t="shared" si="54"/>
        <v>0</v>
      </c>
      <c r="BC286" s="724">
        <f t="shared" si="54"/>
        <v>0</v>
      </c>
      <c r="BD286" s="728">
        <f t="shared" si="54"/>
        <v>0</v>
      </c>
    </row>
    <row r="287" spans="2:56" ht="13.25" hidden="1" customHeight="1" outlineLevel="1" x14ac:dyDescent="0.2"/>
    <row r="290" spans="1:62" s="191" customFormat="1" ht="16" collapsed="1" x14ac:dyDescent="0.2">
      <c r="A290" s="40"/>
      <c r="B290" s="1795" t="s">
        <v>3014</v>
      </c>
      <c r="C290" s="1795"/>
      <c r="D290" s="1795"/>
      <c r="E290" s="1795"/>
      <c r="F290" s="1795"/>
      <c r="G290" s="1795"/>
      <c r="H290" s="1795"/>
      <c r="I290" s="1795"/>
      <c r="J290" s="1795"/>
      <c r="K290" s="1795"/>
      <c r="L290" s="1795"/>
      <c r="M290" s="1795"/>
      <c r="N290" s="1795"/>
      <c r="O290" s="1795"/>
      <c r="AS290" s="602"/>
      <c r="AT290" s="602"/>
      <c r="AU290" s="602"/>
      <c r="AV290" s="602"/>
      <c r="AW290" s="602"/>
      <c r="AX290" s="602"/>
      <c r="AY290" s="602"/>
      <c r="AZ290" s="602"/>
      <c r="BA290" s="602"/>
      <c r="BB290" s="602"/>
      <c r="BC290" s="602"/>
      <c r="BD290" s="602"/>
      <c r="BE290" s="751"/>
      <c r="BF290" s="751"/>
      <c r="BG290" s="751"/>
      <c r="BH290" s="751"/>
      <c r="BI290" s="751"/>
      <c r="BJ290" s="751"/>
    </row>
    <row r="291" spans="1:62" hidden="1" outlineLevel="1" x14ac:dyDescent="0.2"/>
    <row r="292" spans="1:62" s="42" customFormat="1" hidden="1" outlineLevel="1" x14ac:dyDescent="0.2">
      <c r="A292" s="40"/>
      <c r="B292" s="195" t="s">
        <v>3015</v>
      </c>
      <c r="C292" s="196"/>
      <c r="D292" s="196"/>
      <c r="E292" s="196"/>
      <c r="F292" s="196"/>
      <c r="G292" s="198"/>
      <c r="H292" s="198"/>
      <c r="I292" s="198"/>
      <c r="J292" s="198"/>
      <c r="K292" s="198"/>
      <c r="L292" s="198"/>
      <c r="M292" s="198"/>
      <c r="N292" s="198"/>
      <c r="O292" s="198"/>
      <c r="P292" s="198"/>
      <c r="Q292" s="198"/>
      <c r="R292" s="198"/>
      <c r="S292" s="198"/>
      <c r="T292" s="199"/>
      <c r="X292" s="1746" t="s">
        <v>723</v>
      </c>
      <c r="Y292" s="1747"/>
      <c r="Z292" s="1747"/>
      <c r="AA292" s="1747"/>
      <c r="AB292" s="1748"/>
      <c r="AF292" s="1746" t="s">
        <v>2066</v>
      </c>
      <c r="AG292" s="1747"/>
      <c r="AH292" s="1747"/>
      <c r="AI292" s="1747"/>
      <c r="AJ292" s="1747"/>
      <c r="AK292" s="1747"/>
      <c r="AL292" s="1747"/>
      <c r="AM292" s="1748"/>
      <c r="AR292" s="40"/>
      <c r="AS292" s="1755" t="s">
        <v>2073</v>
      </c>
      <c r="AT292" s="1756"/>
      <c r="AU292" s="1756"/>
      <c r="AV292" s="1756"/>
      <c r="AW292" s="1756"/>
      <c r="AX292" s="1756"/>
      <c r="AY292" s="1756"/>
      <c r="AZ292" s="1756"/>
      <c r="BA292" s="1756"/>
      <c r="BB292" s="1756"/>
      <c r="BC292" s="1756"/>
      <c r="BD292" s="1757"/>
      <c r="BE292" s="605"/>
      <c r="BF292" s="605"/>
      <c r="BG292" s="605"/>
      <c r="BH292" s="605"/>
      <c r="BI292" s="605"/>
      <c r="BJ292" s="605"/>
    </row>
    <row r="293" spans="1:62" hidden="1" outlineLevel="1" x14ac:dyDescent="0.2">
      <c r="B293" s="200"/>
      <c r="C293" s="201"/>
      <c r="D293" s="503"/>
      <c r="E293" s="503"/>
      <c r="F293" s="201"/>
      <c r="G293" s="201"/>
      <c r="H293" s="201"/>
      <c r="I293" s="201"/>
      <c r="J293" s="201"/>
      <c r="K293" s="201"/>
      <c r="L293" s="201"/>
      <c r="M293" s="201"/>
      <c r="N293" s="201"/>
      <c r="O293" s="201"/>
      <c r="P293" s="201"/>
      <c r="Q293" s="201"/>
      <c r="R293" s="201"/>
      <c r="S293" s="201"/>
      <c r="T293" s="203"/>
      <c r="X293" s="216"/>
      <c r="Y293" s="217"/>
      <c r="Z293" s="217"/>
      <c r="AA293" s="217"/>
      <c r="AB293" s="218"/>
      <c r="AF293" s="216"/>
      <c r="AG293" s="217"/>
      <c r="AH293" s="217"/>
      <c r="AI293" s="217"/>
      <c r="AJ293" s="217"/>
      <c r="AK293" s="217"/>
      <c r="AL293" s="198"/>
      <c r="AM293" s="199"/>
      <c r="AR293" s="32"/>
      <c r="AS293" s="1758" t="s">
        <v>61</v>
      </c>
      <c r="AT293" s="1759"/>
      <c r="AU293" s="1759"/>
      <c r="AV293" s="1759"/>
      <c r="AW293" s="1759"/>
      <c r="AX293" s="1759"/>
      <c r="AY293" s="1759"/>
      <c r="AZ293" s="1759"/>
      <c r="BA293" s="1759" t="s">
        <v>61</v>
      </c>
      <c r="BB293" s="1760"/>
      <c r="BC293" s="730"/>
      <c r="BD293" s="731"/>
    </row>
    <row r="294" spans="1:62" s="32" customFormat="1" hidden="1" outlineLevel="1" x14ac:dyDescent="0.2">
      <c r="A294" s="40"/>
      <c r="B294" s="507" t="s">
        <v>766</v>
      </c>
      <c r="C294" s="504"/>
      <c r="D294" s="504" t="s">
        <v>56</v>
      </c>
      <c r="E294" s="504" t="s">
        <v>56</v>
      </c>
      <c r="F294" s="205" t="s">
        <v>2669</v>
      </c>
      <c r="G294" s="205" t="s">
        <v>2053</v>
      </c>
      <c r="H294" s="1744" t="s">
        <v>767</v>
      </c>
      <c r="I294" s="1835"/>
      <c r="J294" s="205" t="s">
        <v>2053</v>
      </c>
      <c r="K294" s="1744" t="s">
        <v>769</v>
      </c>
      <c r="L294" s="1835"/>
      <c r="M294" s="205" t="s">
        <v>2053</v>
      </c>
      <c r="N294" s="1744" t="s">
        <v>771</v>
      </c>
      <c r="O294" s="1835"/>
      <c r="P294" s="205" t="s">
        <v>2053</v>
      </c>
      <c r="Q294" s="1744" t="s">
        <v>770</v>
      </c>
      <c r="R294" s="1745"/>
      <c r="S294" s="503" t="s">
        <v>61</v>
      </c>
      <c r="T294" s="509" t="s">
        <v>61</v>
      </c>
      <c r="X294" s="1633" t="s">
        <v>2605</v>
      </c>
      <c r="Y294" s="504" t="s">
        <v>2110</v>
      </c>
      <c r="Z294" s="504" t="s">
        <v>61</v>
      </c>
      <c r="AA294" s="504" t="s">
        <v>61</v>
      </c>
      <c r="AB294" s="509" t="s">
        <v>61</v>
      </c>
      <c r="AF294" s="507" t="s">
        <v>2065</v>
      </c>
      <c r="AG294" s="504" t="s">
        <v>61</v>
      </c>
      <c r="AH294" s="504" t="s">
        <v>61</v>
      </c>
      <c r="AI294" s="503" t="s">
        <v>61</v>
      </c>
      <c r="AJ294" s="504" t="s">
        <v>2558</v>
      </c>
      <c r="AK294" s="504" t="s">
        <v>61</v>
      </c>
      <c r="AL294" s="504" t="s">
        <v>61</v>
      </c>
      <c r="AM294" s="509" t="s">
        <v>61</v>
      </c>
      <c r="AS294" s="1764" t="s">
        <v>14</v>
      </c>
      <c r="AT294" s="1761"/>
      <c r="AU294" s="1761" t="s">
        <v>60</v>
      </c>
      <c r="AV294" s="1761"/>
      <c r="AW294" s="1761" t="s">
        <v>27</v>
      </c>
      <c r="AX294" s="1761"/>
      <c r="AY294" s="1761" t="s">
        <v>2074</v>
      </c>
      <c r="AZ294" s="1761"/>
      <c r="BA294" s="1762" t="s">
        <v>41</v>
      </c>
      <c r="BB294" s="1763"/>
      <c r="BC294" s="1764" t="s">
        <v>85</v>
      </c>
      <c r="BD294" s="1765"/>
      <c r="BE294" s="743"/>
      <c r="BF294" s="743"/>
      <c r="BG294" s="743"/>
      <c r="BH294" s="743"/>
      <c r="BI294" s="743"/>
      <c r="BJ294" s="743"/>
    </row>
    <row r="295" spans="1:62" s="32" customFormat="1" hidden="1" outlineLevel="1" x14ac:dyDescent="0.2">
      <c r="A295" s="40"/>
      <c r="B295" s="507"/>
      <c r="C295" s="504"/>
      <c r="D295" s="504" t="s">
        <v>61</v>
      </c>
      <c r="E295" s="504" t="s">
        <v>63</v>
      </c>
      <c r="F295" s="208" t="s">
        <v>2054</v>
      </c>
      <c r="G295" s="212" t="s">
        <v>34</v>
      </c>
      <c r="H295" s="506" t="s">
        <v>768</v>
      </c>
      <c r="I295" s="506" t="s">
        <v>24</v>
      </c>
      <c r="J295" s="212" t="s">
        <v>2061</v>
      </c>
      <c r="K295" s="506" t="s">
        <v>768</v>
      </c>
      <c r="L295" s="506" t="s">
        <v>24</v>
      </c>
      <c r="M295" s="212" t="s">
        <v>2059</v>
      </c>
      <c r="N295" s="506" t="s">
        <v>768</v>
      </c>
      <c r="O295" s="506" t="s">
        <v>24</v>
      </c>
      <c r="P295" s="212" t="s">
        <v>15</v>
      </c>
      <c r="Q295" s="506" t="s">
        <v>768</v>
      </c>
      <c r="R295" s="506" t="s">
        <v>24</v>
      </c>
      <c r="S295" s="505" t="s">
        <v>768</v>
      </c>
      <c r="T295" s="274" t="s">
        <v>24</v>
      </c>
      <c r="X295" s="1633" t="s">
        <v>2109</v>
      </c>
      <c r="Y295" s="504"/>
      <c r="Z295" s="506" t="s">
        <v>768</v>
      </c>
      <c r="AA295" s="506" t="s">
        <v>24</v>
      </c>
      <c r="AB295" s="219" t="s">
        <v>41</v>
      </c>
      <c r="AF295" s="507"/>
      <c r="AG295" s="506" t="s">
        <v>768</v>
      </c>
      <c r="AH295" s="506" t="s">
        <v>24</v>
      </c>
      <c r="AI295" s="223" t="s">
        <v>41</v>
      </c>
      <c r="AJ295" s="504"/>
      <c r="AK295" s="506" t="s">
        <v>768</v>
      </c>
      <c r="AL295" s="506" t="s">
        <v>24</v>
      </c>
      <c r="AM295" s="219" t="s">
        <v>41</v>
      </c>
      <c r="AR295" s="40"/>
      <c r="AS295" s="732" t="s">
        <v>768</v>
      </c>
      <c r="AT295" s="733" t="s">
        <v>24</v>
      </c>
      <c r="AU295" s="733" t="s">
        <v>768</v>
      </c>
      <c r="AV295" s="733" t="s">
        <v>24</v>
      </c>
      <c r="AW295" s="733" t="s">
        <v>768</v>
      </c>
      <c r="AX295" s="733" t="s">
        <v>24</v>
      </c>
      <c r="AY295" s="733" t="s">
        <v>768</v>
      </c>
      <c r="AZ295" s="733" t="s">
        <v>24</v>
      </c>
      <c r="BA295" s="734" t="s">
        <v>768</v>
      </c>
      <c r="BB295" s="735" t="s">
        <v>24</v>
      </c>
      <c r="BC295" s="732" t="s">
        <v>768</v>
      </c>
      <c r="BD295" s="736" t="s">
        <v>24</v>
      </c>
      <c r="BE295" s="743"/>
      <c r="BF295" s="743"/>
      <c r="BG295" s="743"/>
      <c r="BH295" s="743"/>
      <c r="BI295" s="743"/>
      <c r="BJ295" s="743"/>
    </row>
    <row r="296" spans="1:62" hidden="1" outlineLevel="1" x14ac:dyDescent="0.2">
      <c r="B296" s="200" t="s">
        <v>796</v>
      </c>
      <c r="C296" s="201"/>
      <c r="D296" s="262">
        <f>S296+T296</f>
        <v>0</v>
      </c>
      <c r="E296" s="265">
        <f>D296*12/44</f>
        <v>0</v>
      </c>
      <c r="F296" s="182"/>
      <c r="G296" s="182"/>
      <c r="H296" s="271">
        <f>VLOOKUP($B296,'Emissions factors'!$B$84:$K$147,2,FALSE)</f>
        <v>707.3</v>
      </c>
      <c r="I296" s="271">
        <f>VLOOKUP($B296,'Emissions factors'!$B$84:$K$147,3,FALSE)</f>
        <v>3008.5</v>
      </c>
      <c r="J296" s="182"/>
      <c r="K296" s="277">
        <f>VLOOKUP($B296,'Emissions factors'!$B$84:$K$147,4,FALSE)</f>
        <v>6.0859999999999997E-2</v>
      </c>
      <c r="L296" s="277">
        <f>VLOOKUP($B296,'Emissions factors'!$B$84:$K$147,5,FALSE)</f>
        <v>0.25307999999999997</v>
      </c>
      <c r="M296" s="182"/>
      <c r="N296" s="271">
        <f>VLOOKUP($B296,'Emissions factors'!$B$84:$K$147,6,FALSE)</f>
        <v>694.7</v>
      </c>
      <c r="O296" s="271">
        <f>VLOOKUP($B296,'Emissions factors'!$B$84:$K$147,7,FALSE)</f>
        <v>2957.6</v>
      </c>
      <c r="P296" s="182"/>
      <c r="Q296" s="277">
        <f>VLOOKUP($B296,'Emissions factors'!$B$84:$K$147,8,FALSE)</f>
        <v>0.53329999999999989</v>
      </c>
      <c r="R296" s="277">
        <f>VLOOKUP($B296,'Emissions factors'!$B$84:$K$147,9,FALSE)</f>
        <v>2.2637</v>
      </c>
      <c r="S296" s="210">
        <f>G296*H296+J296*K296+M296*N296+P296*Q296</f>
        <v>0</v>
      </c>
      <c r="T296" s="211">
        <f>G296*I296+J296*L296+M296*O296+P296*R296</f>
        <v>0</v>
      </c>
      <c r="U296" s="42"/>
      <c r="X296" s="282">
        <f>VLOOKUP($B296,'Emissions factors'!$B$84:$K$147,10,FALSE)</f>
        <v>0.05</v>
      </c>
      <c r="Y296" s="184"/>
      <c r="Z296" s="221">
        <f>S296*SQRT(X296^2+Y296^2)</f>
        <v>0</v>
      </c>
      <c r="AA296" s="221">
        <f>T296*SQRT(X296^2+Y296^2)</f>
        <v>0</v>
      </c>
      <c r="AB296" s="211">
        <f>SQRT(Z296^2+AA296^2)</f>
        <v>0</v>
      </c>
      <c r="AF296" s="184"/>
      <c r="AG296" s="221">
        <f>S296*AF296</f>
        <v>0</v>
      </c>
      <c r="AH296" s="224">
        <f>T296*AF296</f>
        <v>0</v>
      </c>
      <c r="AI296" s="210">
        <f>AG296+AH296</f>
        <v>0</v>
      </c>
      <c r="AJ296" s="184"/>
      <c r="AK296" s="221">
        <f>S296*AJ296</f>
        <v>0</v>
      </c>
      <c r="AL296" s="224">
        <f>T296*AJ296</f>
        <v>0</v>
      </c>
      <c r="AM296" s="211">
        <f>AK296+AL296</f>
        <v>0</v>
      </c>
      <c r="AS296" s="717">
        <f>G296*VLOOKUP($B296,'Emissions factors'!$B$84:$AQ$147,11,FALSE)+J296*VLOOKUP($B296,'Emissions factors'!$B$84:$AQ$147,13,FALSE)+M296*VLOOKUP($B296,'Emissions factors'!$B$84:$AQ$147,15,FALSE)+P296*VLOOKUP($B296,'Emissions factors'!$B$84:$AQ$147,17,FALSE)</f>
        <v>0</v>
      </c>
      <c r="AT296" s="718">
        <f>G296*VLOOKUP($B296,'Emissions factors'!$B$84:$AQ$147,12,FALSE)+J296*VLOOKUP($B296,'Emissions factors'!$B$84:$AQ$147,14,FALSE)+M296*VLOOKUP($B296,'Emissions factors'!$B$84:$AQ$147,16,FALSE)+P296*VLOOKUP($B296,'Emissions factors'!$B$84:$AQ$147,18,FALSE)</f>
        <v>0</v>
      </c>
      <c r="AU296" s="718">
        <f>G296*VLOOKUP($B296,'Emissions factors'!$B$84:$AQ$147,19,FALSE)+J296*VLOOKUP($B296,'Emissions factors'!$B$84:$AQ$147,21,FALSE)+M296*VLOOKUP($B296,'Emissions factors'!$B$84:$AQ$147,23,FALSE)+P296*VLOOKUP($B296,'Emissions factors'!$B$84:$AQ$147,25,FALSE)</f>
        <v>0</v>
      </c>
      <c r="AV296" s="718">
        <f>G296*VLOOKUP($B296,'Emissions factors'!$B$84:$AQ$147,20,FALSE)+J296*VLOOKUP($B296,'Emissions factors'!$B$84:$AQ$147,22,FALSE)+M296*VLOOKUP($B296,'Emissions factors'!$B$84:$AQ$147,24,FALSE)+P296*VLOOKUP($B296,'Emissions factors'!$B$84:$AQ$147,26,FALSE)</f>
        <v>0</v>
      </c>
      <c r="AW296" s="718">
        <f>G296*VLOOKUP($B296,'Emissions factors'!$B$84:$AQ$147,27,FALSE)+J296*VLOOKUP($B296,'Emissions factors'!$B$84:$AQ$147,29,FALSE)+M296*VLOOKUP($B296,'Emissions factors'!$B$84:$AQ$147,31,FALSE)+P296*VLOOKUP($B296,'Emissions factors'!$B$84:$AQ$147,33,FALSE)</f>
        <v>0</v>
      </c>
      <c r="AX296" s="718">
        <f>G296*VLOOKUP($B296,'Emissions factors'!$B$84:$AQ$147,28,FALSE)+J296*VLOOKUP($B296,'Emissions factors'!$B$84:$AQ$147,30,FALSE)+M296*VLOOKUP($B296,'Emissions factors'!$B$84:$AQ$147,32,FALSE)+P296*VLOOKUP($B296,'Emissions factors'!$B$84:$AQ$147,34,FALSE)</f>
        <v>0</v>
      </c>
      <c r="AY296" s="718">
        <v>0</v>
      </c>
      <c r="AZ296" s="718">
        <v>0</v>
      </c>
      <c r="BA296" s="719">
        <f t="shared" ref="BA296:BB299" si="55">S296</f>
        <v>0</v>
      </c>
      <c r="BB296" s="720">
        <f t="shared" si="55"/>
        <v>0</v>
      </c>
      <c r="BC296" s="718">
        <f>G296*VLOOKUP($B296,'Emissions factors'!$B$84:$AQ$147,35,FALSE)+J296*VLOOKUP($B296,'Emissions factors'!$B$84:$AQ$147,37,FALSE)+M296*VLOOKUP($B296,'Emissions factors'!$B$84:$AQ$147,39,FALSE)+P296*VLOOKUP($B296,'Emissions factors'!$B$84:$AQ$147,41,FALSE)</f>
        <v>0</v>
      </c>
      <c r="BD296" s="721">
        <f>G296*VLOOKUP($B296,'Emissions factors'!$B$84:$AQ$147,36,FALSE)+J296*VLOOKUP($B296,'Emissions factors'!$B$84:$AQ$147,38,FALSE)+M296*VLOOKUP($B296,'Emissions factors'!$B$84:$AQ$147,40,FALSE)+P296*VLOOKUP($B296,'Emissions factors'!$B$84:$AQ$147,42,FALSE)</f>
        <v>0</v>
      </c>
    </row>
    <row r="297" spans="1:62" hidden="1" outlineLevel="1" x14ac:dyDescent="0.2">
      <c r="B297" s="200" t="s">
        <v>805</v>
      </c>
      <c r="C297" s="201"/>
      <c r="D297" s="262">
        <f>S297+T297</f>
        <v>0</v>
      </c>
      <c r="E297" s="265">
        <f>D297*12/44</f>
        <v>0</v>
      </c>
      <c r="F297" s="185"/>
      <c r="G297" s="185"/>
      <c r="H297" s="271">
        <f>VLOOKUP($B297,'Emissions factors'!$B$84:$K$147,2,FALSE)</f>
        <v>775.9</v>
      </c>
      <c r="I297" s="271">
        <f>VLOOKUP($B297,'Emissions factors'!$B$84:$K$147,3,FALSE)</f>
        <v>2975.0299999999997</v>
      </c>
      <c r="J297" s="185"/>
      <c r="K297" s="277">
        <f>VLOOKUP($B297,'Emissions factors'!$B$84:$K$147,4,FALSE)</f>
        <v>6.7080000000000001E-2</v>
      </c>
      <c r="L297" s="277">
        <f>VLOOKUP($B297,'Emissions factors'!$B$84:$K$147,5,FALSE)</f>
        <v>0.25615399999999999</v>
      </c>
      <c r="M297" s="185"/>
      <c r="N297" s="271">
        <f>VLOOKUP($B297,'Emissions factors'!$B$84:$K$147,6,FALSE)</f>
        <v>783.2</v>
      </c>
      <c r="O297" s="271">
        <f>VLOOKUP($B297,'Emissions factors'!$B$84:$K$147,7,FALSE)</f>
        <v>2985.1400000000003</v>
      </c>
      <c r="P297" s="185"/>
      <c r="Q297" s="277">
        <f>VLOOKUP($B297,'Emissions factors'!$B$84:$K$147,8,FALSE)</f>
        <v>0.65529999999999988</v>
      </c>
      <c r="R297" s="277">
        <f>VLOOKUP($B297,'Emissions factors'!$B$84:$K$147,9,FALSE)</f>
        <v>2.5111300000000001</v>
      </c>
      <c r="S297" s="210">
        <f>G297*H297+J297*K297+M297*N297+P297*Q297</f>
        <v>0</v>
      </c>
      <c r="T297" s="211">
        <f>G297*I297+J297*L297+M297*O297+P297*R297</f>
        <v>0</v>
      </c>
      <c r="U297" s="42"/>
      <c r="X297" s="282">
        <f>VLOOKUP($B297,'Emissions factors'!$B$84:$K$147,10,FALSE)</f>
        <v>0.05</v>
      </c>
      <c r="Y297" s="187"/>
      <c r="Z297" s="221">
        <f>S297*SQRT(X297^2+Y297^2)</f>
        <v>0</v>
      </c>
      <c r="AA297" s="221">
        <f>T297*SQRT(X297^2+Y297^2)</f>
        <v>0</v>
      </c>
      <c r="AB297" s="211">
        <f>SQRT(Z297^2+AA297^2)</f>
        <v>0</v>
      </c>
      <c r="AF297" s="187"/>
      <c r="AG297" s="221">
        <f>S297*AF297</f>
        <v>0</v>
      </c>
      <c r="AH297" s="224">
        <f>T297*AF297</f>
        <v>0</v>
      </c>
      <c r="AI297" s="210">
        <f>AG297+AH297</f>
        <v>0</v>
      </c>
      <c r="AJ297" s="187"/>
      <c r="AK297" s="221">
        <f>S297*AJ297</f>
        <v>0</v>
      </c>
      <c r="AL297" s="224">
        <f>T297*AJ297</f>
        <v>0</v>
      </c>
      <c r="AM297" s="211">
        <f>AK297+AL297</f>
        <v>0</v>
      </c>
      <c r="AS297" s="717">
        <f>G297*VLOOKUP($B297,'Emissions factors'!$B$84:$AQ$147,11,FALSE)+J297*VLOOKUP($B297,'Emissions factors'!$B$84:$AQ$147,13,FALSE)+M297*VLOOKUP($B297,'Emissions factors'!$B$84:$AQ$147,15,FALSE)+P297*VLOOKUP($B297,'Emissions factors'!$B$84:$AQ$147,17,FALSE)</f>
        <v>0</v>
      </c>
      <c r="AT297" s="718">
        <f>G297*VLOOKUP($B297,'Emissions factors'!$B$84:$AQ$147,12,FALSE)+J297*VLOOKUP($B297,'Emissions factors'!$B$84:$AQ$147,14,FALSE)+M297*VLOOKUP($B297,'Emissions factors'!$B$84:$AQ$147,16,FALSE)+P297*VLOOKUP($B297,'Emissions factors'!$B$84:$AQ$147,18,FALSE)</f>
        <v>0</v>
      </c>
      <c r="AU297" s="718">
        <f>G297*VLOOKUP($B297,'Emissions factors'!$B$84:$AQ$147,19,FALSE)+J297*VLOOKUP($B297,'Emissions factors'!$B$84:$AQ$147,21,FALSE)+M297*VLOOKUP($B297,'Emissions factors'!$B$84:$AQ$147,23,FALSE)+P297*VLOOKUP($B297,'Emissions factors'!$B$84:$AQ$147,25,FALSE)</f>
        <v>0</v>
      </c>
      <c r="AV297" s="718">
        <f>G297*VLOOKUP($B297,'Emissions factors'!$B$84:$AQ$147,20,FALSE)+J297*VLOOKUP($B297,'Emissions factors'!$B$84:$AQ$147,22,FALSE)+M297*VLOOKUP($B297,'Emissions factors'!$B$84:$AQ$147,24,FALSE)+P297*VLOOKUP($B297,'Emissions factors'!$B$84:$AQ$147,26,FALSE)</f>
        <v>0</v>
      </c>
      <c r="AW297" s="718">
        <f>G297*VLOOKUP($B297,'Emissions factors'!$B$84:$AQ$147,27,FALSE)+J297*VLOOKUP($B297,'Emissions factors'!$B$84:$AQ$147,29,FALSE)+M297*VLOOKUP($B297,'Emissions factors'!$B$84:$AQ$147,31,FALSE)+P297*VLOOKUP($B297,'Emissions factors'!$B$84:$AQ$147,33,FALSE)</f>
        <v>0</v>
      </c>
      <c r="AX297" s="718">
        <f>G297*VLOOKUP($B297,'Emissions factors'!$B$84:$AQ$147,28,FALSE)+J297*VLOOKUP($B297,'Emissions factors'!$B$84:$AQ$147,30,FALSE)+M297*VLOOKUP($B297,'Emissions factors'!$B$84:$AQ$147,32,FALSE)+P297*VLOOKUP($B297,'Emissions factors'!$B$84:$AQ$147,34,FALSE)</f>
        <v>0</v>
      </c>
      <c r="AY297" s="718">
        <v>0</v>
      </c>
      <c r="AZ297" s="718">
        <v>0</v>
      </c>
      <c r="BA297" s="719">
        <f t="shared" si="55"/>
        <v>0</v>
      </c>
      <c r="BB297" s="720">
        <f t="shared" si="55"/>
        <v>0</v>
      </c>
      <c r="BC297" s="718">
        <f>G297*VLOOKUP($B297,'Emissions factors'!$B$84:$AQ$147,35,FALSE)+J297*VLOOKUP($B297,'Emissions factors'!$B$84:$AQ$147,37,FALSE)+M297*VLOOKUP($B297,'Emissions factors'!$B$84:$AQ$147,39,FALSE)+P297*VLOOKUP($B297,'Emissions factors'!$B$84:$AQ$147,41,FALSE)</f>
        <v>0</v>
      </c>
      <c r="BD297" s="721">
        <f>G297*VLOOKUP($B297,'Emissions factors'!$B$84:$AQ$147,36,FALSE)+J297*VLOOKUP($B297,'Emissions factors'!$B$84:$AQ$147,38,FALSE)+M297*VLOOKUP($B297,'Emissions factors'!$B$84:$AQ$147,40,FALSE)+P297*VLOOKUP($B297,'Emissions factors'!$B$84:$AQ$147,42,FALSE)</f>
        <v>0</v>
      </c>
    </row>
    <row r="298" spans="1:62" hidden="1" outlineLevel="1" x14ac:dyDescent="0.2">
      <c r="B298" s="200" t="s">
        <v>803</v>
      </c>
      <c r="C298" s="201"/>
      <c r="D298" s="262">
        <f>S298+T298</f>
        <v>0</v>
      </c>
      <c r="E298" s="265">
        <f>D298*12/44</f>
        <v>0</v>
      </c>
      <c r="F298" s="185"/>
      <c r="G298" s="185"/>
      <c r="H298" s="271">
        <f>VLOOKUP($B298,'Emissions factors'!$B$84:$K$147,2,FALSE)</f>
        <v>1153.9000000000001</v>
      </c>
      <c r="I298" s="271">
        <f>VLOOKUP($B298,'Emissions factors'!$B$84:$K$147,3,FALSE)</f>
        <v>2228.6959999999999</v>
      </c>
      <c r="J298" s="185"/>
      <c r="K298" s="277">
        <f>VLOOKUP($B298,'Emissions factors'!$B$84:$K$147,4,FALSE)</f>
        <v>0.1023</v>
      </c>
      <c r="L298" s="277">
        <f>VLOOKUP($B298,'Emissions factors'!$B$84:$K$147,5,FALSE)</f>
        <v>0.19462700000000002</v>
      </c>
      <c r="M298" s="185"/>
      <c r="N298" s="271">
        <f>VLOOKUP($B298,'Emissions factors'!$B$84:$K$147,6,FALSE)</f>
        <v>1178.0999999999999</v>
      </c>
      <c r="O298" s="271">
        <f>VLOOKUP($B298,'Emissions factors'!$B$84:$K$147,7,FALSE)</f>
        <v>2269.11</v>
      </c>
      <c r="P298" s="185"/>
      <c r="Q298" s="277">
        <f>VLOOKUP($B298,'Emissions factors'!$B$84:$K$147,8,FALSE)</f>
        <v>0.97550000000000003</v>
      </c>
      <c r="R298" s="277">
        <f>VLOOKUP($B298,'Emissions factors'!$B$84:$K$147,9,FALSE)</f>
        <v>1.87584</v>
      </c>
      <c r="S298" s="210">
        <f>G298*H298+J298*K298+M298*N298+P298*Q298</f>
        <v>0</v>
      </c>
      <c r="T298" s="211">
        <f>G298*I298+J298*L298+M298*O298+P298*R298</f>
        <v>0</v>
      </c>
      <c r="U298" s="42"/>
      <c r="X298" s="282">
        <f>VLOOKUP($B298,'Emissions factors'!$B$84:$K$147,10,FALSE)</f>
        <v>0.05</v>
      </c>
      <c r="Y298" s="187"/>
      <c r="Z298" s="221">
        <f>S298*SQRT(X298^2+Y298^2)</f>
        <v>0</v>
      </c>
      <c r="AA298" s="221">
        <f>T298*SQRT(X298^2+Y298^2)</f>
        <v>0</v>
      </c>
      <c r="AB298" s="211">
        <f>SQRT(Z298^2+AA298^2)</f>
        <v>0</v>
      </c>
      <c r="AF298" s="187"/>
      <c r="AG298" s="221">
        <f>S298*AF298</f>
        <v>0</v>
      </c>
      <c r="AH298" s="224">
        <f>T298*AF298</f>
        <v>0</v>
      </c>
      <c r="AI298" s="210">
        <f>AG298+AH298</f>
        <v>0</v>
      </c>
      <c r="AJ298" s="187"/>
      <c r="AK298" s="221">
        <f>S298*AJ298</f>
        <v>0</v>
      </c>
      <c r="AL298" s="224">
        <f>T298*AJ298</f>
        <v>0</v>
      </c>
      <c r="AM298" s="211">
        <f>AK298+AL298</f>
        <v>0</v>
      </c>
      <c r="AS298" s="717">
        <f>G298*VLOOKUP($B298,'Emissions factors'!$B$84:$AQ$147,11,FALSE)+J298*VLOOKUP($B298,'Emissions factors'!$B$84:$AQ$147,13,FALSE)+M298*VLOOKUP($B298,'Emissions factors'!$B$84:$AQ$147,15,FALSE)+P298*VLOOKUP($B298,'Emissions factors'!$B$84:$AQ$147,17,FALSE)</f>
        <v>0</v>
      </c>
      <c r="AT298" s="718">
        <f>G298*VLOOKUP($B298,'Emissions factors'!$B$84:$AQ$147,12,FALSE)+J298*VLOOKUP($B298,'Emissions factors'!$B$84:$AQ$147,14,FALSE)+M298*VLOOKUP($B298,'Emissions factors'!$B$84:$AQ$147,16,FALSE)+P298*VLOOKUP($B298,'Emissions factors'!$B$84:$AQ$147,18,FALSE)</f>
        <v>0</v>
      </c>
      <c r="AU298" s="718">
        <f>G298*VLOOKUP($B298,'Emissions factors'!$B$84:$AQ$147,19,FALSE)+J298*VLOOKUP($B298,'Emissions factors'!$B$84:$AQ$147,21,FALSE)+M298*VLOOKUP($B298,'Emissions factors'!$B$84:$AQ$147,23,FALSE)+P298*VLOOKUP($B298,'Emissions factors'!$B$84:$AQ$147,25,FALSE)</f>
        <v>0</v>
      </c>
      <c r="AV298" s="718">
        <f>G298*VLOOKUP($B298,'Emissions factors'!$B$84:$AQ$147,20,FALSE)+J298*VLOOKUP($B298,'Emissions factors'!$B$84:$AQ$147,22,FALSE)+M298*VLOOKUP($B298,'Emissions factors'!$B$84:$AQ$147,24,FALSE)+P298*VLOOKUP($B298,'Emissions factors'!$B$84:$AQ$147,26,FALSE)</f>
        <v>0</v>
      </c>
      <c r="AW298" s="718">
        <f>G298*VLOOKUP($B298,'Emissions factors'!$B$84:$AQ$147,27,FALSE)+J298*VLOOKUP($B298,'Emissions factors'!$B$84:$AQ$147,29,FALSE)+M298*VLOOKUP($B298,'Emissions factors'!$B$84:$AQ$147,31,FALSE)+P298*VLOOKUP($B298,'Emissions factors'!$B$84:$AQ$147,33,FALSE)</f>
        <v>0</v>
      </c>
      <c r="AX298" s="718">
        <f>G298*VLOOKUP($B298,'Emissions factors'!$B$84:$AQ$147,28,FALSE)+J298*VLOOKUP($B298,'Emissions factors'!$B$84:$AQ$147,30,FALSE)+M298*VLOOKUP($B298,'Emissions factors'!$B$84:$AQ$147,32,FALSE)+P298*VLOOKUP($B298,'Emissions factors'!$B$84:$AQ$147,34,FALSE)</f>
        <v>0</v>
      </c>
      <c r="AY298" s="718">
        <v>0</v>
      </c>
      <c r="AZ298" s="718">
        <v>0</v>
      </c>
      <c r="BA298" s="719">
        <f t="shared" si="55"/>
        <v>0</v>
      </c>
      <c r="BB298" s="720">
        <f t="shared" si="55"/>
        <v>0</v>
      </c>
      <c r="BC298" s="718">
        <f>G298*VLOOKUP($B298,'Emissions factors'!$B$84:$AQ$147,35,FALSE)+J298*VLOOKUP($B298,'Emissions factors'!$B$84:$AQ$147,37,FALSE)+M298*VLOOKUP($B298,'Emissions factors'!$B$84:$AQ$147,39,FALSE)+P298*VLOOKUP($B298,'Emissions factors'!$B$84:$AQ$147,41,FALSE)</f>
        <v>0</v>
      </c>
      <c r="BD298" s="721">
        <f>G298*VLOOKUP($B298,'Emissions factors'!$B$84:$AQ$147,36,FALSE)+J298*VLOOKUP($B298,'Emissions factors'!$B$84:$AQ$147,38,FALSE)+M298*VLOOKUP($B298,'Emissions factors'!$B$84:$AQ$147,40,FALSE)+P298*VLOOKUP($B298,'Emissions factors'!$B$84:$AQ$147,42,FALSE)</f>
        <v>0</v>
      </c>
    </row>
    <row r="299" spans="1:62" hidden="1" outlineLevel="1" x14ac:dyDescent="0.2">
      <c r="B299" s="200" t="s">
        <v>784</v>
      </c>
      <c r="C299" s="201"/>
      <c r="D299" s="262">
        <f>S299+T299</f>
        <v>0</v>
      </c>
      <c r="E299" s="265">
        <f>D299*12/44</f>
        <v>0</v>
      </c>
      <c r="F299" s="188"/>
      <c r="G299" s="188"/>
      <c r="H299" s="271">
        <f>VLOOKUP($B299,'Emissions factors'!$B$84:$K$147,2,FALSE)</f>
        <v>0</v>
      </c>
      <c r="I299" s="271">
        <f>VLOOKUP($B299,'Emissions factors'!$B$84:$K$147,3,FALSE)</f>
        <v>0</v>
      </c>
      <c r="J299" s="188"/>
      <c r="K299" s="277">
        <f>VLOOKUP($B299,'Emissions factors'!$B$84:$K$147,4,FALSE)</f>
        <v>3.8899999999999997E-2</v>
      </c>
      <c r="L299" s="277">
        <f>VLOOKUP($B299,'Emissions factors'!$B$84:$K$147,5,FALSE)</f>
        <v>0.20493000000000003</v>
      </c>
      <c r="M299" s="188"/>
      <c r="N299" s="271">
        <f>VLOOKUP($B299,'Emissions factors'!$B$84:$K$147,6,FALSE)</f>
        <v>378</v>
      </c>
      <c r="O299" s="271">
        <f>VLOOKUP($B299,'Emissions factors'!$B$84:$K$147,7,FALSE)</f>
        <v>2394.1000000000004</v>
      </c>
      <c r="P299" s="188"/>
      <c r="Q299" s="277">
        <f>VLOOKUP($B299,'Emissions factors'!$B$84:$K$147,8,FALSE)</f>
        <v>0</v>
      </c>
      <c r="R299" s="277">
        <f>VLOOKUP($B299,'Emissions factors'!$B$84:$K$147,9,FALSE)</f>
        <v>0</v>
      </c>
      <c r="S299" s="210">
        <f>G299*H299+J299*K299+M299*N299+P299*Q299</f>
        <v>0</v>
      </c>
      <c r="T299" s="211">
        <f>G299*I299+J299*L299+M299*O299+P299*R299</f>
        <v>0</v>
      </c>
      <c r="U299" s="42"/>
      <c r="X299" s="282">
        <f>VLOOKUP($B299,'Emissions factors'!$B$84:$K$147,10,FALSE)</f>
        <v>0.05</v>
      </c>
      <c r="Y299" s="190"/>
      <c r="Z299" s="221">
        <f>S299*SQRT(X299^2+Y299^2)</f>
        <v>0</v>
      </c>
      <c r="AA299" s="221">
        <f>T299*SQRT(X299^2+Y299^2)</f>
        <v>0</v>
      </c>
      <c r="AB299" s="211">
        <f>SQRT(Z299^2+AA299^2)</f>
        <v>0</v>
      </c>
      <c r="AF299" s="190"/>
      <c r="AG299" s="221">
        <f>S299*AF299</f>
        <v>0</v>
      </c>
      <c r="AH299" s="224">
        <f>T299*AF299</f>
        <v>0</v>
      </c>
      <c r="AI299" s="210">
        <f>AG299+AH299</f>
        <v>0</v>
      </c>
      <c r="AJ299" s="190"/>
      <c r="AK299" s="221">
        <f>S299*AJ299</f>
        <v>0</v>
      </c>
      <c r="AL299" s="224">
        <f>T299*AJ299</f>
        <v>0</v>
      </c>
      <c r="AM299" s="211">
        <f>AK299+AL299</f>
        <v>0</v>
      </c>
      <c r="AS299" s="717">
        <f>G299*VLOOKUP($B299,'Emissions factors'!$B$84:$AQ$147,11,FALSE)+J299*VLOOKUP($B299,'Emissions factors'!$B$84:$AQ$147,13,FALSE)+M299*VLOOKUP($B299,'Emissions factors'!$B$84:$AQ$147,15,FALSE)+P299*VLOOKUP($B299,'Emissions factors'!$B$84:$AQ$147,17,FALSE)</f>
        <v>0</v>
      </c>
      <c r="AT299" s="718">
        <f>G299*VLOOKUP($B299,'Emissions factors'!$B$84:$AQ$147,12,FALSE)+J299*VLOOKUP($B299,'Emissions factors'!$B$84:$AQ$147,14,FALSE)+M299*VLOOKUP($B299,'Emissions factors'!$B$84:$AQ$147,16,FALSE)+P299*VLOOKUP($B299,'Emissions factors'!$B$84:$AQ$147,18,FALSE)</f>
        <v>0</v>
      </c>
      <c r="AU299" s="718">
        <f>G299*VLOOKUP($B299,'Emissions factors'!$B$84:$AQ$147,19,FALSE)+J299*VLOOKUP($B299,'Emissions factors'!$B$84:$AQ$147,21,FALSE)+M299*VLOOKUP($B299,'Emissions factors'!$B$84:$AQ$147,23,FALSE)+P299*VLOOKUP($B299,'Emissions factors'!$B$84:$AQ$147,25,FALSE)</f>
        <v>0</v>
      </c>
      <c r="AV299" s="718">
        <f>G299*VLOOKUP($B299,'Emissions factors'!$B$84:$AQ$147,20,FALSE)+J299*VLOOKUP($B299,'Emissions factors'!$B$84:$AQ$147,22,FALSE)+M299*VLOOKUP($B299,'Emissions factors'!$B$84:$AQ$147,24,FALSE)+P299*VLOOKUP($B299,'Emissions factors'!$B$84:$AQ$147,26,FALSE)</f>
        <v>0</v>
      </c>
      <c r="AW299" s="718">
        <f>G299*VLOOKUP($B299,'Emissions factors'!$B$84:$AQ$147,27,FALSE)+J299*VLOOKUP($B299,'Emissions factors'!$B$84:$AQ$147,29,FALSE)+M299*VLOOKUP($B299,'Emissions factors'!$B$84:$AQ$147,31,FALSE)+P299*VLOOKUP($B299,'Emissions factors'!$B$84:$AQ$147,33,FALSE)</f>
        <v>0</v>
      </c>
      <c r="AX299" s="718">
        <f>G299*VLOOKUP($B299,'Emissions factors'!$B$84:$AQ$147,28,FALSE)+J299*VLOOKUP($B299,'Emissions factors'!$B$84:$AQ$147,30,FALSE)+M299*VLOOKUP($B299,'Emissions factors'!$B$84:$AQ$147,32,FALSE)+P299*VLOOKUP($B299,'Emissions factors'!$B$84:$AQ$147,34,FALSE)</f>
        <v>0</v>
      </c>
      <c r="AY299" s="718">
        <v>0</v>
      </c>
      <c r="AZ299" s="718">
        <v>0</v>
      </c>
      <c r="BA299" s="719">
        <f t="shared" si="55"/>
        <v>0</v>
      </c>
      <c r="BB299" s="720">
        <f t="shared" si="55"/>
        <v>0</v>
      </c>
      <c r="BC299" s="718">
        <f>G299*VLOOKUP($B299,'Emissions factors'!$B$84:$AQ$147,35,FALSE)+J299*VLOOKUP($B299,'Emissions factors'!$B$84:$AQ$147,37,FALSE)+M299*VLOOKUP($B299,'Emissions factors'!$B$84:$AQ$147,39,FALSE)+P299*VLOOKUP($B299,'Emissions factors'!$B$84:$AQ$147,41,FALSE)</f>
        <v>0</v>
      </c>
      <c r="BD299" s="721">
        <f>G299*VLOOKUP($B299,'Emissions factors'!$B$84:$AQ$147,36,FALSE)+J299*VLOOKUP($B299,'Emissions factors'!$B$84:$AQ$147,38,FALSE)+M299*VLOOKUP($B299,'Emissions factors'!$B$84:$AQ$147,40,FALSE)+P299*VLOOKUP($B299,'Emissions factors'!$B$84:$AQ$147,42,FALSE)</f>
        <v>0</v>
      </c>
    </row>
    <row r="300" spans="1:62" hidden="1" outlineLevel="1" x14ac:dyDescent="0.2">
      <c r="B300" s="200"/>
      <c r="C300" s="201"/>
      <c r="D300" s="263"/>
      <c r="E300" s="265"/>
      <c r="F300" s="201"/>
      <c r="G300" s="201"/>
      <c r="H300" s="263"/>
      <c r="I300" s="263"/>
      <c r="J300" s="201"/>
      <c r="K300" s="263"/>
      <c r="L300" s="263"/>
      <c r="M300" s="201"/>
      <c r="N300" s="263"/>
      <c r="O300" s="263"/>
      <c r="P300" s="201"/>
      <c r="Q300" s="263"/>
      <c r="R300" s="263"/>
      <c r="S300" s="210"/>
      <c r="T300" s="211"/>
      <c r="X300" s="282"/>
      <c r="Y300" s="201"/>
      <c r="Z300" s="221"/>
      <c r="AA300" s="221"/>
      <c r="AB300" s="211"/>
      <c r="AF300" s="213"/>
      <c r="AG300" s="221"/>
      <c r="AH300" s="224"/>
      <c r="AI300" s="224"/>
      <c r="AJ300" s="214"/>
      <c r="AK300" s="221"/>
      <c r="AL300" s="224"/>
      <c r="AM300" s="211"/>
      <c r="AS300" s="717"/>
      <c r="AT300" s="718"/>
      <c r="AU300" s="718"/>
      <c r="AV300" s="718"/>
      <c r="AW300" s="718"/>
      <c r="AX300" s="718"/>
      <c r="AY300" s="718"/>
      <c r="AZ300" s="718"/>
      <c r="BA300" s="719"/>
      <c r="BB300" s="720"/>
      <c r="BC300" s="717"/>
      <c r="BD300" s="721"/>
    </row>
    <row r="301" spans="1:62" hidden="1" outlineLevel="1" x14ac:dyDescent="0.2">
      <c r="B301" s="200" t="s">
        <v>834</v>
      </c>
      <c r="C301" s="201"/>
      <c r="D301" s="262">
        <f>S301+T301</f>
        <v>0</v>
      </c>
      <c r="E301" s="265">
        <f>D301*12/44</f>
        <v>0</v>
      </c>
      <c r="F301" s="182"/>
      <c r="G301" s="182"/>
      <c r="H301" s="271">
        <f>VLOOKUP($B301,'Emissions factors'!$B$152:$K$165,2,FALSE)</f>
        <v>1134.9000000000001</v>
      </c>
      <c r="I301" s="271">
        <f>VLOOKUP($B301,'Emissions factors'!$B$152:$K$165,3,FALSE)</f>
        <v>0</v>
      </c>
      <c r="J301" s="182"/>
      <c r="K301" s="277">
        <f>VLOOKUP($B301,'Emissions factors'!$B$152:$K$165,4,FALSE)</f>
        <v>0.10988999999999999</v>
      </c>
      <c r="L301" s="277">
        <f>VLOOKUP($B301,'Emissions factors'!$B$152:$K$165,5,FALSE)</f>
        <v>0</v>
      </c>
      <c r="M301" s="182"/>
      <c r="N301" s="271">
        <f>VLOOKUP($B301,'Emissions factors'!$B$152:$K$165,6,FALSE)</f>
        <v>1278.0999999999999</v>
      </c>
      <c r="O301" s="271">
        <f>VLOOKUP($B301,'Emissions factors'!$B$152:$K$165,7,FALSE)</f>
        <v>0</v>
      </c>
      <c r="P301" s="182"/>
      <c r="Q301" s="277">
        <f>VLOOKUP($B301,'Emissions factors'!$B$152:$K$165,8,FALSE)</f>
        <v>1.0113000000000001</v>
      </c>
      <c r="R301" s="277">
        <f>VLOOKUP($B301,'Emissions factors'!$B$152:$K$165,9,FALSE)</f>
        <v>0</v>
      </c>
      <c r="S301" s="210">
        <f>G301*H301+J301*K301+M301*N301+P301*Q301</f>
        <v>0</v>
      </c>
      <c r="T301" s="211">
        <f>G301*I301+J301*L301+M301*O301+P301*R301</f>
        <v>0</v>
      </c>
      <c r="U301" s="42"/>
      <c r="X301" s="282">
        <f>VLOOKUP($B301,'Emissions factors'!$B$152:$K$165,10,FALSE)</f>
        <v>0.2</v>
      </c>
      <c r="Y301" s="184"/>
      <c r="Z301" s="221">
        <f>S301*SQRT(X301^2+Y301^2)</f>
        <v>0</v>
      </c>
      <c r="AA301" s="221">
        <f>T301*SQRT(X301^2+Y301^2)</f>
        <v>0</v>
      </c>
      <c r="AB301" s="211">
        <f>SQRT(Z301^2+AA301^2)</f>
        <v>0</v>
      </c>
      <c r="AF301" s="184"/>
      <c r="AG301" s="221">
        <f>S301*AF301</f>
        <v>0</v>
      </c>
      <c r="AH301" s="224">
        <f>T301*AF301</f>
        <v>0</v>
      </c>
      <c r="AI301" s="210">
        <f>AG301+AH301</f>
        <v>0</v>
      </c>
      <c r="AJ301" s="184"/>
      <c r="AK301" s="221">
        <f>S301*AJ301</f>
        <v>0</v>
      </c>
      <c r="AL301" s="224">
        <f>T301*AJ301</f>
        <v>0</v>
      </c>
      <c r="AM301" s="211">
        <f>AK301+AL301</f>
        <v>0</v>
      </c>
      <c r="AS301" s="717">
        <f>G301*VLOOKUP($B301,'Emissions factors'!$B$152:$AQ$165,11,FALSE)+J301*VLOOKUP($B301,'Emissions factors'!$B$152:$AQ$165,13,FALSE)+M301*VLOOKUP($B301,'Emissions factors'!$B$152:$AQ$165,15,FALSE)+P301*VLOOKUP($B301,'Emissions factors'!$B$152:$AQ$165,17,FALSE)</f>
        <v>0</v>
      </c>
      <c r="AT301" s="718">
        <f>G301*VLOOKUP($B301,'Emissions factors'!$B$152:$AQ$165,12,FALSE)+J301*VLOOKUP($B301,'Emissions factors'!$B$152:$AQ$165,14,FALSE)+M301*VLOOKUP($B301,'Emissions factors'!$B$152:$AQ$165,16,FALSE)+P301*VLOOKUP($B301,'Emissions factors'!$B$152:$AQ$165,18,FALSE)</f>
        <v>0</v>
      </c>
      <c r="AU301" s="718">
        <f>G301*VLOOKUP($B301,'Emissions factors'!$B$152:$AQ$165,19,FALSE)+J301*VLOOKUP($B301,'Emissions factors'!$B$152:$AQ$165,21,FALSE)+M301*VLOOKUP($B301,'Emissions factors'!$B$152:$AQ$165,23,FALSE)+P301*VLOOKUP($B301,'Emissions factors'!$B$152:$AQ$165,25,FALSE)</f>
        <v>0</v>
      </c>
      <c r="AV301" s="718">
        <f>G301*VLOOKUP($B301,'Emissions factors'!$B$152:$AQ$165,20,FALSE)+J301*VLOOKUP($B301,'Emissions factors'!$B$152:$AQ$165,22,FALSE)+M301*VLOOKUP($B301,'Emissions factors'!$B$152:$AQ$165,24,FALSE)+P301*VLOOKUP($B301,'Emissions factors'!$B$152:$AQ$165,26,FALSE)</f>
        <v>0</v>
      </c>
      <c r="AW301" s="718">
        <f>G301*VLOOKUP($B301,'Emissions factors'!$B$152:$AQ$165,27,FALSE)+J301*VLOOKUP($B301,'Emissions factors'!$B$152:$AQ$165,29,FALSE)+M301*VLOOKUP($B301,'Emissions factors'!$B$152:$AQ$165,31,FALSE)+P301*VLOOKUP($B301,'Emissions factors'!$B$152:$AQ$165,33,FALSE)</f>
        <v>0</v>
      </c>
      <c r="AX301" s="718">
        <f>G301*VLOOKUP($B301,'Emissions factors'!$B$152:$AQ$165,28,FALSE)+J301*VLOOKUP($B301,'Emissions factors'!$B$152:$AQ$165,30,FALSE)+M301*VLOOKUP($B301,'Emissions factors'!$B$152:$AQ$165,32,FALSE)+P301*VLOOKUP($B301,'Emissions factors'!$B$152:$AQ$165,34,FALSE)</f>
        <v>0</v>
      </c>
      <c r="AY301" s="718">
        <v>0</v>
      </c>
      <c r="AZ301" s="718">
        <v>0</v>
      </c>
      <c r="BA301" s="719">
        <f>S301</f>
        <v>0</v>
      </c>
      <c r="BB301" s="720">
        <f>T301</f>
        <v>0</v>
      </c>
      <c r="BC301" s="717">
        <f>G301*VLOOKUP($B301,'Emissions factors'!$B$152:$AQ$165,35,FALSE)+J301*VLOOKUP($B301,'Emissions factors'!$B$152:$AQ$165,37,FALSE)+M301*VLOOKUP($B301,'Emissions factors'!$B$152:$AQ$165,39,FALSE)+P301*VLOOKUP($B301,'Emissions factors'!$B$152:$AQ$165,41,FALSE)</f>
        <v>0</v>
      </c>
      <c r="BD301" s="721">
        <f>G301*VLOOKUP($B301,'Emissions factors'!$B$152:$AQ$165,36,FALSE)+J301*VLOOKUP($B301,'Emissions factors'!$B$152:$AQ$165,38,FALSE)+M301*VLOOKUP($B301,'Emissions factors'!$B$152:$AQ$165,40,FALSE)+P301*VLOOKUP($B301,'Emissions factors'!$B$152:$AQ$165,42,FALSE)</f>
        <v>0</v>
      </c>
    </row>
    <row r="302" spans="1:62" hidden="1" outlineLevel="1" x14ac:dyDescent="0.2">
      <c r="B302" s="200" t="s">
        <v>839</v>
      </c>
      <c r="C302" s="201"/>
      <c r="D302" s="262">
        <f>S302+T302</f>
        <v>0</v>
      </c>
      <c r="E302" s="265">
        <f>D302*12/44</f>
        <v>0</v>
      </c>
      <c r="F302" s="188"/>
      <c r="G302" s="188"/>
      <c r="H302" s="271">
        <f>VLOOKUP($B302,'Emissions factors'!$B$152:$K$165,2,FALSE)</f>
        <v>41.2</v>
      </c>
      <c r="I302" s="271">
        <f>VLOOKUP($B302,'Emissions factors'!$B$152:$K$165,3,FALSE)</f>
        <v>72.599999999999994</v>
      </c>
      <c r="J302" s="188"/>
      <c r="K302" s="277">
        <f>VLOOKUP($B302,'Emissions factors'!$B$152:$K$165,4,FALSE)</f>
        <v>1.068E-2</v>
      </c>
      <c r="L302" s="277">
        <f>VLOOKUP($B302,'Emissions factors'!$B$152:$K$165,5,FALSE)</f>
        <v>1.8800000000000001E-2</v>
      </c>
      <c r="M302" s="188"/>
      <c r="N302" s="271">
        <f>VLOOKUP($B302,'Emissions factors'!$B$152:$K$165,6,FALSE)</f>
        <v>0</v>
      </c>
      <c r="O302" s="271">
        <f>VLOOKUP($B302,'Emissions factors'!$B$152:$K$165,7,FALSE)</f>
        <v>0</v>
      </c>
      <c r="P302" s="188"/>
      <c r="Q302" s="277">
        <f>VLOOKUP($B302,'Emissions factors'!$B$152:$K$165,8,FALSE)</f>
        <v>0</v>
      </c>
      <c r="R302" s="277">
        <f>VLOOKUP($B302,'Emissions factors'!$B$152:$K$165,9,FALSE)</f>
        <v>0</v>
      </c>
      <c r="S302" s="210">
        <f>G302*H302+J302*K302+M302*N302+P302*Q302</f>
        <v>0</v>
      </c>
      <c r="T302" s="211">
        <f>G302*I302+J302*L302+M302*O302+P302*R302</f>
        <v>0</v>
      </c>
      <c r="U302" s="42"/>
      <c r="X302" s="282">
        <f>VLOOKUP($B302,'Emissions factors'!$B$152:$K$165,10,FALSE)</f>
        <v>0.5</v>
      </c>
      <c r="Y302" s="190"/>
      <c r="Z302" s="221">
        <f>S302*SQRT(X302^2+Y302^2)</f>
        <v>0</v>
      </c>
      <c r="AA302" s="221">
        <f>T302*SQRT(X302^2+Y302^2)</f>
        <v>0</v>
      </c>
      <c r="AB302" s="211">
        <f>SQRT(Z302^2+AA302^2)</f>
        <v>0</v>
      </c>
      <c r="AF302" s="190"/>
      <c r="AG302" s="221">
        <f>S302*AF302</f>
        <v>0</v>
      </c>
      <c r="AH302" s="224">
        <f>T302*AF302</f>
        <v>0</v>
      </c>
      <c r="AI302" s="210">
        <f>AG302+AH302</f>
        <v>0</v>
      </c>
      <c r="AJ302" s="190"/>
      <c r="AK302" s="221">
        <f>S302*AJ302</f>
        <v>0</v>
      </c>
      <c r="AL302" s="224">
        <f>T302*AJ302</f>
        <v>0</v>
      </c>
      <c r="AM302" s="211">
        <f>AK302+AL302</f>
        <v>0</v>
      </c>
      <c r="AS302" s="717">
        <f>G302*VLOOKUP($B302,'Emissions factors'!$B$152:$AQ$165,11,FALSE)+J302*VLOOKUP($B302,'Emissions factors'!$B$152:$AQ$165,13,FALSE)+M302*VLOOKUP($B302,'Emissions factors'!$B$152:$AQ$165,15,FALSE)+P302*VLOOKUP($B302,'Emissions factors'!$B$152:$AQ$165,17,FALSE)</f>
        <v>0</v>
      </c>
      <c r="AT302" s="718">
        <f>G302*VLOOKUP($B302,'Emissions factors'!$B$152:$AQ$165,12,FALSE)+J302*VLOOKUP($B302,'Emissions factors'!$B$152:$AQ$165,14,FALSE)+M302*VLOOKUP($B302,'Emissions factors'!$B$152:$AQ$165,16,FALSE)+P302*VLOOKUP($B302,'Emissions factors'!$B$152:$AQ$165,18,FALSE)</f>
        <v>0</v>
      </c>
      <c r="AU302" s="718">
        <f>G302*VLOOKUP($B302,'Emissions factors'!$B$152:$AQ$165,19,FALSE)+J302*VLOOKUP($B302,'Emissions factors'!$B$152:$AQ$165,21,FALSE)+M302*VLOOKUP($B302,'Emissions factors'!$B$152:$AQ$165,23,FALSE)+P302*VLOOKUP($B302,'Emissions factors'!$B$152:$AQ$165,25,FALSE)</f>
        <v>0</v>
      </c>
      <c r="AV302" s="718">
        <f>G302*VLOOKUP($B302,'Emissions factors'!$B$152:$AQ$165,20,FALSE)+J302*VLOOKUP($B302,'Emissions factors'!$B$152:$AQ$165,22,FALSE)+M302*VLOOKUP($B302,'Emissions factors'!$B$152:$AQ$165,24,FALSE)+P302*VLOOKUP($B302,'Emissions factors'!$B$152:$AQ$165,26,FALSE)</f>
        <v>0</v>
      </c>
      <c r="AW302" s="718">
        <f>G302*VLOOKUP($B302,'Emissions factors'!$B$152:$AQ$165,27,FALSE)+J302*VLOOKUP($B302,'Emissions factors'!$B$152:$AQ$165,29,FALSE)+M302*VLOOKUP($B302,'Emissions factors'!$B$152:$AQ$165,31,FALSE)+P302*VLOOKUP($B302,'Emissions factors'!$B$152:$AQ$165,33,FALSE)</f>
        <v>0</v>
      </c>
      <c r="AX302" s="718">
        <f>G302*VLOOKUP($B302,'Emissions factors'!$B$152:$AQ$165,28,FALSE)+J302*VLOOKUP($B302,'Emissions factors'!$B$152:$AQ$165,30,FALSE)+M302*VLOOKUP($B302,'Emissions factors'!$B$152:$AQ$165,32,FALSE)+P302*VLOOKUP($B302,'Emissions factors'!$B$152:$AQ$165,34,FALSE)</f>
        <v>0</v>
      </c>
      <c r="AY302" s="718">
        <v>0</v>
      </c>
      <c r="AZ302" s="718">
        <v>0</v>
      </c>
      <c r="BA302" s="719">
        <f>S302</f>
        <v>0</v>
      </c>
      <c r="BB302" s="720">
        <f>T302</f>
        <v>0</v>
      </c>
      <c r="BC302" s="717">
        <f>G302*VLOOKUP($B302,'Emissions factors'!$B$152:$AQ$165,35,FALSE)+J302*VLOOKUP($B302,'Emissions factors'!$B$152:$AQ$165,37,FALSE)+M302*VLOOKUP($B302,'Emissions factors'!$B$152:$AQ$165,39,FALSE)+P302*VLOOKUP($B302,'Emissions factors'!$B$152:$AQ$165,41,FALSE)</f>
        <v>0</v>
      </c>
      <c r="BD302" s="721">
        <f>G302*VLOOKUP($B302,'Emissions factors'!$B$152:$AQ$165,36,FALSE)+J302*VLOOKUP($B302,'Emissions factors'!$B$152:$AQ$165,38,FALSE)+M302*VLOOKUP($B302,'Emissions factors'!$B$152:$AQ$165,40,FALSE)+P302*VLOOKUP($B302,'Emissions factors'!$B$152:$AQ$165,42,FALSE)</f>
        <v>0</v>
      </c>
    </row>
    <row r="303" spans="1:62" hidden="1" outlineLevel="1" x14ac:dyDescent="0.2">
      <c r="B303" s="213"/>
      <c r="C303" s="214"/>
      <c r="D303" s="275"/>
      <c r="E303" s="268"/>
      <c r="F303" s="214"/>
      <c r="G303" s="214"/>
      <c r="H303" s="214"/>
      <c r="I303" s="214"/>
      <c r="J303" s="214"/>
      <c r="K303" s="214"/>
      <c r="L303" s="214"/>
      <c r="M303" s="214"/>
      <c r="N303" s="214"/>
      <c r="O303" s="214"/>
      <c r="P303" s="214"/>
      <c r="Q303" s="214"/>
      <c r="R303" s="214"/>
      <c r="S303" s="463"/>
      <c r="T303" s="215"/>
      <c r="U303" s="42"/>
      <c r="X303" s="213"/>
      <c r="Y303" s="214"/>
      <c r="Z303" s="227"/>
      <c r="AA303" s="227"/>
      <c r="AB303" s="215"/>
      <c r="AF303" s="213"/>
      <c r="AG303" s="413"/>
      <c r="AH303" s="413"/>
      <c r="AI303" s="214"/>
      <c r="AJ303" s="214"/>
      <c r="AK303" s="227"/>
      <c r="AL303" s="227"/>
      <c r="AM303" s="478"/>
      <c r="AS303" s="717"/>
      <c r="AT303" s="718"/>
      <c r="AU303" s="718"/>
      <c r="AV303" s="718"/>
      <c r="AW303" s="718"/>
      <c r="AX303" s="718"/>
      <c r="AY303" s="718"/>
      <c r="AZ303" s="718"/>
      <c r="BA303" s="719"/>
      <c r="BB303" s="720"/>
      <c r="BC303" s="722"/>
      <c r="BD303" s="723"/>
    </row>
    <row r="304" spans="1:62" hidden="1" outlineLevel="1" x14ac:dyDescent="0.2">
      <c r="B304" s="253" t="s">
        <v>2828</v>
      </c>
      <c r="C304" s="254"/>
      <c r="D304" s="264">
        <f>SUM(D296:D303)</f>
        <v>0</v>
      </c>
      <c r="E304" s="267">
        <f>SUM(E296:E303)</f>
        <v>0</v>
      </c>
      <c r="F304" s="255"/>
      <c r="G304" s="256"/>
      <c r="H304" s="256"/>
      <c r="I304" s="256"/>
      <c r="J304" s="256"/>
      <c r="K304" s="256"/>
      <c r="L304" s="256"/>
      <c r="M304" s="256"/>
      <c r="N304" s="256"/>
      <c r="O304" s="256"/>
      <c r="P304" s="256"/>
      <c r="Q304" s="256"/>
      <c r="R304" s="256"/>
      <c r="S304" s="259">
        <f>SUM(S296:S303)</f>
        <v>0</v>
      </c>
      <c r="T304" s="257">
        <f>SUM(T296:T303)</f>
        <v>0</v>
      </c>
      <c r="X304" s="258"/>
      <c r="Y304" s="256"/>
      <c r="Z304" s="260">
        <f>SQRT(SUMSQ(Z296:Z303))</f>
        <v>0</v>
      </c>
      <c r="AA304" s="260">
        <f>SQRT(SUMSQ(AA296:AA303))</f>
        <v>0</v>
      </c>
      <c r="AB304" s="257">
        <f>SQRT(SUMSQ(AB296:AB303))</f>
        <v>0</v>
      </c>
      <c r="AF304" s="258"/>
      <c r="AG304" s="260">
        <f>SUM(AG296:AG303)</f>
        <v>0</v>
      </c>
      <c r="AH304" s="260">
        <f>SUM(AH296:AH303)</f>
        <v>0</v>
      </c>
      <c r="AI304" s="259">
        <f>SUM(AI296:AI303)</f>
        <v>0</v>
      </c>
      <c r="AJ304" s="256"/>
      <c r="AK304" s="260">
        <f>SUM(AK296:AK303)</f>
        <v>0</v>
      </c>
      <c r="AL304" s="260">
        <f>SUM(AL296:AL303)</f>
        <v>0</v>
      </c>
      <c r="AM304" s="257">
        <f>SUM(AM296:AM303)</f>
        <v>0</v>
      </c>
      <c r="AS304" s="724">
        <f t="shared" ref="AS304:BD304" si="56">SUM(AS296:AS303)</f>
        <v>0</v>
      </c>
      <c r="AT304" s="725">
        <f t="shared" si="56"/>
        <v>0</v>
      </c>
      <c r="AU304" s="725">
        <f t="shared" si="56"/>
        <v>0</v>
      </c>
      <c r="AV304" s="725">
        <f t="shared" si="56"/>
        <v>0</v>
      </c>
      <c r="AW304" s="725">
        <f t="shared" si="56"/>
        <v>0</v>
      </c>
      <c r="AX304" s="725">
        <f t="shared" si="56"/>
        <v>0</v>
      </c>
      <c r="AY304" s="725">
        <f t="shared" si="56"/>
        <v>0</v>
      </c>
      <c r="AZ304" s="725">
        <f t="shared" si="56"/>
        <v>0</v>
      </c>
      <c r="BA304" s="726">
        <f t="shared" si="56"/>
        <v>0</v>
      </c>
      <c r="BB304" s="727">
        <f t="shared" si="56"/>
        <v>0</v>
      </c>
      <c r="BC304" s="724">
        <f t="shared" si="56"/>
        <v>0</v>
      </c>
      <c r="BD304" s="728">
        <f t="shared" si="56"/>
        <v>0</v>
      </c>
    </row>
    <row r="305" spans="2:62" hidden="1" outlineLevel="1" x14ac:dyDescent="0.2">
      <c r="Q305" s="42"/>
    </row>
    <row r="306" spans="2:62" hidden="1" outlineLevel="1" x14ac:dyDescent="0.2">
      <c r="B306" s="195" t="s">
        <v>3016</v>
      </c>
      <c r="C306" s="196"/>
      <c r="D306" s="196"/>
      <c r="E306" s="196"/>
      <c r="F306" s="196"/>
      <c r="G306" s="198"/>
      <c r="H306" s="552"/>
      <c r="I306" s="552"/>
      <c r="J306" s="552"/>
      <c r="K306" s="552"/>
      <c r="L306" s="552"/>
      <c r="M306" s="552"/>
      <c r="N306" s="199"/>
      <c r="X306" s="1746" t="s">
        <v>723</v>
      </c>
      <c r="Y306" s="1747"/>
      <c r="Z306" s="1747"/>
      <c r="AA306" s="1747"/>
      <c r="AB306" s="1747"/>
      <c r="AC306" s="1747"/>
      <c r="AD306" s="1748"/>
      <c r="AF306" s="1746" t="s">
        <v>2066</v>
      </c>
      <c r="AG306" s="1747"/>
      <c r="AH306" s="1747"/>
      <c r="AI306" s="1747"/>
      <c r="AJ306" s="1747"/>
      <c r="AK306" s="1747"/>
      <c r="AL306" s="1747"/>
      <c r="AM306" s="1747"/>
      <c r="AN306" s="1747"/>
      <c r="AO306" s="1747"/>
      <c r="AP306" s="1747"/>
      <c r="AQ306" s="1748"/>
      <c r="AS306" s="1755" t="s">
        <v>2073</v>
      </c>
      <c r="AT306" s="1756"/>
      <c r="AU306" s="1756"/>
      <c r="AV306" s="1756"/>
      <c r="AW306" s="1756"/>
      <c r="AX306" s="1756"/>
      <c r="AY306" s="1756"/>
      <c r="AZ306" s="1756"/>
      <c r="BA306" s="1756"/>
      <c r="BB306" s="1756"/>
      <c r="BC306" s="1756"/>
      <c r="BD306" s="1756"/>
      <c r="BE306" s="1756"/>
      <c r="BF306" s="1756"/>
      <c r="BG306" s="1756"/>
      <c r="BH306" s="1756"/>
      <c r="BI306" s="1756"/>
      <c r="BJ306" s="1757"/>
    </row>
    <row r="307" spans="2:62" hidden="1" outlineLevel="1" x14ac:dyDescent="0.2">
      <c r="B307" s="417"/>
      <c r="C307" s="225"/>
      <c r="D307" s="503"/>
      <c r="E307" s="503"/>
      <c r="F307" s="201"/>
      <c r="G307" s="201"/>
      <c r="H307" s="201"/>
      <c r="I307" s="201"/>
      <c r="J307" s="201"/>
      <c r="K307" s="201"/>
      <c r="L307" s="1745" t="s">
        <v>2646</v>
      </c>
      <c r="M307" s="1745"/>
      <c r="N307" s="508" t="s">
        <v>2639</v>
      </c>
      <c r="X307" s="507"/>
      <c r="Y307" s="504"/>
      <c r="Z307" s="504"/>
      <c r="AA307" s="504"/>
      <c r="AB307" s="504"/>
      <c r="AC307" s="504"/>
      <c r="AD307" s="508" t="s">
        <v>2639</v>
      </c>
      <c r="AE307" s="42"/>
      <c r="AF307" s="216"/>
      <c r="AG307" s="503"/>
      <c r="AH307" s="503"/>
      <c r="AI307" s="503"/>
      <c r="AJ307" s="504"/>
      <c r="AK307" s="504" t="s">
        <v>2639</v>
      </c>
      <c r="AL307" s="217"/>
      <c r="AM307" s="503"/>
      <c r="AN307" s="503"/>
      <c r="AO307" s="503"/>
      <c r="AP307" s="504"/>
      <c r="AQ307" s="508" t="s">
        <v>2639</v>
      </c>
      <c r="AS307" s="1758" t="s">
        <v>61</v>
      </c>
      <c r="AT307" s="1759"/>
      <c r="AU307" s="1759"/>
      <c r="AV307" s="1759"/>
      <c r="AW307" s="1759"/>
      <c r="AX307" s="1759"/>
      <c r="AY307" s="1759"/>
      <c r="AZ307" s="1759"/>
      <c r="BA307" s="1759"/>
      <c r="BB307" s="1759"/>
      <c r="BC307" s="1759"/>
      <c r="BD307" s="1759"/>
      <c r="BE307" s="1759" t="s">
        <v>61</v>
      </c>
      <c r="BF307" s="1759"/>
      <c r="BG307" s="1760"/>
      <c r="BH307" s="730"/>
      <c r="BI307" s="785"/>
      <c r="BJ307" s="731"/>
    </row>
    <row r="308" spans="2:62" hidden="1" outlineLevel="1" x14ac:dyDescent="0.2">
      <c r="B308" s="507"/>
      <c r="C308" s="504"/>
      <c r="D308" s="504" t="s">
        <v>56</v>
      </c>
      <c r="E308" s="504" t="s">
        <v>56</v>
      </c>
      <c r="F308" s="205" t="s">
        <v>2669</v>
      </c>
      <c r="G308" s="205"/>
      <c r="H308" s="1839" t="s">
        <v>1281</v>
      </c>
      <c r="I308" s="1839"/>
      <c r="J308" s="1839"/>
      <c r="K308" s="503" t="s">
        <v>61</v>
      </c>
      <c r="L308" s="503" t="s">
        <v>61</v>
      </c>
      <c r="M308" s="503" t="s">
        <v>61</v>
      </c>
      <c r="N308" s="508" t="s">
        <v>30</v>
      </c>
      <c r="X308" s="1633" t="s">
        <v>2605</v>
      </c>
      <c r="Y308" s="504" t="s">
        <v>2110</v>
      </c>
      <c r="Z308" s="504" t="s">
        <v>61</v>
      </c>
      <c r="AA308" s="504" t="s">
        <v>61</v>
      </c>
      <c r="AB308" s="504" t="s">
        <v>61</v>
      </c>
      <c r="AC308" s="503" t="s">
        <v>61</v>
      </c>
      <c r="AD308" s="508" t="s">
        <v>30</v>
      </c>
      <c r="AE308" s="42"/>
      <c r="AF308" s="507" t="s">
        <v>2065</v>
      </c>
      <c r="AG308" s="504" t="s">
        <v>61</v>
      </c>
      <c r="AH308" s="504" t="s">
        <v>61</v>
      </c>
      <c r="AI308" s="504" t="s">
        <v>61</v>
      </c>
      <c r="AJ308" s="503" t="s">
        <v>61</v>
      </c>
      <c r="AK308" s="504" t="s">
        <v>30</v>
      </c>
      <c r="AL308" s="504" t="s">
        <v>2558</v>
      </c>
      <c r="AM308" s="504" t="s">
        <v>61</v>
      </c>
      <c r="AN308" s="504" t="s">
        <v>61</v>
      </c>
      <c r="AO308" s="504" t="s">
        <v>61</v>
      </c>
      <c r="AP308" s="503" t="s">
        <v>61</v>
      </c>
      <c r="AQ308" s="508" t="s">
        <v>30</v>
      </c>
      <c r="AS308" s="1764" t="s">
        <v>14</v>
      </c>
      <c r="AT308" s="1761"/>
      <c r="AU308" s="1761"/>
      <c r="AV308" s="1761" t="s">
        <v>60</v>
      </c>
      <c r="AW308" s="1761"/>
      <c r="AX308" s="1761"/>
      <c r="AY308" s="1761" t="s">
        <v>27</v>
      </c>
      <c r="AZ308" s="1761"/>
      <c r="BA308" s="1761"/>
      <c r="BB308" s="1761" t="s">
        <v>2074</v>
      </c>
      <c r="BC308" s="1761"/>
      <c r="BD308" s="1761"/>
      <c r="BE308" s="1762" t="s">
        <v>41</v>
      </c>
      <c r="BF308" s="1762"/>
      <c r="BG308" s="1763"/>
      <c r="BH308" s="1764" t="s">
        <v>85</v>
      </c>
      <c r="BI308" s="1761"/>
      <c r="BJ308" s="1765"/>
    </row>
    <row r="309" spans="2:62" hidden="1" outlineLevel="1" x14ac:dyDescent="0.2">
      <c r="B309" s="1636"/>
      <c r="C309" s="418"/>
      <c r="D309" s="504" t="s">
        <v>61</v>
      </c>
      <c r="E309" s="504" t="s">
        <v>63</v>
      </c>
      <c r="F309" s="208" t="s">
        <v>2054</v>
      </c>
      <c r="G309" s="212" t="s">
        <v>88</v>
      </c>
      <c r="H309" s="506" t="s">
        <v>1279</v>
      </c>
      <c r="I309" s="506" t="s">
        <v>768</v>
      </c>
      <c r="J309" s="506" t="s">
        <v>24</v>
      </c>
      <c r="K309" s="505" t="s">
        <v>1279</v>
      </c>
      <c r="L309" s="505" t="s">
        <v>768</v>
      </c>
      <c r="M309" s="505" t="s">
        <v>24</v>
      </c>
      <c r="N309" s="508" t="s">
        <v>61</v>
      </c>
      <c r="X309" s="1633" t="s">
        <v>2109</v>
      </c>
      <c r="Y309" s="504"/>
      <c r="Z309" s="506" t="s">
        <v>1279</v>
      </c>
      <c r="AA309" s="506" t="s">
        <v>768</v>
      </c>
      <c r="AB309" s="506" t="s">
        <v>24</v>
      </c>
      <c r="AC309" s="223" t="s">
        <v>41</v>
      </c>
      <c r="AD309" s="508" t="s">
        <v>61</v>
      </c>
      <c r="AE309" s="42"/>
      <c r="AF309" s="507"/>
      <c r="AG309" s="506" t="s">
        <v>1279</v>
      </c>
      <c r="AH309" s="506" t="s">
        <v>768</v>
      </c>
      <c r="AI309" s="506" t="s">
        <v>24</v>
      </c>
      <c r="AJ309" s="223" t="s">
        <v>41</v>
      </c>
      <c r="AK309" s="504" t="s">
        <v>61</v>
      </c>
      <c r="AL309" s="504"/>
      <c r="AM309" s="506" t="s">
        <v>1279</v>
      </c>
      <c r="AN309" s="506" t="s">
        <v>768</v>
      </c>
      <c r="AO309" s="506" t="s">
        <v>24</v>
      </c>
      <c r="AP309" s="223" t="s">
        <v>41</v>
      </c>
      <c r="AQ309" s="508" t="s">
        <v>61</v>
      </c>
      <c r="AS309" s="732" t="s">
        <v>1279</v>
      </c>
      <c r="AT309" s="733" t="s">
        <v>768</v>
      </c>
      <c r="AU309" s="733" t="s">
        <v>24</v>
      </c>
      <c r="AV309" s="733" t="s">
        <v>1279</v>
      </c>
      <c r="AW309" s="733" t="s">
        <v>768</v>
      </c>
      <c r="AX309" s="733" t="s">
        <v>24</v>
      </c>
      <c r="AY309" s="733" t="s">
        <v>1279</v>
      </c>
      <c r="AZ309" s="733" t="s">
        <v>768</v>
      </c>
      <c r="BA309" s="733" t="s">
        <v>24</v>
      </c>
      <c r="BB309" s="733" t="s">
        <v>1279</v>
      </c>
      <c r="BC309" s="733" t="s">
        <v>768</v>
      </c>
      <c r="BD309" s="733" t="s">
        <v>24</v>
      </c>
      <c r="BE309" s="734" t="s">
        <v>1279</v>
      </c>
      <c r="BF309" s="734" t="s">
        <v>768</v>
      </c>
      <c r="BG309" s="735" t="s">
        <v>24</v>
      </c>
      <c r="BH309" s="732" t="s">
        <v>1279</v>
      </c>
      <c r="BI309" s="733" t="s">
        <v>768</v>
      </c>
      <c r="BJ309" s="736" t="s">
        <v>24</v>
      </c>
    </row>
    <row r="310" spans="2:62" hidden="1" outlineLevel="1" x14ac:dyDescent="0.2">
      <c r="B310" s="200" t="s">
        <v>1442</v>
      </c>
      <c r="C310" s="201"/>
      <c r="D310" s="262">
        <f>SUM(K310:M310)</f>
        <v>0</v>
      </c>
      <c r="E310" s="265">
        <f>D310*12/44</f>
        <v>0</v>
      </c>
      <c r="F310" s="559"/>
      <c r="G310" s="182"/>
      <c r="H310" s="560">
        <f>VLOOKUP($B310,'Emissions factors'!$B$1506:$F$1523,2,FALSE)</f>
        <v>4.0257816972106009E-2</v>
      </c>
      <c r="I310" s="560">
        <f>VLOOKUP($B310,'Emissions factors'!$B$1506:$F$1523,3,FALSE)</f>
        <v>3.9296780935742605E-2</v>
      </c>
      <c r="J310" s="560">
        <f>VLOOKUP($B310,'Emissions factors'!$B$1506:$F$1523,4,FALSE)</f>
        <v>0.27440847915592781</v>
      </c>
      <c r="K310" s="465">
        <f>G310*H310</f>
        <v>0</v>
      </c>
      <c r="L310" s="465">
        <f>G310*I310</f>
        <v>0</v>
      </c>
      <c r="M310" s="465">
        <f>G310*J310</f>
        <v>0</v>
      </c>
      <c r="N310" s="222">
        <f>IF(OR(F310='Info utili'!$I$532,F310='Info utili'!$I$537),M310,0)</f>
        <v>0</v>
      </c>
      <c r="X310" s="282">
        <f>VLOOKUP($B310,'Emissions factors'!$B$1506:$F$1523,5,FALSE)</f>
        <v>0.13412035286792282</v>
      </c>
      <c r="Y310" s="183"/>
      <c r="Z310" s="221">
        <f>K310*SQRT(X310^2+Y310^2)</f>
        <v>0</v>
      </c>
      <c r="AA310" s="221">
        <f>L310*SQRT(X310^2+Y310^2)</f>
        <v>0</v>
      </c>
      <c r="AB310" s="221">
        <f>M310*SQRT(X310^2+Y310^2)</f>
        <v>0</v>
      </c>
      <c r="AC310" s="210">
        <f>SQRT(SUMSQ(Z310:AB310))</f>
        <v>0</v>
      </c>
      <c r="AD310" s="222">
        <f>N310*SQRT(X310^2+Y310^2)</f>
        <v>0</v>
      </c>
      <c r="AF310" s="184"/>
      <c r="AG310" s="221">
        <f>K310*AF310</f>
        <v>0</v>
      </c>
      <c r="AH310" s="221">
        <f>L310*AF310</f>
        <v>0</v>
      </c>
      <c r="AI310" s="221">
        <f>M310*AF310</f>
        <v>0</v>
      </c>
      <c r="AJ310" s="210">
        <f>SUM(AG310:AI310)</f>
        <v>0</v>
      </c>
      <c r="AK310" s="221">
        <f>N310*AF310</f>
        <v>0</v>
      </c>
      <c r="AL310" s="184"/>
      <c r="AM310" s="221">
        <f>K310*AL310</f>
        <v>0</v>
      </c>
      <c r="AN310" s="221">
        <f>L310*AL310</f>
        <v>0</v>
      </c>
      <c r="AO310" s="221">
        <f>M310*AL310</f>
        <v>0</v>
      </c>
      <c r="AP310" s="210">
        <f>SUM(AM310:AO310)</f>
        <v>0</v>
      </c>
      <c r="AQ310" s="222">
        <f>N310*AL310</f>
        <v>0</v>
      </c>
      <c r="AS310" s="717"/>
      <c r="AT310" s="718"/>
      <c r="AU310" s="718"/>
      <c r="AV310" s="718"/>
      <c r="AW310" s="718"/>
      <c r="AX310" s="718"/>
      <c r="AY310" s="718"/>
      <c r="AZ310" s="718"/>
      <c r="BA310" s="718"/>
      <c r="BB310" s="718"/>
      <c r="BC310" s="718"/>
      <c r="BD310" s="718"/>
      <c r="BE310" s="719">
        <f t="shared" ref="BE310:BG312" si="57">K310</f>
        <v>0</v>
      </c>
      <c r="BF310" s="719">
        <f t="shared" si="57"/>
        <v>0</v>
      </c>
      <c r="BG310" s="720">
        <f t="shared" si="57"/>
        <v>0</v>
      </c>
      <c r="BH310" s="717"/>
      <c r="BI310" s="718"/>
      <c r="BJ310" s="721"/>
    </row>
    <row r="311" spans="2:62" hidden="1" outlineLevel="1" x14ac:dyDescent="0.2">
      <c r="B311" s="200" t="s">
        <v>1441</v>
      </c>
      <c r="C311" s="201"/>
      <c r="D311" s="262">
        <f>SUM(K311:M311)</f>
        <v>0</v>
      </c>
      <c r="E311" s="265">
        <f>D311*12/44</f>
        <v>0</v>
      </c>
      <c r="F311" s="442"/>
      <c r="G311" s="185"/>
      <c r="H311" s="560">
        <f>VLOOKUP($B311,'Emissions factors'!$B$1506:$F$1523,2,FALSE)</f>
        <v>4.0257816972106009E-2</v>
      </c>
      <c r="I311" s="560">
        <f>VLOOKUP($B311,'Emissions factors'!$B$1506:$F$1523,3,FALSE)</f>
        <v>3.5724346305220547E-2</v>
      </c>
      <c r="J311" s="560">
        <f>VLOOKUP($B311,'Emissions factors'!$B$1506:$F$1523,4,FALSE)</f>
        <v>0.24946225377811615</v>
      </c>
      <c r="K311" s="465">
        <f>G311*H311</f>
        <v>0</v>
      </c>
      <c r="L311" s="465">
        <f>G311*I311</f>
        <v>0</v>
      </c>
      <c r="M311" s="465">
        <f>G311*J311</f>
        <v>0</v>
      </c>
      <c r="N311" s="222">
        <f>IF(OR(F311='Info utili'!$I$532,F311='Info utili'!$I$537),M311,0)</f>
        <v>0</v>
      </c>
      <c r="X311" s="282">
        <f>VLOOKUP($B311,'Emissions factors'!$B$1506:$F$1523,5,FALSE)</f>
        <v>0.13711031579802554</v>
      </c>
      <c r="Y311" s="186"/>
      <c r="Z311" s="221">
        <f>K311*SQRT(X311^2+Y311^2)</f>
        <v>0</v>
      </c>
      <c r="AA311" s="221">
        <f>L311*SQRT(X311^2+Y311^2)</f>
        <v>0</v>
      </c>
      <c r="AB311" s="221">
        <f>M311*SQRT(X311^2+Y311^2)</f>
        <v>0</v>
      </c>
      <c r="AC311" s="210">
        <f>SQRT(SUMSQ(Z311:AB311))</f>
        <v>0</v>
      </c>
      <c r="AD311" s="222">
        <f>N311*SQRT(X311^2+Y311^2)</f>
        <v>0</v>
      </c>
      <c r="AF311" s="187"/>
      <c r="AG311" s="221">
        <f>K311*AF311</f>
        <v>0</v>
      </c>
      <c r="AH311" s="221">
        <f>L311*AF311</f>
        <v>0</v>
      </c>
      <c r="AI311" s="221">
        <f>M311*AF311</f>
        <v>0</v>
      </c>
      <c r="AJ311" s="210">
        <f>SUM(AG311:AI311)</f>
        <v>0</v>
      </c>
      <c r="AK311" s="221">
        <f>N311*AF311</f>
        <v>0</v>
      </c>
      <c r="AL311" s="187"/>
      <c r="AM311" s="221">
        <f>K311*AL311</f>
        <v>0</v>
      </c>
      <c r="AN311" s="221">
        <f>L311*AL311</f>
        <v>0</v>
      </c>
      <c r="AO311" s="221">
        <f>M311*AL311</f>
        <v>0</v>
      </c>
      <c r="AP311" s="210">
        <f>SUM(AM311:AO311)</f>
        <v>0</v>
      </c>
      <c r="AQ311" s="222">
        <f>N311*AL311</f>
        <v>0</v>
      </c>
      <c r="AS311" s="717"/>
      <c r="AT311" s="718"/>
      <c r="AU311" s="718"/>
      <c r="AV311" s="718"/>
      <c r="AW311" s="718"/>
      <c r="AX311" s="718"/>
      <c r="AY311" s="718"/>
      <c r="AZ311" s="718"/>
      <c r="BA311" s="718"/>
      <c r="BB311" s="718"/>
      <c r="BC311" s="718"/>
      <c r="BD311" s="718"/>
      <c r="BE311" s="719">
        <f t="shared" si="57"/>
        <v>0</v>
      </c>
      <c r="BF311" s="719">
        <f t="shared" si="57"/>
        <v>0</v>
      </c>
      <c r="BG311" s="720">
        <f t="shared" si="57"/>
        <v>0</v>
      </c>
      <c r="BH311" s="717"/>
      <c r="BI311" s="718"/>
      <c r="BJ311" s="721"/>
    </row>
    <row r="312" spans="2:62" hidden="1" outlineLevel="1" x14ac:dyDescent="0.2">
      <c r="B312" s="200" t="s">
        <v>1450</v>
      </c>
      <c r="C312" s="201"/>
      <c r="D312" s="262">
        <f>SUM(K312:M312)</f>
        <v>0</v>
      </c>
      <c r="E312" s="265">
        <f>D312*12/44</f>
        <v>0</v>
      </c>
      <c r="F312" s="443"/>
      <c r="G312" s="188"/>
      <c r="H312" s="560">
        <f>VLOOKUP($B312,'Emissions factors'!$B$1506:$F$1523,2,FALSE)</f>
        <v>4.0257816972106009E-2</v>
      </c>
      <c r="I312" s="560">
        <f>VLOOKUP($B312,'Emissions factors'!$B$1506:$F$1523,3,FALSE)</f>
        <v>2.6968397212166026E-2</v>
      </c>
      <c r="J312" s="560">
        <f>VLOOKUP($B312,'Emissions factors'!$B$1506:$F$1523,4,FALSE)</f>
        <v>0.18873109737315166</v>
      </c>
      <c r="K312" s="465">
        <f>G312*H312</f>
        <v>0</v>
      </c>
      <c r="L312" s="465">
        <f>G312*I312</f>
        <v>0</v>
      </c>
      <c r="M312" s="465">
        <f>G312*J312</f>
        <v>0</v>
      </c>
      <c r="N312" s="222">
        <f>IF(OR(F312='Info utili'!$I$532,F312='Info utili'!$I$537),M312,0)</f>
        <v>0</v>
      </c>
      <c r="X312" s="282">
        <f>VLOOKUP($B312,'Emissions factors'!$B$1506:$F$1523,5,FALSE)</f>
        <v>0.14718499744408464</v>
      </c>
      <c r="Y312" s="189"/>
      <c r="Z312" s="221">
        <f>K312*SQRT(X312^2+Y312^2)</f>
        <v>0</v>
      </c>
      <c r="AA312" s="221">
        <f>L312*SQRT(X312^2+Y312^2)</f>
        <v>0</v>
      </c>
      <c r="AB312" s="221">
        <f>M312*SQRT(X312^2+Y312^2)</f>
        <v>0</v>
      </c>
      <c r="AC312" s="210">
        <f>SQRT(SUMSQ(Z312:AB312))</f>
        <v>0</v>
      </c>
      <c r="AD312" s="222">
        <f>N312*SQRT(X312^2+Y312^2)</f>
        <v>0</v>
      </c>
      <c r="AF312" s="190"/>
      <c r="AG312" s="221">
        <f>K312*AF312</f>
        <v>0</v>
      </c>
      <c r="AH312" s="221">
        <f>L312*AF312</f>
        <v>0</v>
      </c>
      <c r="AI312" s="221">
        <f>M312*AF312</f>
        <v>0</v>
      </c>
      <c r="AJ312" s="210">
        <f>SUM(AG312:AI312)</f>
        <v>0</v>
      </c>
      <c r="AK312" s="221">
        <f>N312*AF312</f>
        <v>0</v>
      </c>
      <c r="AL312" s="190"/>
      <c r="AM312" s="221">
        <f>K312*AL312</f>
        <v>0</v>
      </c>
      <c r="AN312" s="221">
        <f>L312*AL312</f>
        <v>0</v>
      </c>
      <c r="AO312" s="221">
        <f>M312*AL312</f>
        <v>0</v>
      </c>
      <c r="AP312" s="210">
        <f>SUM(AM312:AO312)</f>
        <v>0</v>
      </c>
      <c r="AQ312" s="222">
        <f>N312*AL312</f>
        <v>0</v>
      </c>
      <c r="AS312" s="717"/>
      <c r="AT312" s="718"/>
      <c r="AU312" s="718"/>
      <c r="AV312" s="718"/>
      <c r="AW312" s="718"/>
      <c r="AX312" s="718"/>
      <c r="AY312" s="718"/>
      <c r="AZ312" s="718"/>
      <c r="BA312" s="718"/>
      <c r="BB312" s="718"/>
      <c r="BC312" s="718"/>
      <c r="BD312" s="718"/>
      <c r="BE312" s="719">
        <f t="shared" si="57"/>
        <v>0</v>
      </c>
      <c r="BF312" s="719">
        <f t="shared" si="57"/>
        <v>0</v>
      </c>
      <c r="BG312" s="720">
        <f t="shared" si="57"/>
        <v>0</v>
      </c>
      <c r="BH312" s="717"/>
      <c r="BI312" s="718"/>
      <c r="BJ312" s="721"/>
    </row>
    <row r="313" spans="2:62" hidden="1" outlineLevel="1" x14ac:dyDescent="0.2">
      <c r="B313" s="200"/>
      <c r="C313" s="201"/>
      <c r="D313" s="263"/>
      <c r="E313" s="266"/>
      <c r="F313" s="201"/>
      <c r="G313" s="201"/>
      <c r="H313" s="201"/>
      <c r="I313" s="201"/>
      <c r="J313" s="201"/>
      <c r="K313" s="201"/>
      <c r="L313" s="201"/>
      <c r="M313" s="221"/>
      <c r="N313" s="222"/>
      <c r="X313" s="200"/>
      <c r="Y313" s="201"/>
      <c r="Z313" s="201"/>
      <c r="AA313" s="201"/>
      <c r="AB313" s="201"/>
      <c r="AC313" s="210"/>
      <c r="AD313" s="211"/>
      <c r="AF313" s="200"/>
      <c r="AG313" s="201"/>
      <c r="AH313" s="201"/>
      <c r="AI313" s="201"/>
      <c r="AJ313" s="413"/>
      <c r="AK313" s="504"/>
      <c r="AL313" s="201"/>
      <c r="AM313" s="201"/>
      <c r="AN313" s="201"/>
      <c r="AO313" s="201"/>
      <c r="AP313" s="413"/>
      <c r="AQ313" s="222"/>
      <c r="AS313" s="717"/>
      <c r="AT313" s="718"/>
      <c r="AU313" s="718"/>
      <c r="AV313" s="718"/>
      <c r="AW313" s="718"/>
      <c r="AX313" s="718"/>
      <c r="AY313" s="718"/>
      <c r="AZ313" s="718"/>
      <c r="BA313" s="718"/>
      <c r="BB313" s="718"/>
      <c r="BC313" s="718"/>
      <c r="BD313" s="718"/>
      <c r="BE313" s="719"/>
      <c r="BF313" s="719"/>
      <c r="BG313" s="720"/>
      <c r="BH313" s="722"/>
      <c r="BI313" s="786"/>
      <c r="BJ313" s="723"/>
    </row>
    <row r="314" spans="2:62" hidden="1" outlineLevel="1" x14ac:dyDescent="0.2">
      <c r="B314" s="253" t="s">
        <v>2828</v>
      </c>
      <c r="C314" s="254"/>
      <c r="D314" s="264">
        <f>SUM(D310:D313)</f>
        <v>0</v>
      </c>
      <c r="E314" s="267">
        <f>SUM(E310:E313)</f>
        <v>0</v>
      </c>
      <c r="F314" s="254"/>
      <c r="G314" s="254"/>
      <c r="H314" s="254"/>
      <c r="I314" s="254"/>
      <c r="J314" s="254"/>
      <c r="K314" s="259">
        <f>SUM(K310:K313)</f>
        <v>0</v>
      </c>
      <c r="L314" s="259">
        <f>SUM(L310:L313)</f>
        <v>0</v>
      </c>
      <c r="M314" s="259">
        <f>SUM(M310:M313)</f>
        <v>0</v>
      </c>
      <c r="N314" s="428">
        <f>SUM(N310:N313)</f>
        <v>0</v>
      </c>
      <c r="X314" s="258"/>
      <c r="Y314" s="256"/>
      <c r="Z314" s="260">
        <f>SQRT(SUMSQ(Z309:Z313))</f>
        <v>0</v>
      </c>
      <c r="AA314" s="260">
        <f>SQRT(SUMSQ(AA309:AA313))</f>
        <v>0</v>
      </c>
      <c r="AB314" s="260">
        <f>SQRT(SUMSQ(AB309:AB313))</f>
        <v>0</v>
      </c>
      <c r="AC314" s="259">
        <f>SQRT(SUMSQ(AC309:AC313))</f>
        <v>0</v>
      </c>
      <c r="AD314" s="428">
        <f>SQRT(SUMSQ(AD309:AD313))</f>
        <v>0</v>
      </c>
      <c r="AF314" s="258"/>
      <c r="AG314" s="260">
        <f>SUM(AG310:AG313)</f>
        <v>0</v>
      </c>
      <c r="AH314" s="260">
        <f>SUM(AH310:AH313)</f>
        <v>0</v>
      </c>
      <c r="AI314" s="260">
        <f>SUM(AI310:AI313)</f>
        <v>0</v>
      </c>
      <c r="AJ314" s="259">
        <f>SUM(AJ310:AJ313)</f>
        <v>0</v>
      </c>
      <c r="AK314" s="260">
        <f>SUM(AK310:AK313)</f>
        <v>0</v>
      </c>
      <c r="AL314" s="256"/>
      <c r="AM314" s="260">
        <f>SUM(AM310:AM313)</f>
        <v>0</v>
      </c>
      <c r="AN314" s="260">
        <f>SUM(AN310:AN313)</f>
        <v>0</v>
      </c>
      <c r="AO314" s="260">
        <f>SUM(AO310:AO313)</f>
        <v>0</v>
      </c>
      <c r="AP314" s="259">
        <f>SUM(AP310:AP313)</f>
        <v>0</v>
      </c>
      <c r="AQ314" s="428">
        <f>SUM(AQ310:AQ313)</f>
        <v>0</v>
      </c>
      <c r="AS314" s="724">
        <f t="shared" ref="AS314:BJ314" si="58">SUM(AS310:AS313)</f>
        <v>0</v>
      </c>
      <c r="AT314" s="725">
        <f t="shared" si="58"/>
        <v>0</v>
      </c>
      <c r="AU314" s="725">
        <f t="shared" si="58"/>
        <v>0</v>
      </c>
      <c r="AV314" s="725">
        <f t="shared" si="58"/>
        <v>0</v>
      </c>
      <c r="AW314" s="725">
        <f t="shared" si="58"/>
        <v>0</v>
      </c>
      <c r="AX314" s="725">
        <f t="shared" si="58"/>
        <v>0</v>
      </c>
      <c r="AY314" s="725">
        <f t="shared" si="58"/>
        <v>0</v>
      </c>
      <c r="AZ314" s="725">
        <f t="shared" si="58"/>
        <v>0</v>
      </c>
      <c r="BA314" s="725">
        <f t="shared" si="58"/>
        <v>0</v>
      </c>
      <c r="BB314" s="725">
        <f t="shared" si="58"/>
        <v>0</v>
      </c>
      <c r="BC314" s="725">
        <f t="shared" si="58"/>
        <v>0</v>
      </c>
      <c r="BD314" s="725">
        <f t="shared" si="58"/>
        <v>0</v>
      </c>
      <c r="BE314" s="726">
        <f t="shared" si="58"/>
        <v>0</v>
      </c>
      <c r="BF314" s="726">
        <f t="shared" si="58"/>
        <v>0</v>
      </c>
      <c r="BG314" s="727">
        <f t="shared" si="58"/>
        <v>0</v>
      </c>
      <c r="BH314" s="724">
        <f t="shared" si="58"/>
        <v>0</v>
      </c>
      <c r="BI314" s="725">
        <f t="shared" si="58"/>
        <v>0</v>
      </c>
      <c r="BJ314" s="728">
        <f t="shared" si="58"/>
        <v>0</v>
      </c>
    </row>
    <row r="315" spans="2:62" hidden="1" outlineLevel="1" x14ac:dyDescent="0.2">
      <c r="G315" s="335"/>
      <c r="H315" s="333"/>
    </row>
    <row r="316" spans="2:62" ht="12.75" hidden="1" customHeight="1" outlineLevel="1" x14ac:dyDescent="0.2">
      <c r="B316" s="195" t="s">
        <v>3017</v>
      </c>
      <c r="C316" s="196"/>
      <c r="D316" s="196"/>
      <c r="E316" s="196"/>
      <c r="F316" s="196"/>
      <c r="G316" s="198"/>
      <c r="H316" s="196"/>
      <c r="I316" s="196"/>
      <c r="J316" s="196"/>
      <c r="K316" s="198"/>
      <c r="L316" s="198"/>
      <c r="M316" s="198"/>
      <c r="N316" s="199"/>
      <c r="W316" s="316"/>
      <c r="X316" s="1746" t="s">
        <v>723</v>
      </c>
      <c r="Y316" s="1747"/>
      <c r="Z316" s="1747"/>
      <c r="AA316" s="1747"/>
      <c r="AB316" s="1747"/>
      <c r="AC316" s="1747"/>
      <c r="AD316" s="1748"/>
      <c r="AF316" s="1746" t="s">
        <v>2066</v>
      </c>
      <c r="AG316" s="1747"/>
      <c r="AH316" s="1747"/>
      <c r="AI316" s="1747"/>
      <c r="AJ316" s="1747"/>
      <c r="AK316" s="1747"/>
      <c r="AL316" s="1747"/>
      <c r="AM316" s="1747"/>
      <c r="AN316" s="1747"/>
      <c r="AO316" s="1747"/>
      <c r="AP316" s="1747"/>
      <c r="AQ316" s="1748"/>
      <c r="AS316" s="1755" t="s">
        <v>2073</v>
      </c>
      <c r="AT316" s="1756"/>
      <c r="AU316" s="1756"/>
      <c r="AV316" s="1756"/>
      <c r="AW316" s="1756"/>
      <c r="AX316" s="1756"/>
      <c r="AY316" s="1756"/>
      <c r="AZ316" s="1756"/>
      <c r="BA316" s="1756"/>
      <c r="BB316" s="1756"/>
      <c r="BC316" s="1756"/>
      <c r="BD316" s="1756"/>
      <c r="BE316" s="1756"/>
      <c r="BF316" s="1756"/>
      <c r="BG316" s="1756"/>
      <c r="BH316" s="1756"/>
      <c r="BI316" s="1756"/>
      <c r="BJ316" s="1757"/>
    </row>
    <row r="317" spans="2:62" ht="12.75" hidden="1" customHeight="1" outlineLevel="1" x14ac:dyDescent="0.2">
      <c r="B317" s="417"/>
      <c r="C317" s="225"/>
      <c r="D317" s="503"/>
      <c r="E317" s="503"/>
      <c r="F317" s="201"/>
      <c r="G317" s="201"/>
      <c r="H317" s="201"/>
      <c r="I317" s="201"/>
      <c r="J317" s="201"/>
      <c r="K317" s="201"/>
      <c r="L317" s="1745" t="s">
        <v>2646</v>
      </c>
      <c r="M317" s="1745"/>
      <c r="N317" s="710" t="s">
        <v>2639</v>
      </c>
      <c r="W317" s="316"/>
      <c r="X317" s="709"/>
      <c r="Y317" s="706"/>
      <c r="Z317" s="706"/>
      <c r="AA317" s="706"/>
      <c r="AB317" s="706"/>
      <c r="AC317" s="706"/>
      <c r="AD317" s="710" t="s">
        <v>2639</v>
      </c>
      <c r="AE317" s="42"/>
      <c r="AF317" s="216"/>
      <c r="AG317" s="503"/>
      <c r="AH317" s="503"/>
      <c r="AI317" s="503"/>
      <c r="AJ317" s="504"/>
      <c r="AK317" s="504" t="s">
        <v>2639</v>
      </c>
      <c r="AL317" s="217"/>
      <c r="AM317" s="503"/>
      <c r="AN317" s="503"/>
      <c r="AO317" s="503"/>
      <c r="AP317" s="504"/>
      <c r="AQ317" s="508" t="s">
        <v>2639</v>
      </c>
      <c r="AS317" s="1758" t="s">
        <v>61</v>
      </c>
      <c r="AT317" s="1759"/>
      <c r="AU317" s="1759"/>
      <c r="AV317" s="1759"/>
      <c r="AW317" s="1759"/>
      <c r="AX317" s="1759"/>
      <c r="AY317" s="1759"/>
      <c r="AZ317" s="1759"/>
      <c r="BA317" s="1759"/>
      <c r="BB317" s="1759"/>
      <c r="BC317" s="1759"/>
      <c r="BD317" s="1759"/>
      <c r="BE317" s="1759" t="s">
        <v>61</v>
      </c>
      <c r="BF317" s="1759"/>
      <c r="BG317" s="1760"/>
      <c r="BH317" s="730"/>
      <c r="BI317" s="785"/>
      <c r="BJ317" s="731"/>
    </row>
    <row r="318" spans="2:62" ht="12.75" hidden="1" customHeight="1" outlineLevel="1" x14ac:dyDescent="0.2">
      <c r="B318" s="200"/>
      <c r="C318" s="201"/>
      <c r="D318" s="504" t="s">
        <v>56</v>
      </c>
      <c r="E318" s="504" t="s">
        <v>56</v>
      </c>
      <c r="F318" s="205" t="s">
        <v>2669</v>
      </c>
      <c r="G318" s="205"/>
      <c r="H318" s="1744" t="s">
        <v>1457</v>
      </c>
      <c r="I318" s="1745"/>
      <c r="J318" s="1745"/>
      <c r="K318" s="705" t="s">
        <v>61</v>
      </c>
      <c r="L318" s="705" t="s">
        <v>61</v>
      </c>
      <c r="M318" s="705" t="s">
        <v>61</v>
      </c>
      <c r="N318" s="710" t="s">
        <v>30</v>
      </c>
      <c r="W318" s="316"/>
      <c r="X318" s="1633" t="s">
        <v>2605</v>
      </c>
      <c r="Y318" s="706" t="s">
        <v>2110</v>
      </c>
      <c r="Z318" s="706" t="s">
        <v>61</v>
      </c>
      <c r="AA318" s="706" t="s">
        <v>61</v>
      </c>
      <c r="AB318" s="706" t="s">
        <v>61</v>
      </c>
      <c r="AC318" s="705" t="s">
        <v>61</v>
      </c>
      <c r="AD318" s="710" t="s">
        <v>30</v>
      </c>
      <c r="AE318" s="42"/>
      <c r="AF318" s="507" t="s">
        <v>2065</v>
      </c>
      <c r="AG318" s="504" t="s">
        <v>61</v>
      </c>
      <c r="AH318" s="504" t="s">
        <v>61</v>
      </c>
      <c r="AI318" s="504" t="s">
        <v>61</v>
      </c>
      <c r="AJ318" s="503" t="s">
        <v>61</v>
      </c>
      <c r="AK318" s="504" t="s">
        <v>30</v>
      </c>
      <c r="AL318" s="504" t="s">
        <v>2558</v>
      </c>
      <c r="AM318" s="504" t="s">
        <v>61</v>
      </c>
      <c r="AN318" s="504" t="s">
        <v>61</v>
      </c>
      <c r="AO318" s="504" t="s">
        <v>61</v>
      </c>
      <c r="AP318" s="503" t="s">
        <v>61</v>
      </c>
      <c r="AQ318" s="508" t="s">
        <v>30</v>
      </c>
      <c r="AS318" s="1764" t="s">
        <v>14</v>
      </c>
      <c r="AT318" s="1761"/>
      <c r="AU318" s="1761"/>
      <c r="AV318" s="1761" t="s">
        <v>60</v>
      </c>
      <c r="AW318" s="1761"/>
      <c r="AX318" s="1761"/>
      <c r="AY318" s="1761" t="s">
        <v>27</v>
      </c>
      <c r="AZ318" s="1761"/>
      <c r="BA318" s="1761"/>
      <c r="BB318" s="1761" t="s">
        <v>2074</v>
      </c>
      <c r="BC318" s="1761"/>
      <c r="BD318" s="1761"/>
      <c r="BE318" s="1762" t="s">
        <v>41</v>
      </c>
      <c r="BF318" s="1762"/>
      <c r="BG318" s="1763"/>
      <c r="BH318" s="1764" t="s">
        <v>85</v>
      </c>
      <c r="BI318" s="1761"/>
      <c r="BJ318" s="1765"/>
    </row>
    <row r="319" spans="2:62" ht="12.75" hidden="1" customHeight="1" outlineLevel="1" x14ac:dyDescent="0.2">
      <c r="B319" s="200"/>
      <c r="C319" s="201"/>
      <c r="D319" s="504" t="s">
        <v>61</v>
      </c>
      <c r="E319" s="504" t="s">
        <v>63</v>
      </c>
      <c r="F319" s="208" t="s">
        <v>2054</v>
      </c>
      <c r="G319" s="208" t="s">
        <v>2676</v>
      </c>
      <c r="H319" s="708" t="s">
        <v>1279</v>
      </c>
      <c r="I319" s="708" t="s">
        <v>768</v>
      </c>
      <c r="J319" s="708" t="s">
        <v>24</v>
      </c>
      <c r="K319" s="707" t="s">
        <v>1279</v>
      </c>
      <c r="L319" s="707" t="s">
        <v>768</v>
      </c>
      <c r="M319" s="707" t="s">
        <v>24</v>
      </c>
      <c r="N319" s="710" t="s">
        <v>61</v>
      </c>
      <c r="W319" s="316"/>
      <c r="X319" s="1633" t="s">
        <v>2109</v>
      </c>
      <c r="Y319" s="706"/>
      <c r="Z319" s="708" t="s">
        <v>1279</v>
      </c>
      <c r="AA319" s="708" t="s">
        <v>768</v>
      </c>
      <c r="AB319" s="708" t="s">
        <v>24</v>
      </c>
      <c r="AC319" s="223" t="s">
        <v>41</v>
      </c>
      <c r="AD319" s="710" t="s">
        <v>61</v>
      </c>
      <c r="AE319" s="42"/>
      <c r="AF319" s="507"/>
      <c r="AG319" s="506" t="s">
        <v>1279</v>
      </c>
      <c r="AH319" s="506" t="s">
        <v>768</v>
      </c>
      <c r="AI319" s="506" t="s">
        <v>24</v>
      </c>
      <c r="AJ319" s="223" t="s">
        <v>41</v>
      </c>
      <c r="AK319" s="504" t="s">
        <v>61</v>
      </c>
      <c r="AL319" s="504"/>
      <c r="AM319" s="506" t="s">
        <v>1279</v>
      </c>
      <c r="AN319" s="506" t="s">
        <v>768</v>
      </c>
      <c r="AO319" s="506" t="s">
        <v>24</v>
      </c>
      <c r="AP319" s="223" t="s">
        <v>41</v>
      </c>
      <c r="AQ319" s="508" t="s">
        <v>61</v>
      </c>
      <c r="AS319" s="732" t="s">
        <v>1279</v>
      </c>
      <c r="AT319" s="733" t="s">
        <v>768</v>
      </c>
      <c r="AU319" s="733" t="s">
        <v>24</v>
      </c>
      <c r="AV319" s="733" t="s">
        <v>1279</v>
      </c>
      <c r="AW319" s="733" t="s">
        <v>768</v>
      </c>
      <c r="AX319" s="733" t="s">
        <v>24</v>
      </c>
      <c r="AY319" s="733" t="s">
        <v>1279</v>
      </c>
      <c r="AZ319" s="733" t="s">
        <v>768</v>
      </c>
      <c r="BA319" s="733" t="s">
        <v>24</v>
      </c>
      <c r="BB319" s="733" t="s">
        <v>1279</v>
      </c>
      <c r="BC319" s="733" t="s">
        <v>768</v>
      </c>
      <c r="BD319" s="733" t="s">
        <v>24</v>
      </c>
      <c r="BE319" s="734" t="s">
        <v>1279</v>
      </c>
      <c r="BF319" s="734" t="s">
        <v>768</v>
      </c>
      <c r="BG319" s="735" t="s">
        <v>24</v>
      </c>
      <c r="BH319" s="732" t="s">
        <v>1279</v>
      </c>
      <c r="BI319" s="733" t="s">
        <v>768</v>
      </c>
      <c r="BJ319" s="736" t="s">
        <v>24</v>
      </c>
    </row>
    <row r="320" spans="2:62" ht="12.75" hidden="1" customHeight="1" outlineLevel="1" x14ac:dyDescent="0.2">
      <c r="B320" s="200" t="s">
        <v>1460</v>
      </c>
      <c r="C320" s="553"/>
      <c r="D320" s="262">
        <f>SUM(K320:M320)</f>
        <v>0</v>
      </c>
      <c r="E320" s="265">
        <f>D320*12/44</f>
        <v>0</v>
      </c>
      <c r="F320" s="559"/>
      <c r="G320" s="182"/>
      <c r="H320" s="493">
        <f>VLOOKUP($B320,'Emissions factors'!$B$1547:$R$1561,2,FALSE)</f>
        <v>0</v>
      </c>
      <c r="I320" s="493">
        <f>VLOOKUP($B320,'Emissions factors'!$B$1547:$R$1561,3,FALSE)</f>
        <v>3.721E-2</v>
      </c>
      <c r="J320" s="493">
        <f>VLOOKUP($B320,'Emissions factors'!$B$1547:$R$1561,4,FALSE)</f>
        <v>0.14426099999999997</v>
      </c>
      <c r="K320" s="465">
        <f>H320*G320</f>
        <v>0</v>
      </c>
      <c r="L320" s="465">
        <f>G320*I320</f>
        <v>0</v>
      </c>
      <c r="M320" s="210">
        <f>G320*J320</f>
        <v>0</v>
      </c>
      <c r="N320" s="222">
        <f>IF(OR(F320='Info utili'!$I$532,F320='Info utili'!$I$537),M320,0)</f>
        <v>0</v>
      </c>
      <c r="W320" s="316"/>
      <c r="X320" s="282">
        <f>VLOOKUP($B320,'Emissions factors'!$B$1547:$R$1561,17,FALSE)</f>
        <v>0.6</v>
      </c>
      <c r="Y320" s="184"/>
      <c r="Z320" s="221">
        <f>K320*SQRT(X320^2+Y320^2)</f>
        <v>0</v>
      </c>
      <c r="AA320" s="221">
        <f>L320*SQRT(X320^2+Y320^2)</f>
        <v>0</v>
      </c>
      <c r="AB320" s="221">
        <f>M320*SQRT(X320^2+Y320^2)</f>
        <v>0</v>
      </c>
      <c r="AC320" s="210">
        <f>SQRT(SUMSQ(Z320:AB320))</f>
        <v>0</v>
      </c>
      <c r="AD320" s="222">
        <f>N320*SQRT(X320^2+Y320^2)</f>
        <v>0</v>
      </c>
      <c r="AF320" s="184"/>
      <c r="AG320" s="221">
        <f t="shared" ref="AG320:AI322" si="59">K320*$AF320</f>
        <v>0</v>
      </c>
      <c r="AH320" s="221">
        <f t="shared" si="59"/>
        <v>0</v>
      </c>
      <c r="AI320" s="221">
        <f t="shared" si="59"/>
        <v>0</v>
      </c>
      <c r="AJ320" s="210">
        <f>SUM(AG320:AI320)</f>
        <v>0</v>
      </c>
      <c r="AK320" s="221">
        <f>N320*AF320</f>
        <v>0</v>
      </c>
      <c r="AL320" s="184"/>
      <c r="AM320" s="221">
        <f>AL320*K320</f>
        <v>0</v>
      </c>
      <c r="AN320" s="221">
        <f>AL320*L320</f>
        <v>0</v>
      </c>
      <c r="AO320" s="221">
        <f>AL320*M320</f>
        <v>0</v>
      </c>
      <c r="AP320" s="210">
        <f>SUM(AM320:AO320)</f>
        <v>0</v>
      </c>
      <c r="AQ320" s="222">
        <f>AL320*N320</f>
        <v>0</v>
      </c>
      <c r="AS320" s="717">
        <f>G320*VLOOKUP($B320,'Emissions factors'!$B$1547:$R$1561,5,FALSE)</f>
        <v>0</v>
      </c>
      <c r="AT320" s="718">
        <f>G320*VLOOKUP($B320,'Emissions factors'!$B$1547:$R$1561,6,FALSE)</f>
        <v>0</v>
      </c>
      <c r="AU320" s="718">
        <f>G320*VLOOKUP($B320,'Emissions factors'!$B$1547:$R$1561,7,FALSE)</f>
        <v>0</v>
      </c>
      <c r="AV320" s="718">
        <f>G320*VLOOKUP($B320,'Emissions factors'!$B$1547:$R$1561,8,FALSE)</f>
        <v>0</v>
      </c>
      <c r="AW320" s="718">
        <f>G320*VLOOKUP($B320,'Emissions factors'!$B$1547:$R$1561,9,FALSE)</f>
        <v>0</v>
      </c>
      <c r="AX320" s="718">
        <f>G320*VLOOKUP($B320,'Emissions factors'!$B$1547:$R$1561,10,FALSE)</f>
        <v>0</v>
      </c>
      <c r="AY320" s="718">
        <f>G320*VLOOKUP($B320,'Emissions factors'!$B$1547:$R$1561,11,FALSE)</f>
        <v>0</v>
      </c>
      <c r="AZ320" s="718">
        <f>G320*VLOOKUP($B320,'Emissions factors'!$B$1547:$R$1561,12,FALSE)</f>
        <v>0</v>
      </c>
      <c r="BA320" s="718">
        <f>G320*VLOOKUP($B320,'Emissions factors'!$B$1547:$R$1561,13,FALSE)</f>
        <v>0</v>
      </c>
      <c r="BB320" s="718">
        <v>0</v>
      </c>
      <c r="BC320" s="718">
        <v>0</v>
      </c>
      <c r="BD320" s="718">
        <v>0</v>
      </c>
      <c r="BE320" s="719">
        <f t="shared" ref="BE320:BG322" si="60">K320</f>
        <v>0</v>
      </c>
      <c r="BF320" s="719">
        <f t="shared" si="60"/>
        <v>0</v>
      </c>
      <c r="BG320" s="720">
        <f t="shared" si="60"/>
        <v>0</v>
      </c>
      <c r="BH320" s="717">
        <f>G320*VLOOKUP($B320,'Emissions factors'!$B$1547:$R$1561,14,FALSE)</f>
        <v>0</v>
      </c>
      <c r="BI320" s="718">
        <f>G320*VLOOKUP($B320,'Emissions factors'!$B$1547:$R$1561,15,FALSE)</f>
        <v>0</v>
      </c>
      <c r="BJ320" s="721">
        <f>G320*VLOOKUP($B320,'Emissions factors'!$B$1547:$R$1561,16,FALSE)</f>
        <v>0</v>
      </c>
    </row>
    <row r="321" spans="2:62" ht="12.75" hidden="1" customHeight="1" outlineLevel="1" x14ac:dyDescent="0.2">
      <c r="B321" s="200" t="s">
        <v>1461</v>
      </c>
      <c r="C321" s="553"/>
      <c r="D321" s="262">
        <f>SUM(K321:M321)</f>
        <v>0</v>
      </c>
      <c r="E321" s="265">
        <f>D321*12/44</f>
        <v>0</v>
      </c>
      <c r="F321" s="442"/>
      <c r="G321" s="185"/>
      <c r="H321" s="493">
        <f>VLOOKUP($B321,'Emissions factors'!$B$1547:$R$1561,2,FALSE)</f>
        <v>0</v>
      </c>
      <c r="I321" s="493">
        <f>VLOOKUP($B321,'Emissions factors'!$B$1547:$R$1561,3,FALSE)</f>
        <v>3.3820000000000003E-2</v>
      </c>
      <c r="J321" s="493">
        <f>VLOOKUP($B321,'Emissions factors'!$B$1547:$R$1561,4,FALSE)</f>
        <v>0.13321300000000003</v>
      </c>
      <c r="K321" s="465">
        <f>H321*G321</f>
        <v>0</v>
      </c>
      <c r="L321" s="465">
        <f>G321*I321</f>
        <v>0</v>
      </c>
      <c r="M321" s="210">
        <f>G321*J321</f>
        <v>0</v>
      </c>
      <c r="N321" s="222">
        <f>IF(OR(F321='Info utili'!$I$532,F321='Info utili'!$I$537),M321,0)</f>
        <v>0</v>
      </c>
      <c r="W321" s="316"/>
      <c r="X321" s="282">
        <f>VLOOKUP($B321,'Emissions factors'!$B$1547:$R$1561,17,FALSE)</f>
        <v>0.6</v>
      </c>
      <c r="Y321" s="187"/>
      <c r="Z321" s="221">
        <f>K321*SQRT(X321^2+Y321^2)</f>
        <v>0</v>
      </c>
      <c r="AA321" s="221">
        <f>L321*SQRT(X321^2+Y321^2)</f>
        <v>0</v>
      </c>
      <c r="AB321" s="221">
        <f>M321*SQRT(X321^2+Y321^2)</f>
        <v>0</v>
      </c>
      <c r="AC321" s="210">
        <f>SQRT(SUMSQ(Z321:AB321))</f>
        <v>0</v>
      </c>
      <c r="AD321" s="222">
        <f>N321*SQRT(X321^2+Y321^2)</f>
        <v>0</v>
      </c>
      <c r="AF321" s="187"/>
      <c r="AG321" s="221">
        <f t="shared" si="59"/>
        <v>0</v>
      </c>
      <c r="AH321" s="221">
        <f t="shared" si="59"/>
        <v>0</v>
      </c>
      <c r="AI321" s="221">
        <f t="shared" si="59"/>
        <v>0</v>
      </c>
      <c r="AJ321" s="210">
        <f>SUM(AG321:AI321)</f>
        <v>0</v>
      </c>
      <c r="AK321" s="221">
        <f>N321*AF321</f>
        <v>0</v>
      </c>
      <c r="AL321" s="187"/>
      <c r="AM321" s="221">
        <f>AL321*K321</f>
        <v>0</v>
      </c>
      <c r="AN321" s="221">
        <f>AL321*L321</f>
        <v>0</v>
      </c>
      <c r="AO321" s="221">
        <f>AL321*M321</f>
        <v>0</v>
      </c>
      <c r="AP321" s="210">
        <f>SUM(AM321:AO321)</f>
        <v>0</v>
      </c>
      <c r="AQ321" s="222">
        <f>AL321*N321</f>
        <v>0</v>
      </c>
      <c r="AS321" s="717">
        <f>G321*VLOOKUP($B321,'Emissions factors'!$B$1547:$R$1561,5,FALSE)</f>
        <v>0</v>
      </c>
      <c r="AT321" s="718">
        <f>G321*VLOOKUP($B321,'Emissions factors'!$B$1547:$R$1561,6,FALSE)</f>
        <v>0</v>
      </c>
      <c r="AU321" s="718">
        <f>G321*VLOOKUP($B321,'Emissions factors'!$B$1547:$R$1561,7,FALSE)</f>
        <v>0</v>
      </c>
      <c r="AV321" s="718">
        <f>G321*VLOOKUP($B321,'Emissions factors'!$B$1547:$R$1561,8,FALSE)</f>
        <v>0</v>
      </c>
      <c r="AW321" s="718">
        <f>G321*VLOOKUP($B321,'Emissions factors'!$B$1547:$R$1561,9,FALSE)</f>
        <v>0</v>
      </c>
      <c r="AX321" s="718">
        <f>G321*VLOOKUP($B321,'Emissions factors'!$B$1547:$R$1561,10,FALSE)</f>
        <v>0</v>
      </c>
      <c r="AY321" s="718">
        <f>G321*VLOOKUP($B321,'Emissions factors'!$B$1547:$R$1561,11,FALSE)</f>
        <v>0</v>
      </c>
      <c r="AZ321" s="718">
        <f>G321*VLOOKUP($B321,'Emissions factors'!$B$1547:$R$1561,12,FALSE)</f>
        <v>0</v>
      </c>
      <c r="BA321" s="718">
        <f>G321*VLOOKUP($B321,'Emissions factors'!$B$1547:$R$1561,13,FALSE)</f>
        <v>0</v>
      </c>
      <c r="BB321" s="718">
        <v>0</v>
      </c>
      <c r="BC321" s="718">
        <v>0</v>
      </c>
      <c r="BD321" s="718">
        <v>0</v>
      </c>
      <c r="BE321" s="719">
        <f t="shared" si="60"/>
        <v>0</v>
      </c>
      <c r="BF321" s="719">
        <f t="shared" si="60"/>
        <v>0</v>
      </c>
      <c r="BG321" s="720">
        <f t="shared" si="60"/>
        <v>0</v>
      </c>
      <c r="BH321" s="717">
        <f>G321*VLOOKUP($B321,'Emissions factors'!$B$1547:$R$1561,14,FALSE)</f>
        <v>0</v>
      </c>
      <c r="BI321" s="718">
        <f>G321*VLOOKUP($B321,'Emissions factors'!$B$1547:$R$1561,15,FALSE)</f>
        <v>0</v>
      </c>
      <c r="BJ321" s="721">
        <f>G321*VLOOKUP($B321,'Emissions factors'!$B$1547:$R$1561,16,FALSE)</f>
        <v>0</v>
      </c>
    </row>
    <row r="322" spans="2:62" ht="12.75" hidden="1" customHeight="1" outlineLevel="1" x14ac:dyDescent="0.2">
      <c r="B322" s="200" t="s">
        <v>1462</v>
      </c>
      <c r="C322" s="553"/>
      <c r="D322" s="262">
        <f>SUM(K322:M322)</f>
        <v>0</v>
      </c>
      <c r="E322" s="265">
        <f>D322*12/44</f>
        <v>0</v>
      </c>
      <c r="F322" s="443"/>
      <c r="G322" s="188"/>
      <c r="H322" s="493">
        <f>VLOOKUP($B322,'Emissions factors'!$B$1547:$R$1561,2,FALSE)</f>
        <v>0</v>
      </c>
      <c r="I322" s="493">
        <f>VLOOKUP($B322,'Emissions factors'!$B$1547:$R$1561,3,FALSE)</f>
        <v>3.1E-2</v>
      </c>
      <c r="J322" s="493">
        <f>VLOOKUP($B322,'Emissions factors'!$B$1547:$R$1561,4,FALSE)</f>
        <v>0.12315960000000001</v>
      </c>
      <c r="K322" s="465">
        <f>H322*G322</f>
        <v>0</v>
      </c>
      <c r="L322" s="465">
        <f>G322*I322</f>
        <v>0</v>
      </c>
      <c r="M322" s="210">
        <f>G322*J322</f>
        <v>0</v>
      </c>
      <c r="N322" s="222">
        <f>IF(OR(F322='Info utili'!$I$532,F322='Info utili'!$I$537),M322,0)</f>
        <v>0</v>
      </c>
      <c r="W322" s="316"/>
      <c r="X322" s="282">
        <f>VLOOKUP($B322,'Emissions factors'!$B$1547:$R$1561,17,FALSE)</f>
        <v>0.6</v>
      </c>
      <c r="Y322" s="190"/>
      <c r="Z322" s="221">
        <f>K322*SQRT(X322^2+Y322^2)</f>
        <v>0</v>
      </c>
      <c r="AA322" s="221">
        <f>L322*SQRT(X322^2+Y322^2)</f>
        <v>0</v>
      </c>
      <c r="AB322" s="221">
        <f>M322*SQRT(X322^2+Y322^2)</f>
        <v>0</v>
      </c>
      <c r="AC322" s="210">
        <f>SQRT(SUMSQ(Z322:AB322))</f>
        <v>0</v>
      </c>
      <c r="AD322" s="222">
        <f>N322*SQRT(X322^2+Y322^2)</f>
        <v>0</v>
      </c>
      <c r="AF322" s="190"/>
      <c r="AG322" s="221">
        <f t="shared" si="59"/>
        <v>0</v>
      </c>
      <c r="AH322" s="221">
        <f t="shared" si="59"/>
        <v>0</v>
      </c>
      <c r="AI322" s="221">
        <f t="shared" si="59"/>
        <v>0</v>
      </c>
      <c r="AJ322" s="210">
        <f>SUM(AG322:AI322)</f>
        <v>0</v>
      </c>
      <c r="AK322" s="221">
        <f>N322*AF322</f>
        <v>0</v>
      </c>
      <c r="AL322" s="190"/>
      <c r="AM322" s="221">
        <f>AL322*K322</f>
        <v>0</v>
      </c>
      <c r="AN322" s="221">
        <f>AL322*L322</f>
        <v>0</v>
      </c>
      <c r="AO322" s="221">
        <f>AL322*M322</f>
        <v>0</v>
      </c>
      <c r="AP322" s="210">
        <f>SUM(AM322:AO322)</f>
        <v>0</v>
      </c>
      <c r="AQ322" s="222">
        <f>AL322*N322</f>
        <v>0</v>
      </c>
      <c r="AS322" s="717">
        <f>G322*VLOOKUP($B322,'Emissions factors'!$B$1547:$R$1561,5,FALSE)</f>
        <v>0</v>
      </c>
      <c r="AT322" s="718">
        <f>G322*VLOOKUP($B322,'Emissions factors'!$B$1547:$R$1561,6,FALSE)</f>
        <v>0</v>
      </c>
      <c r="AU322" s="718">
        <f>G322*VLOOKUP($B322,'Emissions factors'!$B$1547:$R$1561,7,FALSE)</f>
        <v>0</v>
      </c>
      <c r="AV322" s="718">
        <f>G322*VLOOKUP($B322,'Emissions factors'!$B$1547:$R$1561,8,FALSE)</f>
        <v>0</v>
      </c>
      <c r="AW322" s="718">
        <f>G322*VLOOKUP($B322,'Emissions factors'!$B$1547:$R$1561,9,FALSE)</f>
        <v>0</v>
      </c>
      <c r="AX322" s="718">
        <f>G322*VLOOKUP($B322,'Emissions factors'!$B$1547:$R$1561,10,FALSE)</f>
        <v>0</v>
      </c>
      <c r="AY322" s="718">
        <f>G322*VLOOKUP($B322,'Emissions factors'!$B$1547:$R$1561,11,FALSE)</f>
        <v>0</v>
      </c>
      <c r="AZ322" s="718">
        <f>G322*VLOOKUP($B322,'Emissions factors'!$B$1547:$R$1561,12,FALSE)</f>
        <v>0</v>
      </c>
      <c r="BA322" s="718">
        <f>G322*VLOOKUP($B322,'Emissions factors'!$B$1547:$R$1561,13,FALSE)</f>
        <v>0</v>
      </c>
      <c r="BB322" s="718">
        <v>0</v>
      </c>
      <c r="BC322" s="718">
        <v>0</v>
      </c>
      <c r="BD322" s="718">
        <v>0</v>
      </c>
      <c r="BE322" s="719">
        <f t="shared" si="60"/>
        <v>0</v>
      </c>
      <c r="BF322" s="719">
        <f t="shared" si="60"/>
        <v>0</v>
      </c>
      <c r="BG322" s="720">
        <f t="shared" si="60"/>
        <v>0</v>
      </c>
      <c r="BH322" s="717">
        <f>G322*VLOOKUP($B322,'Emissions factors'!$B$1547:$R$1561,14,FALSE)</f>
        <v>0</v>
      </c>
      <c r="BI322" s="718">
        <f>G322*VLOOKUP($B322,'Emissions factors'!$B$1547:$R$1561,15,FALSE)</f>
        <v>0</v>
      </c>
      <c r="BJ322" s="721">
        <f>G322*VLOOKUP($B322,'Emissions factors'!$B$1547:$R$1561,16,FALSE)</f>
        <v>0</v>
      </c>
    </row>
    <row r="323" spans="2:62" ht="12.75" hidden="1" customHeight="1" outlineLevel="1" x14ac:dyDescent="0.2">
      <c r="B323" s="200"/>
      <c r="C323" s="201"/>
      <c r="D323" s="275"/>
      <c r="E323" s="268"/>
      <c r="F323" s="201"/>
      <c r="G323" s="201"/>
      <c r="H323" s="201"/>
      <c r="I323" s="201"/>
      <c r="J323" s="201"/>
      <c r="K323" s="201"/>
      <c r="L323" s="201"/>
      <c r="M323" s="221"/>
      <c r="N323" s="466"/>
      <c r="W323" s="316"/>
      <c r="X323" s="200"/>
      <c r="Y323" s="221"/>
      <c r="Z323" s="201"/>
      <c r="AA323" s="201"/>
      <c r="AB323" s="201"/>
      <c r="AC323" s="210"/>
      <c r="AD323" s="211"/>
      <c r="AF323" s="480"/>
      <c r="AG323" s="221"/>
      <c r="AH323" s="221"/>
      <c r="AI323" s="221"/>
      <c r="AJ323" s="413"/>
      <c r="AK323" s="221"/>
      <c r="AL323" s="221"/>
      <c r="AM323" s="221"/>
      <c r="AN323" s="221"/>
      <c r="AO323" s="221"/>
      <c r="AP323" s="413"/>
      <c r="AQ323" s="222">
        <f>AL323*N323</f>
        <v>0</v>
      </c>
      <c r="AS323" s="717"/>
      <c r="AT323" s="718"/>
      <c r="AU323" s="718"/>
      <c r="AV323" s="718"/>
      <c r="AW323" s="718"/>
      <c r="AX323" s="718"/>
      <c r="AY323" s="718"/>
      <c r="AZ323" s="718"/>
      <c r="BA323" s="718"/>
      <c r="BB323" s="718"/>
      <c r="BC323" s="718"/>
      <c r="BD323" s="718"/>
      <c r="BE323" s="719"/>
      <c r="BF323" s="719"/>
      <c r="BG323" s="720"/>
      <c r="BH323" s="722"/>
      <c r="BI323" s="786"/>
      <c r="BJ323" s="723"/>
    </row>
    <row r="324" spans="2:62" ht="12.75" hidden="1" customHeight="1" outlineLevel="1" x14ac:dyDescent="0.2">
      <c r="B324" s="253" t="s">
        <v>2828</v>
      </c>
      <c r="C324" s="254"/>
      <c r="D324" s="264">
        <f>SUM(D320:D323)</f>
        <v>0</v>
      </c>
      <c r="E324" s="267">
        <f>SUM(E320:E323)</f>
        <v>0</v>
      </c>
      <c r="F324" s="254"/>
      <c r="G324" s="254"/>
      <c r="H324" s="254"/>
      <c r="I324" s="254"/>
      <c r="J324" s="254"/>
      <c r="K324" s="259">
        <f>SUM(K320:K323)</f>
        <v>0</v>
      </c>
      <c r="L324" s="259">
        <f>SUM(L320:L323)</f>
        <v>0</v>
      </c>
      <c r="M324" s="259">
        <f>SUM(M320:M323)</f>
        <v>0</v>
      </c>
      <c r="N324" s="428">
        <f>SUM(N320:N323)</f>
        <v>0</v>
      </c>
      <c r="W324" s="316"/>
      <c r="X324" s="258"/>
      <c r="Y324" s="260"/>
      <c r="Z324" s="260">
        <f>SQRT(SUMSQ(Z319:Z323))</f>
        <v>0</v>
      </c>
      <c r="AA324" s="260">
        <f>SQRT(SUMSQ(AA319:AA323))</f>
        <v>0</v>
      </c>
      <c r="AB324" s="260">
        <f>SQRT(SUMSQ(AB319:AB323))</f>
        <v>0</v>
      </c>
      <c r="AC324" s="259">
        <f>SQRT(SUMSQ(AC319:AC323))</f>
        <v>0</v>
      </c>
      <c r="AD324" s="428">
        <f>SQRT(SUMSQ(AD319:AD323))</f>
        <v>0</v>
      </c>
      <c r="AF324" s="489"/>
      <c r="AG324" s="260">
        <f>SUM(AG320:AG323)</f>
        <v>0</v>
      </c>
      <c r="AH324" s="260">
        <f>SUM(AH320:AH323)</f>
        <v>0</v>
      </c>
      <c r="AI324" s="260">
        <f>SUM(AI320:AI323)</f>
        <v>0</v>
      </c>
      <c r="AJ324" s="259">
        <f>SUM(AJ320:AJ323)</f>
        <v>0</v>
      </c>
      <c r="AK324" s="260">
        <f>SUM(AK320:AK323)</f>
        <v>0</v>
      </c>
      <c r="AL324" s="259"/>
      <c r="AM324" s="260">
        <f>SUM(AM320:AM323)</f>
        <v>0</v>
      </c>
      <c r="AN324" s="260">
        <f>SUM(AN320:AN323)</f>
        <v>0</v>
      </c>
      <c r="AO324" s="260">
        <f>SUM(AO320:AO323)</f>
        <v>0</v>
      </c>
      <c r="AP324" s="259">
        <f>SUM(AP320:AP323)</f>
        <v>0</v>
      </c>
      <c r="AQ324" s="428">
        <f>SUM(AQ320:AQ323)</f>
        <v>0</v>
      </c>
      <c r="AS324" s="724">
        <f t="shared" ref="AS324:BJ324" si="61">SUM(AS320:AS323)</f>
        <v>0</v>
      </c>
      <c r="AT324" s="725">
        <f t="shared" si="61"/>
        <v>0</v>
      </c>
      <c r="AU324" s="725">
        <f t="shared" si="61"/>
        <v>0</v>
      </c>
      <c r="AV324" s="725">
        <f t="shared" si="61"/>
        <v>0</v>
      </c>
      <c r="AW324" s="725">
        <f t="shared" si="61"/>
        <v>0</v>
      </c>
      <c r="AX324" s="725">
        <f t="shared" si="61"/>
        <v>0</v>
      </c>
      <c r="AY324" s="725">
        <f t="shared" si="61"/>
        <v>0</v>
      </c>
      <c r="AZ324" s="725">
        <f t="shared" si="61"/>
        <v>0</v>
      </c>
      <c r="BA324" s="725">
        <f t="shared" si="61"/>
        <v>0</v>
      </c>
      <c r="BB324" s="725">
        <f t="shared" si="61"/>
        <v>0</v>
      </c>
      <c r="BC324" s="725">
        <f t="shared" si="61"/>
        <v>0</v>
      </c>
      <c r="BD324" s="725">
        <f t="shared" si="61"/>
        <v>0</v>
      </c>
      <c r="BE324" s="726">
        <f t="shared" si="61"/>
        <v>0</v>
      </c>
      <c r="BF324" s="726">
        <f t="shared" si="61"/>
        <v>0</v>
      </c>
      <c r="BG324" s="727">
        <f t="shared" si="61"/>
        <v>0</v>
      </c>
      <c r="BH324" s="724">
        <f t="shared" si="61"/>
        <v>0</v>
      </c>
      <c r="BI324" s="725">
        <f t="shared" si="61"/>
        <v>0</v>
      </c>
      <c r="BJ324" s="728">
        <f t="shared" si="61"/>
        <v>0</v>
      </c>
    </row>
    <row r="325" spans="2:62" ht="12.75" hidden="1" customHeight="1" outlineLevel="1" x14ac:dyDescent="0.2">
      <c r="D325" s="316"/>
      <c r="E325" s="316"/>
      <c r="F325" s="316"/>
      <c r="G325" s="316"/>
      <c r="H325" s="42"/>
    </row>
    <row r="326" spans="2:62" ht="12.75" hidden="1" customHeight="1" outlineLevel="1" x14ac:dyDescent="0.2">
      <c r="B326" s="195" t="s">
        <v>3018</v>
      </c>
      <c r="C326" s="196"/>
      <c r="D326" s="196"/>
      <c r="E326" s="196"/>
      <c r="F326" s="196"/>
      <c r="G326" s="198"/>
      <c r="H326" s="196"/>
      <c r="I326" s="196"/>
      <c r="J326" s="196"/>
      <c r="K326" s="198"/>
      <c r="L326" s="198"/>
      <c r="M326" s="198"/>
      <c r="N326" s="199"/>
      <c r="W326" s="42"/>
      <c r="X326" s="1746" t="s">
        <v>723</v>
      </c>
      <c r="Y326" s="1747"/>
      <c r="Z326" s="1747"/>
      <c r="AA326" s="1747"/>
      <c r="AB326" s="1747"/>
      <c r="AC326" s="1747"/>
      <c r="AD326" s="1748"/>
      <c r="AF326" s="1746" t="s">
        <v>2066</v>
      </c>
      <c r="AG326" s="1747"/>
      <c r="AH326" s="1747"/>
      <c r="AI326" s="1747"/>
      <c r="AJ326" s="1747"/>
      <c r="AK326" s="1747"/>
      <c r="AL326" s="1747"/>
      <c r="AM326" s="1747"/>
      <c r="AN326" s="1747"/>
      <c r="AO326" s="1747"/>
      <c r="AP326" s="1747"/>
      <c r="AQ326" s="1748"/>
      <c r="AS326" s="1755" t="s">
        <v>2073</v>
      </c>
      <c r="AT326" s="1756"/>
      <c r="AU326" s="1756"/>
      <c r="AV326" s="1756"/>
      <c r="AW326" s="1756"/>
      <c r="AX326" s="1756"/>
      <c r="AY326" s="1756"/>
      <c r="AZ326" s="1756"/>
      <c r="BA326" s="1756"/>
      <c r="BB326" s="1756"/>
      <c r="BC326" s="1756"/>
      <c r="BD326" s="1756"/>
      <c r="BE326" s="1756"/>
      <c r="BF326" s="1756"/>
      <c r="BG326" s="1756"/>
      <c r="BH326" s="1756"/>
      <c r="BI326" s="1756"/>
      <c r="BJ326" s="1757"/>
    </row>
    <row r="327" spans="2:62" ht="12.75" hidden="1" customHeight="1" outlineLevel="1" x14ac:dyDescent="0.2">
      <c r="B327" s="417"/>
      <c r="C327" s="225"/>
      <c r="D327" s="503"/>
      <c r="E327" s="503"/>
      <c r="F327" s="201"/>
      <c r="G327" s="201"/>
      <c r="H327" s="201"/>
      <c r="I327" s="201"/>
      <c r="J327" s="201"/>
      <c r="K327" s="201"/>
      <c r="L327" s="1745" t="s">
        <v>2646</v>
      </c>
      <c r="M327" s="1745"/>
      <c r="N327" s="710" t="s">
        <v>2639</v>
      </c>
      <c r="W327" s="42"/>
      <c r="X327" s="709"/>
      <c r="Y327" s="706"/>
      <c r="Z327" s="706"/>
      <c r="AA327" s="706"/>
      <c r="AB327" s="706"/>
      <c r="AC327" s="706"/>
      <c r="AD327" s="710" t="s">
        <v>2639</v>
      </c>
      <c r="AE327" s="42"/>
      <c r="AF327" s="216"/>
      <c r="AG327" s="503"/>
      <c r="AH327" s="503"/>
      <c r="AI327" s="503"/>
      <c r="AJ327" s="504"/>
      <c r="AK327" s="504" t="s">
        <v>2639</v>
      </c>
      <c r="AL327" s="217"/>
      <c r="AM327" s="503"/>
      <c r="AN327" s="503"/>
      <c r="AO327" s="503"/>
      <c r="AP327" s="504"/>
      <c r="AQ327" s="508" t="s">
        <v>2639</v>
      </c>
      <c r="AS327" s="1758" t="s">
        <v>61</v>
      </c>
      <c r="AT327" s="1759"/>
      <c r="AU327" s="1759"/>
      <c r="AV327" s="1759"/>
      <c r="AW327" s="1759"/>
      <c r="AX327" s="1759"/>
      <c r="AY327" s="1759"/>
      <c r="AZ327" s="1759"/>
      <c r="BA327" s="1759"/>
      <c r="BB327" s="1759"/>
      <c r="BC327" s="1759"/>
      <c r="BD327" s="1759"/>
      <c r="BE327" s="1759" t="s">
        <v>61</v>
      </c>
      <c r="BF327" s="1759"/>
      <c r="BG327" s="1760"/>
      <c r="BH327" s="730"/>
      <c r="BI327" s="785"/>
      <c r="BJ327" s="731"/>
    </row>
    <row r="328" spans="2:62" ht="12.75" hidden="1" customHeight="1" outlineLevel="1" x14ac:dyDescent="0.2">
      <c r="B328" s="200"/>
      <c r="C328" s="201"/>
      <c r="D328" s="504" t="s">
        <v>56</v>
      </c>
      <c r="E328" s="504" t="s">
        <v>56</v>
      </c>
      <c r="F328" s="205" t="s">
        <v>2669</v>
      </c>
      <c r="G328" s="205"/>
      <c r="H328" s="1744" t="s">
        <v>1281</v>
      </c>
      <c r="I328" s="1745"/>
      <c r="J328" s="1745"/>
      <c r="K328" s="705" t="s">
        <v>61</v>
      </c>
      <c r="L328" s="705" t="s">
        <v>61</v>
      </c>
      <c r="M328" s="705" t="s">
        <v>61</v>
      </c>
      <c r="N328" s="710" t="s">
        <v>30</v>
      </c>
      <c r="W328" s="42"/>
      <c r="X328" s="1633" t="s">
        <v>2605</v>
      </c>
      <c r="Y328" s="706" t="s">
        <v>2110</v>
      </c>
      <c r="Z328" s="706" t="s">
        <v>61</v>
      </c>
      <c r="AA328" s="706" t="s">
        <v>61</v>
      </c>
      <c r="AB328" s="706" t="s">
        <v>61</v>
      </c>
      <c r="AC328" s="705" t="s">
        <v>61</v>
      </c>
      <c r="AD328" s="710" t="s">
        <v>30</v>
      </c>
      <c r="AE328" s="42"/>
      <c r="AF328" s="507" t="s">
        <v>2065</v>
      </c>
      <c r="AG328" s="504" t="s">
        <v>61</v>
      </c>
      <c r="AH328" s="504" t="s">
        <v>61</v>
      </c>
      <c r="AI328" s="504" t="s">
        <v>61</v>
      </c>
      <c r="AJ328" s="503" t="s">
        <v>61</v>
      </c>
      <c r="AK328" s="504" t="s">
        <v>30</v>
      </c>
      <c r="AL328" s="504" t="s">
        <v>2558</v>
      </c>
      <c r="AM328" s="504" t="s">
        <v>61</v>
      </c>
      <c r="AN328" s="504" t="s">
        <v>61</v>
      </c>
      <c r="AO328" s="504" t="s">
        <v>61</v>
      </c>
      <c r="AP328" s="503" t="s">
        <v>61</v>
      </c>
      <c r="AQ328" s="508" t="s">
        <v>30</v>
      </c>
      <c r="AS328" s="1764" t="s">
        <v>14</v>
      </c>
      <c r="AT328" s="1761"/>
      <c r="AU328" s="1761"/>
      <c r="AV328" s="1761" t="s">
        <v>60</v>
      </c>
      <c r="AW328" s="1761"/>
      <c r="AX328" s="1761"/>
      <c r="AY328" s="1761" t="s">
        <v>27</v>
      </c>
      <c r="AZ328" s="1761"/>
      <c r="BA328" s="1761"/>
      <c r="BB328" s="1761" t="s">
        <v>2074</v>
      </c>
      <c r="BC328" s="1761"/>
      <c r="BD328" s="1761"/>
      <c r="BE328" s="1762" t="s">
        <v>41</v>
      </c>
      <c r="BF328" s="1762"/>
      <c r="BG328" s="1763"/>
      <c r="BH328" s="1764" t="s">
        <v>85</v>
      </c>
      <c r="BI328" s="1761"/>
      <c r="BJ328" s="1765"/>
    </row>
    <row r="329" spans="2:62" ht="12.75" hidden="1" customHeight="1" outlineLevel="1" x14ac:dyDescent="0.2">
      <c r="B329" s="200"/>
      <c r="C329" s="201"/>
      <c r="D329" s="504" t="s">
        <v>61</v>
      </c>
      <c r="E329" s="504" t="s">
        <v>63</v>
      </c>
      <c r="F329" s="208" t="s">
        <v>2054</v>
      </c>
      <c r="G329" s="208" t="s">
        <v>2635</v>
      </c>
      <c r="H329" s="708" t="s">
        <v>1279</v>
      </c>
      <c r="I329" s="708" t="s">
        <v>768</v>
      </c>
      <c r="J329" s="708" t="s">
        <v>24</v>
      </c>
      <c r="K329" s="707" t="s">
        <v>1279</v>
      </c>
      <c r="L329" s="707" t="s">
        <v>768</v>
      </c>
      <c r="M329" s="707" t="s">
        <v>24</v>
      </c>
      <c r="N329" s="710" t="s">
        <v>61</v>
      </c>
      <c r="W329" s="42"/>
      <c r="X329" s="1633" t="s">
        <v>2109</v>
      </c>
      <c r="Y329" s="706"/>
      <c r="Z329" s="708" t="s">
        <v>1279</v>
      </c>
      <c r="AA329" s="708" t="s">
        <v>768</v>
      </c>
      <c r="AB329" s="708" t="s">
        <v>24</v>
      </c>
      <c r="AC329" s="223" t="s">
        <v>41</v>
      </c>
      <c r="AD329" s="710" t="s">
        <v>61</v>
      </c>
      <c r="AE329" s="42"/>
      <c r="AF329" s="507"/>
      <c r="AG329" s="506" t="s">
        <v>1279</v>
      </c>
      <c r="AH329" s="506" t="s">
        <v>768</v>
      </c>
      <c r="AI329" s="506" t="s">
        <v>24</v>
      </c>
      <c r="AJ329" s="223" t="s">
        <v>41</v>
      </c>
      <c r="AK329" s="504" t="s">
        <v>61</v>
      </c>
      <c r="AL329" s="504"/>
      <c r="AM329" s="506" t="s">
        <v>1279</v>
      </c>
      <c r="AN329" s="506" t="s">
        <v>768</v>
      </c>
      <c r="AO329" s="506" t="s">
        <v>24</v>
      </c>
      <c r="AP329" s="223" t="s">
        <v>41</v>
      </c>
      <c r="AQ329" s="508" t="s">
        <v>61</v>
      </c>
      <c r="AS329" s="732" t="s">
        <v>1279</v>
      </c>
      <c r="AT329" s="733" t="s">
        <v>768</v>
      </c>
      <c r="AU329" s="733" t="s">
        <v>24</v>
      </c>
      <c r="AV329" s="733" t="s">
        <v>1279</v>
      </c>
      <c r="AW329" s="733" t="s">
        <v>768</v>
      </c>
      <c r="AX329" s="733" t="s">
        <v>24</v>
      </c>
      <c r="AY329" s="733" t="s">
        <v>1279</v>
      </c>
      <c r="AZ329" s="733" t="s">
        <v>768</v>
      </c>
      <c r="BA329" s="733" t="s">
        <v>24</v>
      </c>
      <c r="BB329" s="733" t="s">
        <v>1279</v>
      </c>
      <c r="BC329" s="733" t="s">
        <v>768</v>
      </c>
      <c r="BD329" s="733" t="s">
        <v>24</v>
      </c>
      <c r="BE329" s="734" t="s">
        <v>1279</v>
      </c>
      <c r="BF329" s="734" t="s">
        <v>768</v>
      </c>
      <c r="BG329" s="735" t="s">
        <v>24</v>
      </c>
      <c r="BH329" s="732" t="s">
        <v>1279</v>
      </c>
      <c r="BI329" s="733" t="s">
        <v>768</v>
      </c>
      <c r="BJ329" s="736" t="s">
        <v>24</v>
      </c>
    </row>
    <row r="330" spans="2:62" ht="12.75" hidden="1" customHeight="1" outlineLevel="1" x14ac:dyDescent="0.2">
      <c r="B330" s="200" t="s">
        <v>1460</v>
      </c>
      <c r="C330" s="553"/>
      <c r="D330" s="262">
        <f>SUM(K330:M330)</f>
        <v>0</v>
      </c>
      <c r="E330" s="265">
        <f>D330*12/44</f>
        <v>0</v>
      </c>
      <c r="F330" s="559"/>
      <c r="G330" s="182"/>
      <c r="H330" s="493">
        <f>VLOOKUP($B330,'Emissions factors'!$B$1528:$R$1542,2,FALSE)</f>
        <v>0</v>
      </c>
      <c r="I330" s="493">
        <f>VLOOKUP($B330,'Emissions factors'!$B$1528:$R$1542,3,FALSE)</f>
        <v>0.29520000000000002</v>
      </c>
      <c r="J330" s="493">
        <f>VLOOKUP($B330,'Emissions factors'!$B$1528:$R$1542,4,FALSE)</f>
        <v>1.1499919999999999</v>
      </c>
      <c r="K330" s="465">
        <f>H330*G330</f>
        <v>0</v>
      </c>
      <c r="L330" s="465">
        <f>G330*I330</f>
        <v>0</v>
      </c>
      <c r="M330" s="210">
        <f>G330*J330</f>
        <v>0</v>
      </c>
      <c r="N330" s="222">
        <f>IF(OR(F330='Info utili'!$I$532,F330='Info utili'!$I$537),M330,0)</f>
        <v>0</v>
      </c>
      <c r="W330" s="42"/>
      <c r="X330" s="282">
        <f>VLOOKUP($B330,'Emissions factors'!$B$1528:$R$1542,17,FALSE)</f>
        <v>0.6</v>
      </c>
      <c r="Y330" s="184"/>
      <c r="Z330" s="221">
        <f>K330*SQRT(X330^2+Y330^2)</f>
        <v>0</v>
      </c>
      <c r="AA330" s="221">
        <f>L330*SQRT(X330^2+Y330^2)</f>
        <v>0</v>
      </c>
      <c r="AB330" s="221">
        <f>M330*SQRT(X330^2+Y330^2)</f>
        <v>0</v>
      </c>
      <c r="AC330" s="210">
        <f>SQRT(SUMSQ(Z330:AB330))</f>
        <v>0</v>
      </c>
      <c r="AD330" s="222">
        <f>N330*SQRT(X330^2+Y330^2)</f>
        <v>0</v>
      </c>
      <c r="AE330" s="42"/>
      <c r="AF330" s="184"/>
      <c r="AG330" s="221">
        <f t="shared" ref="AG330:AI332" si="62">K330*$AF330</f>
        <v>0</v>
      </c>
      <c r="AH330" s="221">
        <f t="shared" si="62"/>
        <v>0</v>
      </c>
      <c r="AI330" s="221">
        <f t="shared" si="62"/>
        <v>0</v>
      </c>
      <c r="AJ330" s="210">
        <f>SUM(AG330:AI330)</f>
        <v>0</v>
      </c>
      <c r="AK330" s="221">
        <f>N330*$AF330</f>
        <v>0</v>
      </c>
      <c r="AL330" s="184"/>
      <c r="AM330" s="221">
        <f>AL330*K330</f>
        <v>0</v>
      </c>
      <c r="AN330" s="221">
        <f>AL330*L330</f>
        <v>0</v>
      </c>
      <c r="AO330" s="221">
        <f>AL330*M330</f>
        <v>0</v>
      </c>
      <c r="AP330" s="210">
        <f>SUM(AM330:AO330)</f>
        <v>0</v>
      </c>
      <c r="AQ330" s="222">
        <f>AL330*N330</f>
        <v>0</v>
      </c>
      <c r="AS330" s="717">
        <f>G330*VLOOKUP($B330,'Emissions factors'!$B$1528:$R$1542,5,FALSE)</f>
        <v>0</v>
      </c>
      <c r="AT330" s="718">
        <f>G330*VLOOKUP($B330,'Emissions factors'!$B$1528:$R$1542,6,FALSE)</f>
        <v>0</v>
      </c>
      <c r="AU330" s="718">
        <f>G330*VLOOKUP($B330,'Emissions factors'!$B$1528:$R$1542,7,FALSE)</f>
        <v>0</v>
      </c>
      <c r="AV330" s="718">
        <f>G330*VLOOKUP($B330,'Emissions factors'!$B$1528:$R$1542,8,FALSE)</f>
        <v>0</v>
      </c>
      <c r="AW330" s="718">
        <f>G330*VLOOKUP($B330,'Emissions factors'!$B$1528:$R$1542,9,FALSE)</f>
        <v>0</v>
      </c>
      <c r="AX330" s="718">
        <f>G330*VLOOKUP($B330,'Emissions factors'!$B$1528:$R$1542,10,FALSE)</f>
        <v>0</v>
      </c>
      <c r="AY330" s="718">
        <f>G330*VLOOKUP($B330,'Emissions factors'!$B$1528:$R$1542,11,FALSE)</f>
        <v>0</v>
      </c>
      <c r="AZ330" s="718">
        <f>G330*VLOOKUP($B330,'Emissions factors'!$B$1528:$R$1542,12,FALSE)</f>
        <v>0</v>
      </c>
      <c r="BA330" s="718">
        <f>G330*VLOOKUP($B330,'Emissions factors'!$B$1528:$R$1542,13,FALSE)</f>
        <v>0</v>
      </c>
      <c r="BB330" s="718">
        <v>0</v>
      </c>
      <c r="BC330" s="718">
        <v>0</v>
      </c>
      <c r="BD330" s="718">
        <v>0</v>
      </c>
      <c r="BE330" s="719">
        <f t="shared" ref="BE330:BG332" si="63">K330</f>
        <v>0</v>
      </c>
      <c r="BF330" s="719">
        <f t="shared" si="63"/>
        <v>0</v>
      </c>
      <c r="BG330" s="720">
        <f t="shared" si="63"/>
        <v>0</v>
      </c>
      <c r="BH330" s="717">
        <f>G330*VLOOKUP($B330,'Emissions factors'!$B$1528:$R$1542,14,FALSE)</f>
        <v>0</v>
      </c>
      <c r="BI330" s="718">
        <f>G330*VLOOKUP($B330,'Emissions factors'!$B$1528:$R$1542,15,FALSE)</f>
        <v>0</v>
      </c>
      <c r="BJ330" s="721">
        <f>G330*VLOOKUP($B330,'Emissions factors'!$B$1528:$R$1542,16,FALSE)</f>
        <v>0</v>
      </c>
    </row>
    <row r="331" spans="2:62" ht="12.75" hidden="1" customHeight="1" outlineLevel="1" x14ac:dyDescent="0.2">
      <c r="B331" s="200" t="s">
        <v>1461</v>
      </c>
      <c r="C331" s="553"/>
      <c r="D331" s="262">
        <f>SUM(K331:M331)</f>
        <v>0</v>
      </c>
      <c r="E331" s="265">
        <f>D331*12/44</f>
        <v>0</v>
      </c>
      <c r="F331" s="442"/>
      <c r="G331" s="185"/>
      <c r="H331" s="493">
        <f>VLOOKUP($B331,'Emissions factors'!$B$1528:$R$1542,2,FALSE)</f>
        <v>0</v>
      </c>
      <c r="I331" s="493">
        <f>VLOOKUP($B331,'Emissions factors'!$B$1528:$R$1542,3,FALSE)</f>
        <v>0.33610000000000001</v>
      </c>
      <c r="J331" s="493">
        <f>VLOOKUP($B331,'Emissions factors'!$B$1528:$R$1542,4,FALSE)</f>
        <v>1.3220240000000001</v>
      </c>
      <c r="K331" s="465">
        <f>H331*G331</f>
        <v>0</v>
      </c>
      <c r="L331" s="465">
        <f>G331*I331</f>
        <v>0</v>
      </c>
      <c r="M331" s="210">
        <f>G331*J331</f>
        <v>0</v>
      </c>
      <c r="N331" s="222">
        <f>IF(OR(F331='Info utili'!$I$532,F331='Info utili'!$I$537),M331,0)</f>
        <v>0</v>
      </c>
      <c r="W331" s="42"/>
      <c r="X331" s="282">
        <f>VLOOKUP($B331,'Emissions factors'!$B$1528:$R$1542,17,FALSE)</f>
        <v>0.6</v>
      </c>
      <c r="Y331" s="187"/>
      <c r="Z331" s="221">
        <f>K331*SQRT(X331^2+Y331^2)</f>
        <v>0</v>
      </c>
      <c r="AA331" s="221">
        <f>L331*SQRT(X331^2+Y331^2)</f>
        <v>0</v>
      </c>
      <c r="AB331" s="221">
        <f>M331*SQRT(X331^2+Y331^2)</f>
        <v>0</v>
      </c>
      <c r="AC331" s="210">
        <f>SQRT(SUMSQ(Z331:AB331))</f>
        <v>0</v>
      </c>
      <c r="AD331" s="222">
        <f>N331*SQRT(X331^2+Y331^2)</f>
        <v>0</v>
      </c>
      <c r="AE331" s="42"/>
      <c r="AF331" s="187"/>
      <c r="AG331" s="221">
        <f t="shared" si="62"/>
        <v>0</v>
      </c>
      <c r="AH331" s="221">
        <f t="shared" si="62"/>
        <v>0</v>
      </c>
      <c r="AI331" s="221">
        <f t="shared" si="62"/>
        <v>0</v>
      </c>
      <c r="AJ331" s="210">
        <f>SUM(AG331:AI331)</f>
        <v>0</v>
      </c>
      <c r="AK331" s="221">
        <f>N331*$AF331</f>
        <v>0</v>
      </c>
      <c r="AL331" s="187"/>
      <c r="AM331" s="221">
        <f>AL331*K331</f>
        <v>0</v>
      </c>
      <c r="AN331" s="221">
        <f>AL331*L331</f>
        <v>0</v>
      </c>
      <c r="AO331" s="221">
        <f>AL331*M331</f>
        <v>0</v>
      </c>
      <c r="AP331" s="210">
        <f>SUM(AM331:AO331)</f>
        <v>0</v>
      </c>
      <c r="AQ331" s="222">
        <f>AL331*N331</f>
        <v>0</v>
      </c>
      <c r="AS331" s="717">
        <f>G331*VLOOKUP($B331,'Emissions factors'!$B$1528:$R$1542,5,FALSE)</f>
        <v>0</v>
      </c>
      <c r="AT331" s="718">
        <f>G331*VLOOKUP($B331,'Emissions factors'!$B$1528:$R$1542,6,FALSE)</f>
        <v>0</v>
      </c>
      <c r="AU331" s="718">
        <f>G331*VLOOKUP($B331,'Emissions factors'!$B$1528:$R$1542,7,FALSE)</f>
        <v>0</v>
      </c>
      <c r="AV331" s="718">
        <f>G331*VLOOKUP($B331,'Emissions factors'!$B$1528:$R$1542,8,FALSE)</f>
        <v>0</v>
      </c>
      <c r="AW331" s="718">
        <f>G331*VLOOKUP($B331,'Emissions factors'!$B$1528:$R$1542,9,FALSE)</f>
        <v>0</v>
      </c>
      <c r="AX331" s="718">
        <f>G331*VLOOKUP($B331,'Emissions factors'!$B$1528:$R$1542,10,FALSE)</f>
        <v>0</v>
      </c>
      <c r="AY331" s="718">
        <f>G331*VLOOKUP($B331,'Emissions factors'!$B$1528:$R$1542,11,FALSE)</f>
        <v>0</v>
      </c>
      <c r="AZ331" s="718">
        <f>G331*VLOOKUP($B331,'Emissions factors'!$B$1528:$R$1542,12,FALSE)</f>
        <v>0</v>
      </c>
      <c r="BA331" s="718">
        <f>G331*VLOOKUP($B331,'Emissions factors'!$B$1528:$R$1542,13,FALSE)</f>
        <v>0</v>
      </c>
      <c r="BB331" s="718">
        <v>0</v>
      </c>
      <c r="BC331" s="718">
        <v>0</v>
      </c>
      <c r="BD331" s="718">
        <v>0</v>
      </c>
      <c r="BE331" s="719">
        <f t="shared" si="63"/>
        <v>0</v>
      </c>
      <c r="BF331" s="719">
        <f t="shared" si="63"/>
        <v>0</v>
      </c>
      <c r="BG331" s="720">
        <f t="shared" si="63"/>
        <v>0</v>
      </c>
      <c r="BH331" s="717">
        <f>G331*VLOOKUP($B331,'Emissions factors'!$B$1528:$R$1542,14,FALSE)</f>
        <v>0</v>
      </c>
      <c r="BI331" s="718">
        <f>G331*VLOOKUP($B331,'Emissions factors'!$B$1528:$R$1542,15,FALSE)</f>
        <v>0</v>
      </c>
      <c r="BJ331" s="721">
        <f>G331*VLOOKUP($B331,'Emissions factors'!$B$1528:$R$1542,16,FALSE)</f>
        <v>0</v>
      </c>
    </row>
    <row r="332" spans="2:62" ht="12.75" hidden="1" customHeight="1" outlineLevel="1" x14ac:dyDescent="0.2">
      <c r="B332" s="200" t="s">
        <v>1462</v>
      </c>
      <c r="C332" s="553"/>
      <c r="D332" s="262">
        <f>SUM(K332:M332)</f>
        <v>0</v>
      </c>
      <c r="E332" s="265">
        <f>D332*12/44</f>
        <v>0</v>
      </c>
      <c r="F332" s="443"/>
      <c r="G332" s="188"/>
      <c r="H332" s="493">
        <f>VLOOKUP($B332,'Emissions factors'!$B$1528:$R$1542,2,FALSE)</f>
        <v>0</v>
      </c>
      <c r="I332" s="493">
        <f>VLOOKUP($B332,'Emissions factors'!$B$1528:$R$1542,3,FALSE)</f>
        <v>0.34869999999999995</v>
      </c>
      <c r="J332" s="493">
        <f>VLOOKUP($B332,'Emissions factors'!$B$1528:$R$1542,4,FALSE)</f>
        <v>1.3830200000000001</v>
      </c>
      <c r="K332" s="465">
        <f>H332*G332</f>
        <v>0</v>
      </c>
      <c r="L332" s="465">
        <f>G332*I332</f>
        <v>0</v>
      </c>
      <c r="M332" s="210">
        <f>G332*J332</f>
        <v>0</v>
      </c>
      <c r="N332" s="222">
        <f>IF(OR(F332='Info utili'!$I$532,F332='Info utili'!$I$537),M332,0)</f>
        <v>0</v>
      </c>
      <c r="W332" s="42"/>
      <c r="X332" s="282">
        <f>VLOOKUP($B332,'Emissions factors'!$B$1528:$R$1542,17,FALSE)</f>
        <v>0.6</v>
      </c>
      <c r="Y332" s="190"/>
      <c r="Z332" s="221">
        <f>K332*SQRT(X332^2+Y332^2)</f>
        <v>0</v>
      </c>
      <c r="AA332" s="221">
        <f>L332*SQRT(X332^2+Y332^2)</f>
        <v>0</v>
      </c>
      <c r="AB332" s="221">
        <f>M332*SQRT(X332^2+Y332^2)</f>
        <v>0</v>
      </c>
      <c r="AC332" s="210">
        <f>SQRT(SUMSQ(Z332:AB332))</f>
        <v>0</v>
      </c>
      <c r="AD332" s="222">
        <f>N332*SQRT(X332^2+Y332^2)</f>
        <v>0</v>
      </c>
      <c r="AE332" s="42"/>
      <c r="AF332" s="190"/>
      <c r="AG332" s="221">
        <f t="shared" si="62"/>
        <v>0</v>
      </c>
      <c r="AH332" s="221">
        <f t="shared" si="62"/>
        <v>0</v>
      </c>
      <c r="AI332" s="221">
        <f t="shared" si="62"/>
        <v>0</v>
      </c>
      <c r="AJ332" s="210">
        <f>SUM(AG332:AI332)</f>
        <v>0</v>
      </c>
      <c r="AK332" s="221">
        <f>N332*$AF332</f>
        <v>0</v>
      </c>
      <c r="AL332" s="190"/>
      <c r="AM332" s="221">
        <f>AL332*K332</f>
        <v>0</v>
      </c>
      <c r="AN332" s="221">
        <f>AL332*L332</f>
        <v>0</v>
      </c>
      <c r="AO332" s="221">
        <f>AL332*M332</f>
        <v>0</v>
      </c>
      <c r="AP332" s="210">
        <f>SUM(AM332:AO332)</f>
        <v>0</v>
      </c>
      <c r="AQ332" s="222">
        <f>AL332*N332</f>
        <v>0</v>
      </c>
      <c r="AS332" s="717">
        <f>G332*VLOOKUP($B332,'Emissions factors'!$B$1528:$R$1542,5,FALSE)</f>
        <v>0</v>
      </c>
      <c r="AT332" s="718">
        <f>G332*VLOOKUP($B332,'Emissions factors'!$B$1528:$R$1542,6,FALSE)</f>
        <v>0</v>
      </c>
      <c r="AU332" s="718">
        <f>G332*VLOOKUP($B332,'Emissions factors'!$B$1528:$R$1542,7,FALSE)</f>
        <v>0</v>
      </c>
      <c r="AV332" s="718">
        <f>G332*VLOOKUP($B332,'Emissions factors'!$B$1528:$R$1542,8,FALSE)</f>
        <v>0</v>
      </c>
      <c r="AW332" s="718">
        <f>G332*VLOOKUP($B332,'Emissions factors'!$B$1528:$R$1542,9,FALSE)</f>
        <v>0</v>
      </c>
      <c r="AX332" s="718">
        <f>G332*VLOOKUP($B332,'Emissions factors'!$B$1528:$R$1542,10,FALSE)</f>
        <v>0</v>
      </c>
      <c r="AY332" s="718">
        <f>G332*VLOOKUP($B332,'Emissions factors'!$B$1528:$R$1542,11,FALSE)</f>
        <v>0</v>
      </c>
      <c r="AZ332" s="718">
        <f>G332*VLOOKUP($B332,'Emissions factors'!$B$1528:$R$1542,12,FALSE)</f>
        <v>0</v>
      </c>
      <c r="BA332" s="718">
        <f>G332*VLOOKUP($B332,'Emissions factors'!$B$1528:$R$1542,13,FALSE)</f>
        <v>0</v>
      </c>
      <c r="BB332" s="718">
        <v>0</v>
      </c>
      <c r="BC332" s="718">
        <v>0</v>
      </c>
      <c r="BD332" s="718">
        <v>0</v>
      </c>
      <c r="BE332" s="719">
        <f t="shared" si="63"/>
        <v>0</v>
      </c>
      <c r="BF332" s="719">
        <f t="shared" si="63"/>
        <v>0</v>
      </c>
      <c r="BG332" s="720">
        <f t="shared" si="63"/>
        <v>0</v>
      </c>
      <c r="BH332" s="717">
        <f>G332*VLOOKUP($B332,'Emissions factors'!$B$1528:$R$1542,14,FALSE)</f>
        <v>0</v>
      </c>
      <c r="BI332" s="718">
        <f>G332*VLOOKUP($B332,'Emissions factors'!$B$1528:$R$1542,15,FALSE)</f>
        <v>0</v>
      </c>
      <c r="BJ332" s="721">
        <f>G332*VLOOKUP($B332,'Emissions factors'!$B$1528:$R$1542,16,FALSE)</f>
        <v>0</v>
      </c>
    </row>
    <row r="333" spans="2:62" ht="12.75" hidden="1" customHeight="1" outlineLevel="1" x14ac:dyDescent="0.2">
      <c r="B333" s="213"/>
      <c r="C333" s="214"/>
      <c r="D333" s="275"/>
      <c r="E333" s="268"/>
      <c r="F333" s="214"/>
      <c r="G333" s="214"/>
      <c r="H333" s="214"/>
      <c r="I333" s="214"/>
      <c r="J333" s="214"/>
      <c r="K333" s="214"/>
      <c r="L333" s="465"/>
      <c r="M333" s="214"/>
      <c r="N333" s="466"/>
      <c r="W333" s="42"/>
      <c r="X333" s="220"/>
      <c r="Y333" s="221"/>
      <c r="Z333" s="201"/>
      <c r="AA333" s="201"/>
      <c r="AB333" s="201"/>
      <c r="AC333" s="210"/>
      <c r="AD333" s="211"/>
      <c r="AE333" s="42"/>
      <c r="AF333" s="480"/>
      <c r="AG333" s="221"/>
      <c r="AH333" s="221"/>
      <c r="AI333" s="221"/>
      <c r="AJ333" s="413"/>
      <c r="AK333" s="221"/>
      <c r="AL333" s="221"/>
      <c r="AM333" s="221"/>
      <c r="AN333" s="221"/>
      <c r="AO333" s="221"/>
      <c r="AP333" s="413"/>
      <c r="AQ333" s="222"/>
      <c r="AS333" s="717"/>
      <c r="AT333" s="718"/>
      <c r="AU333" s="718"/>
      <c r="AV333" s="718"/>
      <c r="AW333" s="718"/>
      <c r="AX333" s="718"/>
      <c r="AY333" s="718"/>
      <c r="AZ333" s="718"/>
      <c r="BA333" s="718"/>
      <c r="BB333" s="718"/>
      <c r="BC333" s="718"/>
      <c r="BD333" s="718"/>
      <c r="BE333" s="719"/>
      <c r="BF333" s="719"/>
      <c r="BG333" s="720"/>
      <c r="BH333" s="722"/>
      <c r="BI333" s="786"/>
      <c r="BJ333" s="723"/>
    </row>
    <row r="334" spans="2:62" ht="12.75" hidden="1" customHeight="1" outlineLevel="1" x14ac:dyDescent="0.2">
      <c r="B334" s="253" t="s">
        <v>2828</v>
      </c>
      <c r="C334" s="254"/>
      <c r="D334" s="264">
        <f>SUM(D330:D333)</f>
        <v>0</v>
      </c>
      <c r="E334" s="267">
        <f>SUM(E330:E333)</f>
        <v>0</v>
      </c>
      <c r="F334" s="254"/>
      <c r="G334" s="254"/>
      <c r="H334" s="254"/>
      <c r="I334" s="254"/>
      <c r="J334" s="254"/>
      <c r="K334" s="259">
        <f>SUM(K330:K333)</f>
        <v>0</v>
      </c>
      <c r="L334" s="259">
        <f>SUM(L330:L333)</f>
        <v>0</v>
      </c>
      <c r="M334" s="259">
        <f>SUM(M330:M333)</f>
        <v>0</v>
      </c>
      <c r="N334" s="428">
        <f>SUM(N330:N333)</f>
        <v>0</v>
      </c>
      <c r="W334" s="42"/>
      <c r="X334" s="550"/>
      <c r="Y334" s="260"/>
      <c r="Z334" s="260">
        <f>SQRT(SUMSQ(Z329:Z333))</f>
        <v>0</v>
      </c>
      <c r="AA334" s="260">
        <f>SQRT(SUMSQ(AA329:AA333))</f>
        <v>0</v>
      </c>
      <c r="AB334" s="260">
        <f>SQRT(SUMSQ(AB329:AB333))</f>
        <v>0</v>
      </c>
      <c r="AC334" s="259">
        <f>SQRT(SUMSQ(AC329:AC333))</f>
        <v>0</v>
      </c>
      <c r="AD334" s="428">
        <f>SQRT(SUMSQ(AD329:AD333))</f>
        <v>0</v>
      </c>
      <c r="AE334" s="42"/>
      <c r="AF334" s="489"/>
      <c r="AG334" s="260">
        <f>SUM(AG330:AG333)</f>
        <v>0</v>
      </c>
      <c r="AH334" s="260">
        <f>SUM(AH330:AH333)</f>
        <v>0</v>
      </c>
      <c r="AI334" s="260">
        <f>SUM(AI330:AI333)</f>
        <v>0</v>
      </c>
      <c r="AJ334" s="259">
        <f>SUM(AJ330:AJ333)</f>
        <v>0</v>
      </c>
      <c r="AK334" s="260">
        <f>SUM(AK330:AK333)</f>
        <v>0</v>
      </c>
      <c r="AL334" s="259"/>
      <c r="AM334" s="260">
        <f>SUM(AM330:AM333)</f>
        <v>0</v>
      </c>
      <c r="AN334" s="260">
        <f>SUM(AN330:AN333)</f>
        <v>0</v>
      </c>
      <c r="AO334" s="260">
        <f>SUM(AO330:AO333)</f>
        <v>0</v>
      </c>
      <c r="AP334" s="259">
        <f>SUM(AP330:AP333)</f>
        <v>0</v>
      </c>
      <c r="AQ334" s="428">
        <f>SUM(AQ330:AQ333)</f>
        <v>0</v>
      </c>
      <c r="AS334" s="724">
        <f t="shared" ref="AS334:BJ334" si="64">SUM(AS330:AS333)</f>
        <v>0</v>
      </c>
      <c r="AT334" s="725">
        <f t="shared" si="64"/>
        <v>0</v>
      </c>
      <c r="AU334" s="725">
        <f t="shared" si="64"/>
        <v>0</v>
      </c>
      <c r="AV334" s="725">
        <f t="shared" si="64"/>
        <v>0</v>
      </c>
      <c r="AW334" s="725">
        <f t="shared" si="64"/>
        <v>0</v>
      </c>
      <c r="AX334" s="725">
        <f t="shared" si="64"/>
        <v>0</v>
      </c>
      <c r="AY334" s="725">
        <f t="shared" si="64"/>
        <v>0</v>
      </c>
      <c r="AZ334" s="725">
        <f t="shared" si="64"/>
        <v>0</v>
      </c>
      <c r="BA334" s="725">
        <f t="shared" si="64"/>
        <v>0</v>
      </c>
      <c r="BB334" s="725">
        <f t="shared" si="64"/>
        <v>0</v>
      </c>
      <c r="BC334" s="725">
        <f t="shared" si="64"/>
        <v>0</v>
      </c>
      <c r="BD334" s="725">
        <f t="shared" si="64"/>
        <v>0</v>
      </c>
      <c r="BE334" s="726">
        <f t="shared" si="64"/>
        <v>0</v>
      </c>
      <c r="BF334" s="726">
        <f t="shared" si="64"/>
        <v>0</v>
      </c>
      <c r="BG334" s="727">
        <f t="shared" si="64"/>
        <v>0</v>
      </c>
      <c r="BH334" s="724">
        <f t="shared" si="64"/>
        <v>0</v>
      </c>
      <c r="BI334" s="725">
        <f t="shared" si="64"/>
        <v>0</v>
      </c>
      <c r="BJ334" s="728">
        <f t="shared" si="64"/>
        <v>0</v>
      </c>
    </row>
    <row r="335" spans="2:62" ht="12.75" hidden="1" customHeight="1" outlineLevel="1" x14ac:dyDescent="0.2">
      <c r="V335" s="42"/>
      <c r="W335" s="42"/>
      <c r="X335" s="42"/>
      <c r="Y335" s="42"/>
      <c r="Z335" s="42"/>
      <c r="AA335" s="42"/>
      <c r="AB335" s="42"/>
      <c r="AC335" s="42"/>
      <c r="AD335" s="42"/>
      <c r="AE335" s="42"/>
      <c r="AF335" s="42"/>
      <c r="AG335" s="42"/>
      <c r="AH335" s="42"/>
      <c r="AI335" s="42"/>
      <c r="AJ335" s="42"/>
      <c r="AK335" s="42"/>
      <c r="AL335" s="42"/>
      <c r="AM335" s="42"/>
      <c r="AN335" s="42"/>
      <c r="AO335" s="42"/>
      <c r="AP335" s="42"/>
      <c r="AQ335" s="42"/>
    </row>
    <row r="336" spans="2:62" ht="12.75" hidden="1" customHeight="1" outlineLevel="1" x14ac:dyDescent="0.2">
      <c r="B336" s="195" t="s">
        <v>3019</v>
      </c>
      <c r="C336" s="196"/>
      <c r="D336" s="196"/>
      <c r="E336" s="196"/>
      <c r="F336" s="196"/>
      <c r="G336" s="198"/>
      <c r="H336" s="196"/>
      <c r="I336" s="196"/>
      <c r="J336" s="196"/>
      <c r="K336" s="198"/>
      <c r="L336" s="196"/>
      <c r="M336" s="196"/>
      <c r="N336" s="196"/>
      <c r="O336" s="198"/>
      <c r="P336" s="198"/>
      <c r="Q336" s="198"/>
      <c r="R336" s="199"/>
      <c r="V336" s="42"/>
      <c r="W336" s="42"/>
      <c r="X336" s="1746" t="s">
        <v>723</v>
      </c>
      <c r="Y336" s="1747"/>
      <c r="Z336" s="1747"/>
      <c r="AA336" s="1747"/>
      <c r="AB336" s="1747"/>
      <c r="AC336" s="1747"/>
      <c r="AD336" s="1748"/>
      <c r="AF336" s="1746" t="s">
        <v>2066</v>
      </c>
      <c r="AG336" s="1747"/>
      <c r="AH336" s="1747"/>
      <c r="AI336" s="1747"/>
      <c r="AJ336" s="1747"/>
      <c r="AK336" s="1747"/>
      <c r="AL336" s="1747"/>
      <c r="AM336" s="1747"/>
      <c r="AN336" s="1747"/>
      <c r="AO336" s="1747"/>
      <c r="AP336" s="1747"/>
      <c r="AQ336" s="1748"/>
      <c r="AS336" s="1755" t="s">
        <v>2073</v>
      </c>
      <c r="AT336" s="1756"/>
      <c r="AU336" s="1756"/>
      <c r="AV336" s="1756"/>
      <c r="AW336" s="1756"/>
      <c r="AX336" s="1756"/>
      <c r="AY336" s="1756"/>
      <c r="AZ336" s="1756"/>
      <c r="BA336" s="1756"/>
      <c r="BB336" s="1756"/>
      <c r="BC336" s="1756"/>
      <c r="BD336" s="1756"/>
      <c r="BE336" s="1756"/>
      <c r="BF336" s="1756"/>
      <c r="BG336" s="1756"/>
      <c r="BH336" s="1756"/>
      <c r="BI336" s="1756"/>
      <c r="BJ336" s="1757"/>
    </row>
    <row r="337" spans="2:62" ht="12.75" hidden="1" customHeight="1" outlineLevel="1" x14ac:dyDescent="0.2">
      <c r="B337" s="417"/>
      <c r="C337" s="225"/>
      <c r="D337" s="503"/>
      <c r="E337" s="503"/>
      <c r="F337" s="201"/>
      <c r="G337" s="201"/>
      <c r="H337" s="225"/>
      <c r="I337" s="225"/>
      <c r="J337" s="225"/>
      <c r="K337" s="201"/>
      <c r="L337" s="225"/>
      <c r="M337" s="225"/>
      <c r="N337" s="225"/>
      <c r="O337" s="201"/>
      <c r="P337" s="1745" t="s">
        <v>2646</v>
      </c>
      <c r="Q337" s="1745"/>
      <c r="R337" s="508" t="s">
        <v>2639</v>
      </c>
      <c r="V337" s="42"/>
      <c r="W337" s="42"/>
      <c r="X337" s="507"/>
      <c r="Y337" s="504"/>
      <c r="Z337" s="504"/>
      <c r="AA337" s="504"/>
      <c r="AB337" s="504"/>
      <c r="AC337" s="504"/>
      <c r="AD337" s="508" t="s">
        <v>2639</v>
      </c>
      <c r="AE337" s="42"/>
      <c r="AF337" s="216"/>
      <c r="AG337" s="503"/>
      <c r="AH337" s="503"/>
      <c r="AI337" s="503"/>
      <c r="AJ337" s="504"/>
      <c r="AK337" s="504" t="s">
        <v>2639</v>
      </c>
      <c r="AL337" s="217"/>
      <c r="AM337" s="503"/>
      <c r="AN337" s="503"/>
      <c r="AO337" s="503"/>
      <c r="AP337" s="504"/>
      <c r="AQ337" s="508" t="s">
        <v>2639</v>
      </c>
      <c r="AS337" s="1758" t="s">
        <v>61</v>
      </c>
      <c r="AT337" s="1759"/>
      <c r="AU337" s="1759"/>
      <c r="AV337" s="1759"/>
      <c r="AW337" s="1759"/>
      <c r="AX337" s="1759"/>
      <c r="AY337" s="1759"/>
      <c r="AZ337" s="1759"/>
      <c r="BA337" s="1759"/>
      <c r="BB337" s="1759"/>
      <c r="BC337" s="1759"/>
      <c r="BD337" s="1759"/>
      <c r="BE337" s="1759" t="s">
        <v>61</v>
      </c>
      <c r="BF337" s="1759"/>
      <c r="BG337" s="1760"/>
      <c r="BH337" s="730"/>
      <c r="BI337" s="785"/>
      <c r="BJ337" s="731"/>
    </row>
    <row r="338" spans="2:62" ht="12.75" hidden="1" customHeight="1" outlineLevel="1" x14ac:dyDescent="0.2">
      <c r="B338" s="200"/>
      <c r="C338" s="201"/>
      <c r="D338" s="504" t="s">
        <v>56</v>
      </c>
      <c r="E338" s="504" t="s">
        <v>56</v>
      </c>
      <c r="F338" s="205" t="s">
        <v>2669</v>
      </c>
      <c r="G338" s="205"/>
      <c r="H338" s="1744" t="s">
        <v>2538</v>
      </c>
      <c r="I338" s="1745"/>
      <c r="J338" s="1835"/>
      <c r="K338" s="205"/>
      <c r="L338" s="1744" t="s">
        <v>2539</v>
      </c>
      <c r="M338" s="1745"/>
      <c r="N338" s="1745"/>
      <c r="O338" s="503" t="s">
        <v>61</v>
      </c>
      <c r="P338" s="503" t="s">
        <v>61</v>
      </c>
      <c r="Q338" s="503" t="s">
        <v>61</v>
      </c>
      <c r="R338" s="508" t="s">
        <v>30</v>
      </c>
      <c r="V338" s="42"/>
      <c r="W338" s="42"/>
      <c r="X338" s="1633" t="s">
        <v>2605</v>
      </c>
      <c r="Y338" s="504" t="s">
        <v>2110</v>
      </c>
      <c r="Z338" s="504" t="s">
        <v>61</v>
      </c>
      <c r="AA338" s="504" t="s">
        <v>61</v>
      </c>
      <c r="AB338" s="504" t="s">
        <v>61</v>
      </c>
      <c r="AC338" s="503" t="s">
        <v>61</v>
      </c>
      <c r="AD338" s="508" t="s">
        <v>30</v>
      </c>
      <c r="AE338" s="42"/>
      <c r="AF338" s="507" t="s">
        <v>2065</v>
      </c>
      <c r="AG338" s="504" t="s">
        <v>61</v>
      </c>
      <c r="AH338" s="504" t="s">
        <v>61</v>
      </c>
      <c r="AI338" s="504" t="s">
        <v>61</v>
      </c>
      <c r="AJ338" s="503" t="s">
        <v>61</v>
      </c>
      <c r="AK338" s="504" t="s">
        <v>30</v>
      </c>
      <c r="AL338" s="504" t="s">
        <v>2558</v>
      </c>
      <c r="AM338" s="504" t="s">
        <v>61</v>
      </c>
      <c r="AN338" s="504" t="s">
        <v>61</v>
      </c>
      <c r="AO338" s="504" t="s">
        <v>61</v>
      </c>
      <c r="AP338" s="503" t="s">
        <v>61</v>
      </c>
      <c r="AQ338" s="508" t="s">
        <v>30</v>
      </c>
      <c r="AS338" s="1764" t="s">
        <v>14</v>
      </c>
      <c r="AT338" s="1761"/>
      <c r="AU338" s="1761"/>
      <c r="AV338" s="1761" t="s">
        <v>60</v>
      </c>
      <c r="AW338" s="1761"/>
      <c r="AX338" s="1761"/>
      <c r="AY338" s="1761" t="s">
        <v>27</v>
      </c>
      <c r="AZ338" s="1761"/>
      <c r="BA338" s="1761"/>
      <c r="BB338" s="1761" t="s">
        <v>2074</v>
      </c>
      <c r="BC338" s="1761"/>
      <c r="BD338" s="1761"/>
      <c r="BE338" s="1762" t="s">
        <v>41</v>
      </c>
      <c r="BF338" s="1762"/>
      <c r="BG338" s="1763"/>
      <c r="BH338" s="1764" t="s">
        <v>85</v>
      </c>
      <c r="BI338" s="1761"/>
      <c r="BJ338" s="1765"/>
    </row>
    <row r="339" spans="2:62" ht="12.75" hidden="1" customHeight="1" outlineLevel="1" x14ac:dyDescent="0.2">
      <c r="B339" s="200"/>
      <c r="C339" s="201"/>
      <c r="D339" s="504" t="s">
        <v>61</v>
      </c>
      <c r="E339" s="504" t="s">
        <v>63</v>
      </c>
      <c r="F339" s="208" t="s">
        <v>2054</v>
      </c>
      <c r="G339" s="208" t="s">
        <v>2635</v>
      </c>
      <c r="H339" s="701" t="s">
        <v>1279</v>
      </c>
      <c r="I339" s="701" t="s">
        <v>768</v>
      </c>
      <c r="J339" s="701" t="s">
        <v>24</v>
      </c>
      <c r="K339" s="208" t="s">
        <v>89</v>
      </c>
      <c r="L339" s="701" t="s">
        <v>1279</v>
      </c>
      <c r="M339" s="701" t="s">
        <v>768</v>
      </c>
      <c r="N339" s="701" t="s">
        <v>24</v>
      </c>
      <c r="O339" s="700" t="s">
        <v>1279</v>
      </c>
      <c r="P339" s="700" t="s">
        <v>768</v>
      </c>
      <c r="Q339" s="700" t="s">
        <v>24</v>
      </c>
      <c r="R339" s="702" t="s">
        <v>61</v>
      </c>
      <c r="V339" s="42"/>
      <c r="W339" s="42"/>
      <c r="X339" s="1633" t="s">
        <v>2109</v>
      </c>
      <c r="Y339" s="504"/>
      <c r="Z339" s="506" t="s">
        <v>1279</v>
      </c>
      <c r="AA339" s="506" t="s">
        <v>768</v>
      </c>
      <c r="AB339" s="506" t="s">
        <v>24</v>
      </c>
      <c r="AC339" s="223" t="s">
        <v>41</v>
      </c>
      <c r="AD339" s="508" t="s">
        <v>61</v>
      </c>
      <c r="AE339" s="42"/>
      <c r="AF339" s="507"/>
      <c r="AG339" s="506" t="s">
        <v>1279</v>
      </c>
      <c r="AH339" s="506" t="s">
        <v>768</v>
      </c>
      <c r="AI339" s="506" t="s">
        <v>24</v>
      </c>
      <c r="AJ339" s="223" t="s">
        <v>41</v>
      </c>
      <c r="AK339" s="504" t="s">
        <v>61</v>
      </c>
      <c r="AL339" s="504"/>
      <c r="AM339" s="506" t="s">
        <v>1279</v>
      </c>
      <c r="AN339" s="506" t="s">
        <v>768</v>
      </c>
      <c r="AO339" s="506" t="s">
        <v>24</v>
      </c>
      <c r="AP339" s="223" t="s">
        <v>41</v>
      </c>
      <c r="AQ339" s="508" t="s">
        <v>61</v>
      </c>
      <c r="AS339" s="732" t="s">
        <v>1279</v>
      </c>
      <c r="AT339" s="733" t="s">
        <v>768</v>
      </c>
      <c r="AU339" s="733" t="s">
        <v>24</v>
      </c>
      <c r="AV339" s="733" t="s">
        <v>1279</v>
      </c>
      <c r="AW339" s="733" t="s">
        <v>768</v>
      </c>
      <c r="AX339" s="733" t="s">
        <v>24</v>
      </c>
      <c r="AY339" s="733" t="s">
        <v>1279</v>
      </c>
      <c r="AZ339" s="733" t="s">
        <v>768</v>
      </c>
      <c r="BA339" s="733" t="s">
        <v>24</v>
      </c>
      <c r="BB339" s="733" t="s">
        <v>1279</v>
      </c>
      <c r="BC339" s="733" t="s">
        <v>768</v>
      </c>
      <c r="BD339" s="733" t="s">
        <v>24</v>
      </c>
      <c r="BE339" s="734" t="s">
        <v>1279</v>
      </c>
      <c r="BF339" s="734" t="s">
        <v>768</v>
      </c>
      <c r="BG339" s="735" t="s">
        <v>24</v>
      </c>
      <c r="BH339" s="732" t="s">
        <v>1279</v>
      </c>
      <c r="BI339" s="733" t="s">
        <v>768</v>
      </c>
      <c r="BJ339" s="736" t="s">
        <v>24</v>
      </c>
    </row>
    <row r="340" spans="2:62" ht="12.75" hidden="1" customHeight="1" outlineLevel="1" x14ac:dyDescent="0.2">
      <c r="B340" s="467" t="s">
        <v>1463</v>
      </c>
      <c r="C340" s="468"/>
      <c r="D340" s="262">
        <f>SUM(O340:Q340)</f>
        <v>0</v>
      </c>
      <c r="E340" s="265">
        <f>D340*12/44</f>
        <v>0</v>
      </c>
      <c r="F340" s="559"/>
      <c r="G340" s="182"/>
      <c r="H340" s="493">
        <f>VLOOKUP($B340,'Emissions factors'!$B$1566:$AG$1580,2,FALSE)</f>
        <v>3.6700000000000003E-2</v>
      </c>
      <c r="I340" s="493">
        <f>VLOOKUP($B340,'Emissions factors'!$B$1566:$AG$1580,3,FALSE)</f>
        <v>3.1981000000000002E-2</v>
      </c>
      <c r="J340" s="493">
        <f>VLOOKUP($B340,'Emissions factors'!$B$1566:$AG$1580,4,FALSE)</f>
        <v>0.13542399999999999</v>
      </c>
      <c r="K340" s="182"/>
      <c r="L340" s="493">
        <f>VLOOKUP($B340,'Emissions factors'!$B$1566:$AG$1580,17,FALSE)</f>
        <v>7.3499999999999996E-2</v>
      </c>
      <c r="M340" s="493">
        <f>VLOOKUP($B340,'Emissions factors'!$B$1566:$AG$1580,18,FALSE)</f>
        <v>6.4049999999999996E-2</v>
      </c>
      <c r="N340" s="493">
        <f>VLOOKUP($B340,'Emissions factors'!$B$1566:$AG$1580,19,FALSE)</f>
        <v>0.27084799999999998</v>
      </c>
      <c r="O340" s="465">
        <f>H340*G340+K340*L340</f>
        <v>0</v>
      </c>
      <c r="P340" s="465">
        <f>I340*G340+K340*M340</f>
        <v>0</v>
      </c>
      <c r="Q340" s="210">
        <f>G340*J340+K340*N340</f>
        <v>0</v>
      </c>
      <c r="R340" s="222">
        <f>IF(OR(F340='Info utili'!$G$532,F340='Info utili'!$G$537),Q340,0)</f>
        <v>0</v>
      </c>
      <c r="V340" s="42"/>
      <c r="W340" s="42"/>
      <c r="X340" s="282">
        <f>VLOOKUP($B340,'Emissions factors'!$B$1566:$AG$1580,32,FALSE)</f>
        <v>0.6</v>
      </c>
      <c r="Y340" s="184"/>
      <c r="Z340" s="221">
        <f>O340*SQRT(X340^2+Y340^2)</f>
        <v>0</v>
      </c>
      <c r="AA340" s="221">
        <f>P340*SQRT(X340^2+Y340^2)</f>
        <v>0</v>
      </c>
      <c r="AB340" s="221">
        <f>Q340*(SQRT(X340^2+Y340^2))</f>
        <v>0</v>
      </c>
      <c r="AC340" s="210">
        <f>SQRT(SUMSQ(Z340:AB340))</f>
        <v>0</v>
      </c>
      <c r="AD340" s="222">
        <f>R340*SQRT(X340^2+Y340^2)</f>
        <v>0</v>
      </c>
      <c r="AF340" s="184"/>
      <c r="AG340" s="221">
        <f t="shared" ref="AG340:AI342" si="65">O340*$AF340</f>
        <v>0</v>
      </c>
      <c r="AH340" s="221">
        <f t="shared" si="65"/>
        <v>0</v>
      </c>
      <c r="AI340" s="221">
        <f t="shared" si="65"/>
        <v>0</v>
      </c>
      <c r="AJ340" s="210">
        <f>SUM(AG340:AI340)</f>
        <v>0</v>
      </c>
      <c r="AK340" s="221">
        <f>R340*$AF340</f>
        <v>0</v>
      </c>
      <c r="AL340" s="184"/>
      <c r="AM340" s="221">
        <f>AL340*O340</f>
        <v>0</v>
      </c>
      <c r="AN340" s="221">
        <f>AL340*P340</f>
        <v>0</v>
      </c>
      <c r="AO340" s="221">
        <f>AL340*Q340</f>
        <v>0</v>
      </c>
      <c r="AP340" s="210">
        <f>SUM(AM340:AO340)</f>
        <v>0</v>
      </c>
      <c r="AQ340" s="222">
        <f>AL340*R340</f>
        <v>0</v>
      </c>
      <c r="AS340" s="717">
        <f>G340*VLOOKUP($B340,'Emissions factors'!$B$1566:$AG$1580,5,FALSE)+K340*VLOOKUP($B340,'Emissions factors'!$B$1566:$AG$1580,20,FALSE)</f>
        <v>0</v>
      </c>
      <c r="AT340" s="718">
        <f>G340*VLOOKUP($B340,'Emissions factors'!$B$1566:$AG$1580,6,FALSE)+K340*VLOOKUP($B340,'Emissions factors'!$B$1566:$AG$1580,21,FALSE)</f>
        <v>0</v>
      </c>
      <c r="AU340" s="718">
        <f>G340*VLOOKUP($B340,'Emissions factors'!$B$1566:$AG$1580,7,FALSE)+K340*VLOOKUP($B340,'Emissions factors'!$B$1566:$AG$1580,22,FALSE)</f>
        <v>0</v>
      </c>
      <c r="AV340" s="718">
        <f>G340*VLOOKUP($B340,'Emissions factors'!$B$1566:$AG$1580,8,FALSE)+K340*VLOOKUP($B340,'Emissions factors'!$B$1566:$AG$1580,23,FALSE)</f>
        <v>0</v>
      </c>
      <c r="AW340" s="718">
        <f>G340*VLOOKUP($B340,'Emissions factors'!$B$1566:$AG$1580,9,FALSE)+K340*VLOOKUP($B340,'Emissions factors'!$B$1566:$AG$1580,24,FALSE)</f>
        <v>0</v>
      </c>
      <c r="AX340" s="718">
        <f>G340*VLOOKUP($B340,'Emissions factors'!$B$1566:$AG$1580,10,FALSE)+K340*VLOOKUP($B340,'Emissions factors'!$B$1566:$AG$1580,25,FALSE)</f>
        <v>0</v>
      </c>
      <c r="AY340" s="718">
        <f>G340*VLOOKUP($B340,'Emissions factors'!$B$1566:$AG$1580,11,FALSE)+K340*VLOOKUP($B340,'Emissions factors'!$B$1566:$AG$1580,26,FALSE)</f>
        <v>0</v>
      </c>
      <c r="AZ340" s="718">
        <f>G340*VLOOKUP($B340,'Emissions factors'!$B$1566:$AG$1580,12,FALSE)+K340*VLOOKUP($B340,'Emissions factors'!$B$1566:$AG$1580,27,FALSE)</f>
        <v>0</v>
      </c>
      <c r="BA340" s="718">
        <f>G340*VLOOKUP($B340,'Emissions factors'!$B$1566:$AG$1580,13,FALSE)+K340*VLOOKUP($B340,'Emissions factors'!$B$1566:$AG$1580,28,FALSE)</f>
        <v>0</v>
      </c>
      <c r="BB340" s="718">
        <v>0</v>
      </c>
      <c r="BC340" s="718">
        <v>0</v>
      </c>
      <c r="BD340" s="718">
        <v>0</v>
      </c>
      <c r="BE340" s="719">
        <f t="shared" ref="BE340:BG342" si="66">O340</f>
        <v>0</v>
      </c>
      <c r="BF340" s="719">
        <f t="shared" si="66"/>
        <v>0</v>
      </c>
      <c r="BG340" s="720">
        <f t="shared" si="66"/>
        <v>0</v>
      </c>
      <c r="BH340" s="717">
        <f>G340*VLOOKUP($B340,'Emissions factors'!$B$1566:$AG$1580,14,FALSE)+K340*VLOOKUP($B340,'Emissions factors'!$B$1566:$AG$1580,29,FALSE)</f>
        <v>0</v>
      </c>
      <c r="BI340" s="718">
        <f>G340*VLOOKUP($B340,'Emissions factors'!$B$1566:$AG$1580,15,FALSE)+K340*VLOOKUP($B340,'Emissions factors'!$B$1566:$AG$1580,30,FALSE)</f>
        <v>0</v>
      </c>
      <c r="BJ340" s="721">
        <f>G340*VLOOKUP($B340,'Emissions factors'!$B$1566:$AG$1580,16,FALSE)+K340*VLOOKUP($B340,'Emissions factors'!$B$1566:$AG$1580,31,FALSE)</f>
        <v>0</v>
      </c>
    </row>
    <row r="341" spans="2:62" ht="12.75" hidden="1" customHeight="1" outlineLevel="1" x14ac:dyDescent="0.2">
      <c r="B341" s="467" t="s">
        <v>1463</v>
      </c>
      <c r="C341" s="468"/>
      <c r="D341" s="262">
        <f>SUM(O341:Q341)</f>
        <v>0</v>
      </c>
      <c r="E341" s="265">
        <f>D341*12/44</f>
        <v>0</v>
      </c>
      <c r="F341" s="442"/>
      <c r="G341" s="185"/>
      <c r="H341" s="493">
        <f>VLOOKUP($B341,'Emissions factors'!$B$1566:$AG$1580,2,FALSE)</f>
        <v>3.6700000000000003E-2</v>
      </c>
      <c r="I341" s="493">
        <f>VLOOKUP($B341,'Emissions factors'!$B$1566:$AG$1580,3,FALSE)</f>
        <v>3.1981000000000002E-2</v>
      </c>
      <c r="J341" s="493">
        <f>VLOOKUP($B341,'Emissions factors'!$B$1566:$AG$1580,4,FALSE)</f>
        <v>0.13542399999999999</v>
      </c>
      <c r="K341" s="185"/>
      <c r="L341" s="493">
        <f>VLOOKUP($B341,'Emissions factors'!$B$1566:$AG$1580,17,FALSE)</f>
        <v>7.3499999999999996E-2</v>
      </c>
      <c r="M341" s="493">
        <f>VLOOKUP($B341,'Emissions factors'!$B$1566:$AG$1580,18,FALSE)</f>
        <v>6.4049999999999996E-2</v>
      </c>
      <c r="N341" s="493">
        <f>VLOOKUP($B341,'Emissions factors'!$B$1566:$AG$1580,19,FALSE)</f>
        <v>0.27084799999999998</v>
      </c>
      <c r="O341" s="465">
        <f>H341*G341+K341*L341</f>
        <v>0</v>
      </c>
      <c r="P341" s="465">
        <f>I341*G341+K341*M341</f>
        <v>0</v>
      </c>
      <c r="Q341" s="210">
        <f>G341*J341+K341*N341</f>
        <v>0</v>
      </c>
      <c r="R341" s="222">
        <f>IF(OR(F341='Info utili'!$G$532,F341='Info utili'!$G$537),Q341,0)</f>
        <v>0</v>
      </c>
      <c r="V341" s="42"/>
      <c r="W341" s="42"/>
      <c r="X341" s="282">
        <f>VLOOKUP($B341,'Emissions factors'!$B$1566:$AG$1580,32,FALSE)</f>
        <v>0.6</v>
      </c>
      <c r="Y341" s="187"/>
      <c r="Z341" s="221">
        <f>O341*SQRT(X341^2+Y341^2)</f>
        <v>0</v>
      </c>
      <c r="AA341" s="221">
        <f>P341*SQRT(X341^2+Y341^2)</f>
        <v>0</v>
      </c>
      <c r="AB341" s="221">
        <f>Q341*(SQRT(X341^2+Y341^2))</f>
        <v>0</v>
      </c>
      <c r="AC341" s="210">
        <f>SQRT(SUMSQ(Z341:AB341))</f>
        <v>0</v>
      </c>
      <c r="AD341" s="222">
        <f>R341*SQRT(X341^2+Y341^2)</f>
        <v>0</v>
      </c>
      <c r="AF341" s="187"/>
      <c r="AG341" s="221">
        <f t="shared" si="65"/>
        <v>0</v>
      </c>
      <c r="AH341" s="221">
        <f t="shared" si="65"/>
        <v>0</v>
      </c>
      <c r="AI341" s="221">
        <f t="shared" si="65"/>
        <v>0</v>
      </c>
      <c r="AJ341" s="210">
        <f>SUM(AG341:AI341)</f>
        <v>0</v>
      </c>
      <c r="AK341" s="221">
        <f>R341*$AF341</f>
        <v>0</v>
      </c>
      <c r="AL341" s="187"/>
      <c r="AM341" s="221">
        <f>AL341*O341</f>
        <v>0</v>
      </c>
      <c r="AN341" s="221">
        <f>AL341*P341</f>
        <v>0</v>
      </c>
      <c r="AO341" s="221">
        <f>AL341*Q341</f>
        <v>0</v>
      </c>
      <c r="AP341" s="210">
        <f>SUM(AM341:AO341)</f>
        <v>0</v>
      </c>
      <c r="AQ341" s="222">
        <f>AL341*R341</f>
        <v>0</v>
      </c>
      <c r="AS341" s="717">
        <f>G341*VLOOKUP($B341,'Emissions factors'!$B$1566:$AG$1580,5,FALSE)+K341*VLOOKUP($B341,'Emissions factors'!$B$1566:$AG$1580,20,FALSE)</f>
        <v>0</v>
      </c>
      <c r="AT341" s="718">
        <f>G341*VLOOKUP($B341,'Emissions factors'!$B$1566:$AG$1580,6,FALSE)+K341*VLOOKUP($B341,'Emissions factors'!$B$1566:$AG$1580,21,FALSE)</f>
        <v>0</v>
      </c>
      <c r="AU341" s="718">
        <f>G341*VLOOKUP($B341,'Emissions factors'!$B$1566:$AG$1580,7,FALSE)+K341*VLOOKUP($B341,'Emissions factors'!$B$1566:$AG$1580,22,FALSE)</f>
        <v>0</v>
      </c>
      <c r="AV341" s="718">
        <f>G341*VLOOKUP($B341,'Emissions factors'!$B$1566:$AG$1580,8,FALSE)+K341*VLOOKUP($B341,'Emissions factors'!$B$1566:$AG$1580,23,FALSE)</f>
        <v>0</v>
      </c>
      <c r="AW341" s="718">
        <f>G341*VLOOKUP($B341,'Emissions factors'!$B$1566:$AG$1580,9,FALSE)+K341*VLOOKUP($B341,'Emissions factors'!$B$1566:$AG$1580,24,FALSE)</f>
        <v>0</v>
      </c>
      <c r="AX341" s="718">
        <f>G341*VLOOKUP($B341,'Emissions factors'!$B$1566:$AG$1580,10,FALSE)+K341*VLOOKUP($B341,'Emissions factors'!$B$1566:$AG$1580,25,FALSE)</f>
        <v>0</v>
      </c>
      <c r="AY341" s="718">
        <f>G341*VLOOKUP($B341,'Emissions factors'!$B$1566:$AG$1580,11,FALSE)+K341*VLOOKUP($B341,'Emissions factors'!$B$1566:$AG$1580,26,FALSE)</f>
        <v>0</v>
      </c>
      <c r="AZ341" s="718">
        <f>G341*VLOOKUP($B341,'Emissions factors'!$B$1566:$AG$1580,12,FALSE)+K341*VLOOKUP($B341,'Emissions factors'!$B$1566:$AG$1580,27,FALSE)</f>
        <v>0</v>
      </c>
      <c r="BA341" s="718">
        <f>G341*VLOOKUP($B341,'Emissions factors'!$B$1566:$AG$1580,13,FALSE)+K341*VLOOKUP($B341,'Emissions factors'!$B$1566:$AG$1580,28,FALSE)</f>
        <v>0</v>
      </c>
      <c r="BB341" s="718">
        <v>0</v>
      </c>
      <c r="BC341" s="718">
        <v>0</v>
      </c>
      <c r="BD341" s="718">
        <v>0</v>
      </c>
      <c r="BE341" s="719">
        <f t="shared" si="66"/>
        <v>0</v>
      </c>
      <c r="BF341" s="719">
        <f t="shared" si="66"/>
        <v>0</v>
      </c>
      <c r="BG341" s="720">
        <f t="shared" si="66"/>
        <v>0</v>
      </c>
      <c r="BH341" s="717">
        <f>G341*VLOOKUP($B341,'Emissions factors'!$B$1566:$AG$1580,14,FALSE)+K341*VLOOKUP($B341,'Emissions factors'!$B$1566:$AG$1580,29,FALSE)</f>
        <v>0</v>
      </c>
      <c r="BI341" s="718">
        <f>G341*VLOOKUP($B341,'Emissions factors'!$B$1566:$AG$1580,15,FALSE)+K341*VLOOKUP($B341,'Emissions factors'!$B$1566:$AG$1580,30,FALSE)</f>
        <v>0</v>
      </c>
      <c r="BJ341" s="721">
        <f>G341*VLOOKUP($B341,'Emissions factors'!$B$1566:$AG$1580,16,FALSE)+K341*VLOOKUP($B341,'Emissions factors'!$B$1566:$AG$1580,31,FALSE)</f>
        <v>0</v>
      </c>
    </row>
    <row r="342" spans="2:62" ht="12.75" hidden="1" customHeight="1" outlineLevel="1" x14ac:dyDescent="0.2">
      <c r="B342" s="467" t="s">
        <v>1464</v>
      </c>
      <c r="C342" s="468"/>
      <c r="D342" s="262">
        <f>SUM(O342:Q342)</f>
        <v>0</v>
      </c>
      <c r="E342" s="265">
        <f>D342*12/44</f>
        <v>0</v>
      </c>
      <c r="F342" s="443"/>
      <c r="G342" s="188"/>
      <c r="H342" s="493">
        <f>VLOOKUP($B342,'Emissions factors'!$B$1566:$AG$1580,2,FALSE)</f>
        <v>3.6700000000000003E-2</v>
      </c>
      <c r="I342" s="493">
        <f>VLOOKUP($B342,'Emissions factors'!$B$1566:$AG$1580,3,FALSE)</f>
        <v>3.841E-2</v>
      </c>
      <c r="J342" s="493">
        <f>VLOOKUP($B342,'Emissions factors'!$B$1566:$AG$1580,4,FALSE)</f>
        <v>0.16270899999999999</v>
      </c>
      <c r="K342" s="188"/>
      <c r="L342" s="493">
        <f>VLOOKUP($B342,'Emissions factors'!$B$1566:$AG$1580,17,FALSE)</f>
        <v>7.3499999999999996E-2</v>
      </c>
      <c r="M342" s="493">
        <f>VLOOKUP($B342,'Emissions factors'!$B$1566:$AG$1580,18,FALSE)</f>
        <v>7.6830000000000009E-2</v>
      </c>
      <c r="N342" s="493">
        <f>VLOOKUP($B342,'Emissions factors'!$B$1566:$AG$1580,19,FALSE)</f>
        <v>0.32541799999999999</v>
      </c>
      <c r="O342" s="465">
        <f>H342*G342+K342*L342</f>
        <v>0</v>
      </c>
      <c r="P342" s="465">
        <f>I342*G342+K342*M342</f>
        <v>0</v>
      </c>
      <c r="Q342" s="210">
        <f>G342*J342+K342*N342</f>
        <v>0</v>
      </c>
      <c r="R342" s="222">
        <f>IF(OR(F342='Info utili'!$G$532,F342='Info utili'!$G$537),Q342,0)</f>
        <v>0</v>
      </c>
      <c r="V342" s="42"/>
      <c r="W342" s="42"/>
      <c r="X342" s="282">
        <f>VLOOKUP($B342,'Emissions factors'!$B$1566:$AG$1580,32,FALSE)</f>
        <v>0.6</v>
      </c>
      <c r="Y342" s="190"/>
      <c r="Z342" s="221">
        <f>O342*SQRT(X342^2+Y342^2)</f>
        <v>0</v>
      </c>
      <c r="AA342" s="221">
        <f>P342*SQRT(X342^2+Y342^2)</f>
        <v>0</v>
      </c>
      <c r="AB342" s="221">
        <f>Q342*(SQRT(X342^2+Y342^2))</f>
        <v>0</v>
      </c>
      <c r="AC342" s="210">
        <f>SQRT(SUMSQ(Z342:AB342))</f>
        <v>0</v>
      </c>
      <c r="AD342" s="222">
        <f>R342*SQRT(X342^2+Y342^2)</f>
        <v>0</v>
      </c>
      <c r="AF342" s="190"/>
      <c r="AG342" s="221">
        <f t="shared" si="65"/>
        <v>0</v>
      </c>
      <c r="AH342" s="221">
        <f t="shared" si="65"/>
        <v>0</v>
      </c>
      <c r="AI342" s="221">
        <f t="shared" si="65"/>
        <v>0</v>
      </c>
      <c r="AJ342" s="210">
        <f>SUM(AG342:AI342)</f>
        <v>0</v>
      </c>
      <c r="AK342" s="221">
        <f>R342*$AF342</f>
        <v>0</v>
      </c>
      <c r="AL342" s="190"/>
      <c r="AM342" s="221">
        <f>AL342*O342</f>
        <v>0</v>
      </c>
      <c r="AN342" s="221">
        <f>AL342*P342</f>
        <v>0</v>
      </c>
      <c r="AO342" s="221">
        <f>AL342*Q342</f>
        <v>0</v>
      </c>
      <c r="AP342" s="210">
        <f>SUM(AM342:AO342)</f>
        <v>0</v>
      </c>
      <c r="AQ342" s="222">
        <f>AL342*R342</f>
        <v>0</v>
      </c>
      <c r="AS342" s="717">
        <f>G342*VLOOKUP($B342,'Emissions factors'!$B$1566:$AG$1580,5,FALSE)+K342*VLOOKUP($B342,'Emissions factors'!$B$1566:$AG$1580,20,FALSE)</f>
        <v>0</v>
      </c>
      <c r="AT342" s="718">
        <f>G342*VLOOKUP($B342,'Emissions factors'!$B$1566:$AG$1580,6,FALSE)+K342*VLOOKUP($B342,'Emissions factors'!$B$1566:$AG$1580,21,FALSE)</f>
        <v>0</v>
      </c>
      <c r="AU342" s="718">
        <f>G342*VLOOKUP($B342,'Emissions factors'!$B$1566:$AG$1580,7,FALSE)+K342*VLOOKUP($B342,'Emissions factors'!$B$1566:$AG$1580,22,FALSE)</f>
        <v>0</v>
      </c>
      <c r="AV342" s="718">
        <f>G342*VLOOKUP($B342,'Emissions factors'!$B$1566:$AG$1580,8,FALSE)+K342*VLOOKUP($B342,'Emissions factors'!$B$1566:$AG$1580,23,FALSE)</f>
        <v>0</v>
      </c>
      <c r="AW342" s="718">
        <f>G342*VLOOKUP($B342,'Emissions factors'!$B$1566:$AG$1580,9,FALSE)+K342*VLOOKUP($B342,'Emissions factors'!$B$1566:$AG$1580,24,FALSE)</f>
        <v>0</v>
      </c>
      <c r="AX342" s="718">
        <f>G342*VLOOKUP($B342,'Emissions factors'!$B$1566:$AG$1580,10,FALSE)+K342*VLOOKUP($B342,'Emissions factors'!$B$1566:$AG$1580,25,FALSE)</f>
        <v>0</v>
      </c>
      <c r="AY342" s="718">
        <f>G342*VLOOKUP($B342,'Emissions factors'!$B$1566:$AG$1580,11,FALSE)+K342*VLOOKUP($B342,'Emissions factors'!$B$1566:$AG$1580,26,FALSE)</f>
        <v>0</v>
      </c>
      <c r="AZ342" s="718">
        <f>G342*VLOOKUP($B342,'Emissions factors'!$B$1566:$AG$1580,12,FALSE)+K342*VLOOKUP($B342,'Emissions factors'!$B$1566:$AG$1580,27,FALSE)</f>
        <v>0</v>
      </c>
      <c r="BA342" s="718">
        <f>G342*VLOOKUP($B342,'Emissions factors'!$B$1566:$AG$1580,13,FALSE)+K342*VLOOKUP($B342,'Emissions factors'!$B$1566:$AG$1580,28,FALSE)</f>
        <v>0</v>
      </c>
      <c r="BB342" s="718">
        <v>0</v>
      </c>
      <c r="BC342" s="718">
        <v>0</v>
      </c>
      <c r="BD342" s="718">
        <v>0</v>
      </c>
      <c r="BE342" s="719">
        <f t="shared" si="66"/>
        <v>0</v>
      </c>
      <c r="BF342" s="719">
        <f t="shared" si="66"/>
        <v>0</v>
      </c>
      <c r="BG342" s="720">
        <f t="shared" si="66"/>
        <v>0</v>
      </c>
      <c r="BH342" s="717">
        <f>G342*VLOOKUP($B342,'Emissions factors'!$B$1566:$AG$1580,14,FALSE)+K342*VLOOKUP($B342,'Emissions factors'!$B$1566:$AG$1580,29,FALSE)</f>
        <v>0</v>
      </c>
      <c r="BI342" s="718">
        <f>G342*VLOOKUP($B342,'Emissions factors'!$B$1566:$AG$1580,15,FALSE)+K342*VLOOKUP($B342,'Emissions factors'!$B$1566:$AG$1580,30,FALSE)</f>
        <v>0</v>
      </c>
      <c r="BJ342" s="721">
        <f>G342*VLOOKUP($B342,'Emissions factors'!$B$1566:$AG$1580,16,FALSE)+K342*VLOOKUP($B342,'Emissions factors'!$B$1566:$AG$1580,31,FALSE)</f>
        <v>0</v>
      </c>
    </row>
    <row r="343" spans="2:62" ht="12.75" hidden="1" customHeight="1" outlineLevel="1" x14ac:dyDescent="0.2">
      <c r="B343" s="200"/>
      <c r="C343" s="201"/>
      <c r="D343" s="263"/>
      <c r="E343" s="266"/>
      <c r="F343" s="201"/>
      <c r="G343" s="201"/>
      <c r="H343" s="201"/>
      <c r="I343" s="201"/>
      <c r="J343" s="201"/>
      <c r="K343" s="201"/>
      <c r="L343" s="201"/>
      <c r="M343" s="201"/>
      <c r="N343" s="201"/>
      <c r="O343" s="201"/>
      <c r="P343" s="201"/>
      <c r="Q343" s="221"/>
      <c r="R343" s="466"/>
      <c r="V343" s="42"/>
      <c r="W343" s="42"/>
      <c r="X343" s="200"/>
      <c r="Y343" s="221"/>
      <c r="Z343" s="221"/>
      <c r="AA343" s="221"/>
      <c r="AB343" s="221"/>
      <c r="AC343" s="210"/>
      <c r="AD343" s="222"/>
      <c r="AF343" s="480"/>
      <c r="AG343" s="221"/>
      <c r="AH343" s="221"/>
      <c r="AI343" s="221"/>
      <c r="AJ343" s="413"/>
      <c r="AK343" s="221"/>
      <c r="AL343" s="221"/>
      <c r="AM343" s="221"/>
      <c r="AN343" s="221"/>
      <c r="AO343" s="221"/>
      <c r="AP343" s="413"/>
      <c r="AQ343" s="222"/>
      <c r="AS343" s="717"/>
      <c r="AT343" s="718"/>
      <c r="AU343" s="718"/>
      <c r="AV343" s="718"/>
      <c r="AW343" s="718"/>
      <c r="AX343" s="718"/>
      <c r="AY343" s="718"/>
      <c r="AZ343" s="718"/>
      <c r="BA343" s="718"/>
      <c r="BB343" s="718"/>
      <c r="BC343" s="718"/>
      <c r="BD343" s="718"/>
      <c r="BE343" s="719"/>
      <c r="BF343" s="719"/>
      <c r="BG343" s="720"/>
      <c r="BH343" s="722"/>
      <c r="BI343" s="786"/>
      <c r="BJ343" s="723"/>
    </row>
    <row r="344" spans="2:62" ht="12.75" hidden="1" customHeight="1" outlineLevel="1" x14ac:dyDescent="0.2">
      <c r="B344" s="253" t="s">
        <v>2828</v>
      </c>
      <c r="C344" s="254"/>
      <c r="D344" s="264">
        <f>SUM(D340:D343)</f>
        <v>0</v>
      </c>
      <c r="E344" s="267">
        <f>SUM(E340:E343)</f>
        <v>0</v>
      </c>
      <c r="F344" s="254"/>
      <c r="G344" s="254"/>
      <c r="H344" s="254"/>
      <c r="I344" s="254"/>
      <c r="J344" s="254"/>
      <c r="K344" s="254"/>
      <c r="L344" s="254"/>
      <c r="M344" s="254"/>
      <c r="N344" s="254"/>
      <c r="O344" s="259">
        <f>SUM(O340:O343)</f>
        <v>0</v>
      </c>
      <c r="P344" s="259">
        <f>SUM(P340:P343)</f>
        <v>0</v>
      </c>
      <c r="Q344" s="259">
        <f>SUM(Q340:Q343)</f>
        <v>0</v>
      </c>
      <c r="R344" s="428">
        <f>SUM(R340:R343)</f>
        <v>0</v>
      </c>
      <c r="V344" s="42"/>
      <c r="W344" s="42"/>
      <c r="X344" s="258"/>
      <c r="Y344" s="260"/>
      <c r="Z344" s="260">
        <f>SQRT(SUMSQ(Z340:Z343))</f>
        <v>0</v>
      </c>
      <c r="AA344" s="260">
        <f>SQRT(SUMSQ(AA340:AA343))</f>
        <v>0</v>
      </c>
      <c r="AB344" s="260">
        <f>SQRT(SUMSQ(AB340:AB343))</f>
        <v>0</v>
      </c>
      <c r="AC344" s="259">
        <f>SQRT(SUMSQ(AC340:AC343))</f>
        <v>0</v>
      </c>
      <c r="AD344" s="428">
        <f>SQRT(SUMSQ(AD340:AD343))</f>
        <v>0</v>
      </c>
      <c r="AF344" s="489"/>
      <c r="AG344" s="260">
        <f>SUM(AG340:AG343)</f>
        <v>0</v>
      </c>
      <c r="AH344" s="260">
        <f>SUM(AH340:AH343)</f>
        <v>0</v>
      </c>
      <c r="AI344" s="260">
        <f>SUM(AI340:AI343)</f>
        <v>0</v>
      </c>
      <c r="AJ344" s="259">
        <f>SUM(AJ340:AJ343)</f>
        <v>0</v>
      </c>
      <c r="AK344" s="260">
        <f>SUM(AK340:AK343)</f>
        <v>0</v>
      </c>
      <c r="AL344" s="259"/>
      <c r="AM344" s="260">
        <f>SUM(AM340:AM343)</f>
        <v>0</v>
      </c>
      <c r="AN344" s="260">
        <f>SUM(AN340:AN343)</f>
        <v>0</v>
      </c>
      <c r="AO344" s="260">
        <f>SUM(AO340:AO343)</f>
        <v>0</v>
      </c>
      <c r="AP344" s="259">
        <f>SUM(AP340:AP343)</f>
        <v>0</v>
      </c>
      <c r="AQ344" s="428">
        <f>SUM(AQ340:AQ343)</f>
        <v>0</v>
      </c>
      <c r="AS344" s="724">
        <f t="shared" ref="AS344:BJ344" si="67">SUM(AS340:AS343)</f>
        <v>0</v>
      </c>
      <c r="AT344" s="725">
        <f t="shared" si="67"/>
        <v>0</v>
      </c>
      <c r="AU344" s="725">
        <f t="shared" si="67"/>
        <v>0</v>
      </c>
      <c r="AV344" s="725">
        <f t="shared" si="67"/>
        <v>0</v>
      </c>
      <c r="AW344" s="725">
        <f t="shared" si="67"/>
        <v>0</v>
      </c>
      <c r="AX344" s="725">
        <f t="shared" si="67"/>
        <v>0</v>
      </c>
      <c r="AY344" s="725">
        <f t="shared" si="67"/>
        <v>0</v>
      </c>
      <c r="AZ344" s="725">
        <f t="shared" si="67"/>
        <v>0</v>
      </c>
      <c r="BA344" s="725">
        <f t="shared" si="67"/>
        <v>0</v>
      </c>
      <c r="BB344" s="725">
        <f t="shared" si="67"/>
        <v>0</v>
      </c>
      <c r="BC344" s="725">
        <f t="shared" si="67"/>
        <v>0</v>
      </c>
      <c r="BD344" s="725">
        <f t="shared" si="67"/>
        <v>0</v>
      </c>
      <c r="BE344" s="726">
        <f t="shared" si="67"/>
        <v>0</v>
      </c>
      <c r="BF344" s="726">
        <f t="shared" si="67"/>
        <v>0</v>
      </c>
      <c r="BG344" s="727">
        <f t="shared" si="67"/>
        <v>0</v>
      </c>
      <c r="BH344" s="724">
        <f t="shared" si="67"/>
        <v>0</v>
      </c>
      <c r="BI344" s="725">
        <f t="shared" si="67"/>
        <v>0</v>
      </c>
      <c r="BJ344" s="728">
        <f t="shared" si="67"/>
        <v>0</v>
      </c>
    </row>
    <row r="345" spans="2:62" hidden="1" outlineLevel="1" x14ac:dyDescent="0.2">
      <c r="G345" s="333"/>
    </row>
    <row r="346" spans="2:62" hidden="1" outlineLevel="1" x14ac:dyDescent="0.2">
      <c r="B346" s="195" t="s">
        <v>3020</v>
      </c>
      <c r="C346" s="196"/>
      <c r="D346" s="500"/>
      <c r="E346" s="500"/>
      <c r="F346" s="198"/>
      <c r="G346" s="198"/>
      <c r="H346" s="558"/>
      <c r="I346" s="557"/>
      <c r="J346" s="557"/>
      <c r="K346" s="217"/>
      <c r="L346" s="217"/>
      <c r="M346" s="217"/>
      <c r="N346" s="218"/>
      <c r="X346" s="1746" t="s">
        <v>723</v>
      </c>
      <c r="Y346" s="1747"/>
      <c r="Z346" s="1747"/>
      <c r="AA346" s="1747"/>
      <c r="AB346" s="1747"/>
      <c r="AC346" s="1747"/>
      <c r="AD346" s="1748"/>
      <c r="AF346" s="1746" t="s">
        <v>2066</v>
      </c>
      <c r="AG346" s="1747"/>
      <c r="AH346" s="1747"/>
      <c r="AI346" s="1747"/>
      <c r="AJ346" s="1747"/>
      <c r="AK346" s="1747"/>
      <c r="AL346" s="1747"/>
      <c r="AM346" s="1747"/>
      <c r="AN346" s="1747"/>
      <c r="AO346" s="1747"/>
      <c r="AP346" s="1747"/>
      <c r="AQ346" s="1748"/>
      <c r="AS346" s="1755" t="s">
        <v>2073</v>
      </c>
      <c r="AT346" s="1756"/>
      <c r="AU346" s="1756"/>
      <c r="AV346" s="1756"/>
      <c r="AW346" s="1756"/>
      <c r="AX346" s="1756"/>
      <c r="AY346" s="1756"/>
      <c r="AZ346" s="1756"/>
      <c r="BA346" s="1756"/>
      <c r="BB346" s="1756"/>
      <c r="BC346" s="1756"/>
      <c r="BD346" s="1756"/>
      <c r="BE346" s="1756"/>
      <c r="BF346" s="1756"/>
      <c r="BG346" s="1756"/>
      <c r="BH346" s="1756"/>
      <c r="BI346" s="1756"/>
      <c r="BJ346" s="1757"/>
    </row>
    <row r="347" spans="2:62" hidden="1" outlineLevel="1" x14ac:dyDescent="0.2">
      <c r="B347" s="417"/>
      <c r="C347" s="225"/>
      <c r="D347" s="503"/>
      <c r="E347" s="503"/>
      <c r="F347" s="201"/>
      <c r="G347" s="201"/>
      <c r="H347" s="551"/>
      <c r="I347" s="539"/>
      <c r="J347" s="539"/>
      <c r="K347" s="503"/>
      <c r="L347" s="503"/>
      <c r="M347" s="503"/>
      <c r="N347" s="508" t="s">
        <v>2639</v>
      </c>
      <c r="X347" s="507"/>
      <c r="Y347" s="504"/>
      <c r="Z347" s="504"/>
      <c r="AA347" s="504"/>
      <c r="AB347" s="504"/>
      <c r="AC347" s="504"/>
      <c r="AD347" s="508" t="s">
        <v>2639</v>
      </c>
      <c r="AE347" s="42"/>
      <c r="AF347" s="216"/>
      <c r="AG347" s="503"/>
      <c r="AH347" s="503"/>
      <c r="AI347" s="503"/>
      <c r="AJ347" s="504"/>
      <c r="AK347" s="504" t="s">
        <v>2639</v>
      </c>
      <c r="AL347" s="217"/>
      <c r="AM347" s="503"/>
      <c r="AN347" s="503"/>
      <c r="AO347" s="503"/>
      <c r="AP347" s="504"/>
      <c r="AQ347" s="508" t="s">
        <v>2639</v>
      </c>
      <c r="AS347" s="1758" t="s">
        <v>61</v>
      </c>
      <c r="AT347" s="1759"/>
      <c r="AU347" s="1759"/>
      <c r="AV347" s="1759"/>
      <c r="AW347" s="1759"/>
      <c r="AX347" s="1759"/>
      <c r="AY347" s="1759"/>
      <c r="AZ347" s="1759"/>
      <c r="BA347" s="1759"/>
      <c r="BB347" s="1759"/>
      <c r="BC347" s="1759"/>
      <c r="BD347" s="1759"/>
      <c r="BE347" s="1759" t="s">
        <v>61</v>
      </c>
      <c r="BF347" s="1759"/>
      <c r="BG347" s="1760"/>
      <c r="BH347" s="730"/>
      <c r="BI347" s="785"/>
      <c r="BJ347" s="731"/>
    </row>
    <row r="348" spans="2:62" hidden="1" outlineLevel="1" x14ac:dyDescent="0.2">
      <c r="B348" s="507"/>
      <c r="C348" s="504"/>
      <c r="D348" s="504" t="s">
        <v>56</v>
      </c>
      <c r="E348" s="504" t="s">
        <v>56</v>
      </c>
      <c r="F348" s="205" t="s">
        <v>2669</v>
      </c>
      <c r="G348" s="205"/>
      <c r="H348" s="1744" t="s">
        <v>1457</v>
      </c>
      <c r="I348" s="1745"/>
      <c r="J348" s="1745"/>
      <c r="K348" s="503" t="s">
        <v>61</v>
      </c>
      <c r="L348" s="503" t="s">
        <v>61</v>
      </c>
      <c r="M348" s="503" t="s">
        <v>61</v>
      </c>
      <c r="N348" s="508" t="s">
        <v>30</v>
      </c>
      <c r="X348" s="1633" t="s">
        <v>2605</v>
      </c>
      <c r="Y348" s="504" t="s">
        <v>2110</v>
      </c>
      <c r="Z348" s="504" t="s">
        <v>61</v>
      </c>
      <c r="AA348" s="504" t="s">
        <v>61</v>
      </c>
      <c r="AB348" s="504" t="s">
        <v>61</v>
      </c>
      <c r="AC348" s="503" t="s">
        <v>61</v>
      </c>
      <c r="AD348" s="508" t="s">
        <v>30</v>
      </c>
      <c r="AE348" s="42"/>
      <c r="AF348" s="507" t="s">
        <v>2065</v>
      </c>
      <c r="AG348" s="504" t="s">
        <v>61</v>
      </c>
      <c r="AH348" s="504" t="s">
        <v>61</v>
      </c>
      <c r="AI348" s="504" t="s">
        <v>61</v>
      </c>
      <c r="AJ348" s="503" t="s">
        <v>61</v>
      </c>
      <c r="AK348" s="504" t="s">
        <v>30</v>
      </c>
      <c r="AL348" s="504" t="s">
        <v>2558</v>
      </c>
      <c r="AM348" s="504" t="s">
        <v>61</v>
      </c>
      <c r="AN348" s="504" t="s">
        <v>61</v>
      </c>
      <c r="AO348" s="504" t="s">
        <v>61</v>
      </c>
      <c r="AP348" s="503" t="s">
        <v>61</v>
      </c>
      <c r="AQ348" s="508" t="s">
        <v>30</v>
      </c>
      <c r="AS348" s="1764" t="s">
        <v>14</v>
      </c>
      <c r="AT348" s="1761"/>
      <c r="AU348" s="1761"/>
      <c r="AV348" s="1761" t="s">
        <v>60</v>
      </c>
      <c r="AW348" s="1761"/>
      <c r="AX348" s="1761"/>
      <c r="AY348" s="1761" t="s">
        <v>27</v>
      </c>
      <c r="AZ348" s="1761"/>
      <c r="BA348" s="1761"/>
      <c r="BB348" s="1761" t="s">
        <v>2074</v>
      </c>
      <c r="BC348" s="1761"/>
      <c r="BD348" s="1761"/>
      <c r="BE348" s="1762" t="s">
        <v>41</v>
      </c>
      <c r="BF348" s="1762"/>
      <c r="BG348" s="1763"/>
      <c r="BH348" s="1764" t="s">
        <v>85</v>
      </c>
      <c r="BI348" s="1761"/>
      <c r="BJ348" s="1765"/>
    </row>
    <row r="349" spans="2:62" hidden="1" outlineLevel="1" x14ac:dyDescent="0.2">
      <c r="B349" s="507"/>
      <c r="C349" s="504"/>
      <c r="D349" s="504" t="s">
        <v>61</v>
      </c>
      <c r="E349" s="504" t="s">
        <v>63</v>
      </c>
      <c r="F349" s="208" t="s">
        <v>2054</v>
      </c>
      <c r="G349" s="208" t="s">
        <v>2676</v>
      </c>
      <c r="H349" s="506" t="s">
        <v>768</v>
      </c>
      <c r="I349" s="506" t="s">
        <v>24</v>
      </c>
      <c r="J349" s="506" t="s">
        <v>59</v>
      </c>
      <c r="K349" s="505" t="s">
        <v>768</v>
      </c>
      <c r="L349" s="505" t="s">
        <v>24</v>
      </c>
      <c r="M349" s="505" t="s">
        <v>59</v>
      </c>
      <c r="N349" s="508" t="s">
        <v>61</v>
      </c>
      <c r="X349" s="1633" t="s">
        <v>2109</v>
      </c>
      <c r="Y349" s="504"/>
      <c r="Z349" s="690" t="s">
        <v>768</v>
      </c>
      <c r="AA349" s="690" t="s">
        <v>24</v>
      </c>
      <c r="AB349" s="690" t="s">
        <v>59</v>
      </c>
      <c r="AC349" s="223" t="s">
        <v>41</v>
      </c>
      <c r="AD349" s="508" t="s">
        <v>61</v>
      </c>
      <c r="AE349" s="42"/>
      <c r="AF349" s="507"/>
      <c r="AG349" s="690" t="s">
        <v>768</v>
      </c>
      <c r="AH349" s="690" t="s">
        <v>24</v>
      </c>
      <c r="AI349" s="690" t="s">
        <v>59</v>
      </c>
      <c r="AJ349" s="223" t="s">
        <v>41</v>
      </c>
      <c r="AK349" s="504" t="s">
        <v>61</v>
      </c>
      <c r="AL349" s="504"/>
      <c r="AM349" s="690" t="s">
        <v>768</v>
      </c>
      <c r="AN349" s="690" t="s">
        <v>24</v>
      </c>
      <c r="AO349" s="690" t="s">
        <v>59</v>
      </c>
      <c r="AP349" s="223" t="s">
        <v>41</v>
      </c>
      <c r="AQ349" s="508" t="s">
        <v>61</v>
      </c>
      <c r="AS349" s="732" t="s">
        <v>768</v>
      </c>
      <c r="AT349" s="733" t="s">
        <v>24</v>
      </c>
      <c r="AU349" s="733" t="s">
        <v>59</v>
      </c>
      <c r="AV349" s="733" t="s">
        <v>768</v>
      </c>
      <c r="AW349" s="733" t="s">
        <v>24</v>
      </c>
      <c r="AX349" s="733" t="s">
        <v>59</v>
      </c>
      <c r="AY349" s="733" t="s">
        <v>768</v>
      </c>
      <c r="AZ349" s="733" t="s">
        <v>24</v>
      </c>
      <c r="BA349" s="733" t="s">
        <v>59</v>
      </c>
      <c r="BB349" s="733" t="s">
        <v>768</v>
      </c>
      <c r="BC349" s="733" t="s">
        <v>24</v>
      </c>
      <c r="BD349" s="733" t="s">
        <v>59</v>
      </c>
      <c r="BE349" s="734" t="s">
        <v>768</v>
      </c>
      <c r="BF349" s="734" t="s">
        <v>24</v>
      </c>
      <c r="BG349" s="735" t="s">
        <v>59</v>
      </c>
      <c r="BH349" s="733" t="s">
        <v>768</v>
      </c>
      <c r="BI349" s="733" t="s">
        <v>24</v>
      </c>
      <c r="BJ349" s="736" t="s">
        <v>59</v>
      </c>
    </row>
    <row r="350" spans="2:62" hidden="1" outlineLevel="1" x14ac:dyDescent="0.2">
      <c r="B350" s="200" t="s">
        <v>1486</v>
      </c>
      <c r="C350" s="201"/>
      <c r="D350" s="262">
        <f>SUM(K350:M350)</f>
        <v>0</v>
      </c>
      <c r="E350" s="265">
        <f>D350*12/44</f>
        <v>0</v>
      </c>
      <c r="F350" s="559"/>
      <c r="G350" s="182"/>
      <c r="H350" s="272">
        <f>VLOOKUP($B350,'Emissions factors'!$B$1624:$N$1666,2,FALSE)</f>
        <v>6.5079999999999999E-2</v>
      </c>
      <c r="I350" s="272">
        <f>VLOOKUP($B350,'Emissions factors'!$B$1624:$N$1666,3,FALSE)</f>
        <v>0.309</v>
      </c>
      <c r="J350" s="272">
        <f>IF(LEFT(B350,8)="Régional",0,I350*'Emissions factors'!$C$1619)</f>
        <v>0.309</v>
      </c>
      <c r="K350" s="465">
        <f>G350*H350</f>
        <v>0</v>
      </c>
      <c r="L350" s="465">
        <f>G350*I350</f>
        <v>0</v>
      </c>
      <c r="M350" s="210">
        <f>G350*J350</f>
        <v>0</v>
      </c>
      <c r="N350" s="222">
        <f>IF(OR(F350='Info utili'!$I$532,F350='Info utili'!$I$537),L350,0)</f>
        <v>0</v>
      </c>
      <c r="X350" s="282">
        <f>VLOOKUP($B350,'Emissions factors'!$B$1624:$N$1666,12,FALSE)</f>
        <v>0.5</v>
      </c>
      <c r="Y350" s="183"/>
      <c r="Z350" s="221">
        <f>K350*SQRT(X350^2+Y350^2)</f>
        <v>0</v>
      </c>
      <c r="AA350" s="221">
        <f>L350*SQRT(X350^2+Y350^2)</f>
        <v>0</v>
      </c>
      <c r="AB350" s="221">
        <f>M350*SQRT(X350^2+Y350^2)</f>
        <v>0</v>
      </c>
      <c r="AC350" s="210">
        <f>SQRT(SUMSQ(Z350:AB350))</f>
        <v>0</v>
      </c>
      <c r="AD350" s="222">
        <f>N350*SQRT(X350^2+Y350^2)</f>
        <v>0</v>
      </c>
      <c r="AF350" s="183"/>
      <c r="AG350" s="221">
        <f>AF350*K350</f>
        <v>0</v>
      </c>
      <c r="AH350" s="221">
        <f>AF350*L350</f>
        <v>0</v>
      </c>
      <c r="AI350" s="221">
        <f>AF350*M350</f>
        <v>0</v>
      </c>
      <c r="AJ350" s="210">
        <f>SUM(AG350:AI350)</f>
        <v>0</v>
      </c>
      <c r="AK350" s="221">
        <f>AF350*N350</f>
        <v>0</v>
      </c>
      <c r="AL350" s="183"/>
      <c r="AM350" s="221">
        <f>AL350*K350</f>
        <v>0</v>
      </c>
      <c r="AN350" s="221">
        <f>AL350*L350</f>
        <v>0</v>
      </c>
      <c r="AO350" s="221">
        <f>AL350*M350</f>
        <v>0</v>
      </c>
      <c r="AP350" s="210">
        <f>SUM(AM350:AO350)</f>
        <v>0</v>
      </c>
      <c r="AQ350" s="222">
        <f>AL350*N350</f>
        <v>0</v>
      </c>
      <c r="AS350" s="717">
        <f>G350*VLOOKUP($B350,'Emissions factors'!$B$1624:$N$1666,4,FALSE)</f>
        <v>0</v>
      </c>
      <c r="AT350" s="718">
        <f>G350*VLOOKUP($B350,'Emissions factors'!$B$1624:$N$1666,5,FALSE)</f>
        <v>0</v>
      </c>
      <c r="AU350" s="718"/>
      <c r="AV350" s="718">
        <f>G350*VLOOKUP($B350,'Emissions factors'!$B$1624:$N$1666,6,FALSE)</f>
        <v>0</v>
      </c>
      <c r="AW350" s="718">
        <f>G350*VLOOKUP($B350,'Emissions factors'!$B$1624:$N$1666,7,FALSE)</f>
        <v>0</v>
      </c>
      <c r="AX350" s="718"/>
      <c r="AY350" s="718">
        <f>G350*VLOOKUP($B350,'Emissions factors'!$B$1624:$N$1666,8,FALSE)</f>
        <v>0</v>
      </c>
      <c r="AZ350" s="718">
        <f>G350*VLOOKUP($B350,'Emissions factors'!$B$1624:$N$1666,9,FALSE)</f>
        <v>0</v>
      </c>
      <c r="BA350" s="718"/>
      <c r="BB350" s="718"/>
      <c r="BC350" s="718"/>
      <c r="BD350" s="718">
        <f>M350</f>
        <v>0</v>
      </c>
      <c r="BE350" s="719">
        <f t="shared" ref="BE350:BG352" si="68">K350</f>
        <v>0</v>
      </c>
      <c r="BF350" s="719">
        <f t="shared" si="68"/>
        <v>0</v>
      </c>
      <c r="BG350" s="719">
        <f t="shared" si="68"/>
        <v>0</v>
      </c>
      <c r="BH350" s="717">
        <f>G350*VLOOKUP($B350,'Emissions factors'!$B$1624:$N$1666,10,FALSE)</f>
        <v>0</v>
      </c>
      <c r="BI350" s="718">
        <f>G350*VLOOKUP($B350,'Emissions factors'!$B$1624:$N$1666,11,FALSE)</f>
        <v>0</v>
      </c>
      <c r="BJ350" s="721"/>
    </row>
    <row r="351" spans="2:62" hidden="1" outlineLevel="1" x14ac:dyDescent="0.2">
      <c r="B351" s="200" t="s">
        <v>1330</v>
      </c>
      <c r="C351" s="201"/>
      <c r="D351" s="262">
        <f>SUM(K351:M351)</f>
        <v>0</v>
      </c>
      <c r="E351" s="265">
        <f>D351*12/44</f>
        <v>0</v>
      </c>
      <c r="F351" s="442"/>
      <c r="G351" s="185"/>
      <c r="H351" s="272">
        <f>VLOOKUP($B351,'Emissions factors'!$B$1624:$N$1666,2,FALSE)</f>
        <v>4.317E-2</v>
      </c>
      <c r="I351" s="272">
        <f>VLOOKUP($B351,'Emissions factors'!$B$1624:$N$1666,3,FALSE)</f>
        <v>0.20499999999999999</v>
      </c>
      <c r="J351" s="272">
        <f>IF(LEFT(B351,8)="Régional",0,I351*'Emissions factors'!$C$1619)</f>
        <v>0.20499999999999999</v>
      </c>
      <c r="K351" s="465">
        <f>G351*H351</f>
        <v>0</v>
      </c>
      <c r="L351" s="465">
        <f>G351*I351</f>
        <v>0</v>
      </c>
      <c r="M351" s="210">
        <f>G351*J351</f>
        <v>0</v>
      </c>
      <c r="N351" s="222">
        <f>IF(OR(F351='Info utili'!$I$532,F351='Info utili'!$I$537),L351,0)</f>
        <v>0</v>
      </c>
      <c r="X351" s="282">
        <f>VLOOKUP($B351,'Emissions factors'!$B$1624:$N$1666,12,FALSE)</f>
        <v>0.5</v>
      </c>
      <c r="Y351" s="186"/>
      <c r="Z351" s="221">
        <f>K351*SQRT(X351^2+Y351^2)</f>
        <v>0</v>
      </c>
      <c r="AA351" s="221">
        <f>L351*SQRT(X351^2+Y351^2)</f>
        <v>0</v>
      </c>
      <c r="AB351" s="221">
        <f>M351*SQRT(X351^2+Y351^2)</f>
        <v>0</v>
      </c>
      <c r="AC351" s="210">
        <f>SQRT(SUMSQ(Z351:AB351))</f>
        <v>0</v>
      </c>
      <c r="AD351" s="222">
        <f>N351*SQRT(X351^2+Y351^2)</f>
        <v>0</v>
      </c>
      <c r="AF351" s="187"/>
      <c r="AG351" s="221">
        <f>AF351*K351</f>
        <v>0</v>
      </c>
      <c r="AH351" s="221">
        <f>AF351*L351</f>
        <v>0</v>
      </c>
      <c r="AI351" s="221">
        <f>AF351*M351</f>
        <v>0</v>
      </c>
      <c r="AJ351" s="210">
        <f>SUM(AG351:AI351)</f>
        <v>0</v>
      </c>
      <c r="AK351" s="221">
        <f>AF351*N351</f>
        <v>0</v>
      </c>
      <c r="AL351" s="187"/>
      <c r="AM351" s="221">
        <f>AL351*K351</f>
        <v>0</v>
      </c>
      <c r="AN351" s="221">
        <f>AL351*L351</f>
        <v>0</v>
      </c>
      <c r="AO351" s="221">
        <f>AL351*M351</f>
        <v>0</v>
      </c>
      <c r="AP351" s="210">
        <f>SUM(AM351:AO351)</f>
        <v>0</v>
      </c>
      <c r="AQ351" s="222">
        <f>AL351*N351</f>
        <v>0</v>
      </c>
      <c r="AS351" s="717">
        <f>G351*VLOOKUP($B351,'Emissions factors'!$B$1624:$N$1666,4,FALSE)</f>
        <v>0</v>
      </c>
      <c r="AT351" s="718">
        <f>G351*VLOOKUP($B351,'Emissions factors'!$B$1624:$N$1666,5,FALSE)</f>
        <v>0</v>
      </c>
      <c r="AU351" s="718"/>
      <c r="AV351" s="718">
        <f>G351*VLOOKUP($B351,'Emissions factors'!$B$1624:$N$1666,6,FALSE)</f>
        <v>0</v>
      </c>
      <c r="AW351" s="718">
        <f>G351*VLOOKUP($B351,'Emissions factors'!$B$1624:$N$1666,7,FALSE)</f>
        <v>0</v>
      </c>
      <c r="AX351" s="718"/>
      <c r="AY351" s="718">
        <f>G351*VLOOKUP($B351,'Emissions factors'!$B$1624:$N$1666,8,FALSE)</f>
        <v>0</v>
      </c>
      <c r="AZ351" s="718">
        <f>G351*VLOOKUP($B351,'Emissions factors'!$B$1624:$N$1666,9,FALSE)</f>
        <v>0</v>
      </c>
      <c r="BA351" s="718"/>
      <c r="BB351" s="718"/>
      <c r="BC351" s="718"/>
      <c r="BD351" s="718">
        <f>M351</f>
        <v>0</v>
      </c>
      <c r="BE351" s="719">
        <f t="shared" si="68"/>
        <v>0</v>
      </c>
      <c r="BF351" s="719">
        <f t="shared" si="68"/>
        <v>0</v>
      </c>
      <c r="BG351" s="719">
        <f t="shared" si="68"/>
        <v>0</v>
      </c>
      <c r="BH351" s="717">
        <f>G351*VLOOKUP($B351,'Emissions factors'!$B$1624:$N$1666,10,FALSE)</f>
        <v>0</v>
      </c>
      <c r="BI351" s="718">
        <f>G351*VLOOKUP($B351,'Emissions factors'!$B$1624:$N$1666,11,FALSE)</f>
        <v>0</v>
      </c>
      <c r="BJ351" s="721"/>
    </row>
    <row r="352" spans="2:62" ht="12.75" hidden="1" customHeight="1" outlineLevel="1" x14ac:dyDescent="0.2">
      <c r="B352" s="200" t="s">
        <v>1341</v>
      </c>
      <c r="C352" s="201"/>
      <c r="D352" s="262">
        <f>SUM(K352:M352)</f>
        <v>0</v>
      </c>
      <c r="E352" s="265">
        <f>D352*12/44</f>
        <v>0</v>
      </c>
      <c r="F352" s="443"/>
      <c r="G352" s="188"/>
      <c r="H352" s="272">
        <f>VLOOKUP($B352,'Emissions factors'!$B$1624:$N$1666,2,FALSE)</f>
        <v>1.992E-2</v>
      </c>
      <c r="I352" s="272">
        <f>VLOOKUP($B352,'Emissions factors'!$B$1624:$N$1666,3,FALSE)</f>
        <v>9.4600000000000004E-2</v>
      </c>
      <c r="J352" s="272">
        <f>IF(LEFT(B352,8)="Régional",0,I352*'Emissions factors'!$C$1619)</f>
        <v>9.4600000000000004E-2</v>
      </c>
      <c r="K352" s="465">
        <f>G352*H352</f>
        <v>0</v>
      </c>
      <c r="L352" s="465">
        <f>G352*I352</f>
        <v>0</v>
      </c>
      <c r="M352" s="210">
        <f>G352*J352</f>
        <v>0</v>
      </c>
      <c r="N352" s="222">
        <f>IF(OR(F352='Info utili'!$I$532,F352='Info utili'!$I$537),L352,0)</f>
        <v>0</v>
      </c>
      <c r="X352" s="282">
        <f>VLOOKUP($B352,'Emissions factors'!$B$1624:$N$1666,12,FALSE)</f>
        <v>0.5</v>
      </c>
      <c r="Y352" s="189"/>
      <c r="Z352" s="221">
        <f>K352*SQRT(X352^2+Y352^2)</f>
        <v>0</v>
      </c>
      <c r="AA352" s="221">
        <f>L352*SQRT(X352^2+Y352^2)</f>
        <v>0</v>
      </c>
      <c r="AB352" s="221">
        <f>M352*SQRT(X352^2+Y352^2)</f>
        <v>0</v>
      </c>
      <c r="AC352" s="210">
        <f>SQRT(SUMSQ(Z352:AB352))</f>
        <v>0</v>
      </c>
      <c r="AD352" s="222">
        <f>N352*SQRT(X352^2+Y352^2)</f>
        <v>0</v>
      </c>
      <c r="AF352" s="190"/>
      <c r="AG352" s="221">
        <f>AF352*K352</f>
        <v>0</v>
      </c>
      <c r="AH352" s="221">
        <f>AF352*L352</f>
        <v>0</v>
      </c>
      <c r="AI352" s="221">
        <f>AF352*M352</f>
        <v>0</v>
      </c>
      <c r="AJ352" s="210">
        <f>SUM(AG352:AI352)</f>
        <v>0</v>
      </c>
      <c r="AK352" s="221">
        <f>AF352*N352</f>
        <v>0</v>
      </c>
      <c r="AL352" s="190"/>
      <c r="AM352" s="221">
        <f>AL352*K352</f>
        <v>0</v>
      </c>
      <c r="AN352" s="221">
        <f>AL352*L352</f>
        <v>0</v>
      </c>
      <c r="AO352" s="221">
        <f>AL352*M352</f>
        <v>0</v>
      </c>
      <c r="AP352" s="210">
        <f>SUM(AM352:AO352)</f>
        <v>0</v>
      </c>
      <c r="AQ352" s="222">
        <f>AL352*N352</f>
        <v>0</v>
      </c>
      <c r="AS352" s="717">
        <f>G352*VLOOKUP($B352,'Emissions factors'!$B$1624:$N$1666,4,FALSE)</f>
        <v>0</v>
      </c>
      <c r="AT352" s="718">
        <f>G352*VLOOKUP($B352,'Emissions factors'!$B$1624:$N$1666,5,FALSE)</f>
        <v>0</v>
      </c>
      <c r="AU352" s="718"/>
      <c r="AV352" s="718">
        <f>G352*VLOOKUP($B352,'Emissions factors'!$B$1624:$N$1666,6,FALSE)</f>
        <v>0</v>
      </c>
      <c r="AW352" s="718">
        <f>G352*VLOOKUP($B352,'Emissions factors'!$B$1624:$N$1666,7,FALSE)</f>
        <v>0</v>
      </c>
      <c r="AX352" s="718"/>
      <c r="AY352" s="718">
        <f>G352*VLOOKUP($B352,'Emissions factors'!$B$1624:$N$1666,8,FALSE)</f>
        <v>0</v>
      </c>
      <c r="AZ352" s="718">
        <f>G352*VLOOKUP($B352,'Emissions factors'!$B$1624:$N$1666,9,FALSE)</f>
        <v>0</v>
      </c>
      <c r="BA352" s="718"/>
      <c r="BB352" s="718"/>
      <c r="BC352" s="718"/>
      <c r="BD352" s="718">
        <f>M352</f>
        <v>0</v>
      </c>
      <c r="BE352" s="719">
        <f t="shared" si="68"/>
        <v>0</v>
      </c>
      <c r="BF352" s="719">
        <f t="shared" si="68"/>
        <v>0</v>
      </c>
      <c r="BG352" s="719">
        <f t="shared" si="68"/>
        <v>0</v>
      </c>
      <c r="BH352" s="717">
        <f>G352*VLOOKUP($B352,'Emissions factors'!$B$1624:$N$1666,10,FALSE)</f>
        <v>0</v>
      </c>
      <c r="BI352" s="718">
        <f>G352*VLOOKUP($B352,'Emissions factors'!$B$1624:$N$1666,11,FALSE)</f>
        <v>0</v>
      </c>
      <c r="BJ352" s="721"/>
    </row>
    <row r="353" spans="2:62" hidden="1" outlineLevel="1" x14ac:dyDescent="0.2">
      <c r="B353" s="200"/>
      <c r="C353" s="201"/>
      <c r="D353" s="263"/>
      <c r="E353" s="266"/>
      <c r="F353" s="201"/>
      <c r="G353" s="201"/>
      <c r="H353" s="201"/>
      <c r="I353" s="201"/>
      <c r="J353" s="272"/>
      <c r="K353" s="201"/>
      <c r="L353" s="201"/>
      <c r="M353" s="201"/>
      <c r="N353" s="203"/>
      <c r="X353" s="200"/>
      <c r="Y353" s="201"/>
      <c r="Z353" s="201"/>
      <c r="AA353" s="201"/>
      <c r="AB353" s="201"/>
      <c r="AC353" s="210"/>
      <c r="AD353" s="211"/>
      <c r="AF353" s="200"/>
      <c r="AG353" s="201"/>
      <c r="AH353" s="201"/>
      <c r="AI353" s="201"/>
      <c r="AJ353" s="413"/>
      <c r="AK353" s="504"/>
      <c r="AL353" s="201"/>
      <c r="AM353" s="201"/>
      <c r="AN353" s="201"/>
      <c r="AO353" s="221"/>
      <c r="AP353" s="413"/>
      <c r="AQ353" s="222"/>
      <c r="AS353" s="717"/>
      <c r="AT353" s="718"/>
      <c r="AU353" s="718"/>
      <c r="AV353" s="718"/>
      <c r="AW353" s="718"/>
      <c r="AX353" s="718"/>
      <c r="AY353" s="718"/>
      <c r="AZ353" s="718"/>
      <c r="BA353" s="718"/>
      <c r="BB353" s="718"/>
      <c r="BC353" s="718"/>
      <c r="BD353" s="718"/>
      <c r="BE353" s="719"/>
      <c r="BF353" s="719"/>
      <c r="BG353" s="720"/>
      <c r="BH353" s="722"/>
      <c r="BI353" s="786"/>
      <c r="BJ353" s="723"/>
    </row>
    <row r="354" spans="2:62" hidden="1" outlineLevel="1" x14ac:dyDescent="0.2">
      <c r="B354" s="253" t="s">
        <v>44</v>
      </c>
      <c r="C354" s="254"/>
      <c r="D354" s="264">
        <f>SUM(D350:D353)</f>
        <v>0</v>
      </c>
      <c r="E354" s="267">
        <f>SUM(E350:E353)</f>
        <v>0</v>
      </c>
      <c r="F354" s="254"/>
      <c r="G354" s="254"/>
      <c r="H354" s="254"/>
      <c r="I354" s="254"/>
      <c r="J354" s="254"/>
      <c r="K354" s="259">
        <f>SUM(K350:K353)</f>
        <v>0</v>
      </c>
      <c r="L354" s="259">
        <f>SUM(L350:L353)</f>
        <v>0</v>
      </c>
      <c r="M354" s="259">
        <f>SUM(M350:M353)</f>
        <v>0</v>
      </c>
      <c r="N354" s="428">
        <f>SUM(N350:N353)</f>
        <v>0</v>
      </c>
      <c r="X354" s="258"/>
      <c r="Y354" s="256"/>
      <c r="Z354" s="260">
        <f>SQRT(SUMSQ(Z349:Z353))</f>
        <v>0</v>
      </c>
      <c r="AA354" s="260">
        <f>SQRT(SUMSQ(AA349:AA353))</f>
        <v>0</v>
      </c>
      <c r="AB354" s="260">
        <f>SQRT(SUMSQ(AB349:AB353))</f>
        <v>0</v>
      </c>
      <c r="AC354" s="259">
        <f>SQRT(SUMSQ(AC349:AC353))</f>
        <v>0</v>
      </c>
      <c r="AD354" s="428">
        <f>SQRT(SUMSQ(AD349:AD353))</f>
        <v>0</v>
      </c>
      <c r="AF354" s="258"/>
      <c r="AG354" s="260">
        <f>SUM(AG350:AG353)</f>
        <v>0</v>
      </c>
      <c r="AH354" s="260">
        <f>SUM(AH350:AH353)</f>
        <v>0</v>
      </c>
      <c r="AI354" s="260">
        <f>SUM(AI350:AI353)</f>
        <v>0</v>
      </c>
      <c r="AJ354" s="259">
        <f>SUM(AJ350:AJ353)</f>
        <v>0</v>
      </c>
      <c r="AK354" s="260">
        <f>SUM(AK350:AK353)</f>
        <v>0</v>
      </c>
      <c r="AL354" s="256"/>
      <c r="AM354" s="260">
        <f>SUM(AM350:AM353)</f>
        <v>0</v>
      </c>
      <c r="AN354" s="260">
        <f>SUM(AN350:AN353)</f>
        <v>0</v>
      </c>
      <c r="AO354" s="260">
        <f>SUM(AO350:AO353)</f>
        <v>0</v>
      </c>
      <c r="AP354" s="259">
        <f>SUM(AP350:AP353)</f>
        <v>0</v>
      </c>
      <c r="AQ354" s="428">
        <f>SUM(AQ350:AQ353)</f>
        <v>0</v>
      </c>
      <c r="AS354" s="724">
        <f t="shared" ref="AS354:BJ354" si="69">SUM(AS350:AS353)</f>
        <v>0</v>
      </c>
      <c r="AT354" s="725">
        <f t="shared" si="69"/>
        <v>0</v>
      </c>
      <c r="AU354" s="725">
        <f t="shared" si="69"/>
        <v>0</v>
      </c>
      <c r="AV354" s="725">
        <f t="shared" si="69"/>
        <v>0</v>
      </c>
      <c r="AW354" s="725">
        <f t="shared" si="69"/>
        <v>0</v>
      </c>
      <c r="AX354" s="725">
        <f t="shared" si="69"/>
        <v>0</v>
      </c>
      <c r="AY354" s="725">
        <f t="shared" si="69"/>
        <v>0</v>
      </c>
      <c r="AZ354" s="725">
        <f t="shared" si="69"/>
        <v>0</v>
      </c>
      <c r="BA354" s="725">
        <f t="shared" si="69"/>
        <v>0</v>
      </c>
      <c r="BB354" s="725">
        <f t="shared" si="69"/>
        <v>0</v>
      </c>
      <c r="BC354" s="725">
        <f t="shared" si="69"/>
        <v>0</v>
      </c>
      <c r="BD354" s="725">
        <f t="shared" si="69"/>
        <v>0</v>
      </c>
      <c r="BE354" s="726">
        <f t="shared" si="69"/>
        <v>0</v>
      </c>
      <c r="BF354" s="726">
        <f t="shared" si="69"/>
        <v>0</v>
      </c>
      <c r="BG354" s="727">
        <f t="shared" si="69"/>
        <v>0</v>
      </c>
      <c r="BH354" s="724">
        <f t="shared" si="69"/>
        <v>0</v>
      </c>
      <c r="BI354" s="725">
        <f t="shared" si="69"/>
        <v>0</v>
      </c>
      <c r="BJ354" s="728">
        <f t="shared" si="69"/>
        <v>0</v>
      </c>
    </row>
    <row r="355" spans="2:62" hidden="1" outlineLevel="1" x14ac:dyDescent="0.2">
      <c r="B355" s="42"/>
      <c r="C355" s="42"/>
      <c r="D355" s="42"/>
      <c r="E355" s="42"/>
      <c r="F355" s="42"/>
      <c r="G355" s="42"/>
      <c r="H355" s="42"/>
      <c r="I355" s="42"/>
      <c r="J355" s="42"/>
      <c r="K355" s="42"/>
      <c r="L355" s="42"/>
      <c r="M355" s="42"/>
      <c r="N355" s="42"/>
      <c r="O355" s="42"/>
      <c r="P355" s="42"/>
      <c r="Q355" s="42"/>
      <c r="R355" s="42"/>
      <c r="S355" s="42"/>
    </row>
    <row r="356" spans="2:62" hidden="1" outlineLevel="1" x14ac:dyDescent="0.2">
      <c r="B356" s="195" t="s">
        <v>3021</v>
      </c>
      <c r="C356" s="196"/>
      <c r="D356" s="500"/>
      <c r="E356" s="500"/>
      <c r="F356" s="198"/>
      <c r="G356" s="198"/>
      <c r="H356" s="198"/>
      <c r="I356" s="198"/>
      <c r="J356" s="558"/>
      <c r="K356" s="557"/>
      <c r="L356" s="557"/>
      <c r="M356" s="217"/>
      <c r="N356" s="217"/>
      <c r="O356" s="217"/>
      <c r="P356" s="218"/>
      <c r="X356" s="1746" t="s">
        <v>723</v>
      </c>
      <c r="Y356" s="1747"/>
      <c r="Z356" s="1747"/>
      <c r="AA356" s="1747"/>
      <c r="AB356" s="1747"/>
      <c r="AC356" s="1747"/>
      <c r="AD356" s="1748"/>
      <c r="AF356" s="1746" t="s">
        <v>2066</v>
      </c>
      <c r="AG356" s="1747"/>
      <c r="AH356" s="1747"/>
      <c r="AI356" s="1747"/>
      <c r="AJ356" s="1747"/>
      <c r="AK356" s="1747"/>
      <c r="AL356" s="1747"/>
      <c r="AM356" s="1747"/>
      <c r="AN356" s="1747"/>
      <c r="AO356" s="1747"/>
      <c r="AP356" s="1747"/>
      <c r="AQ356" s="1748"/>
      <c r="AS356" s="1755" t="s">
        <v>2073</v>
      </c>
      <c r="AT356" s="1756"/>
      <c r="AU356" s="1756"/>
      <c r="AV356" s="1756"/>
      <c r="AW356" s="1756"/>
      <c r="AX356" s="1756"/>
      <c r="AY356" s="1756"/>
      <c r="AZ356" s="1756"/>
      <c r="BA356" s="1756"/>
      <c r="BB356" s="1756"/>
      <c r="BC356" s="1756"/>
      <c r="BD356" s="1756"/>
      <c r="BE356" s="1756"/>
      <c r="BF356" s="1756"/>
      <c r="BG356" s="1756"/>
      <c r="BH356" s="1756"/>
      <c r="BI356" s="1756"/>
      <c r="BJ356" s="1757"/>
    </row>
    <row r="357" spans="2:62" hidden="1" outlineLevel="1" x14ac:dyDescent="0.2">
      <c r="B357" s="417"/>
      <c r="C357" s="225"/>
      <c r="D357" s="503"/>
      <c r="E357" s="503"/>
      <c r="F357" s="201"/>
      <c r="G357" s="201"/>
      <c r="H357" s="201"/>
      <c r="I357" s="201"/>
      <c r="J357" s="551"/>
      <c r="K357" s="539"/>
      <c r="L357" s="539"/>
      <c r="M357" s="503"/>
      <c r="N357" s="503"/>
      <c r="O357" s="503"/>
      <c r="P357" s="508" t="s">
        <v>2639</v>
      </c>
      <c r="X357" s="499"/>
      <c r="Y357" s="500"/>
      <c r="Z357" s="503"/>
      <c r="AA357" s="503"/>
      <c r="AB357" s="503"/>
      <c r="AC357" s="503"/>
      <c r="AD357" s="508" t="s">
        <v>2639</v>
      </c>
      <c r="AF357" s="502"/>
      <c r="AG357" s="503"/>
      <c r="AH357" s="503"/>
      <c r="AI357" s="503"/>
      <c r="AJ357" s="504"/>
      <c r="AK357" s="503" t="s">
        <v>2639</v>
      </c>
      <c r="AL357" s="503"/>
      <c r="AM357" s="503"/>
      <c r="AN357" s="503"/>
      <c r="AO357" s="503"/>
      <c r="AP357" s="504"/>
      <c r="AQ357" s="508" t="s">
        <v>2639</v>
      </c>
      <c r="AS357" s="1758" t="s">
        <v>61</v>
      </c>
      <c r="AT357" s="1759"/>
      <c r="AU357" s="1759"/>
      <c r="AV357" s="1759"/>
      <c r="AW357" s="1759"/>
      <c r="AX357" s="1759"/>
      <c r="AY357" s="1759"/>
      <c r="AZ357" s="1759"/>
      <c r="BA357" s="1759"/>
      <c r="BB357" s="1759"/>
      <c r="BC357" s="1759"/>
      <c r="BD357" s="1759"/>
      <c r="BE357" s="1759" t="s">
        <v>61</v>
      </c>
      <c r="BF357" s="1759"/>
      <c r="BG357" s="1760"/>
      <c r="BH357" s="730"/>
      <c r="BI357" s="785"/>
      <c r="BJ357" s="731"/>
    </row>
    <row r="358" spans="2:62" hidden="1" outlineLevel="1" x14ac:dyDescent="0.2">
      <c r="B358" s="507"/>
      <c r="C358" s="504"/>
      <c r="D358" s="504" t="s">
        <v>56</v>
      </c>
      <c r="E358" s="504" t="s">
        <v>56</v>
      </c>
      <c r="F358" s="205" t="s">
        <v>2669</v>
      </c>
      <c r="G358" s="205" t="s">
        <v>2574</v>
      </c>
      <c r="H358" s="504" t="s">
        <v>2542</v>
      </c>
      <c r="I358" s="1632" t="s">
        <v>2677</v>
      </c>
      <c r="J358" s="1745" t="s">
        <v>1457</v>
      </c>
      <c r="K358" s="1745"/>
      <c r="L358" s="1745"/>
      <c r="M358" s="503" t="s">
        <v>61</v>
      </c>
      <c r="N358" s="503" t="s">
        <v>61</v>
      </c>
      <c r="O358" s="503" t="s">
        <v>61</v>
      </c>
      <c r="P358" s="508" t="s">
        <v>30</v>
      </c>
      <c r="X358" s="1633" t="s">
        <v>2605</v>
      </c>
      <c r="Y358" s="504" t="s">
        <v>2110</v>
      </c>
      <c r="Z358" s="504" t="s">
        <v>61</v>
      </c>
      <c r="AA358" s="504" t="s">
        <v>61</v>
      </c>
      <c r="AB358" s="504" t="s">
        <v>61</v>
      </c>
      <c r="AC358" s="503" t="s">
        <v>61</v>
      </c>
      <c r="AD358" s="508" t="s">
        <v>30</v>
      </c>
      <c r="AF358" s="507" t="s">
        <v>2065</v>
      </c>
      <c r="AG358" s="504" t="s">
        <v>61</v>
      </c>
      <c r="AH358" s="504" t="s">
        <v>61</v>
      </c>
      <c r="AI358" s="504" t="s">
        <v>61</v>
      </c>
      <c r="AJ358" s="503" t="s">
        <v>61</v>
      </c>
      <c r="AK358" s="504" t="s">
        <v>30</v>
      </c>
      <c r="AL358" s="504" t="s">
        <v>2558</v>
      </c>
      <c r="AM358" s="504" t="s">
        <v>61</v>
      </c>
      <c r="AN358" s="504" t="s">
        <v>61</v>
      </c>
      <c r="AO358" s="504" t="s">
        <v>61</v>
      </c>
      <c r="AP358" s="503" t="s">
        <v>61</v>
      </c>
      <c r="AQ358" s="508" t="s">
        <v>30</v>
      </c>
      <c r="AS358" s="1764" t="s">
        <v>14</v>
      </c>
      <c r="AT358" s="1761"/>
      <c r="AU358" s="1761"/>
      <c r="AV358" s="1761" t="s">
        <v>60</v>
      </c>
      <c r="AW358" s="1761"/>
      <c r="AX358" s="1761"/>
      <c r="AY358" s="1761" t="s">
        <v>27</v>
      </c>
      <c r="AZ358" s="1761"/>
      <c r="BA358" s="1761"/>
      <c r="BB358" s="1761" t="s">
        <v>2074</v>
      </c>
      <c r="BC358" s="1761"/>
      <c r="BD358" s="1761"/>
      <c r="BE358" s="1762" t="s">
        <v>41</v>
      </c>
      <c r="BF358" s="1762"/>
      <c r="BG358" s="1763"/>
      <c r="BH358" s="1764" t="s">
        <v>85</v>
      </c>
      <c r="BI358" s="1761"/>
      <c r="BJ358" s="1765"/>
    </row>
    <row r="359" spans="2:62" hidden="1" outlineLevel="1" x14ac:dyDescent="0.2">
      <c r="B359" s="507"/>
      <c r="C359" s="504"/>
      <c r="D359" s="504" t="s">
        <v>61</v>
      </c>
      <c r="E359" s="504" t="s">
        <v>63</v>
      </c>
      <c r="F359" s="208" t="s">
        <v>2054</v>
      </c>
      <c r="G359" s="208" t="s">
        <v>2678</v>
      </c>
      <c r="H359" s="504" t="s">
        <v>2679</v>
      </c>
      <c r="I359" s="1632" t="s">
        <v>2681</v>
      </c>
      <c r="J359" s="506" t="s">
        <v>768</v>
      </c>
      <c r="K359" s="506" t="s">
        <v>24</v>
      </c>
      <c r="L359" s="506" t="s">
        <v>59</v>
      </c>
      <c r="M359" s="505" t="s">
        <v>768</v>
      </c>
      <c r="N359" s="505" t="s">
        <v>24</v>
      </c>
      <c r="O359" s="505" t="s">
        <v>59</v>
      </c>
      <c r="P359" s="508" t="s">
        <v>61</v>
      </c>
      <c r="X359" s="1633" t="s">
        <v>2109</v>
      </c>
      <c r="Y359" s="504"/>
      <c r="Z359" s="506" t="s">
        <v>768</v>
      </c>
      <c r="AA359" s="506" t="s">
        <v>24</v>
      </c>
      <c r="AB359" s="506" t="s">
        <v>59</v>
      </c>
      <c r="AC359" s="503" t="s">
        <v>41</v>
      </c>
      <c r="AD359" s="508" t="s">
        <v>61</v>
      </c>
      <c r="AF359" s="507"/>
      <c r="AG359" s="506" t="s">
        <v>768</v>
      </c>
      <c r="AH359" s="506" t="s">
        <v>24</v>
      </c>
      <c r="AI359" s="506" t="s">
        <v>59</v>
      </c>
      <c r="AJ359" s="223" t="s">
        <v>41</v>
      </c>
      <c r="AK359" s="504" t="s">
        <v>61</v>
      </c>
      <c r="AL359" s="504"/>
      <c r="AM359" s="506" t="s">
        <v>768</v>
      </c>
      <c r="AN359" s="506" t="s">
        <v>24</v>
      </c>
      <c r="AO359" s="506" t="s">
        <v>59</v>
      </c>
      <c r="AP359" s="223" t="s">
        <v>41</v>
      </c>
      <c r="AQ359" s="508" t="s">
        <v>61</v>
      </c>
      <c r="AS359" s="732" t="s">
        <v>768</v>
      </c>
      <c r="AT359" s="733" t="s">
        <v>24</v>
      </c>
      <c r="AU359" s="733" t="s">
        <v>59</v>
      </c>
      <c r="AV359" s="733" t="s">
        <v>768</v>
      </c>
      <c r="AW359" s="733" t="s">
        <v>24</v>
      </c>
      <c r="AX359" s="733" t="s">
        <v>59</v>
      </c>
      <c r="AY359" s="733" t="s">
        <v>768</v>
      </c>
      <c r="AZ359" s="733" t="s">
        <v>24</v>
      </c>
      <c r="BA359" s="733" t="s">
        <v>59</v>
      </c>
      <c r="BB359" s="733" t="s">
        <v>768</v>
      </c>
      <c r="BC359" s="733" t="s">
        <v>24</v>
      </c>
      <c r="BD359" s="733" t="s">
        <v>59</v>
      </c>
      <c r="BE359" s="734" t="s">
        <v>768</v>
      </c>
      <c r="BF359" s="734" t="s">
        <v>24</v>
      </c>
      <c r="BG359" s="735" t="s">
        <v>59</v>
      </c>
      <c r="BH359" s="732" t="s">
        <v>768</v>
      </c>
      <c r="BI359" s="733" t="s">
        <v>24</v>
      </c>
      <c r="BJ359" s="736" t="s">
        <v>59</v>
      </c>
    </row>
    <row r="360" spans="2:62" hidden="1" outlineLevel="1" x14ac:dyDescent="0.2">
      <c r="B360" s="200" t="s">
        <v>1486</v>
      </c>
      <c r="C360" s="201"/>
      <c r="D360" s="262">
        <f>SUM(M360:O360)</f>
        <v>0</v>
      </c>
      <c r="E360" s="265">
        <f>D360*12/44</f>
        <v>0</v>
      </c>
      <c r="F360" s="559"/>
      <c r="G360" s="559"/>
      <c r="H360" s="273">
        <f>VLOOKUP($B360,'Emissions factors'!$B$1624:$N$1666,13,FALSE)</f>
        <v>500</v>
      </c>
      <c r="I360" s="221">
        <f>G360*H360</f>
        <v>0</v>
      </c>
      <c r="J360" s="272">
        <f>VLOOKUP($B360,'Emissions factors'!$B$1624:$N$1666,2,FALSE)</f>
        <v>6.5079999999999999E-2</v>
      </c>
      <c r="K360" s="272">
        <f>VLOOKUP($B360,'Emissions factors'!$B$1624:$N$1666,3,FALSE)</f>
        <v>0.309</v>
      </c>
      <c r="L360" s="272">
        <f>IF(LEFT(B360,8)="Régional",0,K360*'Emissions factors'!$C$1619)</f>
        <v>0.309</v>
      </c>
      <c r="M360" s="465">
        <f>I360*J360</f>
        <v>0</v>
      </c>
      <c r="N360" s="465">
        <f>I360*K360</f>
        <v>0</v>
      </c>
      <c r="O360" s="210">
        <f>I360*L360</f>
        <v>0</v>
      </c>
      <c r="P360" s="222">
        <f>IF(OR(F360='Info utili'!$I$532,F360='Info utili'!$I$537),N360,0)</f>
        <v>0</v>
      </c>
      <c r="X360" s="282">
        <f>VLOOKUP($B360,'Emissions factors'!$B$1624:$N$1666,12,FALSE)</f>
        <v>0.5</v>
      </c>
      <c r="Y360" s="183"/>
      <c r="Z360" s="432">
        <f>M360*SQRT(X360^2+Y360^2)</f>
        <v>0</v>
      </c>
      <c r="AA360" s="432">
        <f>N360*SQRT(X360^2+Y360^2)</f>
        <v>0</v>
      </c>
      <c r="AB360" s="221">
        <f>O360*SQRT(X360^2+Y360^2)</f>
        <v>0</v>
      </c>
      <c r="AC360" s="210">
        <f>SQRT(SUMSQ(Z360:AB360))</f>
        <v>0</v>
      </c>
      <c r="AD360" s="222">
        <f>P360*SQRT(X360^2+Y360^2)</f>
        <v>0</v>
      </c>
      <c r="AF360" s="184"/>
      <c r="AG360" s="221">
        <f>AF360*M360</f>
        <v>0</v>
      </c>
      <c r="AH360" s="221">
        <f>AF360*N360</f>
        <v>0</v>
      </c>
      <c r="AI360" s="221">
        <f>AF360*O360</f>
        <v>0</v>
      </c>
      <c r="AJ360" s="210">
        <f>SUM(AG360:AI360)</f>
        <v>0</v>
      </c>
      <c r="AK360" s="221">
        <f>AF360*P360</f>
        <v>0</v>
      </c>
      <c r="AL360" s="183"/>
      <c r="AM360" s="221">
        <f>AL360*M360</f>
        <v>0</v>
      </c>
      <c r="AN360" s="221">
        <f>AL360*N360</f>
        <v>0</v>
      </c>
      <c r="AO360" s="221">
        <f>AL360*O360</f>
        <v>0</v>
      </c>
      <c r="AP360" s="210">
        <f>SUM(AM360:AO360)</f>
        <v>0</v>
      </c>
      <c r="AQ360" s="222">
        <f>AL360*P360</f>
        <v>0</v>
      </c>
      <c r="AS360" s="717">
        <f>I360*VLOOKUP($B360,'Emissions factors'!$B$1624:$N$1666,4,FALSE)</f>
        <v>0</v>
      </c>
      <c r="AT360" s="718">
        <f>I360*VLOOKUP($B360,'Emissions factors'!$B$1624:$N$1666,5,FALSE)</f>
        <v>0</v>
      </c>
      <c r="AU360" s="718"/>
      <c r="AV360" s="718">
        <f>I360*VLOOKUP($B360,'Emissions factors'!$B$1624:$N$1666,6,FALSE)</f>
        <v>0</v>
      </c>
      <c r="AW360" s="718">
        <f>I360*VLOOKUP($B360,'Emissions factors'!$B$1624:$N$1666,7,FALSE)</f>
        <v>0</v>
      </c>
      <c r="AX360" s="718"/>
      <c r="AY360" s="718">
        <f>I360*VLOOKUP($B360,'Emissions factors'!$B$1624:$N$1666,8,FALSE)</f>
        <v>0</v>
      </c>
      <c r="AZ360" s="718">
        <f>I360*VLOOKUP($B360,'Emissions factors'!$B$1624:$N$1666,9,FALSE)</f>
        <v>0</v>
      </c>
      <c r="BA360" s="718"/>
      <c r="BB360" s="718"/>
      <c r="BC360" s="718"/>
      <c r="BD360" s="718">
        <f>O360</f>
        <v>0</v>
      </c>
      <c r="BE360" s="719">
        <f t="shared" ref="BE360:BG362" si="70">M360</f>
        <v>0</v>
      </c>
      <c r="BF360" s="719">
        <f t="shared" si="70"/>
        <v>0</v>
      </c>
      <c r="BG360" s="719">
        <f t="shared" si="70"/>
        <v>0</v>
      </c>
      <c r="BH360" s="717">
        <f>I360*VLOOKUP($B360,'Emissions factors'!$B$1624:$N$1666,10,FALSE)</f>
        <v>0</v>
      </c>
      <c r="BI360" s="718">
        <f>I360*VLOOKUP($B360,'Emissions factors'!$B$1624:$N$1666,11,FALSE)</f>
        <v>0</v>
      </c>
      <c r="BJ360" s="721"/>
    </row>
    <row r="361" spans="2:62" ht="12.75" hidden="1" customHeight="1" outlineLevel="1" x14ac:dyDescent="0.2">
      <c r="B361" s="200" t="s">
        <v>1331</v>
      </c>
      <c r="C361" s="201"/>
      <c r="D361" s="262">
        <f>SUM(M361:O361)</f>
        <v>0</v>
      </c>
      <c r="E361" s="265">
        <f>D361*12/44</f>
        <v>0</v>
      </c>
      <c r="F361" s="442"/>
      <c r="G361" s="442"/>
      <c r="H361" s="273">
        <f>VLOOKUP($B361,'Emissions factors'!$B$1624:$N$1666,13,FALSE)</f>
        <v>1500</v>
      </c>
      <c r="I361" s="221">
        <f>G361*H361</f>
        <v>0</v>
      </c>
      <c r="J361" s="272">
        <f>VLOOKUP($B361,'Emissions factors'!$B$1624:$N$1666,2,FALSE)</f>
        <v>2.989E-2</v>
      </c>
      <c r="K361" s="272">
        <f>VLOOKUP($B361,'Emissions factors'!$B$1624:$N$1666,3,FALSE)</f>
        <v>0.14199999999999999</v>
      </c>
      <c r="L361" s="272">
        <f>IF(LEFT(B361,8)="Régional",0,K361*'Emissions factors'!$C$1619)</f>
        <v>0.14199999999999999</v>
      </c>
      <c r="M361" s="465">
        <f>I361*J361</f>
        <v>0</v>
      </c>
      <c r="N361" s="465">
        <f>I361*K361</f>
        <v>0</v>
      </c>
      <c r="O361" s="210">
        <f>I361*L361</f>
        <v>0</v>
      </c>
      <c r="P361" s="222">
        <f>IF(OR(F361='Info utili'!$I$532,F361='Info utili'!$I$537),N361,0)</f>
        <v>0</v>
      </c>
      <c r="X361" s="282">
        <f>VLOOKUP($B361,'Emissions factors'!$B$1624:$N$1666,12,FALSE)</f>
        <v>0.5</v>
      </c>
      <c r="Y361" s="186"/>
      <c r="Z361" s="432">
        <f>M361*SQRT(X361^2+Y361^2)</f>
        <v>0</v>
      </c>
      <c r="AA361" s="432">
        <f>N361*SQRT(X361^2+Y361^2)</f>
        <v>0</v>
      </c>
      <c r="AB361" s="221">
        <f>O361*SQRT(X361^2+Y361^2)</f>
        <v>0</v>
      </c>
      <c r="AC361" s="210">
        <f>SQRT(SUMSQ(Z361:AB361))</f>
        <v>0</v>
      </c>
      <c r="AD361" s="222">
        <f>P361*SQRT(X361^2+Y361^2)</f>
        <v>0</v>
      </c>
      <c r="AF361" s="187"/>
      <c r="AG361" s="221">
        <f>AF361*M361</f>
        <v>0</v>
      </c>
      <c r="AH361" s="221">
        <f>AF361*N361</f>
        <v>0</v>
      </c>
      <c r="AI361" s="221">
        <f>AF361*O361</f>
        <v>0</v>
      </c>
      <c r="AJ361" s="210">
        <f>SUM(AG361:AI361)</f>
        <v>0</v>
      </c>
      <c r="AK361" s="221">
        <f>AF361*P361</f>
        <v>0</v>
      </c>
      <c r="AL361" s="187"/>
      <c r="AM361" s="221">
        <f>AL361*M361</f>
        <v>0</v>
      </c>
      <c r="AN361" s="221">
        <f>AL361*N361</f>
        <v>0</v>
      </c>
      <c r="AO361" s="221">
        <f>AL361*O361</f>
        <v>0</v>
      </c>
      <c r="AP361" s="210">
        <f>SUM(AM361:AO361)</f>
        <v>0</v>
      </c>
      <c r="AQ361" s="222">
        <f>AL361*P361</f>
        <v>0</v>
      </c>
      <c r="AS361" s="717">
        <f>I361*VLOOKUP($B361,'Emissions factors'!$B$1624:$N$1666,4,FALSE)</f>
        <v>0</v>
      </c>
      <c r="AT361" s="718">
        <f>I361*VLOOKUP($B361,'Emissions factors'!$B$1624:$N$1666,5,FALSE)</f>
        <v>0</v>
      </c>
      <c r="AU361" s="718"/>
      <c r="AV361" s="718">
        <f>I361*VLOOKUP($B361,'Emissions factors'!$B$1624:$N$1666,6,FALSE)</f>
        <v>0</v>
      </c>
      <c r="AW361" s="718">
        <f>I361*VLOOKUP($B361,'Emissions factors'!$B$1624:$N$1666,7,FALSE)</f>
        <v>0</v>
      </c>
      <c r="AX361" s="718"/>
      <c r="AY361" s="718">
        <f>I361*VLOOKUP($B361,'Emissions factors'!$B$1624:$N$1666,8,FALSE)</f>
        <v>0</v>
      </c>
      <c r="AZ361" s="718">
        <f>I361*VLOOKUP($B361,'Emissions factors'!$B$1624:$N$1666,9,FALSE)</f>
        <v>0</v>
      </c>
      <c r="BA361" s="718"/>
      <c r="BB361" s="718"/>
      <c r="BC361" s="718"/>
      <c r="BD361" s="718">
        <f>O361</f>
        <v>0</v>
      </c>
      <c r="BE361" s="719">
        <f t="shared" si="70"/>
        <v>0</v>
      </c>
      <c r="BF361" s="719">
        <f t="shared" si="70"/>
        <v>0</v>
      </c>
      <c r="BG361" s="719">
        <f t="shared" si="70"/>
        <v>0</v>
      </c>
      <c r="BH361" s="717">
        <f>I361*VLOOKUP($B361,'Emissions factors'!$B$1624:$N$1666,10,FALSE)</f>
        <v>0</v>
      </c>
      <c r="BI361" s="718">
        <f>I361*VLOOKUP($B361,'Emissions factors'!$B$1624:$N$1666,11,FALSE)</f>
        <v>0</v>
      </c>
      <c r="BJ361" s="721"/>
    </row>
    <row r="362" spans="2:62" hidden="1" outlineLevel="1" x14ac:dyDescent="0.2">
      <c r="B362" s="200" t="s">
        <v>1334</v>
      </c>
      <c r="C362" s="201"/>
      <c r="D362" s="262">
        <f>SUM(M362:O362)</f>
        <v>0</v>
      </c>
      <c r="E362" s="265">
        <f>D362*12/44</f>
        <v>0</v>
      </c>
      <c r="F362" s="443"/>
      <c r="G362" s="188"/>
      <c r="H362" s="273">
        <f>VLOOKUP($B362,'Emissions factors'!$B$1624:$N$1666,13,FALSE)</f>
        <v>1500</v>
      </c>
      <c r="I362" s="221">
        <f>G362*H362</f>
        <v>0</v>
      </c>
      <c r="J362" s="272">
        <f>VLOOKUP($B362,'Emissions factors'!$B$1624:$N$1666,2,FALSE)</f>
        <v>2.4570000000000002E-2</v>
      </c>
      <c r="K362" s="272">
        <f>VLOOKUP($B362,'Emissions factors'!$B$1624:$N$1666,3,FALSE)</f>
        <v>0.11700000000000001</v>
      </c>
      <c r="L362" s="272">
        <f>IF(LEFT(B362,8)="Régional",0,K362*'Emissions factors'!$C$1619)</f>
        <v>0.11700000000000001</v>
      </c>
      <c r="M362" s="465">
        <f>I362*J362</f>
        <v>0</v>
      </c>
      <c r="N362" s="465">
        <f>I362*K362</f>
        <v>0</v>
      </c>
      <c r="O362" s="210">
        <f>I362*L362</f>
        <v>0</v>
      </c>
      <c r="P362" s="222">
        <f>IF(OR(F362='Info utili'!$I$532,F362='Info utili'!$I$537),N362,0)</f>
        <v>0</v>
      </c>
      <c r="X362" s="282">
        <f>VLOOKUP($B362,'Emissions factors'!$B$1624:$N$1666,12,FALSE)</f>
        <v>0.5</v>
      </c>
      <c r="Y362" s="189"/>
      <c r="Z362" s="432">
        <f>M362*SQRT(X362^2+Y362^2)</f>
        <v>0</v>
      </c>
      <c r="AA362" s="432">
        <f>N362*SQRT(X362^2+Y362^2)</f>
        <v>0</v>
      </c>
      <c r="AB362" s="221">
        <f>O362*SQRT(X362^2+Y362^2)</f>
        <v>0</v>
      </c>
      <c r="AC362" s="210">
        <f>SQRT(SUMSQ(Z362:AB362))</f>
        <v>0</v>
      </c>
      <c r="AD362" s="222">
        <f>P362*SQRT(X362^2+Y362^2)</f>
        <v>0</v>
      </c>
      <c r="AF362" s="190"/>
      <c r="AG362" s="221">
        <f>AF362*M362</f>
        <v>0</v>
      </c>
      <c r="AH362" s="221">
        <f>AF362*N362</f>
        <v>0</v>
      </c>
      <c r="AI362" s="221">
        <f>AF362*O362</f>
        <v>0</v>
      </c>
      <c r="AJ362" s="210">
        <f>SUM(AG362:AI362)</f>
        <v>0</v>
      </c>
      <c r="AK362" s="221">
        <f>AF362*P362</f>
        <v>0</v>
      </c>
      <c r="AL362" s="190"/>
      <c r="AM362" s="221">
        <f>AL362*M362</f>
        <v>0</v>
      </c>
      <c r="AN362" s="221">
        <f>AL362*N362</f>
        <v>0</v>
      </c>
      <c r="AO362" s="221">
        <f>AL362*O362</f>
        <v>0</v>
      </c>
      <c r="AP362" s="210">
        <f>SUM(AM362:AO362)</f>
        <v>0</v>
      </c>
      <c r="AQ362" s="222">
        <f>AL362*P362</f>
        <v>0</v>
      </c>
      <c r="AS362" s="717">
        <f>I362*VLOOKUP($B362,'Emissions factors'!$B$1624:$N$1666,4,FALSE)</f>
        <v>0</v>
      </c>
      <c r="AT362" s="718">
        <f>I362*VLOOKUP($B362,'Emissions factors'!$B$1624:$N$1666,5,FALSE)</f>
        <v>0</v>
      </c>
      <c r="AU362" s="718"/>
      <c r="AV362" s="718">
        <f>I362*VLOOKUP($B362,'Emissions factors'!$B$1624:$N$1666,6,FALSE)</f>
        <v>0</v>
      </c>
      <c r="AW362" s="718">
        <f>I362*VLOOKUP($B362,'Emissions factors'!$B$1624:$N$1666,7,FALSE)</f>
        <v>0</v>
      </c>
      <c r="AX362" s="718"/>
      <c r="AY362" s="718">
        <f>I362*VLOOKUP($B362,'Emissions factors'!$B$1624:$N$1666,8,FALSE)</f>
        <v>0</v>
      </c>
      <c r="AZ362" s="718">
        <f>I362*VLOOKUP($B362,'Emissions factors'!$B$1624:$N$1666,9,FALSE)</f>
        <v>0</v>
      </c>
      <c r="BA362" s="718"/>
      <c r="BB362" s="718"/>
      <c r="BC362" s="718"/>
      <c r="BD362" s="718">
        <f>O362</f>
        <v>0</v>
      </c>
      <c r="BE362" s="719">
        <f t="shared" si="70"/>
        <v>0</v>
      </c>
      <c r="BF362" s="719">
        <f t="shared" si="70"/>
        <v>0</v>
      </c>
      <c r="BG362" s="719">
        <f t="shared" si="70"/>
        <v>0</v>
      </c>
      <c r="BH362" s="717">
        <f>I362*VLOOKUP($B362,'Emissions factors'!$B$1624:$N$1666,10,FALSE)</f>
        <v>0</v>
      </c>
      <c r="BI362" s="718">
        <f>I362*VLOOKUP($B362,'Emissions factors'!$B$1624:$N$1666,11,FALSE)</f>
        <v>0</v>
      </c>
      <c r="BJ362" s="721"/>
    </row>
    <row r="363" spans="2:62" hidden="1" outlineLevel="1" x14ac:dyDescent="0.2">
      <c r="B363" s="200"/>
      <c r="C363" s="201"/>
      <c r="D363" s="263"/>
      <c r="E363" s="266"/>
      <c r="F363" s="201"/>
      <c r="G363" s="201"/>
      <c r="H363" s="201"/>
      <c r="I363" s="201"/>
      <c r="J363" s="201"/>
      <c r="K363" s="201"/>
      <c r="L363" s="272"/>
      <c r="M363" s="201"/>
      <c r="N363" s="201"/>
      <c r="O363" s="210"/>
      <c r="P363" s="222"/>
      <c r="X363" s="213"/>
      <c r="Y363" s="214"/>
      <c r="Z363" s="214"/>
      <c r="AA363" s="214"/>
      <c r="AB363" s="214"/>
      <c r="AC363" s="214"/>
      <c r="AD363" s="466"/>
      <c r="AF363" s="200"/>
      <c r="AG363" s="201"/>
      <c r="AH363" s="201"/>
      <c r="AI363" s="201"/>
      <c r="AJ363" s="413"/>
      <c r="AK363" s="504"/>
      <c r="AL363" s="201"/>
      <c r="AM363" s="201"/>
      <c r="AN363" s="201"/>
      <c r="AO363" s="201"/>
      <c r="AP363" s="413"/>
      <c r="AQ363" s="222"/>
      <c r="AS363" s="717"/>
      <c r="AT363" s="718"/>
      <c r="AU363" s="718"/>
      <c r="AV363" s="718"/>
      <c r="AW363" s="718"/>
      <c r="AX363" s="718"/>
      <c r="AY363" s="718"/>
      <c r="AZ363" s="718"/>
      <c r="BA363" s="718"/>
      <c r="BB363" s="718"/>
      <c r="BC363" s="718"/>
      <c r="BD363" s="718"/>
      <c r="BE363" s="719"/>
      <c r="BF363" s="719"/>
      <c r="BG363" s="720"/>
      <c r="BH363" s="722"/>
      <c r="BI363" s="786"/>
      <c r="BJ363" s="723"/>
    </row>
    <row r="364" spans="2:62" hidden="1" outlineLevel="1" x14ac:dyDescent="0.2">
      <c r="B364" s="253" t="s">
        <v>44</v>
      </c>
      <c r="C364" s="254"/>
      <c r="D364" s="264">
        <f>SUM(D360:D363)</f>
        <v>0</v>
      </c>
      <c r="E364" s="267">
        <f>SUM(E360:E363)</f>
        <v>0</v>
      </c>
      <c r="F364" s="254"/>
      <c r="G364" s="254"/>
      <c r="H364" s="254"/>
      <c r="I364" s="254"/>
      <c r="J364" s="254"/>
      <c r="K364" s="254"/>
      <c r="L364" s="254"/>
      <c r="M364" s="259">
        <f>SUM(M360:M363)</f>
        <v>0</v>
      </c>
      <c r="N364" s="259">
        <f>SUM(N360:N363)</f>
        <v>0</v>
      </c>
      <c r="O364" s="259">
        <f>SUM(O360:O363)</f>
        <v>0</v>
      </c>
      <c r="P364" s="428">
        <f>SUM(P360:P363)</f>
        <v>0</v>
      </c>
      <c r="X364" s="258"/>
      <c r="Y364" s="256"/>
      <c r="Z364" s="260">
        <f>SQRT(SUMSQ(Z359:Z363))</f>
        <v>0</v>
      </c>
      <c r="AA364" s="260">
        <f>SQRT(SUMSQ(AA359:AA363))</f>
        <v>0</v>
      </c>
      <c r="AB364" s="260">
        <f>SQRT(SUMSQ(AB359:AB363))</f>
        <v>0</v>
      </c>
      <c r="AC364" s="259">
        <f>SQRT(SUMSQ(AC359:AC363))</f>
        <v>0</v>
      </c>
      <c r="AD364" s="428">
        <f>SQRT(SUMSQ(AD359:AD363))</f>
        <v>0</v>
      </c>
      <c r="AF364" s="258"/>
      <c r="AG364" s="260">
        <f>SUM(AG360:AG363)</f>
        <v>0</v>
      </c>
      <c r="AH364" s="260">
        <f>SUM(AH360:AH363)</f>
        <v>0</v>
      </c>
      <c r="AI364" s="260">
        <f>SUM(AI360:AI363)</f>
        <v>0</v>
      </c>
      <c r="AJ364" s="259">
        <f>SUM(AJ360:AJ363)</f>
        <v>0</v>
      </c>
      <c r="AK364" s="260">
        <f>SUM(AK360:AK363)</f>
        <v>0</v>
      </c>
      <c r="AL364" s="256"/>
      <c r="AM364" s="260">
        <f>SUM(AM360:AM363)</f>
        <v>0</v>
      </c>
      <c r="AN364" s="260">
        <f>SUM(AN360:AN363)</f>
        <v>0</v>
      </c>
      <c r="AO364" s="260">
        <f>SUM(AO360:AO363)</f>
        <v>0</v>
      </c>
      <c r="AP364" s="259">
        <f>SUM(AP360:AP363)</f>
        <v>0</v>
      </c>
      <c r="AQ364" s="428">
        <f>SUM(AQ360:AQ363)</f>
        <v>0</v>
      </c>
      <c r="AS364" s="724">
        <f t="shared" ref="AS364:BJ364" si="71">SUM(AS360:AS363)</f>
        <v>0</v>
      </c>
      <c r="AT364" s="725">
        <f t="shared" si="71"/>
        <v>0</v>
      </c>
      <c r="AU364" s="725">
        <f t="shared" si="71"/>
        <v>0</v>
      </c>
      <c r="AV364" s="725">
        <f t="shared" si="71"/>
        <v>0</v>
      </c>
      <c r="AW364" s="725">
        <f t="shared" si="71"/>
        <v>0</v>
      </c>
      <c r="AX364" s="725">
        <f t="shared" si="71"/>
        <v>0</v>
      </c>
      <c r="AY364" s="725">
        <f t="shared" si="71"/>
        <v>0</v>
      </c>
      <c r="AZ364" s="725">
        <f t="shared" si="71"/>
        <v>0</v>
      </c>
      <c r="BA364" s="725">
        <f t="shared" si="71"/>
        <v>0</v>
      </c>
      <c r="BB364" s="725">
        <f t="shared" si="71"/>
        <v>0</v>
      </c>
      <c r="BC364" s="725">
        <f t="shared" si="71"/>
        <v>0</v>
      </c>
      <c r="BD364" s="725">
        <f t="shared" si="71"/>
        <v>0</v>
      </c>
      <c r="BE364" s="726">
        <f t="shared" si="71"/>
        <v>0</v>
      </c>
      <c r="BF364" s="726">
        <f t="shared" si="71"/>
        <v>0</v>
      </c>
      <c r="BG364" s="727">
        <f t="shared" si="71"/>
        <v>0</v>
      </c>
      <c r="BH364" s="724">
        <f t="shared" si="71"/>
        <v>0</v>
      </c>
      <c r="BI364" s="725">
        <f t="shared" si="71"/>
        <v>0</v>
      </c>
      <c r="BJ364" s="728">
        <f t="shared" si="71"/>
        <v>0</v>
      </c>
    </row>
    <row r="365" spans="2:62" hidden="1" outlineLevel="1" x14ac:dyDescent="0.2"/>
    <row r="366" spans="2:62" hidden="1" outlineLevel="1" x14ac:dyDescent="0.2">
      <c r="B366" s="195" t="s">
        <v>3022</v>
      </c>
      <c r="C366" s="196"/>
      <c r="D366" s="500"/>
      <c r="E366" s="500"/>
      <c r="F366" s="198"/>
      <c r="G366" s="198"/>
      <c r="H366" s="198"/>
      <c r="I366" s="198"/>
      <c r="J366" s="198"/>
      <c r="K366" s="198"/>
      <c r="L366" s="198"/>
      <c r="M366" s="217"/>
      <c r="N366" s="217"/>
      <c r="O366" s="218"/>
      <c r="X366" s="1746" t="s">
        <v>723</v>
      </c>
      <c r="Y366" s="1747"/>
      <c r="Z366" s="1747"/>
      <c r="AA366" s="1747"/>
      <c r="AB366" s="1747"/>
      <c r="AC366" s="1748"/>
      <c r="AF366" s="1746" t="s">
        <v>2066</v>
      </c>
      <c r="AG366" s="1747"/>
      <c r="AH366" s="1747"/>
      <c r="AI366" s="1747"/>
      <c r="AJ366" s="1747"/>
      <c r="AK366" s="1747"/>
      <c r="AL366" s="1747"/>
      <c r="AM366" s="1747"/>
      <c r="AN366" s="1747"/>
      <c r="AO366" s="1748"/>
      <c r="AS366" s="1755" t="s">
        <v>2073</v>
      </c>
      <c r="AT366" s="1756"/>
      <c r="AU366" s="1756"/>
      <c r="AV366" s="1756"/>
      <c r="AW366" s="1756"/>
      <c r="AX366" s="1756"/>
      <c r="AY366" s="1756"/>
      <c r="AZ366" s="1756"/>
      <c r="BA366" s="1756"/>
      <c r="BB366" s="1756"/>
      <c r="BC366" s="1756"/>
      <c r="BD366" s="1757"/>
    </row>
    <row r="367" spans="2:62" hidden="1" outlineLevel="1" x14ac:dyDescent="0.2">
      <c r="B367" s="417"/>
      <c r="C367" s="225"/>
      <c r="D367" s="503"/>
      <c r="E367" s="503"/>
      <c r="F367" s="201"/>
      <c r="G367" s="201"/>
      <c r="H367" s="201"/>
      <c r="I367" s="201"/>
      <c r="J367" s="201"/>
      <c r="K367" s="201"/>
      <c r="L367" s="201"/>
      <c r="M367" s="201"/>
      <c r="N367" s="201"/>
      <c r="O367" s="508" t="s">
        <v>2639</v>
      </c>
      <c r="X367" s="216"/>
      <c r="Y367" s="217"/>
      <c r="Z367" s="503"/>
      <c r="AA367" s="503"/>
      <c r="AB367" s="503"/>
      <c r="AC367" s="508" t="s">
        <v>2639</v>
      </c>
      <c r="AF367" s="216"/>
      <c r="AG367" s="503"/>
      <c r="AH367" s="503"/>
      <c r="AI367" s="503"/>
      <c r="AJ367" s="504" t="s">
        <v>2639</v>
      </c>
      <c r="AK367" s="217"/>
      <c r="AL367" s="503"/>
      <c r="AM367" s="503"/>
      <c r="AN367" s="503"/>
      <c r="AO367" s="508" t="s">
        <v>2639</v>
      </c>
      <c r="AS367" s="1758" t="s">
        <v>61</v>
      </c>
      <c r="AT367" s="1759"/>
      <c r="AU367" s="1759"/>
      <c r="AV367" s="1759"/>
      <c r="AW367" s="1759"/>
      <c r="AX367" s="1759"/>
      <c r="AY367" s="1759"/>
      <c r="AZ367" s="1759"/>
      <c r="BA367" s="1759" t="s">
        <v>61</v>
      </c>
      <c r="BB367" s="1760"/>
      <c r="BC367" s="730"/>
      <c r="BD367" s="731"/>
    </row>
    <row r="368" spans="2:62" hidden="1" outlineLevel="1" x14ac:dyDescent="0.2">
      <c r="B368" s="507"/>
      <c r="C368" s="504"/>
      <c r="D368" s="504" t="s">
        <v>56</v>
      </c>
      <c r="E368" s="504" t="s">
        <v>56</v>
      </c>
      <c r="F368" s="205" t="s">
        <v>2669</v>
      </c>
      <c r="G368" s="205"/>
      <c r="H368" s="1744" t="s">
        <v>1457</v>
      </c>
      <c r="I368" s="1745"/>
      <c r="J368" s="205"/>
      <c r="K368" s="1744" t="s">
        <v>2664</v>
      </c>
      <c r="L368" s="1745"/>
      <c r="M368" s="503" t="s">
        <v>61</v>
      </c>
      <c r="N368" s="503" t="s">
        <v>61</v>
      </c>
      <c r="O368" s="508" t="s">
        <v>30</v>
      </c>
      <c r="X368" s="1633" t="s">
        <v>2605</v>
      </c>
      <c r="Y368" s="504" t="s">
        <v>2110</v>
      </c>
      <c r="Z368" s="504" t="s">
        <v>61</v>
      </c>
      <c r="AA368" s="504" t="s">
        <v>61</v>
      </c>
      <c r="AB368" s="503" t="s">
        <v>61</v>
      </c>
      <c r="AC368" s="508" t="s">
        <v>30</v>
      </c>
      <c r="AF368" s="507" t="s">
        <v>2065</v>
      </c>
      <c r="AG368" s="504" t="s">
        <v>61</v>
      </c>
      <c r="AH368" s="504" t="s">
        <v>61</v>
      </c>
      <c r="AI368" s="503" t="s">
        <v>61</v>
      </c>
      <c r="AJ368" s="504" t="s">
        <v>30</v>
      </c>
      <c r="AK368" s="504" t="s">
        <v>2558</v>
      </c>
      <c r="AL368" s="504" t="s">
        <v>61</v>
      </c>
      <c r="AM368" s="504" t="s">
        <v>61</v>
      </c>
      <c r="AN368" s="503" t="s">
        <v>61</v>
      </c>
      <c r="AO368" s="508" t="s">
        <v>30</v>
      </c>
      <c r="AS368" s="1764" t="s">
        <v>14</v>
      </c>
      <c r="AT368" s="1761"/>
      <c r="AU368" s="1761" t="s">
        <v>60</v>
      </c>
      <c r="AV368" s="1761"/>
      <c r="AW368" s="1761" t="s">
        <v>27</v>
      </c>
      <c r="AX368" s="1761"/>
      <c r="AY368" s="1761" t="s">
        <v>2074</v>
      </c>
      <c r="AZ368" s="1761"/>
      <c r="BA368" s="1762" t="s">
        <v>41</v>
      </c>
      <c r="BB368" s="1763"/>
      <c r="BC368" s="1764" t="s">
        <v>85</v>
      </c>
      <c r="BD368" s="1765"/>
    </row>
    <row r="369" spans="2:62" hidden="1" outlineLevel="1" x14ac:dyDescent="0.2">
      <c r="B369" s="507"/>
      <c r="C369" s="504"/>
      <c r="D369" s="504" t="s">
        <v>61</v>
      </c>
      <c r="E369" s="504" t="s">
        <v>63</v>
      </c>
      <c r="F369" s="208" t="s">
        <v>2054</v>
      </c>
      <c r="G369" s="208" t="s">
        <v>2676</v>
      </c>
      <c r="H369" s="506" t="s">
        <v>768</v>
      </c>
      <c r="I369" s="506" t="s">
        <v>24</v>
      </c>
      <c r="J369" s="212" t="s">
        <v>2665</v>
      </c>
      <c r="K369" s="693" t="s">
        <v>768</v>
      </c>
      <c r="L369" s="693" t="s">
        <v>24</v>
      </c>
      <c r="M369" s="505" t="s">
        <v>768</v>
      </c>
      <c r="N369" s="505" t="s">
        <v>24</v>
      </c>
      <c r="O369" s="508" t="s">
        <v>61</v>
      </c>
      <c r="X369" s="1633" t="s">
        <v>2109</v>
      </c>
      <c r="Y369" s="504"/>
      <c r="Z369" s="506" t="s">
        <v>768</v>
      </c>
      <c r="AA369" s="506" t="s">
        <v>24</v>
      </c>
      <c r="AB369" s="223" t="s">
        <v>41</v>
      </c>
      <c r="AC369" s="508" t="s">
        <v>61</v>
      </c>
      <c r="AF369" s="507"/>
      <c r="AG369" s="506" t="s">
        <v>768</v>
      </c>
      <c r="AH369" s="506" t="s">
        <v>24</v>
      </c>
      <c r="AI369" s="223" t="s">
        <v>41</v>
      </c>
      <c r="AJ369" s="504" t="s">
        <v>61</v>
      </c>
      <c r="AK369" s="504"/>
      <c r="AL369" s="506" t="s">
        <v>768</v>
      </c>
      <c r="AM369" s="506" t="s">
        <v>24</v>
      </c>
      <c r="AN369" s="223" t="s">
        <v>41</v>
      </c>
      <c r="AO369" s="508" t="s">
        <v>61</v>
      </c>
      <c r="AS369" s="732" t="s">
        <v>768</v>
      </c>
      <c r="AT369" s="733" t="s">
        <v>24</v>
      </c>
      <c r="AU369" s="733" t="s">
        <v>768</v>
      </c>
      <c r="AV369" s="733" t="s">
        <v>24</v>
      </c>
      <c r="AW369" s="733" t="s">
        <v>768</v>
      </c>
      <c r="AX369" s="733" t="s">
        <v>24</v>
      </c>
      <c r="AY369" s="733" t="s">
        <v>768</v>
      </c>
      <c r="AZ369" s="733" t="s">
        <v>24</v>
      </c>
      <c r="BA369" s="734" t="s">
        <v>768</v>
      </c>
      <c r="BB369" s="735" t="s">
        <v>24</v>
      </c>
      <c r="BC369" s="732" t="s">
        <v>768</v>
      </c>
      <c r="BD369" s="736" t="s">
        <v>24</v>
      </c>
    </row>
    <row r="370" spans="2:62" hidden="1" outlineLevel="1" x14ac:dyDescent="0.2">
      <c r="B370" s="200" t="s">
        <v>1501</v>
      </c>
      <c r="C370" s="201"/>
      <c r="D370" s="262">
        <f>M370+N370</f>
        <v>0</v>
      </c>
      <c r="E370" s="265">
        <f>D370*12/44</f>
        <v>0</v>
      </c>
      <c r="F370" s="559"/>
      <c r="G370" s="182"/>
      <c r="H370" s="272">
        <f>VLOOKUP($B370,'Emissions factors'!$B$1674:$AG$1682,12,FALSE)</f>
        <v>0.13930000000000001</v>
      </c>
      <c r="I370" s="272">
        <f>VLOOKUP($B370,'Emissions factors'!$B$1674:$AG$1682,13,FALSE)</f>
        <v>0.83930199999999999</v>
      </c>
      <c r="J370" s="182"/>
      <c r="K370" s="272">
        <f>VLOOKUP($B370,'Emissions factors'!$B$1674:$AG$1682,22,FALSE)</f>
        <v>3.7620000000000001E-2</v>
      </c>
      <c r="L370" s="272">
        <f>VLOOKUP($B370,'Emissions factors'!$B$1674:$AG$1682,23,FALSE)</f>
        <v>0.22642799999999999</v>
      </c>
      <c r="M370" s="210">
        <f>G370*H370+J370*K370</f>
        <v>0</v>
      </c>
      <c r="N370" s="210">
        <f>G370*I370+J370*L370</f>
        <v>0</v>
      </c>
      <c r="O370" s="222">
        <f>IF(OR(F370='Info utili'!$I$532,F370='Info utili'!$I$537),N370,0)</f>
        <v>0</v>
      </c>
      <c r="X370" s="282">
        <f>VLOOKUP($B370,'Emissions factors'!$B$1674:$AG$1682,32,FALSE)</f>
        <v>0.6</v>
      </c>
      <c r="Y370" s="183"/>
      <c r="Z370" s="221">
        <f>M370*SQRT(X370^2+Y370^2)</f>
        <v>0</v>
      </c>
      <c r="AA370" s="221">
        <f>N370*SQRT(X370^2+Y370^2)</f>
        <v>0</v>
      </c>
      <c r="AB370" s="210">
        <f>SQRT(SUMSQ(Z370:AA370))</f>
        <v>0</v>
      </c>
      <c r="AC370" s="222">
        <f>O370*SQRT(X370^2+Y370^2)</f>
        <v>0</v>
      </c>
      <c r="AF370" s="184"/>
      <c r="AG370" s="221">
        <f>AF370*M370</f>
        <v>0</v>
      </c>
      <c r="AH370" s="221">
        <f>AF370*N370</f>
        <v>0</v>
      </c>
      <c r="AI370" s="210">
        <f>SUM(AG370:AH370)</f>
        <v>0</v>
      </c>
      <c r="AJ370" s="221">
        <f>AF370*O370</f>
        <v>0</v>
      </c>
      <c r="AK370" s="184"/>
      <c r="AL370" s="221">
        <f>AK370*M370</f>
        <v>0</v>
      </c>
      <c r="AM370" s="221">
        <f>AK370*N370</f>
        <v>0</v>
      </c>
      <c r="AN370" s="210">
        <f>SUM(AL370:AM370)</f>
        <v>0</v>
      </c>
      <c r="AO370" s="222">
        <f>AK370*O370</f>
        <v>0</v>
      </c>
      <c r="AS370" s="717">
        <f>G370*VLOOKUP($B370,'Emissions factors'!$B$1674:$AG$1682,14,FALSE)+J370*VLOOKUP($B370,'Emissions factors'!$B$1674:$AG$1682,24,FALSE)</f>
        <v>0</v>
      </c>
      <c r="AT370" s="718">
        <f>G370*VLOOKUP($B370,'Emissions factors'!$B$1674:$AG$1682,15,FALSE)+J370*VLOOKUP($B370,'Emissions factors'!$B$1674:$AG$1682,25,FALSE)</f>
        <v>0</v>
      </c>
      <c r="AU370" s="718">
        <f>G370*VLOOKUP($B370,'Emissions factors'!$B$1674:$AG$1682,16,FALSE)+J370*VLOOKUP($B370,'Emissions factors'!$B$1674:$AG$1682,26,FALSE)</f>
        <v>0</v>
      </c>
      <c r="AV370" s="718">
        <f>G370*VLOOKUP($B370,'Emissions factors'!$B$1674:$AG$1682,17,FALSE)+J370*VLOOKUP($B370,'Emissions factors'!$B$1674:$AG$1682,27,FALSE)</f>
        <v>0</v>
      </c>
      <c r="AW370" s="718">
        <f>G370*VLOOKUP($B370,'Emissions factors'!$B$1674:$AG$1682,18,FALSE)+J370*VLOOKUP($B370,'Emissions factors'!$B$1674:$AG$1682,28,FALSE)</f>
        <v>0</v>
      </c>
      <c r="AX370" s="718">
        <f>G370*VLOOKUP($B370,'Emissions factors'!$B$1674:$AG$1682,19,FALSE)+J370*VLOOKUP($B370,'Emissions factors'!$B$1674:$AG$1682,29,FALSE)</f>
        <v>0</v>
      </c>
      <c r="AY370" s="718">
        <v>0</v>
      </c>
      <c r="AZ370" s="718">
        <v>0</v>
      </c>
      <c r="BA370" s="719">
        <f t="shared" ref="BA370:BB372" si="72">M370</f>
        <v>0</v>
      </c>
      <c r="BB370" s="720">
        <f t="shared" si="72"/>
        <v>0</v>
      </c>
      <c r="BC370" s="717">
        <f>G370*VLOOKUP($B370,'Emissions factors'!$B$1674:$AG$1682,20,FALSE)+J370*VLOOKUP($B370,'Emissions factors'!$B$1674:$AG$1682,30,FALSE)</f>
        <v>0</v>
      </c>
      <c r="BD370" s="721">
        <f>G370*VLOOKUP($B370,'Emissions factors'!$B$1674:$AG$1682,21,FALSE)+J370*VLOOKUP($B370,'Emissions factors'!$B$1674:$AG$1682,31,FALSE)</f>
        <v>0</v>
      </c>
    </row>
    <row r="371" spans="2:62" hidden="1" outlineLevel="1" x14ac:dyDescent="0.2">
      <c r="B371" s="200" t="s">
        <v>1498</v>
      </c>
      <c r="C371" s="201"/>
      <c r="D371" s="262">
        <f>M371+N371</f>
        <v>0</v>
      </c>
      <c r="E371" s="265">
        <f>D371*12/44</f>
        <v>0</v>
      </c>
      <c r="F371" s="442"/>
      <c r="G371" s="185"/>
      <c r="H371" s="272">
        <f>VLOOKUP($B371,'Emissions factors'!$B$1674:$AG$1682,12,FALSE)</f>
        <v>8.0360000000000001E-2</v>
      </c>
      <c r="I371" s="272">
        <f>VLOOKUP($B371,'Emissions factors'!$B$1674:$AG$1682,13,FALSE)</f>
        <v>0.44372100000000003</v>
      </c>
      <c r="J371" s="185"/>
      <c r="K371" s="272">
        <f>VLOOKUP($B371,'Emissions factors'!$B$1674:$AG$1682,22,FALSE)</f>
        <v>7.1470000000000006E-2</v>
      </c>
      <c r="L371" s="272">
        <f>VLOOKUP($B371,'Emissions factors'!$B$1674:$AG$1682,23,FALSE)</f>
        <v>0.39441800000000005</v>
      </c>
      <c r="M371" s="210">
        <f>G371*H371+J371*K371</f>
        <v>0</v>
      </c>
      <c r="N371" s="210">
        <f>G371*I371+J371*L371</f>
        <v>0</v>
      </c>
      <c r="O371" s="222">
        <f>IF(OR(F371='Info utili'!$I$532,F371='Info utili'!$I$537),N371,0)</f>
        <v>0</v>
      </c>
      <c r="X371" s="282">
        <f>VLOOKUP($B371,'Emissions factors'!$B$1674:$AG$1682,32,FALSE)</f>
        <v>0.6</v>
      </c>
      <c r="Y371" s="186"/>
      <c r="Z371" s="221">
        <f>M371*SQRT(X371^2+Y371^2)</f>
        <v>0</v>
      </c>
      <c r="AA371" s="221">
        <f>N371*SQRT(X371^2+Y371^2)</f>
        <v>0</v>
      </c>
      <c r="AB371" s="210">
        <f>SQRT(SUMSQ(Z371:AA371))</f>
        <v>0</v>
      </c>
      <c r="AC371" s="222">
        <f>O371*SQRT(X371^2+Y371^2)</f>
        <v>0</v>
      </c>
      <c r="AF371" s="187"/>
      <c r="AG371" s="221">
        <f>AF371*M371</f>
        <v>0</v>
      </c>
      <c r="AH371" s="221">
        <f>AF371*N371</f>
        <v>0</v>
      </c>
      <c r="AI371" s="210">
        <f>SUM(AG371:AH371)</f>
        <v>0</v>
      </c>
      <c r="AJ371" s="221">
        <f>AF371*O371</f>
        <v>0</v>
      </c>
      <c r="AK371" s="187"/>
      <c r="AL371" s="221">
        <f>AK371*M371</f>
        <v>0</v>
      </c>
      <c r="AM371" s="221">
        <f>AK371*N371</f>
        <v>0</v>
      </c>
      <c r="AN371" s="210">
        <f>SUM(AL371:AM371)</f>
        <v>0</v>
      </c>
      <c r="AO371" s="222">
        <f>AK371*O371</f>
        <v>0</v>
      </c>
      <c r="AS371" s="717">
        <f>G371*VLOOKUP($B371,'Emissions factors'!$B$1674:$AG$1682,14,FALSE)+J371*VLOOKUP($B371,'Emissions factors'!$B$1674:$AG$1682,24,FALSE)</f>
        <v>0</v>
      </c>
      <c r="AT371" s="718">
        <f>G371*VLOOKUP($B371,'Emissions factors'!$B$1674:$AG$1682,15,FALSE)+J371*VLOOKUP($B371,'Emissions factors'!$B$1674:$AG$1682,25,FALSE)</f>
        <v>0</v>
      </c>
      <c r="AU371" s="718">
        <f>G371*VLOOKUP($B371,'Emissions factors'!$B$1674:$AG$1682,16,FALSE)+J371*VLOOKUP($B371,'Emissions factors'!$B$1674:$AG$1682,26,FALSE)</f>
        <v>0</v>
      </c>
      <c r="AV371" s="718">
        <f>G371*VLOOKUP($B371,'Emissions factors'!$B$1674:$AG$1682,17,FALSE)+J371*VLOOKUP($B371,'Emissions factors'!$B$1674:$AG$1682,27,FALSE)</f>
        <v>0</v>
      </c>
      <c r="AW371" s="718">
        <f>G371*VLOOKUP($B371,'Emissions factors'!$B$1674:$AG$1682,18,FALSE)+J371*VLOOKUP($B371,'Emissions factors'!$B$1674:$AG$1682,28,FALSE)</f>
        <v>0</v>
      </c>
      <c r="AX371" s="718">
        <f>G371*VLOOKUP($B371,'Emissions factors'!$B$1674:$AG$1682,19,FALSE)+J371*VLOOKUP($B371,'Emissions factors'!$B$1674:$AG$1682,29,FALSE)</f>
        <v>0</v>
      </c>
      <c r="AY371" s="718">
        <v>0</v>
      </c>
      <c r="AZ371" s="718">
        <v>0</v>
      </c>
      <c r="BA371" s="719">
        <f t="shared" si="72"/>
        <v>0</v>
      </c>
      <c r="BB371" s="720">
        <f t="shared" si="72"/>
        <v>0</v>
      </c>
      <c r="BC371" s="717">
        <f>G371*VLOOKUP($B371,'Emissions factors'!$B$1674:$AG$1682,20,FALSE)+J371*VLOOKUP($B371,'Emissions factors'!$B$1674:$AG$1682,30,FALSE)</f>
        <v>0</v>
      </c>
      <c r="BD371" s="721">
        <f>G371*VLOOKUP($B371,'Emissions factors'!$B$1674:$AG$1682,21,FALSE)+J371*VLOOKUP($B371,'Emissions factors'!$B$1674:$AG$1682,31,FALSE)</f>
        <v>0</v>
      </c>
    </row>
    <row r="372" spans="2:62" hidden="1" outlineLevel="1" x14ac:dyDescent="0.2">
      <c r="B372" s="200" t="s">
        <v>1497</v>
      </c>
      <c r="C372" s="201"/>
      <c r="D372" s="262">
        <f>M372+N372</f>
        <v>0</v>
      </c>
      <c r="E372" s="265">
        <f>D372*12/44</f>
        <v>0</v>
      </c>
      <c r="F372" s="443"/>
      <c r="G372" s="188"/>
      <c r="H372" s="272">
        <f>VLOOKUP($B372,'Emissions factors'!$B$1674:$AG$1682,12,FALSE)</f>
        <v>1.3313E-2</v>
      </c>
      <c r="I372" s="272">
        <f>VLOOKUP($B372,'Emissions factors'!$B$1674:$AG$1682,13,FALSE)</f>
        <v>5.1027800000000005E-2</v>
      </c>
      <c r="J372" s="188"/>
      <c r="K372" s="272">
        <f>VLOOKUP($B372,'Emissions factors'!$B$1674:$AG$1682,22,FALSE)</f>
        <v>0</v>
      </c>
      <c r="L372" s="272">
        <f>VLOOKUP($B372,'Emissions factors'!$B$1674:$AG$1682,23,FALSE)</f>
        <v>0</v>
      </c>
      <c r="M372" s="210">
        <f>G372*H372+J372*K372</f>
        <v>0</v>
      </c>
      <c r="N372" s="210">
        <f>G372*I372+J372*L372</f>
        <v>0</v>
      </c>
      <c r="O372" s="222">
        <f>IF(OR(F372='Info utili'!$I$532,F372='Info utili'!$I$537),N372,0)</f>
        <v>0</v>
      </c>
      <c r="X372" s="282">
        <f>VLOOKUP($B372,'Emissions factors'!$B$1674:$AG$1682,32,FALSE)</f>
        <v>0.6</v>
      </c>
      <c r="Y372" s="189"/>
      <c r="Z372" s="221">
        <f>M372*SQRT(X372^2+Y372^2)</f>
        <v>0</v>
      </c>
      <c r="AA372" s="221">
        <f>N372*SQRT(X372^2+Y372^2)</f>
        <v>0</v>
      </c>
      <c r="AB372" s="210">
        <f>SQRT(SUMSQ(Z372:AA372))</f>
        <v>0</v>
      </c>
      <c r="AC372" s="222">
        <f>O372*SQRT(X372^2+Y372^2)</f>
        <v>0</v>
      </c>
      <c r="AF372" s="190"/>
      <c r="AG372" s="221">
        <f>AF372*M372</f>
        <v>0</v>
      </c>
      <c r="AH372" s="221">
        <f>AF372*N372</f>
        <v>0</v>
      </c>
      <c r="AI372" s="210">
        <f>SUM(AG372:AH372)</f>
        <v>0</v>
      </c>
      <c r="AJ372" s="221">
        <f>AF372*O372</f>
        <v>0</v>
      </c>
      <c r="AK372" s="190"/>
      <c r="AL372" s="221">
        <f>AK372*M372</f>
        <v>0</v>
      </c>
      <c r="AM372" s="221">
        <f>AK372*N372</f>
        <v>0</v>
      </c>
      <c r="AN372" s="210">
        <f>SUM(AL372:AM372)</f>
        <v>0</v>
      </c>
      <c r="AO372" s="222">
        <f>AK372*O372</f>
        <v>0</v>
      </c>
      <c r="AS372" s="717">
        <f>G372*VLOOKUP($B372,'Emissions factors'!$B$1674:$AG$1682,14,FALSE)+J372*VLOOKUP($B372,'Emissions factors'!$B$1674:$AG$1682,24,FALSE)</f>
        <v>0</v>
      </c>
      <c r="AT372" s="718">
        <f>G372*VLOOKUP($B372,'Emissions factors'!$B$1674:$AG$1682,15,FALSE)+J372*VLOOKUP($B372,'Emissions factors'!$B$1674:$AG$1682,25,FALSE)</f>
        <v>0</v>
      </c>
      <c r="AU372" s="718">
        <f>G372*VLOOKUP($B372,'Emissions factors'!$B$1674:$AG$1682,16,FALSE)+J372*VLOOKUP($B372,'Emissions factors'!$B$1674:$AG$1682,26,FALSE)</f>
        <v>0</v>
      </c>
      <c r="AV372" s="718">
        <f>G372*VLOOKUP($B372,'Emissions factors'!$B$1674:$AG$1682,17,FALSE)+J372*VLOOKUP($B372,'Emissions factors'!$B$1674:$AG$1682,27,FALSE)</f>
        <v>0</v>
      </c>
      <c r="AW372" s="718">
        <f>G372*VLOOKUP($B372,'Emissions factors'!$B$1674:$AG$1682,18,FALSE)+J372*VLOOKUP($B372,'Emissions factors'!$B$1674:$AG$1682,28,FALSE)</f>
        <v>0</v>
      </c>
      <c r="AX372" s="718">
        <f>G372*VLOOKUP($B372,'Emissions factors'!$B$1674:$AG$1682,19,FALSE)+J372*VLOOKUP($B372,'Emissions factors'!$B$1674:$AG$1682,29,FALSE)</f>
        <v>0</v>
      </c>
      <c r="AY372" s="718">
        <v>0</v>
      </c>
      <c r="AZ372" s="718">
        <v>0</v>
      </c>
      <c r="BA372" s="719">
        <f t="shared" si="72"/>
        <v>0</v>
      </c>
      <c r="BB372" s="720">
        <f t="shared" si="72"/>
        <v>0</v>
      </c>
      <c r="BC372" s="717">
        <f>G372*VLOOKUP($B372,'Emissions factors'!$B$1674:$AG$1682,20,FALSE)+J372*VLOOKUP($B372,'Emissions factors'!$B$1674:$AG$1682,30,FALSE)</f>
        <v>0</v>
      </c>
      <c r="BD372" s="721">
        <f>G372*VLOOKUP($B372,'Emissions factors'!$B$1674:$AG$1682,21,FALSE)+J372*VLOOKUP($B372,'Emissions factors'!$B$1674:$AG$1682,31,FALSE)</f>
        <v>0</v>
      </c>
    </row>
    <row r="373" spans="2:62" hidden="1" outlineLevel="1" x14ac:dyDescent="0.2">
      <c r="B373" s="213"/>
      <c r="C373" s="214"/>
      <c r="D373" s="275"/>
      <c r="E373" s="268"/>
      <c r="F373" s="214"/>
      <c r="G373" s="214"/>
      <c r="H373" s="214"/>
      <c r="I373" s="214"/>
      <c r="J373" s="214"/>
      <c r="K373" s="214"/>
      <c r="L373" s="214"/>
      <c r="M373" s="269"/>
      <c r="N373" s="269"/>
      <c r="O373" s="478"/>
      <c r="X373" s="213"/>
      <c r="Y373" s="214"/>
      <c r="Z373" s="214"/>
      <c r="AA373" s="214"/>
      <c r="AB373" s="227"/>
      <c r="AC373" s="478"/>
      <c r="AF373" s="213"/>
      <c r="AG373" s="413"/>
      <c r="AH373" s="413"/>
      <c r="AI373" s="413"/>
      <c r="AJ373" s="413"/>
      <c r="AK373" s="413"/>
      <c r="AL373" s="413"/>
      <c r="AM373" s="413"/>
      <c r="AN373" s="227"/>
      <c r="AO373" s="478"/>
      <c r="AS373" s="717"/>
      <c r="AT373" s="718"/>
      <c r="AU373" s="718"/>
      <c r="AV373" s="718"/>
      <c r="AW373" s="718"/>
      <c r="AX373" s="718"/>
      <c r="AY373" s="718"/>
      <c r="AZ373" s="718"/>
      <c r="BA373" s="719"/>
      <c r="BB373" s="720"/>
      <c r="BC373" s="722"/>
      <c r="BD373" s="723"/>
    </row>
    <row r="374" spans="2:62" hidden="1" outlineLevel="1" x14ac:dyDescent="0.2">
      <c r="B374" s="253" t="s">
        <v>44</v>
      </c>
      <c r="C374" s="254"/>
      <c r="D374" s="264">
        <f>SUM(D370:D373)</f>
        <v>0</v>
      </c>
      <c r="E374" s="267">
        <f>SUM(E370:E373)</f>
        <v>0</v>
      </c>
      <c r="F374" s="255"/>
      <c r="G374" s="254"/>
      <c r="H374" s="254"/>
      <c r="I374" s="254"/>
      <c r="J374" s="254"/>
      <c r="K374" s="254"/>
      <c r="L374" s="254"/>
      <c r="M374" s="259">
        <f>SUM(M370:M373)</f>
        <v>0</v>
      </c>
      <c r="N374" s="259">
        <f>SUM(N370:N373)</f>
        <v>0</v>
      </c>
      <c r="O374" s="428">
        <f>SUM(O370:O373)</f>
        <v>0</v>
      </c>
      <c r="X374" s="253"/>
      <c r="Y374" s="254"/>
      <c r="Z374" s="260">
        <f>SQRT(SUMSQ(Z370:Z373))</f>
        <v>0</v>
      </c>
      <c r="AA374" s="260">
        <f>SQRT(SUMSQ(AA370:AA373))</f>
        <v>0</v>
      </c>
      <c r="AB374" s="259">
        <f>SQRT(SUMSQ(AB370:AB373))</f>
        <v>0</v>
      </c>
      <c r="AC374" s="428">
        <f>SQRT(SUMSQ(AC370:AC373))</f>
        <v>0</v>
      </c>
      <c r="AF374" s="253"/>
      <c r="AG374" s="260">
        <f>SUM(AG370:AG373)</f>
        <v>0</v>
      </c>
      <c r="AH374" s="260">
        <f>SUM(AH370:AH373)</f>
        <v>0</v>
      </c>
      <c r="AI374" s="259">
        <f>SUM(AI370:AI373)</f>
        <v>0</v>
      </c>
      <c r="AJ374" s="260">
        <f>SUM(AJ370:AJ373)</f>
        <v>0</v>
      </c>
      <c r="AK374" s="254"/>
      <c r="AL374" s="260">
        <f>SUM(AL370:AL373)</f>
        <v>0</v>
      </c>
      <c r="AM374" s="260">
        <f>SUM(AM370:AM373)</f>
        <v>0</v>
      </c>
      <c r="AN374" s="259">
        <f>SUM(AN370:AN373)</f>
        <v>0</v>
      </c>
      <c r="AO374" s="428">
        <f>SUM(AO370:AO373)</f>
        <v>0</v>
      </c>
      <c r="AS374" s="724">
        <f t="shared" ref="AS374:BD374" si="73">SUM(AS370:AS373)</f>
        <v>0</v>
      </c>
      <c r="AT374" s="725">
        <f t="shared" si="73"/>
        <v>0</v>
      </c>
      <c r="AU374" s="725">
        <f t="shared" si="73"/>
        <v>0</v>
      </c>
      <c r="AV374" s="725">
        <f t="shared" si="73"/>
        <v>0</v>
      </c>
      <c r="AW374" s="725">
        <f t="shared" si="73"/>
        <v>0</v>
      </c>
      <c r="AX374" s="725">
        <f t="shared" si="73"/>
        <v>0</v>
      </c>
      <c r="AY374" s="725">
        <f t="shared" si="73"/>
        <v>0</v>
      </c>
      <c r="AZ374" s="725">
        <f t="shared" si="73"/>
        <v>0</v>
      </c>
      <c r="BA374" s="726">
        <f t="shared" si="73"/>
        <v>0</v>
      </c>
      <c r="BB374" s="727">
        <f t="shared" si="73"/>
        <v>0</v>
      </c>
      <c r="BC374" s="724">
        <f t="shared" si="73"/>
        <v>0</v>
      </c>
      <c r="BD374" s="728">
        <f t="shared" si="73"/>
        <v>0</v>
      </c>
    </row>
    <row r="375" spans="2:62" ht="16" hidden="1" outlineLevel="1" x14ac:dyDescent="0.2">
      <c r="AS375" s="751"/>
      <c r="AT375" s="751"/>
      <c r="AU375" s="751"/>
      <c r="AV375" s="751"/>
      <c r="AW375" s="751"/>
    </row>
    <row r="376" spans="2:62" hidden="1" outlineLevel="1" x14ac:dyDescent="0.2">
      <c r="B376" s="195" t="s">
        <v>3023</v>
      </c>
      <c r="C376" s="196"/>
      <c r="D376" s="500"/>
      <c r="E376" s="500"/>
      <c r="F376" s="198"/>
      <c r="G376" s="198"/>
      <c r="H376" s="198"/>
      <c r="I376" s="199"/>
      <c r="X376" s="1746" t="s">
        <v>723</v>
      </c>
      <c r="Y376" s="1747"/>
      <c r="Z376" s="1748"/>
      <c r="AF376" s="1746" t="s">
        <v>2066</v>
      </c>
      <c r="AG376" s="1747"/>
      <c r="AH376" s="1747"/>
      <c r="AI376" s="1748"/>
      <c r="AS376" s="1755" t="s">
        <v>2073</v>
      </c>
      <c r="AT376" s="1756"/>
      <c r="AU376" s="1756"/>
      <c r="AV376" s="1756"/>
      <c r="AW376" s="1756"/>
      <c r="AX376" s="1757"/>
    </row>
    <row r="377" spans="2:62" hidden="1" outlineLevel="1" x14ac:dyDescent="0.2">
      <c r="B377" s="417"/>
      <c r="C377" s="225"/>
      <c r="D377" s="503"/>
      <c r="E377" s="503"/>
      <c r="F377" s="214"/>
      <c r="G377" s="214"/>
      <c r="H377" s="201"/>
      <c r="I377" s="203"/>
      <c r="X377" s="507"/>
      <c r="Y377" s="504"/>
      <c r="Z377" s="203"/>
      <c r="AA377" s="321"/>
      <c r="AF377" s="507"/>
      <c r="AG377" s="504"/>
      <c r="AH377" s="504"/>
      <c r="AI377" s="203"/>
      <c r="AS377" s="787"/>
      <c r="AT377" s="788"/>
      <c r="AU377" s="788"/>
      <c r="AV377" s="788"/>
      <c r="AW377" s="739"/>
      <c r="AX377" s="780"/>
    </row>
    <row r="378" spans="2:62" hidden="1" outlineLevel="1" x14ac:dyDescent="0.2">
      <c r="B378" s="507"/>
      <c r="C378" s="504"/>
      <c r="D378" s="504" t="s">
        <v>56</v>
      </c>
      <c r="E378" s="504" t="s">
        <v>56</v>
      </c>
      <c r="F378" s="205" t="s">
        <v>2669</v>
      </c>
      <c r="G378" s="205"/>
      <c r="H378" s="504" t="s">
        <v>61</v>
      </c>
      <c r="I378" s="509" t="s">
        <v>61</v>
      </c>
      <c r="X378" s="1633" t="s">
        <v>2605</v>
      </c>
      <c r="Y378" s="504" t="s">
        <v>2110</v>
      </c>
      <c r="Z378" s="509" t="s">
        <v>61</v>
      </c>
      <c r="AA378" s="321"/>
      <c r="AF378" s="507" t="s">
        <v>2065</v>
      </c>
      <c r="AG378" s="503" t="s">
        <v>61</v>
      </c>
      <c r="AH378" s="504" t="s">
        <v>2558</v>
      </c>
      <c r="AI378" s="509" t="s">
        <v>61</v>
      </c>
      <c r="AS378" s="1739" t="s">
        <v>61</v>
      </c>
      <c r="AT378" s="1740"/>
      <c r="AU378" s="1740"/>
      <c r="AV378" s="1740"/>
      <c r="AW378" s="741" t="s">
        <v>61</v>
      </c>
      <c r="AX378" s="742"/>
    </row>
    <row r="379" spans="2:62" hidden="1" outlineLevel="1" x14ac:dyDescent="0.2">
      <c r="B379" s="507"/>
      <c r="C379" s="504"/>
      <c r="D379" s="504" t="s">
        <v>61</v>
      </c>
      <c r="E379" s="504" t="s">
        <v>63</v>
      </c>
      <c r="F379" s="208" t="s">
        <v>2054</v>
      </c>
      <c r="G379" s="208" t="s">
        <v>2676</v>
      </c>
      <c r="H379" s="504" t="s">
        <v>2541</v>
      </c>
      <c r="I379" s="509"/>
      <c r="X379" s="1633" t="s">
        <v>2109</v>
      </c>
      <c r="Y379" s="504"/>
      <c r="Z379" s="509"/>
      <c r="AA379" s="321"/>
      <c r="AF379" s="507"/>
      <c r="AG379" s="503"/>
      <c r="AH379" s="504"/>
      <c r="AI379" s="509"/>
      <c r="AS379" s="744" t="s">
        <v>14</v>
      </c>
      <c r="AT379" s="745" t="s">
        <v>60</v>
      </c>
      <c r="AU379" s="745" t="s">
        <v>27</v>
      </c>
      <c r="AV379" s="745" t="s">
        <v>2074</v>
      </c>
      <c r="AW379" s="746" t="s">
        <v>41</v>
      </c>
      <c r="AX379" s="747" t="s">
        <v>85</v>
      </c>
    </row>
    <row r="380" spans="2:62" ht="12.75" hidden="1" customHeight="1" outlineLevel="1" x14ac:dyDescent="0.2">
      <c r="B380" s="554" t="s">
        <v>1473</v>
      </c>
      <c r="C380" s="555"/>
      <c r="D380" s="262">
        <f>I380</f>
        <v>0</v>
      </c>
      <c r="E380" s="265">
        <f>D380*12/44</f>
        <v>0</v>
      </c>
      <c r="F380" s="182"/>
      <c r="G380" s="182"/>
      <c r="H380" s="568">
        <f>VLOOKUP($B380,'Emissions factors'!$B$1587:$M$1614,2,FALSE)</f>
        <v>7.9839999999999994E-2</v>
      </c>
      <c r="I380" s="211">
        <f>G380*H380</f>
        <v>0</v>
      </c>
      <c r="J380" s="42"/>
      <c r="X380" s="282">
        <f>VLOOKUP($B380,'Emissions factors'!$B$1587:$M$1614,12,FALSE)</f>
        <v>0.6</v>
      </c>
      <c r="Y380" s="183"/>
      <c r="Z380" s="211">
        <f>I380*SQRT(X380^2+Y380^2)</f>
        <v>0</v>
      </c>
      <c r="AF380" s="184"/>
      <c r="AG380" s="210">
        <f>AF380*I380</f>
        <v>0</v>
      </c>
      <c r="AH380" s="184"/>
      <c r="AI380" s="211">
        <f>AH380*I380</f>
        <v>0</v>
      </c>
      <c r="AS380" s="717">
        <f>G380*VLOOKUP($B380,'Emissions factors'!$B$1587:$M$1614,3,FALSE)</f>
        <v>0</v>
      </c>
      <c r="AT380" s="718">
        <f>G380*VLOOKUP($B380,'Emissions factors'!$B$1587:$M$1614,4,FALSE)</f>
        <v>0</v>
      </c>
      <c r="AU380" s="718">
        <f>G380*VLOOKUP($B380,'Emissions factors'!$B$1587:$M$1614,5,FALSE)</f>
        <v>0</v>
      </c>
      <c r="AV380" s="718">
        <v>0</v>
      </c>
      <c r="AW380" s="720">
        <f>I380</f>
        <v>0</v>
      </c>
      <c r="AX380" s="748">
        <f>G380*VLOOKUP($B380,'Emissions factors'!$B$1587:$M$1614,6,FALSE)</f>
        <v>0</v>
      </c>
    </row>
    <row r="381" spans="2:62" hidden="1" outlineLevel="1" x14ac:dyDescent="0.2">
      <c r="B381" s="554" t="s">
        <v>1471</v>
      </c>
      <c r="C381" s="555"/>
      <c r="D381" s="262">
        <f>I381</f>
        <v>0</v>
      </c>
      <c r="E381" s="265">
        <f>D381*12/44</f>
        <v>0</v>
      </c>
      <c r="F381" s="442"/>
      <c r="G381" s="442"/>
      <c r="H381" s="568">
        <f>VLOOKUP($B381,'Emissions factors'!$B$1587:$M$1614,2,FALSE)</f>
        <v>3.6900000000000001E-3</v>
      </c>
      <c r="I381" s="211">
        <f>G381*H381</f>
        <v>0</v>
      </c>
      <c r="J381" s="42"/>
      <c r="X381" s="282">
        <f>VLOOKUP($B381,'Emissions factors'!$B$1587:$M$1614,12,FALSE)</f>
        <v>0.6</v>
      </c>
      <c r="Y381" s="186"/>
      <c r="Z381" s="211">
        <f>I381*SQRT(X381^2+Y381^2)</f>
        <v>0</v>
      </c>
      <c r="AF381" s="187"/>
      <c r="AG381" s="210">
        <f>AF381*I381</f>
        <v>0</v>
      </c>
      <c r="AH381" s="187"/>
      <c r="AI381" s="211">
        <f>AH381*I381</f>
        <v>0</v>
      </c>
      <c r="AS381" s="717">
        <f>G381*VLOOKUP($B381,'Emissions factors'!$B$1587:$M$1614,3,FALSE)</f>
        <v>0</v>
      </c>
      <c r="AT381" s="718">
        <f>G381*VLOOKUP($B381,'Emissions factors'!$B$1587:$M$1614,4,FALSE)</f>
        <v>0</v>
      </c>
      <c r="AU381" s="718">
        <f>G381*VLOOKUP($B381,'Emissions factors'!$B$1587:$M$1614,5,FALSE)</f>
        <v>0</v>
      </c>
      <c r="AV381" s="718">
        <v>0</v>
      </c>
      <c r="AW381" s="720">
        <f>I381</f>
        <v>0</v>
      </c>
      <c r="AX381" s="748">
        <f>G381*VLOOKUP($B381,'Emissions factors'!$B$1587:$M$1614,6,FALSE)</f>
        <v>0</v>
      </c>
    </row>
    <row r="382" spans="2:62" hidden="1" outlineLevel="1" x14ac:dyDescent="0.2">
      <c r="B382" s="554" t="s">
        <v>1323</v>
      </c>
      <c r="C382" s="555"/>
      <c r="D382" s="262">
        <f>I382</f>
        <v>0</v>
      </c>
      <c r="E382" s="265">
        <f>D382*12/44</f>
        <v>0</v>
      </c>
      <c r="F382" s="443"/>
      <c r="G382" s="443"/>
      <c r="H382" s="568">
        <f>VLOOKUP($B382,'Emissions factors'!$B$1587:$M$1614,2,FALSE)</f>
        <v>7.4999999999999997E-2</v>
      </c>
      <c r="I382" s="211">
        <f>G382*H382</f>
        <v>0</v>
      </c>
      <c r="X382" s="282">
        <f>VLOOKUP($B382,'Emissions factors'!$B$1587:$M$1614,12,FALSE)</f>
        <v>0.2</v>
      </c>
      <c r="Y382" s="189"/>
      <c r="Z382" s="211">
        <f>I382*SQRT(X382^2+Y382^2)</f>
        <v>0</v>
      </c>
      <c r="AF382" s="190"/>
      <c r="AG382" s="210">
        <f>AF382*I382</f>
        <v>0</v>
      </c>
      <c r="AH382" s="190"/>
      <c r="AI382" s="211">
        <f>AH382*I382</f>
        <v>0</v>
      </c>
      <c r="AS382" s="717">
        <f>G382*VLOOKUP($B382,'Emissions factors'!$B$1587:$M$1614,3,FALSE)</f>
        <v>0</v>
      </c>
      <c r="AT382" s="718">
        <f>G382*VLOOKUP($B382,'Emissions factors'!$B$1587:$M$1614,4,FALSE)</f>
        <v>0</v>
      </c>
      <c r="AU382" s="718">
        <f>G382*VLOOKUP($B382,'Emissions factors'!$B$1587:$M$1614,5,FALSE)</f>
        <v>0</v>
      </c>
      <c r="AV382" s="718">
        <v>0</v>
      </c>
      <c r="AW382" s="720">
        <f>I382</f>
        <v>0</v>
      </c>
      <c r="AX382" s="748">
        <f>G382*VLOOKUP($B382,'Emissions factors'!$B$1587:$M$1614,6,FALSE)</f>
        <v>0</v>
      </c>
    </row>
    <row r="383" spans="2:62" hidden="1" outlineLevel="1" x14ac:dyDescent="0.2">
      <c r="B383" s="200"/>
      <c r="C383" s="201"/>
      <c r="D383" s="262"/>
      <c r="E383" s="265"/>
      <c r="F383" s="462"/>
      <c r="G383" s="201"/>
      <c r="H383" s="201"/>
      <c r="I383" s="203"/>
      <c r="X383" s="200"/>
      <c r="Y383" s="201"/>
      <c r="Z383" s="222"/>
      <c r="AF383" s="200"/>
      <c r="AG383" s="503"/>
      <c r="AH383" s="201"/>
      <c r="AI383" s="211"/>
      <c r="AS383" s="717"/>
      <c r="AT383" s="718"/>
      <c r="AU383" s="718"/>
      <c r="AV383" s="718"/>
      <c r="AW383" s="720"/>
      <c r="AX383" s="749"/>
    </row>
    <row r="384" spans="2:62" s="191" customFormat="1" ht="16" hidden="1" outlineLevel="1" x14ac:dyDescent="0.2">
      <c r="B384" s="253" t="s">
        <v>44</v>
      </c>
      <c r="C384" s="254"/>
      <c r="D384" s="264">
        <f>SUM(D380:D383)</f>
        <v>0</v>
      </c>
      <c r="E384" s="267">
        <f>SUM(E380:E383)</f>
        <v>0</v>
      </c>
      <c r="F384" s="255"/>
      <c r="G384" s="254"/>
      <c r="H384" s="254"/>
      <c r="I384" s="257">
        <f>SUM(I380:I383)</f>
        <v>0</v>
      </c>
      <c r="J384" s="40"/>
      <c r="K384" s="40"/>
      <c r="L384" s="40"/>
      <c r="M384" s="40"/>
      <c r="N384" s="40"/>
      <c r="O384" s="40"/>
      <c r="P384" s="40"/>
      <c r="Q384" s="40"/>
      <c r="R384" s="40"/>
      <c r="S384" s="40"/>
      <c r="T384" s="40"/>
      <c r="U384" s="40"/>
      <c r="V384" s="40"/>
      <c r="W384" s="40"/>
      <c r="X384" s="258"/>
      <c r="Y384" s="256"/>
      <c r="Z384" s="257">
        <f>SQRT(SUMSQ(Z380:Z383))</f>
        <v>0</v>
      </c>
      <c r="AA384" s="40"/>
      <c r="AB384" s="40"/>
      <c r="AC384" s="40"/>
      <c r="AD384" s="40"/>
      <c r="AE384" s="40"/>
      <c r="AF384" s="258"/>
      <c r="AG384" s="259">
        <f>SUM(AG380:AG383)</f>
        <v>0</v>
      </c>
      <c r="AH384" s="256"/>
      <c r="AI384" s="257">
        <f>SUM(AI380:AI383)</f>
        <v>0</v>
      </c>
      <c r="AJ384" s="40"/>
      <c r="AK384" s="40"/>
      <c r="AL384" s="40"/>
      <c r="AM384" s="40"/>
      <c r="AN384" s="40"/>
      <c r="AO384" s="40"/>
      <c r="AP384" s="40"/>
      <c r="AQ384" s="40"/>
      <c r="AR384" s="40"/>
      <c r="AS384" s="724">
        <f t="shared" ref="AS384:AX384" si="74">SUM(AS380:AS383)</f>
        <v>0</v>
      </c>
      <c r="AT384" s="725">
        <f t="shared" si="74"/>
        <v>0</v>
      </c>
      <c r="AU384" s="725">
        <f t="shared" si="74"/>
        <v>0</v>
      </c>
      <c r="AV384" s="725">
        <f t="shared" si="74"/>
        <v>0</v>
      </c>
      <c r="AW384" s="727">
        <f t="shared" si="74"/>
        <v>0</v>
      </c>
      <c r="AX384" s="750">
        <f t="shared" si="74"/>
        <v>0</v>
      </c>
      <c r="AY384" s="751"/>
      <c r="AZ384" s="751"/>
      <c r="BA384" s="751"/>
      <c r="BB384" s="751"/>
      <c r="BC384" s="751"/>
      <c r="BD384" s="751"/>
      <c r="BE384" s="751"/>
      <c r="BF384" s="751"/>
      <c r="BG384" s="751"/>
      <c r="BH384" s="751"/>
      <c r="BI384" s="751"/>
      <c r="BJ384" s="751"/>
    </row>
    <row r="385" spans="2:62" hidden="1" outlineLevel="1" x14ac:dyDescent="0.2"/>
    <row r="386" spans="2:62" ht="16" x14ac:dyDescent="0.2">
      <c r="AS386" s="751"/>
      <c r="AT386" s="751"/>
      <c r="AU386" s="751"/>
      <c r="AV386" s="751"/>
      <c r="AW386" s="751"/>
    </row>
    <row r="387" spans="2:62" ht="16" x14ac:dyDescent="0.2">
      <c r="AS387" s="751"/>
      <c r="AT387" s="751"/>
      <c r="AU387" s="751"/>
      <c r="AV387" s="751"/>
      <c r="AW387" s="751"/>
    </row>
    <row r="388" spans="2:62" ht="16" x14ac:dyDescent="0.2">
      <c r="AS388" s="751"/>
      <c r="AT388" s="751"/>
      <c r="AU388" s="751"/>
      <c r="AV388" s="751"/>
      <c r="AW388" s="751"/>
    </row>
    <row r="389" spans="2:62" ht="20" customHeight="1" x14ac:dyDescent="0.2">
      <c r="B389" s="1780" t="str">
        <f>+Energia!B137</f>
        <v>Panoramica delle sorgenti di emissione di CO2e</v>
      </c>
      <c r="C389" s="1780"/>
      <c r="D389" s="1780"/>
      <c r="E389" s="1780"/>
      <c r="F389" s="1780"/>
      <c r="G389" s="1780"/>
      <c r="H389" s="1780"/>
      <c r="I389" s="1780"/>
      <c r="J389" s="1780"/>
      <c r="K389" s="1780"/>
      <c r="L389" s="1780"/>
      <c r="M389" s="1780"/>
      <c r="N389" s="1780"/>
      <c r="O389" s="1780"/>
      <c r="P389" s="191"/>
      <c r="Q389" s="191"/>
      <c r="R389" s="191"/>
      <c r="S389" s="191"/>
      <c r="T389" s="191"/>
      <c r="U389" s="191"/>
      <c r="V389" s="191"/>
      <c r="W389" s="191"/>
      <c r="X389" s="191"/>
      <c r="Y389" s="191"/>
      <c r="Z389" s="191"/>
      <c r="AA389" s="191"/>
      <c r="AB389" s="191"/>
      <c r="AC389" s="191"/>
      <c r="AD389" s="191"/>
      <c r="AE389" s="191"/>
      <c r="AF389" s="191"/>
      <c r="AG389" s="191"/>
      <c r="AH389" s="191"/>
      <c r="AI389" s="191"/>
      <c r="AJ389" s="191"/>
      <c r="AK389" s="191"/>
      <c r="AL389" s="191"/>
      <c r="AM389" s="191"/>
      <c r="AN389" s="191"/>
      <c r="AO389" s="191"/>
      <c r="AP389" s="191"/>
      <c r="AQ389" s="191"/>
      <c r="AR389" s="191"/>
    </row>
    <row r="390" spans="2:62" ht="16" x14ac:dyDescent="0.2">
      <c r="AX390" s="751"/>
      <c r="BC390" s="751"/>
      <c r="BD390" s="751"/>
    </row>
    <row r="391" spans="2:62" x14ac:dyDescent="0.2">
      <c r="B391" s="1781" t="str">
        <f>Description!C21</f>
        <v>Trasporto persone</v>
      </c>
      <c r="C391" s="1782"/>
      <c r="D391" s="1794" t="s">
        <v>56</v>
      </c>
      <c r="E391" s="1794"/>
      <c r="F391" s="1794"/>
      <c r="G391" s="52"/>
      <c r="H391" s="1794" t="s">
        <v>723</v>
      </c>
      <c r="I391" s="1794"/>
      <c r="J391" s="228"/>
      <c r="K391" s="1792" t="s">
        <v>2489</v>
      </c>
      <c r="L391" s="1793"/>
      <c r="M391" s="228"/>
      <c r="N391" s="194" t="s">
        <v>2491</v>
      </c>
      <c r="O391" s="194" t="s">
        <v>2492</v>
      </c>
      <c r="P391" s="229"/>
      <c r="Q391" s="1812" t="s">
        <v>2493</v>
      </c>
      <c r="R391" s="1812"/>
      <c r="S391" s="1812"/>
      <c r="T391" s="1812"/>
    </row>
    <row r="392" spans="2:62" x14ac:dyDescent="0.2">
      <c r="B392" s="1783"/>
      <c r="C392" s="1784"/>
      <c r="D392" s="342" t="s">
        <v>61</v>
      </c>
      <c r="E392" s="343" t="s">
        <v>66</v>
      </c>
      <c r="F392" s="342" t="s">
        <v>73</v>
      </c>
      <c r="G392" s="52"/>
      <c r="H392" s="342" t="s">
        <v>61</v>
      </c>
      <c r="I392" s="342" t="s">
        <v>47</v>
      </c>
      <c r="J392" s="228"/>
      <c r="K392" s="342" t="s">
        <v>2065</v>
      </c>
      <c r="L392" s="342" t="s">
        <v>2558</v>
      </c>
      <c r="M392" s="228"/>
      <c r="N392" s="230" t="s">
        <v>66</v>
      </c>
      <c r="O392" s="230" t="s">
        <v>66</v>
      </c>
      <c r="P392" s="229"/>
      <c r="Q392" s="344" t="s">
        <v>2494</v>
      </c>
      <c r="R392" s="344" t="s">
        <v>72</v>
      </c>
      <c r="S392" s="344" t="s">
        <v>72</v>
      </c>
      <c r="T392" s="344" t="s">
        <v>2495</v>
      </c>
    </row>
    <row r="393" spans="2:62" s="4" customFormat="1" x14ac:dyDescent="0.15">
      <c r="B393" s="1788" t="str">
        <f>+B10</f>
        <v>Dipendenti viaggi casa-lavoro</v>
      </c>
      <c r="C393" s="1789"/>
      <c r="D393" s="241">
        <f>D24+D35+D46+D56+D66+D76+D86+D96+D106+D116</f>
        <v>1095.1491958156971</v>
      </c>
      <c r="E393" s="242">
        <f t="shared" ref="E393:E399" si="75">D393/1000</f>
        <v>1.0951491958156971</v>
      </c>
      <c r="F393" s="243">
        <f>IF($D$400=0,"",D393/$D$400)</f>
        <v>0.74137645673469876</v>
      </c>
      <c r="G393" s="51"/>
      <c r="H393" s="193">
        <f>SQRT(AB24^2+AC35^2+AC46^2+AC56^2+AC66^2+AC76^2+AC86^2+AC96^2+AC106^2+Z116^2)</f>
        <v>0</v>
      </c>
      <c r="I393" s="243">
        <f t="shared" ref="I393:I400" si="76">IF(D393=0,"",H393/D393)</f>
        <v>0</v>
      </c>
      <c r="J393" s="229"/>
      <c r="K393" s="193">
        <f>AI24+AJ35+AJ46+AJ56+AJ66+AJ76+AJ86+AJ96+AJ106+AG116</f>
        <v>0</v>
      </c>
      <c r="L393" s="193">
        <f>AM24+AP35+AP46+AP56+AP66+AP76+AP86+AP96+AP106+AI116</f>
        <v>0</v>
      </c>
      <c r="M393" s="229"/>
      <c r="N393" s="193">
        <f>L393/1000</f>
        <v>0</v>
      </c>
      <c r="O393" s="233">
        <f t="shared" ref="O393:O399" si="77">E393-N393</f>
        <v>1.0951491958156971</v>
      </c>
      <c r="P393" s="229"/>
      <c r="Q393" s="245">
        <f t="shared" ref="Q393:Q400" si="78">(D393-H393)/1000</f>
        <v>1.0951491958156971</v>
      </c>
      <c r="R393" s="245">
        <f>E393</f>
        <v>1.0951491958156971</v>
      </c>
      <c r="S393" s="245">
        <f>E393</f>
        <v>1.0951491958156971</v>
      </c>
      <c r="T393" s="245">
        <f t="shared" ref="T393:T400" si="79">(D393+H393)/1000</f>
        <v>1.0951491958156971</v>
      </c>
      <c r="AS393" s="754"/>
      <c r="AT393" s="754"/>
      <c r="AU393" s="754"/>
      <c r="AV393" s="754"/>
      <c r="AW393" s="754"/>
      <c r="AX393" s="754"/>
      <c r="AY393" s="754"/>
      <c r="AZ393" s="754"/>
      <c r="BA393" s="754"/>
      <c r="BB393" s="754"/>
      <c r="BC393" s="754"/>
      <c r="BD393" s="754"/>
      <c r="BE393" s="754"/>
      <c r="BF393" s="754"/>
      <c r="BG393" s="754"/>
      <c r="BH393" s="754"/>
      <c r="BI393" s="754"/>
      <c r="BJ393" s="754"/>
    </row>
    <row r="394" spans="2:62" s="4" customFormat="1" x14ac:dyDescent="0.15">
      <c r="B394" s="1788" t="str">
        <f>+B120</f>
        <v xml:space="preserve">Dipendenti viaggi di lavoro - macchina </v>
      </c>
      <c r="C394" s="1789"/>
      <c r="D394" s="241">
        <f>D133+D143+D153+D163</f>
        <v>382.03447499999999</v>
      </c>
      <c r="E394" s="242">
        <f t="shared" si="75"/>
        <v>0.38203447499999998</v>
      </c>
      <c r="F394" s="243">
        <f t="shared" ref="F394:F400" si="80">IF($D$400=0,"",D394/$D$400)</f>
        <v>0.25862354326530129</v>
      </c>
      <c r="G394" s="51"/>
      <c r="H394" s="193">
        <f>SQRT(AB133^2+AC143^2+AC153^2+AC163^2)</f>
        <v>0</v>
      </c>
      <c r="I394" s="243">
        <f t="shared" si="76"/>
        <v>0</v>
      </c>
      <c r="J394" s="229"/>
      <c r="K394" s="193">
        <f>AI133+AJ143+AJ153+AJ163</f>
        <v>0</v>
      </c>
      <c r="L394" s="193">
        <f>AM133+AP143+AP153+AP163</f>
        <v>0</v>
      </c>
      <c r="M394" s="229"/>
      <c r="N394" s="193">
        <f t="shared" ref="N394:N399" si="81">L394/1000</f>
        <v>0</v>
      </c>
      <c r="O394" s="233">
        <f t="shared" si="77"/>
        <v>0.38203447499999998</v>
      </c>
      <c r="P394" s="229"/>
      <c r="Q394" s="245">
        <f t="shared" si="78"/>
        <v>0.38203447499999998</v>
      </c>
      <c r="R394" s="245">
        <f t="shared" ref="R394:R400" si="82">E394</f>
        <v>0.38203447499999998</v>
      </c>
      <c r="S394" s="245">
        <f t="shared" ref="S394:S400" si="83">E394</f>
        <v>0.38203447499999998</v>
      </c>
      <c r="T394" s="245">
        <f t="shared" si="79"/>
        <v>0.38203447499999998</v>
      </c>
      <c r="AS394" s="754"/>
      <c r="AT394" s="754"/>
      <c r="AU394" s="754"/>
      <c r="AV394" s="754"/>
      <c r="AW394" s="754"/>
      <c r="AX394" s="754"/>
      <c r="AY394" s="754"/>
      <c r="AZ394" s="754"/>
      <c r="BA394" s="754"/>
      <c r="BB394" s="754"/>
      <c r="BC394" s="754"/>
      <c r="BD394" s="754"/>
      <c r="BE394" s="754"/>
      <c r="BF394" s="754"/>
      <c r="BG394" s="754"/>
      <c r="BH394" s="754"/>
      <c r="BI394" s="754"/>
      <c r="BJ394" s="754"/>
    </row>
    <row r="395" spans="2:62" s="4" customFormat="1" x14ac:dyDescent="0.15">
      <c r="B395" s="1788" t="str">
        <f>+B166</f>
        <v xml:space="preserve">Dipendenti viaggi di lavoro, altri veicoli su strada </v>
      </c>
      <c r="C395" s="1789"/>
      <c r="D395" s="241">
        <f>D176+D186+D196</f>
        <v>0</v>
      </c>
      <c r="E395" s="242">
        <f t="shared" si="75"/>
        <v>0</v>
      </c>
      <c r="F395" s="243">
        <f t="shared" si="80"/>
        <v>0</v>
      </c>
      <c r="G395" s="51"/>
      <c r="H395" s="193">
        <f>SQRT(AC176^2+AC186^2+AC196^2)</f>
        <v>0</v>
      </c>
      <c r="I395" s="243" t="str">
        <f t="shared" si="76"/>
        <v/>
      </c>
      <c r="J395" s="229"/>
      <c r="K395" s="193">
        <f>AJ176+AJ186+AJ196</f>
        <v>0</v>
      </c>
      <c r="L395" s="193">
        <f>AP176+AP186+AP196</f>
        <v>0</v>
      </c>
      <c r="M395" s="229"/>
      <c r="N395" s="193">
        <f>L395/1000</f>
        <v>0</v>
      </c>
      <c r="O395" s="233">
        <f t="shared" si="77"/>
        <v>0</v>
      </c>
      <c r="P395" s="229"/>
      <c r="Q395" s="245">
        <f t="shared" si="78"/>
        <v>0</v>
      </c>
      <c r="R395" s="245">
        <f t="shared" si="82"/>
        <v>0</v>
      </c>
      <c r="S395" s="245">
        <f t="shared" si="83"/>
        <v>0</v>
      </c>
      <c r="T395" s="245">
        <f t="shared" si="79"/>
        <v>0</v>
      </c>
      <c r="AS395" s="754"/>
      <c r="AT395" s="754"/>
      <c r="AU395" s="754"/>
      <c r="AV395" s="754"/>
      <c r="AW395" s="754"/>
      <c r="AX395" s="754"/>
      <c r="AY395" s="754"/>
      <c r="AZ395" s="754"/>
      <c r="BA395" s="754"/>
      <c r="BB395" s="754"/>
      <c r="BC395" s="754"/>
      <c r="BD395" s="754"/>
      <c r="BE395" s="754"/>
      <c r="BF395" s="754"/>
      <c r="BG395" s="754"/>
      <c r="BH395" s="754"/>
      <c r="BI395" s="754"/>
      <c r="BJ395" s="754"/>
    </row>
    <row r="396" spans="2:62" s="4" customFormat="1" x14ac:dyDescent="0.15">
      <c r="B396" s="1788" t="str">
        <f>+B199</f>
        <v>Dipendenti viaggi di lavoro - treno</v>
      </c>
      <c r="C396" s="1789"/>
      <c r="D396" s="241">
        <f>D207+D215+D225</f>
        <v>0</v>
      </c>
      <c r="E396" s="242">
        <f t="shared" si="75"/>
        <v>0</v>
      </c>
      <c r="F396" s="243">
        <f t="shared" si="80"/>
        <v>0</v>
      </c>
      <c r="G396" s="51"/>
      <c r="H396" s="193">
        <f>SQRT(Z207^2+Z215^2+Z225^2)</f>
        <v>0</v>
      </c>
      <c r="I396" s="243" t="str">
        <f t="shared" si="76"/>
        <v/>
      </c>
      <c r="J396" s="229"/>
      <c r="K396" s="193">
        <f>AG207+AG215+AG225</f>
        <v>0</v>
      </c>
      <c r="L396" s="193">
        <f>AI207+AI215+AI225</f>
        <v>0</v>
      </c>
      <c r="M396" s="229"/>
      <c r="N396" s="193">
        <f t="shared" si="81"/>
        <v>0</v>
      </c>
      <c r="O396" s="233">
        <f t="shared" si="77"/>
        <v>0</v>
      </c>
      <c r="P396" s="229"/>
      <c r="Q396" s="245">
        <f t="shared" si="78"/>
        <v>0</v>
      </c>
      <c r="R396" s="245">
        <f t="shared" si="82"/>
        <v>0</v>
      </c>
      <c r="S396" s="245">
        <f t="shared" si="83"/>
        <v>0</v>
      </c>
      <c r="T396" s="245">
        <f t="shared" si="79"/>
        <v>0</v>
      </c>
      <c r="AS396" s="754"/>
      <c r="AT396" s="754"/>
      <c r="AU396" s="754"/>
      <c r="AV396" s="754"/>
      <c r="AW396" s="754"/>
      <c r="AX396" s="754"/>
      <c r="AY396" s="754"/>
      <c r="AZ396" s="754"/>
      <c r="BA396" s="754"/>
      <c r="BB396" s="754"/>
      <c r="BC396" s="754"/>
      <c r="BD396" s="754"/>
      <c r="BE396" s="754"/>
      <c r="BF396" s="754"/>
      <c r="BG396" s="754"/>
      <c r="BH396" s="754"/>
      <c r="BI396" s="754"/>
      <c r="BJ396" s="754"/>
    </row>
    <row r="397" spans="2:62" s="4" customFormat="1" x14ac:dyDescent="0.15">
      <c r="B397" s="1788" t="str">
        <f>+B228</f>
        <v>Dipendenti viaggi di lavoro - aereo</v>
      </c>
      <c r="C397" s="1789"/>
      <c r="D397" s="241">
        <f>D238+D249+D260</f>
        <v>0</v>
      </c>
      <c r="E397" s="242">
        <f t="shared" si="75"/>
        <v>0</v>
      </c>
      <c r="F397" s="243">
        <f t="shared" si="80"/>
        <v>0</v>
      </c>
      <c r="G397" s="51"/>
      <c r="H397" s="193">
        <f>SQRT(AC238^2+AC249^2+AC260^2)</f>
        <v>0</v>
      </c>
      <c r="I397" s="243" t="str">
        <f t="shared" si="76"/>
        <v/>
      </c>
      <c r="J397" s="229"/>
      <c r="K397" s="193">
        <f>AJ238+AJ249+AJ260</f>
        <v>0</v>
      </c>
      <c r="L397" s="193">
        <f>AO238+AP249+AP260</f>
        <v>0</v>
      </c>
      <c r="M397" s="229"/>
      <c r="N397" s="193">
        <f>L397/1000</f>
        <v>0</v>
      </c>
      <c r="O397" s="233">
        <f t="shared" si="77"/>
        <v>0</v>
      </c>
      <c r="P397" s="229"/>
      <c r="Q397" s="245">
        <f t="shared" si="78"/>
        <v>0</v>
      </c>
      <c r="R397" s="245">
        <f t="shared" si="82"/>
        <v>0</v>
      </c>
      <c r="S397" s="245">
        <f t="shared" si="83"/>
        <v>0</v>
      </c>
      <c r="T397" s="245">
        <f t="shared" si="79"/>
        <v>0</v>
      </c>
      <c r="AS397" s="754"/>
      <c r="AT397" s="754"/>
      <c r="AU397" s="754"/>
      <c r="AV397" s="754"/>
      <c r="AW397" s="754"/>
      <c r="AX397" s="754"/>
      <c r="AY397" s="754"/>
      <c r="AZ397" s="754"/>
      <c r="BA397" s="754"/>
      <c r="BB397" s="754"/>
      <c r="BC397" s="754"/>
      <c r="BD397" s="754"/>
      <c r="BE397" s="754"/>
      <c r="BF397" s="754"/>
      <c r="BG397" s="754"/>
      <c r="BH397" s="754"/>
      <c r="BI397" s="754"/>
      <c r="BJ397" s="754"/>
    </row>
    <row r="398" spans="2:62" s="4" customFormat="1" x14ac:dyDescent="0.15">
      <c r="B398" s="1788" t="str">
        <f>+B263</f>
        <v>Dipendenti viaggi di lavoro - nave</v>
      </c>
      <c r="C398" s="1789"/>
      <c r="D398" s="241">
        <f>D276+D286</f>
        <v>0</v>
      </c>
      <c r="E398" s="242">
        <f t="shared" si="75"/>
        <v>0</v>
      </c>
      <c r="F398" s="243">
        <f t="shared" si="80"/>
        <v>0</v>
      </c>
      <c r="G398" s="51"/>
      <c r="H398" s="193">
        <f>SQRT(AB276^2+AB286^2)</f>
        <v>0</v>
      </c>
      <c r="I398" s="243" t="str">
        <f t="shared" si="76"/>
        <v/>
      </c>
      <c r="J398" s="229"/>
      <c r="K398" s="193">
        <f>AI276+AI286</f>
        <v>0</v>
      </c>
      <c r="L398" s="193">
        <f>AM276+AN286</f>
        <v>0</v>
      </c>
      <c r="M398" s="229"/>
      <c r="N398" s="193">
        <f t="shared" si="81"/>
        <v>0</v>
      </c>
      <c r="O398" s="233">
        <f t="shared" si="77"/>
        <v>0</v>
      </c>
      <c r="P398" s="229"/>
      <c r="Q398" s="245">
        <f t="shared" si="78"/>
        <v>0</v>
      </c>
      <c r="R398" s="245">
        <f t="shared" si="82"/>
        <v>0</v>
      </c>
      <c r="S398" s="245">
        <f t="shared" si="83"/>
        <v>0</v>
      </c>
      <c r="T398" s="245">
        <f t="shared" si="79"/>
        <v>0</v>
      </c>
      <c r="AS398" s="754"/>
      <c r="AT398" s="754"/>
      <c r="AU398" s="754"/>
      <c r="AV398" s="754"/>
      <c r="AW398" s="754"/>
      <c r="AX398" s="754"/>
      <c r="AY398" s="754"/>
      <c r="AZ398" s="754"/>
      <c r="BA398" s="754"/>
      <c r="BB398" s="754"/>
      <c r="BC398" s="754"/>
      <c r="BD398" s="754"/>
      <c r="BE398" s="754"/>
      <c r="BF398" s="754"/>
      <c r="BG398" s="754"/>
      <c r="BH398" s="754"/>
      <c r="BI398" s="754"/>
      <c r="BJ398" s="754"/>
    </row>
    <row r="399" spans="2:62" s="4" customFormat="1" x14ac:dyDescent="0.15">
      <c r="B399" s="1788" t="str">
        <f>+B290</f>
        <v xml:space="preserve">Viaggi dei visitatori - ogni mezzo </v>
      </c>
      <c r="C399" s="1789"/>
      <c r="D399" s="241">
        <f>D304+D314+D324+D334+D344+D354+D364+D374+D384</f>
        <v>0</v>
      </c>
      <c r="E399" s="242">
        <f t="shared" si="75"/>
        <v>0</v>
      </c>
      <c r="F399" s="243">
        <f t="shared" si="80"/>
        <v>0</v>
      </c>
      <c r="G399" s="51"/>
      <c r="H399" s="193">
        <f>SQRT(AB304^2+AC314^2+AC324^2+AC334^2+AC344^2+AC354^2+AC364^2+AB374^2+Z384^2)</f>
        <v>0</v>
      </c>
      <c r="I399" s="243" t="str">
        <f t="shared" si="76"/>
        <v/>
      </c>
      <c r="J399" s="229"/>
      <c r="K399" s="193">
        <f>AI304+AJ314+AJ324+AJ334+AJ344+AJ354+AJ364+AI374+AG384</f>
        <v>0</v>
      </c>
      <c r="L399" s="193">
        <f>AM304+AP314+AP324+AP334+AP344+AP354+AP364+AN374+AI384</f>
        <v>0</v>
      </c>
      <c r="M399" s="229"/>
      <c r="N399" s="193">
        <f t="shared" si="81"/>
        <v>0</v>
      </c>
      <c r="O399" s="233">
        <f t="shared" si="77"/>
        <v>0</v>
      </c>
      <c r="P399" s="229"/>
      <c r="Q399" s="245">
        <f t="shared" si="78"/>
        <v>0</v>
      </c>
      <c r="R399" s="245">
        <f t="shared" si="82"/>
        <v>0</v>
      </c>
      <c r="S399" s="245">
        <f t="shared" si="83"/>
        <v>0</v>
      </c>
      <c r="T399" s="245">
        <f t="shared" si="79"/>
        <v>0</v>
      </c>
      <c r="AS399" s="754"/>
      <c r="AT399" s="754"/>
      <c r="AU399" s="754"/>
      <c r="AV399" s="754"/>
      <c r="AW399" s="754"/>
      <c r="AX399" s="754"/>
      <c r="AY399" s="754"/>
      <c r="AZ399" s="754"/>
      <c r="BA399" s="754"/>
      <c r="BB399" s="754"/>
      <c r="BC399" s="754"/>
      <c r="BD399" s="754"/>
      <c r="BE399" s="754"/>
      <c r="BF399" s="754"/>
      <c r="BG399" s="754"/>
      <c r="BH399" s="754"/>
      <c r="BI399" s="754"/>
      <c r="BJ399" s="754"/>
    </row>
    <row r="400" spans="2:62" s="14" customFormat="1" ht="16" x14ac:dyDescent="0.2">
      <c r="B400" s="1790" t="s">
        <v>44</v>
      </c>
      <c r="C400" s="1791"/>
      <c r="D400" s="246">
        <f>SUM(D393:D399)</f>
        <v>1477.183670815697</v>
      </c>
      <c r="E400" s="247">
        <f>SUM(E393:E399)</f>
        <v>1.4771836708156971</v>
      </c>
      <c r="F400" s="248">
        <f t="shared" si="80"/>
        <v>1</v>
      </c>
      <c r="G400" s="249"/>
      <c r="H400" s="246">
        <f>SQRT(SUMSQ(H393:H399))</f>
        <v>0</v>
      </c>
      <c r="I400" s="248">
        <f t="shared" si="76"/>
        <v>0</v>
      </c>
      <c r="J400" s="229"/>
      <c r="K400" s="246">
        <f>SUM(K393:K399)</f>
        <v>0</v>
      </c>
      <c r="L400" s="246">
        <f>SUM(L393:L399)</f>
        <v>0</v>
      </c>
      <c r="M400" s="250"/>
      <c r="N400" s="246">
        <f>SUM(N393:N399)</f>
        <v>0</v>
      </c>
      <c r="O400" s="251">
        <f>SUM(O393:O399)</f>
        <v>1.4771836708156971</v>
      </c>
      <c r="P400" s="252"/>
      <c r="Q400" s="245">
        <f t="shared" si="78"/>
        <v>1.4771836708156971</v>
      </c>
      <c r="R400" s="245">
        <f t="shared" si="82"/>
        <v>1.4771836708156971</v>
      </c>
      <c r="S400" s="245">
        <f t="shared" si="83"/>
        <v>1.4771836708156971</v>
      </c>
      <c r="T400" s="245">
        <f t="shared" si="79"/>
        <v>1.4771836708156971</v>
      </c>
      <c r="AS400" s="776"/>
      <c r="AT400" s="776"/>
      <c r="AU400" s="776"/>
      <c r="AV400" s="776"/>
      <c r="AW400" s="776"/>
      <c r="AX400" s="776"/>
      <c r="AY400" s="776"/>
      <c r="AZ400" s="776"/>
      <c r="BA400" s="776"/>
      <c r="BB400" s="776"/>
      <c r="BC400" s="776"/>
      <c r="BD400" s="776"/>
      <c r="BE400" s="776"/>
      <c r="BF400" s="776"/>
      <c r="BG400" s="776"/>
      <c r="BH400" s="776"/>
      <c r="BI400" s="776"/>
      <c r="BJ400" s="776"/>
    </row>
    <row r="401" spans="2:62" s="4" customFormat="1" x14ac:dyDescent="0.15">
      <c r="B401" s="192"/>
      <c r="C401" s="192"/>
      <c r="D401" s="192"/>
      <c r="E401" s="192"/>
      <c r="F401" s="192"/>
      <c r="G401" s="192"/>
      <c r="H401" s="231"/>
      <c r="I401" s="231"/>
      <c r="J401" s="287" t="s">
        <v>2496</v>
      </c>
      <c r="K401" s="288">
        <f>IF($D400=0,"",K400/$D400)</f>
        <v>0</v>
      </c>
      <c r="L401" s="288">
        <f>IF($D400=0,"",L400/$D400)</f>
        <v>0</v>
      </c>
      <c r="M401" s="231"/>
      <c r="N401" s="231"/>
      <c r="O401" s="231"/>
      <c r="P401" s="232"/>
      <c r="Q401" s="232"/>
      <c r="R401" s="232"/>
      <c r="S401" s="232"/>
      <c r="T401" s="232"/>
      <c r="AS401" s="754"/>
      <c r="AT401" s="754"/>
      <c r="AU401" s="754"/>
      <c r="AV401" s="754"/>
      <c r="AW401" s="754"/>
      <c r="AX401" s="754"/>
      <c r="AY401" s="754"/>
      <c r="AZ401" s="754"/>
      <c r="BA401" s="754"/>
      <c r="BB401" s="754"/>
      <c r="BC401" s="754"/>
      <c r="BD401" s="754"/>
      <c r="BE401" s="754"/>
      <c r="BF401" s="754"/>
      <c r="BG401" s="754"/>
      <c r="BH401" s="754"/>
      <c r="BI401" s="754"/>
      <c r="BJ401" s="754"/>
    </row>
    <row r="402" spans="2:62" x14ac:dyDescent="0.2">
      <c r="G402" s="314"/>
    </row>
    <row r="403" spans="2:62" ht="14" x14ac:dyDescent="0.2">
      <c r="B403" s="1781" t="s">
        <v>2648</v>
      </c>
      <c r="C403" s="1782"/>
      <c r="D403" s="342" t="s">
        <v>2658</v>
      </c>
      <c r="E403" s="342" t="s">
        <v>2028</v>
      </c>
      <c r="F403" s="342" t="s">
        <v>2657</v>
      </c>
      <c r="G403" s="342" t="s">
        <v>68</v>
      </c>
    </row>
    <row r="404" spans="2:62" x14ac:dyDescent="0.2">
      <c r="B404" s="1788" t="s">
        <v>2652</v>
      </c>
      <c r="C404" s="1789"/>
      <c r="D404" s="241">
        <f>(D24+D35+D46+D56+D66+D76+D86+D96+D106)/1000</f>
        <v>1.0951491958156971</v>
      </c>
      <c r="E404" s="193">
        <f>E394+E395</f>
        <v>0.38203447499999998</v>
      </c>
      <c r="F404" s="241">
        <f>(D304+D314+D324+D334+D344)/1000</f>
        <v>0</v>
      </c>
      <c r="G404" s="193">
        <f>SUM(D404:F404)</f>
        <v>1.4771836708156971</v>
      </c>
    </row>
    <row r="405" spans="2:62" x14ac:dyDescent="0.2">
      <c r="B405" s="1788" t="s">
        <v>53</v>
      </c>
      <c r="C405" s="1789"/>
      <c r="D405" s="241"/>
      <c r="E405" s="193">
        <f>E397</f>
        <v>0</v>
      </c>
      <c r="F405" s="241">
        <f>(D354+D364)/1000</f>
        <v>0</v>
      </c>
      <c r="G405" s="193">
        <f>SUM(D405:F405)</f>
        <v>0</v>
      </c>
    </row>
    <row r="406" spans="2:62" x14ac:dyDescent="0.2">
      <c r="B406" s="1788" t="s">
        <v>2653</v>
      </c>
      <c r="C406" s="1789"/>
      <c r="D406" s="241">
        <f>D116/1000</f>
        <v>0</v>
      </c>
      <c r="E406" s="193">
        <f>E396</f>
        <v>0</v>
      </c>
      <c r="F406" s="241">
        <f>D384/1000</f>
        <v>0</v>
      </c>
      <c r="G406" s="193">
        <f>SUM(D406:F406)</f>
        <v>0</v>
      </c>
    </row>
    <row r="407" spans="2:62" x14ac:dyDescent="0.2">
      <c r="B407" s="1788" t="s">
        <v>2654</v>
      </c>
      <c r="C407" s="1789"/>
      <c r="D407" s="241"/>
      <c r="E407" s="193">
        <f>E398</f>
        <v>0</v>
      </c>
      <c r="F407" s="241">
        <f>D374/1000</f>
        <v>0</v>
      </c>
      <c r="G407" s="193">
        <f>SUM(D407:F407)</f>
        <v>0</v>
      </c>
    </row>
    <row r="408" spans="2:62" ht="14" x14ac:dyDescent="0.2">
      <c r="B408" s="1790" t="s">
        <v>44</v>
      </c>
      <c r="C408" s="1791"/>
      <c r="D408" s="246">
        <f>SUM(D404:D407)</f>
        <v>1.0951491958156971</v>
      </c>
      <c r="E408" s="246">
        <f>SUM(E404:E407)</f>
        <v>0.38203447499999998</v>
      </c>
      <c r="F408" s="246">
        <f>SUM(F404:F407)</f>
        <v>0</v>
      </c>
      <c r="G408" s="246">
        <f>SUM(D408:F408)</f>
        <v>1.4771836708156971</v>
      </c>
    </row>
    <row r="409" spans="2:62" x14ac:dyDescent="0.2">
      <c r="G409" s="314"/>
    </row>
    <row r="410" spans="2:62" ht="16" x14ac:dyDescent="0.2">
      <c r="AS410" s="751"/>
      <c r="AT410" s="751"/>
      <c r="AU410" s="751"/>
      <c r="AV410" s="751"/>
      <c r="AW410" s="751"/>
    </row>
    <row r="411" spans="2:62" s="39" customFormat="1" ht="16" x14ac:dyDescent="0.2">
      <c r="B411" s="1774" t="str">
        <f>+Energia!B150</f>
        <v>Panoramica delle categorie definite nel  GHG Protocol</v>
      </c>
      <c r="C411" s="1775"/>
      <c r="D411" s="1775"/>
      <c r="E411" s="1775"/>
      <c r="F411" s="1775"/>
      <c r="G411" s="1775"/>
      <c r="H411" s="1775"/>
      <c r="I411" s="1775"/>
      <c r="J411" s="1775"/>
      <c r="K411" s="1775"/>
      <c r="L411" s="1775"/>
      <c r="M411" s="1775"/>
      <c r="N411" s="1775"/>
      <c r="O411" s="1776"/>
      <c r="W411" s="1162"/>
      <c r="AB411" s="1162"/>
      <c r="AF411" s="1162"/>
      <c r="AK411" s="729"/>
      <c r="AL411" s="729"/>
      <c r="AM411" s="729"/>
      <c r="AN411" s="729"/>
      <c r="AO411" s="729"/>
      <c r="AP411" s="729"/>
      <c r="AQ411" s="729"/>
      <c r="AR411" s="729"/>
      <c r="AS411" s="729"/>
      <c r="AT411" s="729"/>
      <c r="AU411" s="729"/>
      <c r="AV411" s="729"/>
    </row>
    <row r="412" spans="2:62" s="39" customFormat="1" ht="12" outlineLevel="1" x14ac:dyDescent="0.2">
      <c r="W412" s="1162"/>
      <c r="AB412" s="1162"/>
      <c r="AF412" s="1162"/>
      <c r="AK412" s="729"/>
      <c r="AL412" s="729"/>
      <c r="AM412" s="729"/>
      <c r="AN412" s="729"/>
      <c r="AO412" s="729"/>
      <c r="AP412" s="729"/>
      <c r="AQ412" s="729"/>
      <c r="AR412" s="729"/>
      <c r="AS412" s="729"/>
      <c r="AT412" s="729"/>
      <c r="AU412" s="729"/>
      <c r="AV412" s="729"/>
    </row>
    <row r="413" spans="2:62" s="39" customFormat="1" ht="28" outlineLevel="1" x14ac:dyDescent="0.2">
      <c r="B413" s="118"/>
      <c r="C413" s="118"/>
      <c r="D413" s="118"/>
      <c r="E413" s="1777" t="s">
        <v>2498</v>
      </c>
      <c r="F413" s="1779"/>
      <c r="G413" s="1779"/>
      <c r="H413" s="1779"/>
      <c r="I413" s="1779"/>
      <c r="J413" s="1779"/>
      <c r="K413" s="1779"/>
      <c r="L413" s="1779"/>
      <c r="M413" s="1779"/>
      <c r="N413" s="1778"/>
      <c r="O413" s="1249" t="s">
        <v>2517</v>
      </c>
      <c r="W413" s="1162"/>
      <c r="AB413" s="1162"/>
      <c r="AF413" s="1162"/>
      <c r="AK413" s="729"/>
      <c r="AL413" s="729"/>
      <c r="AM413" s="729"/>
      <c r="AN413" s="729"/>
      <c r="AO413" s="729"/>
      <c r="AP413" s="729"/>
      <c r="AQ413" s="729"/>
      <c r="AR413" s="729"/>
      <c r="AS413" s="729"/>
      <c r="AT413" s="729"/>
      <c r="AU413" s="729"/>
      <c r="AV413" s="729"/>
    </row>
    <row r="414" spans="2:62" s="39" customFormat="1" ht="28" outlineLevel="1" x14ac:dyDescent="0.2">
      <c r="B414" s="1777" t="str">
        <f>+Energia!B153</f>
        <v>Sorgenti di emissione</v>
      </c>
      <c r="C414" s="1778"/>
      <c r="D414" s="1251" t="s">
        <v>2500</v>
      </c>
      <c r="E414" s="1250" t="s">
        <v>666</v>
      </c>
      <c r="F414" s="1250" t="s">
        <v>667</v>
      </c>
      <c r="G414" s="1250" t="s">
        <v>668</v>
      </c>
      <c r="H414" s="1250" t="s">
        <v>670</v>
      </c>
      <c r="I414" s="1250" t="s">
        <v>671</v>
      </c>
      <c r="J414" s="1250" t="s">
        <v>672</v>
      </c>
      <c r="K414" s="1250" t="s">
        <v>2584</v>
      </c>
      <c r="L414" s="1251" t="s">
        <v>69</v>
      </c>
      <c r="M414" s="1250" t="s">
        <v>669</v>
      </c>
      <c r="N414" s="1250" t="s">
        <v>2586</v>
      </c>
      <c r="O414" s="1251" t="s">
        <v>69</v>
      </c>
      <c r="Z414" s="1162"/>
      <c r="AE414" s="1162"/>
      <c r="AI414" s="1162"/>
      <c r="AN414" s="729"/>
      <c r="AO414" s="729"/>
      <c r="AP414" s="729"/>
      <c r="AQ414" s="729"/>
      <c r="AR414" s="729"/>
      <c r="AS414" s="729"/>
      <c r="AT414" s="729"/>
      <c r="AU414" s="729"/>
      <c r="AV414" s="729"/>
      <c r="AW414" s="729"/>
      <c r="AX414" s="729"/>
      <c r="AY414" s="729"/>
    </row>
    <row r="415" spans="2:62" s="39" customFormat="1" ht="14" outlineLevel="1" x14ac:dyDescent="0.2">
      <c r="B415" s="1749" t="str">
        <f>+Energia!B154</f>
        <v xml:space="preserve">Emissioni dirette da sorgenti di combustione stazionarie </v>
      </c>
      <c r="C415" s="1749"/>
      <c r="D415" s="1245" t="s">
        <v>99</v>
      </c>
      <c r="E415" s="1239"/>
      <c r="F415" s="1239"/>
      <c r="G415" s="1239"/>
      <c r="H415" s="1239"/>
      <c r="I415" s="1239"/>
      <c r="J415" s="1239"/>
      <c r="K415" s="1239"/>
      <c r="L415" s="1248"/>
      <c r="M415" s="1237"/>
      <c r="N415" s="1242"/>
      <c r="O415" s="1241"/>
      <c r="Z415" s="1162"/>
      <c r="AE415" s="1162"/>
      <c r="AI415" s="1162"/>
      <c r="AN415" s="729"/>
      <c r="AO415" s="729"/>
      <c r="AP415" s="729"/>
      <c r="AQ415" s="729"/>
      <c r="AR415" s="729"/>
      <c r="AS415" s="729"/>
      <c r="AT415" s="729"/>
      <c r="AU415" s="729"/>
      <c r="AV415" s="729"/>
      <c r="AW415" s="729"/>
      <c r="AX415" s="729"/>
      <c r="AY415" s="729"/>
    </row>
    <row r="416" spans="2:62" s="39" customFormat="1" ht="14" outlineLevel="1" x14ac:dyDescent="0.2">
      <c r="B416" s="1749" t="str">
        <f>+Energia!B155</f>
        <v>Emissioni dirette da sorgenti di combustione mobili</v>
      </c>
      <c r="C416" s="1749"/>
      <c r="D416" s="1246" t="s">
        <v>100</v>
      </c>
      <c r="E416" s="1239">
        <f>SUMIF($F$12:$F$24,'Info utili'!$I$532,AT12:AT24)+SUMIF($F$26:$F$106,'Info utili'!$I$532,AU26:AU106)+SUMIF($F$122:$F$133,'Info utili'!$I$532,AT122:AT133)+SUMIF($F$135:$F$196,'Info utili'!$I$532,AU135:AU196)+SUMIF($F$230:$F$260,'Info utili'!$I$532,AT230:AT260)+SUMIF($F$230:$F$260,'Info utili'!$I$532,AU230:AU260)+SUMIF($F$265:$F$304,'Info utili'!$I$532,AT265:AT304)+SUMIF($F$306:$F$344,'Info utili'!$I$532,AU306:AU344)+SUMIF($F$346:$F$364,'Info utili'!$I$532,AT346:AT364)+SUMIF($F$346:$F$364,'Info utili'!$I$532,AU346:AU364)+SUMIF($F$366:$F$374,'Info utili'!$I$532,AT366:AT374)+SUMIF($F$12:$F$24,'Info utili'!$I$537,AT12:AT24)+SUMIF($F$26:$F$106,'Info utili'!$I$537,AU26:AU106)+SUMIF($F$122:$F$133,'Info utili'!$I$537,AT122:AT133)+SUMIF($F$135:$F$196,'Info utili'!$I$537,AU135:AU196)+SUMIF($F$230:$F$260,'Info utili'!$I$537,AT230:AT260)+SUMIF($F$230:$F$260,'Info utili'!$I$537,AU230:AU260)+SUMIF($F$265:$F$304,'Info utili'!$I$537,AT265:AT304)+SUMIF($F$306:$F$344,'Info utili'!$I$537,AU306:AU344)+SUMIF($F$346:$F$364,'Info utili'!$I$537,AT346:AT364)+SUMIF($F$346:$F$364,'Info utili'!$I$537,AU346:AU364)+SUMIF($F$366:$F$374,'Info utili'!$I$537,AT366:AT374)</f>
        <v>0</v>
      </c>
      <c r="F416" s="1239">
        <f>SUMIF($F$12:$F$24,'Info utili'!$I$532,AV12:AV24)+SUMIF($F$26:$F$106,'Info utili'!$I$532,AX26:AX106)+SUMIF($F$122:$F$133,'Info utili'!$I$532,AV122:AV133)+SUMIF($F$135:$F$196,'Info utili'!$I$532,AX135:AX196)+SUMIF($F$230:$F$260,'Info utili'!$I$532,AW230:AW260)+SUMIF($F$230:$F$260,'Info utili'!$I$532,AX230:AX260)+SUMIF($F$265:$F$304,'Info utili'!$I$532,AV265:AV304)+SUMIF($F$306:$F$344,'Info utili'!$I$532,AX306:AX344)+SUMIF($F$346:$F$364,'Info utili'!$I$532,AW346:AW364)+SUMIF($F$346:$F$364,'Info utili'!$I$532,AX346:AX364)+SUMIF($F$366:$F$374,'Info utili'!$I$532,AV366:AV374)+SUMIF($F$12:$F$24,'Info utili'!$I$537,AV12:AV24)+SUMIF($F$26:$F$106,'Info utili'!$I$537,AX26:AX106)+SUMIF($F$122:$F$133,'Info utili'!$I$537,AV122:AV133)+SUMIF($F$135:$F$196,'Info utili'!$I$537,AX135:AX196)+SUMIF($F$230:$F$260,'Info utili'!$I$537,AW230:AW260)+SUMIF($F$230:$F$260,'Info utili'!$I$537,AX230:AX260)+SUMIF($F$265:$F$304,'Info utili'!$I$537,AV265:AV304)+SUMIF($F$306:$F$344,'Info utili'!$I$537,AX306:AX344)+SUMIF($F$346:$F$364,'Info utili'!$I$537,AW346:AW364)+SUMIF($F$346:$F$364,'Info utili'!$I$537,AX346:AX364)+SUMIF($F$366:$F$374,'Info utili'!$I$537,AV366:AV374)</f>
        <v>0</v>
      </c>
      <c r="G416" s="1239">
        <f>SUMIF($F$12:$F$24,'Info utili'!$I$532,AX12:AX24)+SUMIF($F$26:$F$106,'Info utili'!$I$532,BA26:BA106)+SUMIF($F$122:$F$133,'Info utili'!$I$532,AX122:AX133)+SUMIF($F$135:$F$196,'Info utili'!$I$532,BA135:BA196)+SUMIF($F$230:$F$260,'Info utili'!$I$532,AZ230:AZ260)+SUMIF($F$230:$F$260,'Info utili'!$I$532,BA230:BA260)+SUMIF($F$265:$F$304,'Info utili'!$I$532,AX265:AX304)+SUMIF($F$306:$F$344,'Info utili'!$I$532,BA306:BA344)+SUMIF($F$346:$F$364,'Info utili'!$I$532,AZ346:AZ364)+SUMIF($F$346:$F$364,'Info utili'!$I$532,BA346:BA364)+SUMIF($F$366:$F$374,'Info utili'!$I$532,AX366:AX374)+SUMIF($F$12:$F$24,'Info utili'!$I$537,AX12:AX24)+SUMIF($F$26:$F$106,'Info utili'!$I$537,BA26:BA106)+SUMIF($F$122:$F$133,'Info utili'!$I$537,AX122:AX133)+SUMIF($F$135:$F$196,'Info utili'!$I$537,BA135:BA196)+SUMIF($F$230:$F$260,'Info utili'!$I$537,AZ230:AZ260)+SUMIF($F$230:$F$260,'Info utili'!$I$537,BA230:BA260)+SUMIF($F$265:$F$304,'Info utili'!$I$537,AX265:AX304)+SUMIF($F$306:$F$344,'Info utili'!$I$537,BA306:BA344)+SUMIF($F$346:$F$364,'Info utili'!$I$537,AZ346:AZ364)+SUMIF($F$346:$F$364,'Info utili'!$I$537,BA346:BA364)+SUMIF($F$366:$F$374,'Info utili'!$I$537,AX366:AX374)</f>
        <v>0</v>
      </c>
      <c r="H416" s="1239">
        <v>0</v>
      </c>
      <c r="I416" s="1239">
        <v>0</v>
      </c>
      <c r="J416" s="1239">
        <v>0</v>
      </c>
      <c r="K416" s="1239">
        <v>0</v>
      </c>
      <c r="L416" s="1248">
        <f>SUMIF($F$12:$F$24,'Info utili'!$I$532,BB12:BB24)+SUMIF($F$26:$F$106,'Info utili'!$I$532,BG26:BG106)+SUMIF($F$122:$F$133,'Info utili'!$I$532,BB122:BB133)+SUMIF($F$135:$F$196,'Info utili'!$I$532,BG135:BG196)+SUMIF($F$230:$F$260,'Info utili'!$I$532,BF230:BF260)+SUMIF($F$230:$F$260,'Info utili'!$I$532,BG230:BG260)+SUMIF($F$265:$F$304,'Info utili'!$I$532,BB265:BB304)+SUMIF($F$306:$F$344,'Info utili'!$I$532,BG306:BG344)+SUMIF($F$346:$F$364,'Info utili'!$I$532,BF346:BF364)+SUMIF($F$346:$F$364,'Info utili'!$I$532,BG346:BG364)+SUMIF($F$366:$F$374,'Info utili'!$I$532,BB366:BB374)+SUMIF($F$12:$F$24,'Info utili'!$I$537,BB12:BB24)+SUMIF($F$26:$F$106,'Info utili'!$I$537,BG26:BG106)+SUMIF($F$122:$F$133,'Info utili'!$I$537,BB122:BB133)+SUMIF($F$135:$F$196,'Info utili'!$I$537,BG135:BG196)+SUMIF($F$230:$F$260,'Info utili'!$I$537,BF230:BF260)+SUMIF($F$230:$F$260,'Info utili'!$I$537,BG230:BG260)+SUMIF($F$265:$F$304,'Info utili'!$I$537,BB265:BB304)+SUMIF($F$306:$F$344,'Info utili'!$I$537,BG306:BG344)+SUMIF($F$346:$F$364,'Info utili'!$I$537,BF346:BF364)+SUMIF($F$346:$F$364,'Info utili'!$I$537,BG346:BG364)+SUMIF($F$366:$F$374,'Info utili'!$I$537,BB366:BB374)</f>
        <v>397</v>
      </c>
      <c r="M416" s="1237">
        <f>SUMIF($F$12:$F$24,'Info utili'!$I$532,BD12:BD24)+SUMIF($F$26:$F$106,'Info utili'!$I$532,BJ26:BJ106)+SUMIF($F$122:$F$133,'Info utili'!$I$532,BD122:BD133)+SUMIF($F$135:$F$196,'Info utili'!$I$532,BJ135:BJ196)+SUMIF($F$230:$F$260,'Info utili'!$I$532,BI230:BI260)+SUMIF($F$230:$F$260,'Info utili'!$I$532,BJ230:BJ260)+SUMIF($F$265:$F$304,'Info utili'!$I$532,BD265:BD304)+SUMIF($F$306:$F$344,'Info utili'!$I$532,BJ306:BJ344)+SUMIF($F$346:$F$364,'Info utili'!$I$532,BI346:BI364)+SUMIF($F$346:$F$364,'Info utili'!$I$532,BJ346:BJ364)+SUMIF($F$366:$F$374,'Info utili'!$I$532,BD366:BD374)+SUMIF($F$12:$F$24,'Info utili'!$I$537,BD12:BD24)+SUMIF($F$26:$F$106,'Info utili'!$I$537,BJ26:BJ106)+SUMIF($F$122:$F$133,'Info utili'!$I$537,BD122:BD133)+SUMIF($F$135:$F$196,'Info utili'!$I$537,BJ135:BJ196)+SUMIF($F$230:$F$260,'Info utili'!$I$537,BI230:BI260)+SUMIF($F$230:$F$260,'Info utili'!$I$537,BJ230:BJ260)+SUMIF($F$265:$F$304,'Info utili'!$I$537,BD265:BD304)+SUMIF($F$306:$F$344,'Info utili'!$I$537,BJ306:BJ344)+SUMIF($F$346:$F$364,'Info utili'!$I$537,BI346:BI364)+SUMIF($F$346:$F$364,'Info utili'!$I$537,BJ346:BJ364)+SUMIF($F$366:$F$374,'Info utili'!$I$537,BD366:BD374)</f>
        <v>0</v>
      </c>
      <c r="N416" s="1242">
        <f>SQRT(SUMPRODUCT(($F$12:$F$24='Info utili'!$I$532)*1,AA12:AA24,AA12:AA24)+SUMPRODUCT(($F$26:$F$106='Info utili'!$I$532)*1,AB26:AB106,AB26:AB106)+SUMPRODUCT(($F$122:$F$133='Info utili'!$I$532)*1,AA122:AA133,AA122:AA133)+SUMPRODUCT(($F$135:$F$196='Info utili'!$I$532)*1,AB135:AB196,AB135:AB196)+SUMPRODUCT(($F$230:$F$260='Info utili'!$I$532)*1,AA230:AA260,AA230:AA260)+SUMPRODUCT(($F$230:$F$260='Info utili'!$I$532)*1,AB230:AB260,AB230:AB260)+SUMPRODUCT(($F$265:$F$304='Info utili'!$I$532)*1,AA265:AA304,AA265:AA304)+SUMPRODUCT(($F$306:$F$344='Info utili'!$I$532)*1,AB306:AB344,AB306:AB344)+SUMPRODUCT(($F$346:$F$364='Info utili'!$I$532)*1,AA346:AA364,AA346:AA364)+SUMPRODUCT(($F$346:$F$364='Info utili'!$I$532)*1,AB346:AB364,AB346:AB364)+SUMPRODUCT(($F$366:$F$374='Info utili'!$I$532)*1,AA366:AA374,AA366:AA374)+SUMPRODUCT(($F$12:$F$24='Info utili'!$I$537)*1,AA12:AA24,AA12:AA24)+SUMPRODUCT(($F$26:$F$106='Info utili'!$I$537)*1,AB26:AB106,AB26:AB106)+SUMPRODUCT(($F$122:$F$133='Info utili'!$I$537)*1,AA122:AA133,AA122:AA133)+SUMPRODUCT(($F$135:$F$196='Info utili'!$I$537)*1,AB135:AB196,AB135:AB196)+SUMPRODUCT(($F$230:$F$260='Info utili'!$I$537)*1,AA230:AA260,AA230:AA260)+SUMPRODUCT(($F$230:$F$260='Info utili'!$I$537)*1,AB230:AB260,AB230:AB260)+SUMPRODUCT(($F$265:$F$304='Info utili'!$I$537)*1,AA265:AA304,AA265:AA304)+SUMPRODUCT(($F$306:$F$344='Info utili'!$I$537)*1,AB306:AB344,AB306:AB344)+SUMPRODUCT(($F$346:$F$364='Info utili'!$I$537)*1,AA346:AA364,AA346:AA364)+SUMPRODUCT(($F$346:$F$364='Info utili'!$I$537)*1,AB346:AB364,AB346:AB364)+SUMPRODUCT(($F$366:$F$374='Info utili'!$I$537)*1,AA366:AA374,AA366:AA374))</f>
        <v>0</v>
      </c>
      <c r="O416" s="1241"/>
      <c r="Z416" s="1162"/>
      <c r="AE416" s="1162"/>
      <c r="AI416" s="1162"/>
      <c r="AN416" s="729"/>
      <c r="AO416" s="729"/>
      <c r="AP416" s="729"/>
      <c r="AQ416" s="729"/>
      <c r="AR416" s="729"/>
      <c r="AS416" s="729"/>
      <c r="AT416" s="729"/>
      <c r="AU416" s="729"/>
      <c r="AV416" s="729"/>
      <c r="AW416" s="729"/>
      <c r="AX416" s="729"/>
      <c r="AY416" s="729"/>
    </row>
    <row r="417" spans="2:51" s="39" customFormat="1" ht="14" outlineLevel="1" x14ac:dyDescent="0.2">
      <c r="B417" s="1749" t="str">
        <f>+Energia!B156</f>
        <v>Emissioni dirette da  processi</v>
      </c>
      <c r="C417" s="1749"/>
      <c r="D417" s="1246" t="s">
        <v>101</v>
      </c>
      <c r="E417" s="1239"/>
      <c r="F417" s="1239"/>
      <c r="G417" s="1239"/>
      <c r="H417" s="1239"/>
      <c r="I417" s="1239"/>
      <c r="J417" s="1239"/>
      <c r="K417" s="1239"/>
      <c r="L417" s="1248"/>
      <c r="M417" s="1237"/>
      <c r="N417" s="1242"/>
      <c r="O417" s="1241"/>
      <c r="Z417" s="1162"/>
      <c r="AE417" s="1162"/>
      <c r="AI417" s="1162"/>
      <c r="AN417" s="729"/>
      <c r="AO417" s="729"/>
      <c r="AP417" s="729"/>
      <c r="AQ417" s="729"/>
      <c r="AR417" s="729"/>
      <c r="AS417" s="729"/>
      <c r="AT417" s="729"/>
      <c r="AU417" s="729"/>
      <c r="AV417" s="729"/>
      <c r="AW417" s="729"/>
      <c r="AX417" s="729"/>
      <c r="AY417" s="729"/>
    </row>
    <row r="418" spans="2:51" s="39" customFormat="1" ht="14" outlineLevel="1" x14ac:dyDescent="0.2">
      <c r="B418" s="1749" t="str">
        <f>+Energia!B157</f>
        <v>Emissioni dirette da  fonti fugitive</v>
      </c>
      <c r="C418" s="1749"/>
      <c r="D418" s="1246" t="s">
        <v>102</v>
      </c>
      <c r="E418" s="1239"/>
      <c r="F418" s="1239"/>
      <c r="G418" s="1239"/>
      <c r="H418" s="1239"/>
      <c r="I418" s="1239"/>
      <c r="J418" s="1239"/>
      <c r="K418" s="1239"/>
      <c r="L418" s="1248"/>
      <c r="M418" s="1237"/>
      <c r="N418" s="1242"/>
      <c r="O418" s="1241"/>
      <c r="Z418" s="1162"/>
      <c r="AE418" s="1162"/>
      <c r="AI418" s="1162"/>
      <c r="AN418" s="729"/>
      <c r="AO418" s="729"/>
      <c r="AP418" s="729"/>
      <c r="AQ418" s="729"/>
      <c r="AR418" s="729"/>
      <c r="AS418" s="729"/>
      <c r="AT418" s="729"/>
      <c r="AU418" s="729"/>
      <c r="AV418" s="729"/>
      <c r="AW418" s="729"/>
      <c r="AX418" s="729"/>
      <c r="AY418" s="729"/>
    </row>
    <row r="419" spans="2:51" s="39" customFormat="1" outlineLevel="1" x14ac:dyDescent="0.2">
      <c r="B419" s="1766" t="s">
        <v>98</v>
      </c>
      <c r="C419" s="1767"/>
      <c r="D419" s="1768"/>
      <c r="E419" s="1236">
        <f t="shared" ref="E419:O419" si="84">SUM(E415:E418)</f>
        <v>0</v>
      </c>
      <c r="F419" s="1236">
        <f t="shared" si="84"/>
        <v>0</v>
      </c>
      <c r="G419" s="1236">
        <f t="shared" si="84"/>
        <v>0</v>
      </c>
      <c r="H419" s="1236">
        <f t="shared" si="84"/>
        <v>0</v>
      </c>
      <c r="I419" s="1236">
        <f t="shared" si="84"/>
        <v>0</v>
      </c>
      <c r="J419" s="1236">
        <f t="shared" si="84"/>
        <v>0</v>
      </c>
      <c r="K419" s="1236">
        <f t="shared" si="84"/>
        <v>0</v>
      </c>
      <c r="L419" s="1236">
        <f t="shared" si="84"/>
        <v>397</v>
      </c>
      <c r="M419" s="1247">
        <f t="shared" si="84"/>
        <v>0</v>
      </c>
      <c r="N419" s="1243">
        <f>SQRT(SUMSQ(N415:N418))</f>
        <v>0</v>
      </c>
      <c r="O419" s="1244">
        <f t="shared" si="84"/>
        <v>0</v>
      </c>
      <c r="Z419" s="1162"/>
      <c r="AE419" s="1162"/>
      <c r="AI419" s="1162"/>
      <c r="AN419" s="729"/>
      <c r="AO419" s="729"/>
      <c r="AP419" s="729"/>
      <c r="AQ419" s="729"/>
      <c r="AR419" s="729"/>
      <c r="AS419" s="729"/>
      <c r="AT419" s="729"/>
      <c r="AU419" s="729"/>
      <c r="AV419" s="729"/>
      <c r="AW419" s="729"/>
      <c r="AX419" s="729"/>
      <c r="AY419" s="729"/>
    </row>
    <row r="420" spans="2:51" s="39" customFormat="1" ht="14" outlineLevel="1" x14ac:dyDescent="0.2">
      <c r="B420" s="1749" t="str">
        <f>+Energia!B159</f>
        <v xml:space="preserve">Emissioni indirette da consumo di elettricità </v>
      </c>
      <c r="C420" s="1749"/>
      <c r="D420" s="1246" t="s">
        <v>103</v>
      </c>
      <c r="E420" s="1239">
        <f>AS207</f>
        <v>0</v>
      </c>
      <c r="F420" s="1239">
        <f>AT207</f>
        <v>0</v>
      </c>
      <c r="G420" s="1239">
        <f>AU207</f>
        <v>0</v>
      </c>
      <c r="H420" s="1239">
        <v>0</v>
      </c>
      <c r="I420" s="1239">
        <v>0</v>
      </c>
      <c r="J420" s="1239">
        <v>0</v>
      </c>
      <c r="K420" s="1239">
        <v>0</v>
      </c>
      <c r="L420" s="1248">
        <f>AW207</f>
        <v>0</v>
      </c>
      <c r="M420" s="1237">
        <f>AX207</f>
        <v>0</v>
      </c>
      <c r="N420" s="1242">
        <f>Z207</f>
        <v>0</v>
      </c>
      <c r="O420" s="1240"/>
      <c r="Z420" s="1162"/>
      <c r="AE420" s="1162"/>
      <c r="AI420" s="1162"/>
      <c r="AN420" s="729"/>
      <c r="AO420" s="729"/>
      <c r="AP420" s="729"/>
      <c r="AQ420" s="729"/>
      <c r="AR420" s="729"/>
      <c r="AS420" s="729"/>
      <c r="AT420" s="729"/>
      <c r="AU420" s="729"/>
      <c r="AV420" s="729"/>
      <c r="AW420" s="729"/>
      <c r="AX420" s="729"/>
      <c r="AY420" s="729"/>
    </row>
    <row r="421" spans="2:51" s="39" customFormat="1" ht="12.75" customHeight="1" outlineLevel="1" x14ac:dyDescent="0.2">
      <c r="B421" s="1749" t="str">
        <f>+Energia!B160</f>
        <v xml:space="preserve">Emissioni indirette da consumo di vapore, calore o raffrescamento </v>
      </c>
      <c r="C421" s="1749"/>
      <c r="D421" s="1246" t="s">
        <v>104</v>
      </c>
      <c r="E421" s="1239"/>
      <c r="F421" s="1239"/>
      <c r="G421" s="1239"/>
      <c r="H421" s="1239"/>
      <c r="I421" s="1239"/>
      <c r="J421" s="1239"/>
      <c r="K421" s="1239"/>
      <c r="L421" s="1248"/>
      <c r="M421" s="1237"/>
      <c r="N421" s="1242"/>
      <c r="O421" s="1240"/>
      <c r="Z421" s="1162"/>
      <c r="AE421" s="1162"/>
      <c r="AI421" s="1162"/>
      <c r="AN421" s="729"/>
      <c r="AO421" s="729"/>
      <c r="AP421" s="729"/>
      <c r="AQ421" s="729"/>
      <c r="AR421" s="729"/>
      <c r="AS421" s="729"/>
      <c r="AT421" s="729"/>
      <c r="AU421" s="729"/>
      <c r="AV421" s="729"/>
      <c r="AW421" s="729"/>
      <c r="AX421" s="729"/>
      <c r="AY421" s="729"/>
    </row>
    <row r="422" spans="2:51" s="39" customFormat="1" outlineLevel="1" x14ac:dyDescent="0.2">
      <c r="B422" s="1766" t="s">
        <v>97</v>
      </c>
      <c r="C422" s="1767"/>
      <c r="D422" s="1768"/>
      <c r="E422" s="1236">
        <f t="shared" ref="E422:L422" si="85">SUM(E420:E421)</f>
        <v>0</v>
      </c>
      <c r="F422" s="1236">
        <f t="shared" si="85"/>
        <v>0</v>
      </c>
      <c r="G422" s="1236">
        <f t="shared" si="85"/>
        <v>0</v>
      </c>
      <c r="H422" s="1236">
        <f t="shared" si="85"/>
        <v>0</v>
      </c>
      <c r="I422" s="1236">
        <f t="shared" si="85"/>
        <v>0</v>
      </c>
      <c r="J422" s="1236">
        <f t="shared" si="85"/>
        <v>0</v>
      </c>
      <c r="K422" s="1236">
        <f t="shared" si="85"/>
        <v>0</v>
      </c>
      <c r="L422" s="1236">
        <f t="shared" si="85"/>
        <v>0</v>
      </c>
      <c r="M422" s="1247">
        <f>SUM(M420:M421)</f>
        <v>0</v>
      </c>
      <c r="N422" s="1243">
        <f>SQRT(SUMSQ(N420:N421))</f>
        <v>0</v>
      </c>
      <c r="O422" s="1244">
        <f>SUM(O420:O421)</f>
        <v>0</v>
      </c>
      <c r="Z422" s="1162"/>
      <c r="AE422" s="1162"/>
      <c r="AI422" s="1162"/>
      <c r="AN422" s="729"/>
      <c r="AO422" s="729"/>
      <c r="AP422" s="729"/>
      <c r="AQ422" s="729"/>
      <c r="AR422" s="729"/>
      <c r="AS422" s="729"/>
      <c r="AT422" s="729"/>
      <c r="AU422" s="729"/>
      <c r="AV422" s="729"/>
      <c r="AW422" s="729"/>
      <c r="AX422" s="729"/>
      <c r="AY422" s="729"/>
    </row>
    <row r="423" spans="2:51" s="39" customFormat="1" outlineLevel="1" x14ac:dyDescent="0.2">
      <c r="B423" s="1771" t="s">
        <v>2527</v>
      </c>
      <c r="C423" s="1772"/>
      <c r="D423" s="1772"/>
      <c r="E423" s="1772"/>
      <c r="F423" s="1772"/>
      <c r="G423" s="1772"/>
      <c r="H423" s="1772"/>
      <c r="I423" s="1772"/>
      <c r="J423" s="1772"/>
      <c r="K423" s="1772"/>
      <c r="L423" s="1772"/>
      <c r="M423" s="1772"/>
      <c r="N423" s="1772"/>
      <c r="O423" s="1773"/>
      <c r="Z423" s="1162"/>
      <c r="AE423" s="1162"/>
      <c r="AI423" s="1162"/>
      <c r="AN423" s="729"/>
      <c r="AO423" s="729"/>
      <c r="AP423" s="729"/>
      <c r="AQ423" s="729"/>
      <c r="AR423" s="729"/>
      <c r="AS423" s="729"/>
      <c r="AT423" s="729"/>
      <c r="AU423" s="729"/>
      <c r="AV423" s="729"/>
      <c r="AW423" s="729"/>
      <c r="AX423" s="729"/>
      <c r="AY423" s="729"/>
    </row>
    <row r="424" spans="2:51" s="39" customFormat="1" ht="14" outlineLevel="1" x14ac:dyDescent="0.2">
      <c r="B424" s="1749" t="str">
        <f>+Energia!B163</f>
        <v xml:space="preserve">Beni o servizi acquistati </v>
      </c>
      <c r="C424" s="1749"/>
      <c r="D424" s="1246" t="s">
        <v>106</v>
      </c>
      <c r="E424" s="1239"/>
      <c r="F424" s="1239"/>
      <c r="G424" s="1239"/>
      <c r="H424" s="1239"/>
      <c r="I424" s="1239"/>
      <c r="J424" s="1239"/>
      <c r="K424" s="1239"/>
      <c r="L424" s="1248"/>
      <c r="M424" s="1237"/>
      <c r="N424" s="1242"/>
      <c r="O424" s="1240"/>
      <c r="Z424" s="1162"/>
      <c r="AE424" s="1162"/>
      <c r="AI424" s="1162"/>
      <c r="AN424" s="729"/>
      <c r="AO424" s="729"/>
      <c r="AP424" s="729"/>
      <c r="AQ424" s="729"/>
      <c r="AR424" s="729"/>
      <c r="AS424" s="729"/>
      <c r="AT424" s="729"/>
      <c r="AU424" s="729"/>
      <c r="AV424" s="729"/>
      <c r="AW424" s="729"/>
      <c r="AX424" s="729"/>
      <c r="AY424" s="729"/>
    </row>
    <row r="425" spans="2:51" s="39" customFormat="1" ht="14" outlineLevel="1" x14ac:dyDescent="0.2">
      <c r="B425" s="1749" t="str">
        <f>+Energia!B164</f>
        <v xml:space="preserve">Beni di consumo </v>
      </c>
      <c r="C425" s="1749"/>
      <c r="D425" s="1246" t="s">
        <v>107</v>
      </c>
      <c r="E425" s="1239"/>
      <c r="F425" s="1239"/>
      <c r="G425" s="1239"/>
      <c r="H425" s="1239"/>
      <c r="I425" s="1239"/>
      <c r="J425" s="1239"/>
      <c r="K425" s="1239"/>
      <c r="L425" s="1248"/>
      <c r="M425" s="1237"/>
      <c r="N425" s="1242"/>
      <c r="O425" s="1240"/>
      <c r="Z425" s="1162"/>
      <c r="AE425" s="1162"/>
      <c r="AI425" s="1162"/>
      <c r="AN425" s="729"/>
      <c r="AO425" s="729"/>
      <c r="AP425" s="729"/>
      <c r="AQ425" s="729"/>
      <c r="AR425" s="729"/>
      <c r="AS425" s="729"/>
      <c r="AT425" s="729"/>
      <c r="AU425" s="729"/>
      <c r="AV425" s="729"/>
      <c r="AW425" s="729"/>
      <c r="AX425" s="729"/>
      <c r="AY425" s="729"/>
    </row>
    <row r="426" spans="2:51" s="39" customFormat="1" ht="14" outlineLevel="1" x14ac:dyDescent="0.2">
      <c r="B426" s="1749" t="str">
        <f>+Energia!B165</f>
        <v xml:space="preserve">Emissioni dovute a combustibili e energia (non incluse nello scope 1 e 2) </v>
      </c>
      <c r="C426" s="1749"/>
      <c r="D426" s="1246" t="s">
        <v>108</v>
      </c>
      <c r="E426" s="1239">
        <f>SUMIF($F$12:$F$24,'Info utili'!$I$532,AS12:AS24)+SUMIF($F$26:$F$106,'Info utili'!$I$532,AT26:AT106)+SUMIF($F$122:$F$133,'Info utili'!$I$532,AS122:AS133)+SUMIF($F$135:$F$196,'Info utili'!$I$532,AT135:AT196)+SUMIF($F$230:$F$260,'Info utili'!$I$532,AS230:AS260)+SUMIF($F$265:$F$304,'Info utili'!$I$532,AS265:AS304)+SUMIF($F$306:$F$344,'Info utili'!$I$532,AT306:AT344)+SUMIF($F$346:$F$364,'Info utili'!$I$532,AS346:AS364)+SUMIF($F$366:$F$374,'Info utili'!$I$532,AS366:AS374)+SUMIF($F$12:$F$24,'Info utili'!$I$537,AS12:AS24)+SUMIF($F$26:$F$106,'Info utili'!$I$537,AT26:AT106)+SUMIF($F$122:$F$133,'Info utili'!$I$537,AS122:AS133)+SUMIF($F$135:$F$196,'Info utili'!$I$537,AT135:AT196)+SUMIF($F$230:$F$260,'Info utili'!$I$537,AS230:AS260)+SUMIF($F$265:$F$304,'Info utili'!$I$537,AS265:AS304)+SUMIF($F$306:$F$344,'Info utili'!$I$537,AT306:AT344)+SUMIF($F$346:$F$364,'Info utili'!$I$537,AS346:AS364)+SUMIF($F$366:$F$374,'Info utili'!$I$537,AS366:AS374)+AS215</f>
        <v>0</v>
      </c>
      <c r="F426" s="1239">
        <f>SUMIF($F$12:$F$24,'Info utili'!$I$532,AU12:AU24)+SUMIF($F$26:$F$106,'Info utili'!$I$532,AW26:AW106)+SUMIF($F$122:$F$133,'Info utili'!$I$532,AU122:AU133)+SUMIF($F$135:$F$196,'Info utili'!$I$532,AW135:AW196)+SUMIF($F$230:$F$260,'Info utili'!$I$532,AV230:AV260)+SUMIF($F$265:$F$304,'Info utili'!$I$532,AU265:AU304)+SUMIF($F$306:$F$344,'Info utili'!$I$532,AW306:AW344)+SUMIF($F$346:$F$364,'Info utili'!$I$532,AV346:AV364)+SUMIF($F$366:$F$374,'Info utili'!$I$532,AU366:AU374)+SUMIF($F$12:$F$24,'Info utili'!$I$537,AU12:AU24)+SUMIF($F$26:$F$106,'Info utili'!$I$537,AW26:AW106)+SUMIF($F$122:$F$133,'Info utili'!$I$537,AU122:AU133)+SUMIF($F$135:$F$196,'Info utili'!$I$537,AW135:AW196)+SUMIF($F$230:$F$260,'Info utili'!$I$537,AV230:AV260)+SUMIF($F$265:$F$304,'Info utili'!$I$537,AU265:AU304)+SUMIF($F$306:$F$344,'Info utili'!$I$537,AW306:AW344)+SUMIF($F$346:$F$364,'Info utili'!$I$537,AV346:AV364)+SUMIF($F$366:$F$374,'Info utili'!$I$537,AU366:AU374)+AT215</f>
        <v>0</v>
      </c>
      <c r="G426" s="1239">
        <f>SUMIF($F$12:$F$24,'Info utili'!$I$532,AW12:AW24)+SUMIF($F$26:$F$106,'Info utili'!$I$532,AZ26:AZ106)+SUMIF($F$122:$F$133,'Info utili'!$I$532,AW122:AW133)+SUMIF($F$135:$F$196,'Info utili'!$I$532,AZ135:AZ196)+SUMIF($F$230:$F$260,'Info utili'!$I$532,AY230:AY260)+SUMIF($F$265:$F$304,'Info utili'!$I$532,AW265:AW304)+SUMIF($F$306:$F$344,'Info utili'!$I$532,AZ306:AZ344)+SUMIF($F$346:$F$364,'Info utili'!$I$532,AY346:AY364)+SUMIF($F$366:$F$374,'Info utili'!$I$532,AW366:AW374)+SUMIF($F$12:$F$24,'Info utili'!$I$537,AW12:AW24)+SUMIF($F$26:$F$106,'Info utili'!$I$537,AZ26:AZ106)+SUMIF($F$122:$F$133,'Info utili'!$I$537,AW122:AW133)+SUMIF($F$135:$F$196,'Info utili'!$I$537,AZ135:AZ196)+SUMIF($F$230:$F$260,'Info utili'!$I$537,AY230:AY260)+SUMIF($F$265:$F$304,'Info utili'!$I$537,AW265:AW304)+SUMIF($F$306:$F$344,'Info utili'!$I$537,AZ306:AZ344)+SUMIF($F$346:$F$364,'Info utili'!$I$537,AY346:AY364)+SUMIF($F$366:$F$374,'Info utili'!$I$537,AW366:AW374)+AU215</f>
        <v>0</v>
      </c>
      <c r="H426" s="1239">
        <v>0</v>
      </c>
      <c r="I426" s="1239">
        <v>0</v>
      </c>
      <c r="J426" s="1239">
        <v>0</v>
      </c>
      <c r="K426" s="1239">
        <v>0</v>
      </c>
      <c r="L426" s="1248">
        <f>SUMIF($F$12:$F$24,'Info utili'!$I$532,BA12:BA24)+SUMIF($F$26:$F$106,'Info utili'!$I$532,BF26:BF106)+SUMIF($F$122:$F$133,'Info utili'!$I$532,BA122:BA133)+SUMIF($F$135:$F$196,'Info utili'!$I$532,BF135:BF196)+SUMIF($F$230:$F$260,'Info utili'!$I$532,BE230:BE260)+SUMIF($F$265:$F$304,'Info utili'!$I$532,BA265:BA304)+SUMIF($F$306:$F$344,'Info utili'!$I$532,BF306:BF344)+SUMIF($F$346:$F$364,'Info utili'!$I$532,BE346:BE364)+SUMIF($F$366:$F$374,'Info utili'!$I$532,BA366:BA374)+SUMIF($F$12:$F$24,'Info utili'!$I$537,BA12:BA24)+SUMIF($F$26:$F$106,'Info utili'!$I$537,BF26:BF106)+SUMIF($F$122:$F$133,'Info utili'!$I$537,BA122:BA133)+SUMIF($F$135:$F$196,'Info utili'!$I$537,BF135:BF196)+SUMIF($F$230:$F$260,'Info utili'!$I$537,BE230:BE260)+SUMIF($F$265:$F$304,'Info utili'!$I$537,BA265:BA304)+SUMIF($F$306:$F$344,'Info utili'!$I$537,BF306:BF344)+SUMIF($F$346:$F$364,'Info utili'!$I$537,BE346:BE364)+SUMIF($F$366:$F$374,'Info utili'!$I$537,BA366:BA374)+AW215</f>
        <v>82.316780935742599</v>
      </c>
      <c r="M426" s="1237">
        <f>SUMIF($F$12:$F$24,'Info utili'!$I$532,BC12:BC24)+SUMIF($F$26:$F$106,'Info utili'!$I$532,BI26:BI106)+SUMIF($F$122:$F$133,'Info utili'!$I$532,BC122:BC133)+SUMIF($F$135:$F$196,'Info utili'!$I$532,BI135:BI196)+SUMIF($F$230:$F$260,'Info utili'!$I$532,BH230:BH260)+SUMIF($F$265:$F$304,'Info utili'!$I$532,BC265:BC304)+SUMIF($F$306:$F$344,'Info utili'!$I$532,BI306:BI344)+SUMIF($F$346:$F$364,'Info utili'!$I$532,BH346:BH364)+SUMIF($F$366:$F$374,'Info utili'!$I$532,BC366:BC374)+SUMIF($F$12:$F$24,'Info utili'!$I$537,BC12:BC24)+SUMIF($F$26:$F$106,'Info utili'!$I$537,BI26:BI106)+SUMIF($F$122:$F$133,'Info utili'!$I$537,BC122:BC133)+SUMIF($F$135:$F$196,'Info utili'!$I$537,BI135:BI196)+SUMIF($F$230:$F$260,'Info utili'!$I$537,BH230:BH260)+SUMIF($F$265:$F$304,'Info utili'!$I$537,BC265:BC304)+SUMIF($F$306:$F$344,'Info utili'!$I$537,BI306:BI344)+SUMIF($F$346:$F$364,'Info utili'!$I$537,BH346:BH364)+SUMIF($F$366:$F$374,'Info utili'!$I$537,BC366:BC374)+AX215</f>
        <v>0</v>
      </c>
      <c r="N426" s="1242">
        <f>SQRT(SUMPRODUCT(($F$12:$F$24='Info utili'!$I$532)*1,Z12:Z24,Z12:Z24)+SUMPRODUCT(($F$26:$F$106='Info utili'!$I$532)*1,AA26:AA106,AA26:AA106)+SUMPRODUCT(($F$122:$F$133='Info utili'!$I$532)*1,Z122:Z133,Z122:Z133)+SUMPRODUCT(($F$135:$F$196='Info utili'!$I$532)*1,AA135:AA196,AA135:AA196)+SUMPRODUCT(($F$230:$F$260='Info utili'!$I$532)*1,Z230:Z260,Z230:Z260)+SUMPRODUCT(($F$265:$F$304='Info utili'!$I$532)*1,Z265:Z304,Z265:Z304)+SUMPRODUCT(($F$306:$F$344='Info utili'!$I$532)*1,AA306:AA344,AA306:AA344)+SUMPRODUCT(($F$346:$F$364='Info utili'!$I$532)*1,Z346:Z364,Z346:Z364)+SUMPRODUCT(($F$366:$F$374='Info utili'!$I$532)*1,Z366:Z374,Z366:Z374)
+SUMPRODUCT(($F$12:$F$24='Info utili'!$I$537)*1,Z12:Z24,Z12:Z24)+SUMPRODUCT(($F$26:$F$106='Info utili'!$I$537)*1,AA26:AA106,AA26:AA106)+SUMPRODUCT(($F$122:$F$133='Info utili'!$I$537)*1,Z122:Z133,Z122:Z133)+SUMPRODUCT(($F$135:$F$196='Info utili'!$I$537)*1,AA135:AA196,AA135:AA196)+SUMPRODUCT(($F$230:$F$260='Info utili'!$I$537)*1,Z230:Z260,Z230:Z260)+SUMPRODUCT(($F$265:$F$304='Info utili'!$I$537)*1,Z265:Z304,Z265:Z304)+SUMPRODUCT(($F$306:$F$344='Info utili'!$I$537)*1,AA306:AA344,AA306:AA344)+SUMPRODUCT(($F$346:$F$364='Info utili'!$I$537)*1,Z346:Z364,Z346:Z364)+SUMPRODUCT(($F$366:$F$374='Info utili'!$I$537)*1,Z366:Z374,Z366:Z374)+Z215^2)</f>
        <v>0</v>
      </c>
      <c r="O426" s="1240"/>
      <c r="Z426" s="1162"/>
      <c r="AE426" s="1162"/>
      <c r="AI426" s="1162"/>
      <c r="AN426" s="729"/>
      <c r="AO426" s="729"/>
      <c r="AP426" s="729"/>
      <c r="AQ426" s="729"/>
      <c r="AR426" s="729"/>
      <c r="AS426" s="729"/>
      <c r="AT426" s="729"/>
      <c r="AU426" s="729"/>
      <c r="AV426" s="729"/>
      <c r="AW426" s="729"/>
      <c r="AX426" s="729"/>
      <c r="AY426" s="729"/>
    </row>
    <row r="427" spans="2:51" s="39" customFormat="1" ht="14" outlineLevel="1" x14ac:dyDescent="0.2">
      <c r="B427" s="1749" t="str">
        <f>+Energia!B166</f>
        <v>Trasporto e distribuzione premanifattura</v>
      </c>
      <c r="C427" s="1749"/>
      <c r="D427" s="1246" t="s">
        <v>109</v>
      </c>
      <c r="E427" s="1239"/>
      <c r="F427" s="1239"/>
      <c r="G427" s="1239"/>
      <c r="H427" s="1239"/>
      <c r="I427" s="1239"/>
      <c r="J427" s="1239"/>
      <c r="K427" s="1239"/>
      <c r="L427" s="1248"/>
      <c r="M427" s="1237"/>
      <c r="N427" s="1242"/>
      <c r="O427" s="1240"/>
      <c r="Z427" s="1162"/>
      <c r="AE427" s="1162"/>
      <c r="AI427" s="1162"/>
      <c r="AN427" s="729"/>
      <c r="AO427" s="729"/>
      <c r="AP427" s="729"/>
      <c r="AQ427" s="729"/>
      <c r="AR427" s="729"/>
      <c r="AS427" s="729"/>
      <c r="AT427" s="729"/>
      <c r="AU427" s="729"/>
      <c r="AV427" s="729"/>
      <c r="AW427" s="729"/>
      <c r="AX427" s="729"/>
      <c r="AY427" s="729"/>
    </row>
    <row r="428" spans="2:51" s="39" customFormat="1" ht="14" outlineLevel="1" x14ac:dyDescent="0.2">
      <c r="B428" s="1749" t="str">
        <f>+Energia!B167</f>
        <v>Rifiuti prodotti</v>
      </c>
      <c r="C428" s="1749"/>
      <c r="D428" s="1246" t="s">
        <v>110</v>
      </c>
      <c r="E428" s="1239"/>
      <c r="F428" s="1239"/>
      <c r="G428" s="1239"/>
      <c r="H428" s="1239"/>
      <c r="I428" s="1239"/>
      <c r="J428" s="1239"/>
      <c r="K428" s="1239"/>
      <c r="L428" s="1248"/>
      <c r="M428" s="1237"/>
      <c r="N428" s="1242"/>
      <c r="O428" s="1240"/>
      <c r="Z428" s="1162"/>
      <c r="AE428" s="1162"/>
      <c r="AI428" s="1162"/>
      <c r="AN428" s="729"/>
      <c r="AO428" s="729"/>
      <c r="AP428" s="729"/>
      <c r="AQ428" s="729"/>
      <c r="AR428" s="729"/>
      <c r="AS428" s="729"/>
      <c r="AT428" s="729"/>
      <c r="AU428" s="729"/>
      <c r="AV428" s="729"/>
      <c r="AW428" s="729"/>
      <c r="AX428" s="729"/>
      <c r="AY428" s="729"/>
    </row>
    <row r="429" spans="2:51" s="39" customFormat="1" ht="14" outlineLevel="1" x14ac:dyDescent="0.2">
      <c r="B429" s="1749" t="str">
        <f>+Energia!B168</f>
        <v>Viaggi di lavoro</v>
      </c>
      <c r="C429" s="1749"/>
      <c r="D429" s="1246" t="s">
        <v>111</v>
      </c>
      <c r="E429" s="1239">
        <f>SUMIF($F$122:$F$133,'Info utili'!$I$534,AS122:AS133)+SUMIF($F$122:$F$133,'Info utili'!$I$534,AT122:AT133)+SUMIF($F$135:$F$196,'Info utili'!$I$534,AS135:AS196)+SUMIF($F$135:$F$196,'Info utili'!$I$534,AT135:AT196)+SUMIF($F$135:$F$196,'Info utili'!$I$534,AU135:AU196)+SUMIF($F$217:$F$225,'Info utili'!$I$534,AS217:AS225)+SUMIF($F$230:$F$260,'Info utili'!$I$534,AS230:AS260)+SUMIF($F$230:$F$260,'Info utili'!$I$534,AT230:AT260)+SUMIF($F$230:$F$260,'Info utili'!$I$534,AU230:AU260)+SUMIF($F$265:$F$286,'Info utili'!$I$534,AS265:AS286)+SUMIF($F$265:$F$286,'Info utili'!$I$534,AT265:AT286)+SUMIF($F$122:$F$133,'Info utili'!$I$538,AS122:AS133)+SUMIF($F$122:$F$133,'Info utili'!$I$538,AT122:AT133)+SUMIF($F$135:$F$196,'Info utili'!$I$538,AS135:AS196)+SUMIF($F$135:$F$196,'Info utili'!$I$538,AT135:AT196)+SUMIF($F$135:$F$196,'Info utili'!$I$538,AU135:AU196)+SUMIF($F$217:$F$225,'Info utili'!$I$538,AS217:AS225)+SUMIF($F$230:$F$260,'Info utili'!$I$538,AS230:AS260)+SUMIF($F$230:$F$260,'Info utili'!$I$538,AT230:AT260)+SUMIF($F$230:$F$260,'Info utili'!$I$538,AU230:AU260)+SUMIF($F$265:$F$286,'Info utili'!$I$538,AS265:AS286)+SUMIF($F$265:$F$286,'Info utili'!$I$538,AT265:AT286)</f>
        <v>0</v>
      </c>
      <c r="F429" s="1239">
        <f>SUMIF($F$122:$F$133,'Info utili'!$I$534,AU122:AU133)+SUMIF($F$122:$F$133,'Info utili'!$I$534,AV122:AV133)+SUMIF($F$135:$F$196,'Info utili'!$I$534,AV135:AV196)+SUMIF($F$135:$F$196,'Info utili'!$I$534,AW135:AW196)+SUMIF($F$135:$F$196,'Info utili'!$I$534,AX135:AX196)+SUMIF($F$217:$F$225,'Info utili'!$I$534,AT217:AT225)+SUMIF($F$230:$F$260,'Info utili'!$I$534,AV230:AV260)+SUMIF($F$230:$F$260,'Info utili'!$I$534,AW230:AW260)+SUMIF($F$230:$F$260,'Info utili'!$I$534,AX230:AX260)+SUMIF($F$265:$F$286,'Info utili'!$I$534,AU265:AU286)+SUMIF($F$265:$F$286,'Info utili'!$I$534,AV265:AV286)+SUMIF($F$122:$F$133,'Info utili'!$I$538,AU122:AU133)+SUMIF($F$122:$F$133,'Info utili'!$I$538,AV122:AV133)+SUMIF($F$135:$F$196,'Info utili'!$I$538,AV135:AV196)+SUMIF($F$135:$F$196,'Info utili'!$I$538,AW135:AW196)+SUMIF($F$135:$F$196,'Info utili'!$I$538,AX135:AX196)+SUMIF($F$217:$F$225,'Info utili'!$I$538,AT217:AT225)+SUMIF($F$230:$F$260,'Info utili'!$I$538,AV230:AV260)+SUMIF($F$230:$F$260,'Info utili'!$I$538,AW230:AW260)+SUMIF($F$230:$F$260,'Info utili'!$I$538,AX230:AX260)+SUMIF($F$265:$F$286,'Info utili'!$I$538,AU265:AU286)+SUMIF($F$265:$F$286,'Info utili'!$I$538,AV265:AV286)</f>
        <v>0</v>
      </c>
      <c r="G429" s="1239">
        <f>SUMIF($F$122:$F$133,'Info utili'!$I$534,AW122:AW133)+SUMIF($F$122:$F$133,'Info utili'!$I$534,AX122:AX133)+SUMIF($F$135:$F$196,'Info utili'!$I$534,AY135:AY196)+SUMIF($F$135:$F$196,'Info utili'!$I$534,AZ135:AZ196)+SUMIF($F$135:$F$196,'Info utili'!$I$534,BA135:BA196)+SUMIF($F$217:$F$225,'Info utili'!$I$534,AU217:AU225)+SUMIF($F$230:$F$260,'Info utili'!$I$534,AY230:AY260)+SUMIF($F$230:$F$260,'Info utili'!$I$534,AZ230:AZ260)+SUMIF($F$230:$F$260,'Info utili'!$I$534,BA230:BA260)+SUMIF($F$265:$F$286,'Info utili'!$I$534,AW265:AW286)+SUMIF($F$265:$F$286,'Info utili'!$I$534,AX265:AX286)+SUMIF($F$122:$F$133,'Info utili'!$I$538,AW122:AW133)+SUMIF($F$122:$F$133,'Info utili'!$I$538,AX122:AX133)+SUMIF($F$135:$F$196,'Info utili'!$I$538,AY135:AY196)+SUMIF($F$135:$F$196,'Info utili'!$I$538,AZ135:AZ196)+SUMIF($F$135:$F$196,'Info utili'!$I$538,BA135:BA196)+SUMIF($F$217:$F$225,'Info utili'!$I$538,AU217:AU225)+SUMIF($F$230:$F$260,'Info utili'!$I$538,AY230:AY260)+SUMIF($F$230:$F$260,'Info utili'!$I$538,AZ230:AZ260)+SUMIF($F$230:$F$260,'Info utili'!$I$538,BA230:BA260)+SUMIF($F$265:$F$286,'Info utili'!$I$538,AW265:AW286)+SUMIF($F$265:$F$286,'Info utili'!$I$538,AX265:AX286)</f>
        <v>0</v>
      </c>
      <c r="H429" s="1239">
        <v>0</v>
      </c>
      <c r="I429" s="1239">
        <v>0</v>
      </c>
      <c r="J429" s="1239">
        <v>0</v>
      </c>
      <c r="K429" s="1239">
        <v>0</v>
      </c>
      <c r="L429" s="1248">
        <f>SUMIF($F$122:$F$133,'Info utili'!$I$534,BA122:BA133)+SUMIF($F$122:$F$133,'Info utili'!$I$534,BB122:BB133)+SUMIF($F$135:$F$196,'Info utili'!$I$534,BE135:BE196)+SUMIF($F$135:$F$196,'Info utili'!$I$534,BF135:BF196)+SUMIF($F$135:$F$196,'Info utili'!$I$534,BG135:BG196)+SUMIF($F$217:$F$225,'Info utili'!$I$534,AW217:AW225)+SUMIF($F$230:$F$260,'Info utili'!$I$534,BE230:BE260)+SUMIF($F$230:$F$260,'Info utili'!$I$534,BF230:BF260)+SUMIF($F$230:$F$260,'Info utili'!$I$534,BG230:BG260)++SUMIF($F$265:$F$286,'Info utili'!$I$534,BA265:BA286)+SUMIF($F$265:$F$286,'Info utili'!$I$534,BB265:BB286)
+SUMIF($F$122:$F$133,'Info utili'!$I$538,BA122:BA133)+SUMIF($F$122:$F$133,'Info utili'!$I$538,BB122:BB133)+SUMIF($F$135:$F$196,'Info utili'!$I$538,BE135:BE196)+SUMIF($F$135:$F$196,'Info utili'!$I$538,BF135:BF196)+SUMIF($F$135:$F$196,'Info utili'!$I$538,BG135:BG196)+SUMIF($F$217:$F$225,'Info utili'!$I$538,AW217:AW225)+SUMIF($F$230:$F$260,'Info utili'!$I$538,BE230:BE260)+SUMIF($F$230:$F$260,'Info utili'!$I$538,BF230:BF260)+SUMIF($F$230:$F$260,'Info utili'!$I$538,BG230:BG260)+SUMIF($F$265:$F$286,'Info utili'!$I$538,BA265:BA286)+SUMIF($F$265:$F$286,'Info utili'!$I$538,BB265:BB286)</f>
        <v>0</v>
      </c>
      <c r="M429" s="1237">
        <f>SUMIF($F$122:$F$133,'Info utili'!$I$534,BC122:BC133)+SUMIF($F$122:$F$133,'Info utili'!$I$534,BD122:BD133)+SUMIF($F$135:$F$196,'Info utili'!$I$534,BH135:BH196)+SUMIF($F$135:$F$196,'Info utili'!$I$534,BI135:BI196)+SUMIF($F$135:$F$196,'Info utili'!$I$534,BJ135:BJ196)+SUMIF($F$217:$F$225,'Info utili'!$I$534,AX217:AX225)+SUMIF($F$230:$F$260,'Info utili'!$I$534,BH230:BH260)+SUMIF($F$230:$F$260,'Info utili'!$I$534,BI230:BI260)+SUMIF($F$230:$F$260,'Info utili'!$I$534,BJ230:BJ260)+SUMIF($F$265:$F$286,'Info utili'!$I$534,BC265:BC286)+SUMIF($F$265:$F$286,'Info utili'!$I$534,BD265:BD286)+SUMIF($F$122:$F$133,'Info utili'!$I$538,BC122:BC133)+SUMIF($F$122:$F$133,'Info utili'!$I$538,BD122:BD133)+SUMIF($F$135:$F$196,'Info utili'!$I$538,BH135:BH196)+SUMIF($F$135:$F$196,'Info utili'!$I$538,BI135:BI196)+SUMIF($F$135:$F$196,'Info utili'!$I$538,BJ135:BJ196)+SUMIF($F$217:$F$225,'Info utili'!$I$538,AX217:AX225)+SUMIF($F$230:$F$260,'Info utili'!$I$538,BH230:BH260)+SUMIF($F$230:$F$260,'Info utili'!$I$538,BI230:BI260)+SUMIF($F$230:$F$260,'Info utili'!$I$538,BJ230:BJ260)+SUMIF($F$265:$F$286,'Info utili'!$I$538,BC265:BC286)+SUMIF($F$265:$F$286,'Info utili'!$I$538,BD265:BD286)</f>
        <v>0</v>
      </c>
      <c r="N429" s="1242">
        <f>SQRT(SUMPRODUCT(($F$122:$F$133='Info utili'!$I$534)*1,Z122:Z133,Z122:Z133)+SUMPRODUCT(($F$122:$F$133='Info utili'!$I$534)*1,AA122:AA133,AA122:AA133)+SUMPRODUCT(($F$135:$F$196='Info utili'!$I$534)*1,Z135:Z196,Z135:Z196)+SUMPRODUCT(($F$135:$F$196='Info utili'!$I$534)*1,AA135:AA196,AA135:AA196)+SUMPRODUCT(($F$135:$F$196='Info utili'!$I$534)*1,AB135:AB196,AB135:AB196)+SUMPRODUCT(($F$217:$F$225='Info utili'!$I$534)*1,Z217:Z225,Z217:Z225)+SUMPRODUCT(($F$230:$F$260='Info utili'!$I$534)*1,Z230:Z260,Z230:Z260)+SUMPRODUCT(($F$230:$F$260='Info utili'!$I$534)*1,AA230:AA260,AA230:AA260)+SUMPRODUCT(($F$230:$F$260='Info utili'!$I$534)*1,AB230:AB260,AB230:AB260)+SUMPRODUCT(($F$265:$F$286='Info utili'!$I$534)*1,Z265:Z286,Z265:Z286)+SUMPRODUCT(($F$265:$F$286='Info utili'!$I$534)*1,AA265:AA286,AA265:AA286)
+SUMPRODUCT(($F$122:$F$133='Info utili'!$I$538)*1,Z122:Z133,Z122:Z133)+SUMPRODUCT(($F$122:$F$133='Info utili'!$I$538)*1,AA122:AA133,AA122:AA133)+SUMPRODUCT(($F$135:$F$196='Info utili'!$I$538)*1,Z135:Z196,Z135:Z196)+SUMPRODUCT(($F$135:$F$196='Info utili'!$I$538)*1,AA135:AA196,AA135:AA196)+SUMPRODUCT(($F$135:$F$196='Info utili'!$I$538)*1,AB135:AB196,AB135:AB196)+SUMPRODUCT(($F$217:$F$225='Info utili'!$I$538)*1,Z217:Z225,Z217:Z225)+SUMPRODUCT(($F$230:$F$260='Info utili'!$I$538)*1,Z230:Z260,Z230:Z260)+SUMPRODUCT(($F$230:$F$260='Info utili'!$I$538)*1,AA230:AA260,AA230:AA260)+SUMPRODUCT(($F$230:$F$260='Info utili'!$I$538)*1,AB230:AB260,AB230:AB260)+SUMPRODUCT(($F$265:$F$286='Info utili'!$I$538)*1,Z265:Z286,Z265:Z286)+SUMPRODUCT(($F$265:$F$286='Info utili'!$I$538)*1,AA265:AA286,AA265:AA286))</f>
        <v>0</v>
      </c>
      <c r="O429" s="1240"/>
      <c r="Z429" s="1162"/>
      <c r="AE429" s="1162"/>
      <c r="AI429" s="1162"/>
      <c r="AN429" s="729"/>
      <c r="AO429" s="729"/>
      <c r="AP429" s="729"/>
      <c r="AQ429" s="729"/>
      <c r="AR429" s="729"/>
      <c r="AS429" s="729"/>
      <c r="AT429" s="729"/>
      <c r="AU429" s="729"/>
      <c r="AV429" s="729"/>
      <c r="AW429" s="729"/>
      <c r="AX429" s="729"/>
      <c r="AY429" s="729"/>
    </row>
    <row r="430" spans="2:51" s="39" customFormat="1" ht="14" outlineLevel="1" x14ac:dyDescent="0.2">
      <c r="B430" s="1749" t="str">
        <f>+Energia!B169</f>
        <v>Impiegati pendolari</v>
      </c>
      <c r="C430" s="1749"/>
      <c r="D430" s="1246" t="s">
        <v>112</v>
      </c>
      <c r="E430" s="1239">
        <f>SUMIF($F$12:$F$24,'Info utili'!$I$534,AS12:AS24)+SUMIF($F$12:$F$24,'Info utili'!$I$534,AT12:AT24)+SUMIF($F$26:$F$106,'Info utili'!$I$534,AS26:AS106)+SUMIF($F$26:$F$106,'Info utili'!$I$534,AT26:AT106)+SUMIF($F$26:$F$106,'Info utili'!$I$534,AU26:AU106)+SUMIF($F$108:$F$116,'Info utili'!$I$534,AS108:AS116)+SUMIF($F$12:$F$24,'Info utili'!$I$538,AS12:AS24)+SUMIF($F$12:$F$24,'Info utili'!$I$538,AT12:AT24)+SUMIF($F$26:$F$106,'Info utili'!$I$538,AS26:AS106)+SUMIF($F$26:$F$106,'Info utili'!$I$538,AT26:AT106)+SUMIF($F$26:$F$106,'Info utili'!$I$538,AU26:AU106)+SUMIF($F$108:$F$116,'Info utili'!$I$538,AS108:AS116)</f>
        <v>0</v>
      </c>
      <c r="F430" s="1239">
        <f>SUMIF($F$12:$F$24,'Info utili'!$I$534,AU12:AU24)+SUMIF($F$12:$F$24,'Info utili'!$I$534,AV12:AV24)+SUMIF($F$26:$F$106,'Info utili'!$I$534,AV26:AV106)+SUMIF($F$26:$F$106,'Info utili'!$I$534,AW26:AW106)+SUMIF($F$26:$F$106,'Info utili'!$I$534,AX26:AX106)+SUMIF($F$108:$F$116,'Info utili'!$I$534,AT108:AT116)+SUMIF($F$12:$F$24,'Info utili'!$I$538,AU12:AU24)+SUMIF($F$12:$F$24,'Info utili'!$I$538,AV12:AV24)+SUMIF($F$26:$F$106,'Info utili'!$I$538,AV26:AV106)+SUMIF($F$26:$F$106,'Info utili'!$I$538,AW26:AW106)+SUMIF($F$26:$F$106,'Info utili'!$I$538,AX26:AX106)+SUMIF($F$108:$F$116,'Info utili'!$I$538,AT108:AT116)</f>
        <v>0</v>
      </c>
      <c r="G430" s="1239">
        <f>SUMIF($F$12:$F$24,'Info utili'!$I$534,AW12:AW24)+SUMIF($F$12:$F$24,'Info utili'!$I$534,AX12:AX24)+SUMIF($F$26:$F$106,'Info utili'!$I$534,AY26:AY106)+SUMIF($F$26:$F$106,'Info utili'!$I$534,AZ26:AZ106)+SUMIF($F$26:$F$106,'Info utili'!$I$534,BA26:BA106)+SUMIF($F$108:$F$116,'Info utili'!$I$534,AU108:AU116)+SUMIF($F$12:$F$24,'Info utili'!$I$538,AW12:AW24)+SUMIF($F$12:$F$24,'Info utili'!$I$538,AX12:AX24)+SUMIF($F$26:$F$106,'Info utili'!$I$538,AY26:AY106)+SUMIF($F$26:$F$106,'Info utili'!$I$538,AZ26:AZ106)+SUMIF($F$26:$F$106,'Info utili'!$I$538,BA26:BA106)+SUMIF($F$108:$F$116,'Info utili'!$I$538,AU108:AU116)</f>
        <v>0</v>
      </c>
      <c r="H430" s="1239">
        <v>0</v>
      </c>
      <c r="I430" s="1239">
        <v>0</v>
      </c>
      <c r="J430" s="1239">
        <v>0</v>
      </c>
      <c r="K430" s="1239">
        <v>0</v>
      </c>
      <c r="L430" s="1248">
        <f>SUMIF($F$12:$F$24,'Info utili'!$I$534,BA12:BA24)+SUMIF($F$12:$F$24,'Info utili'!$I$534,BB12:BB24)+SUMIF($F$26:$F$106,'Info utili'!$I$534,BE26:BE106)+SUMIF($F$26:$F$106,'Info utili'!$I$534,BF26:BF106)+SUMIF($F$26:$F$106,'Info utili'!$I$534,BG26:BG106)+SUMIF($F$108:$F$116,'Info utili'!$I$534,AW108:AW116)+SUMIF($F$12:$F$24,'Info utili'!$I$538,BA12:BA24)+SUMIF($F$12:$F$24,'Info utili'!$I$538,BB12:BB24)+SUMIF($F$26:$F$106,'Info utili'!$I$538,BE26:BE106)+SUMIF($F$26:$F$106,'Info utili'!$I$538,BF26:BF106)+SUMIF($F$26:$F$106,'Info utili'!$I$538,BG26:BG106)+SUMIF($F$108:$F$116,'Info utili'!$I$538,AW108:AW116)</f>
        <v>220.02</v>
      </c>
      <c r="M430" s="1237">
        <f>SUMIF($F$12:$F$24,'Info utili'!$I$534,BC12:BC24)+SUMIF($F$12:$F$24,'Info utili'!$I$534,BD12:BD24)+SUMIF($F$26:$F$106,'Info utili'!$I$534,BH26:BH106)+SUMIF($F$26:$F$106,'Info utili'!$I$534,BI26:BI106)+SUMIF($F$26:$F$106,'Info utili'!$I$534,BJ26:BJ106)+SUMIF($F$108:$F$116,'Info utili'!$I$534,AX108:AX116)+SUMIF($F$12:$F$24,'Info utili'!$I$538,BC12:BC24)+SUMIF($F$12:$F$24,'Info utili'!$I$538,BD12:BD24)+SUMIF($F$26:$F$106,'Info utili'!$I$538,BH26:BH106)+SUMIF($F$26:$F$106,'Info utili'!$I$538,BI26:BI106)+SUMIF($F$26:$F$106,'Info utili'!$I$538,BJ26:BJ106)+SUMIF($F$108:$F$116,'Info utili'!$I$538,AX108:AX116)</f>
        <v>0</v>
      </c>
      <c r="N430" s="1242">
        <f>SQRT(SUMPRODUCT(($F$12:$F$24='Info utili'!$I$534)*1,Z12:Z24,Z12:Z24)+SUMPRODUCT(($F$12:$F$24='Info utili'!$I$534)*1,AA12:AA24,AA12:AA24)+SUMPRODUCT(($F$26:$F$106='Info utili'!$I$534)*1,Z26:Z106,Z26:Z106)+SUMPRODUCT(($F$26:$F$106='Info utili'!$I$534)*1,AA26:AA106,AA26:AA106)+SUMPRODUCT(($F$26:$F$106='Info utili'!$I$534)*1,AB26:AB106,AB26:AB106)+SUMPRODUCT(($F$108:$F$116='Info utili'!$I$534)*1,Z108:Z116,Z108:Z116)+SUMPRODUCT(($F$12:$F$24='Info utili'!$I$538)*1,Z12:Z24,Z12:Z24)+SUMPRODUCT(($F$12:$F$24='Info utili'!$I$538)*1,AA12:AA24,AA12:AA24)+SUMPRODUCT(($F$26:$F$106='Info utili'!$I$538)*1,Z26:Z106,Z26:Z106)+SUMPRODUCT(($F$26:$F$106='Info utili'!$I$538)*1,AA26:AA106,AA26:AA106)+SUMPRODUCT(($F$26:$F$106='Info utili'!$I$538)*1,AB26:AB106,AB26:AB106)+SUMPRODUCT(($F$108:$F$116='Info utili'!$I$538)*1,Z108:Z116,Z108:Z116))</f>
        <v>0</v>
      </c>
      <c r="O430" s="1240"/>
      <c r="Z430" s="1162"/>
      <c r="AE430" s="1162"/>
      <c r="AI430" s="1162"/>
      <c r="AN430" s="729"/>
      <c r="AO430" s="729"/>
      <c r="AP430" s="729"/>
      <c r="AQ430" s="729"/>
      <c r="AR430" s="729"/>
      <c r="AS430" s="729"/>
      <c r="AT430" s="729"/>
      <c r="AU430" s="729"/>
      <c r="AV430" s="729"/>
      <c r="AW430" s="729"/>
      <c r="AX430" s="729"/>
      <c r="AY430" s="729"/>
    </row>
    <row r="431" spans="2:51" s="39" customFormat="1" ht="14" outlineLevel="1" x14ac:dyDescent="0.2">
      <c r="B431" s="1749" t="str">
        <f>+Energia!B170</f>
        <v>Upstream leased assets</v>
      </c>
      <c r="C431" s="1749"/>
      <c r="D431" s="1246" t="s">
        <v>113</v>
      </c>
      <c r="E431" s="1239">
        <f>SUMIF($F$12:$F$24,'Info utili'!$I$533,AS12:AS24)+SUMIF($F$12:$F$24,'Info utili'!$I$533,AT12:AT24)+SUMIF($F$26:$F$106,'Info utili'!$I$533,AS26:AS106)+SUMIF($F$26:$F$106,'Info utili'!$I$533,AT26:AT106)+SUMIF($F$26:$F$106,'Info utili'!$I$533,AU26:AU106)+SUMIF($F$108:$F$116,'Info utili'!$I$533,AS108:AS116)+SUMIF($F$122:$F$133,'Info utili'!$I$533,AS122:AS133)+SUMIF($F$122:$F$133,'Info utili'!$I$533,AT122:AT133)+SUMIF($F$135:$F$196,'Info utili'!$I$533,AS135:AS196)+SUMIF($F$135:$F$196,'Info utili'!$I$533,AT135:AT196)+SUMIF($F$135:$F$196,'Info utili'!$I$533,AU135:AU196)+SUMIF($F$217:$F$225,'Info utili'!$I$533,AS217:AS225)+SUMIF($F$230:$F$260,'Info utili'!$I$533,AS230:AS260)+SUMIF($F$230:$F$260,'Info utili'!$I$533,AT230:AT260)+SUMIF($F$230:$F$260,'Info utili'!$I$533,AU230:AU260)+SUMIF($F$265:$F$304,'Info utili'!$I$533,AS265:AS304)+SUMIF($F$265:$F$304,'Info utili'!$I$533,AT265:AT304)+SUMIF($F$306:$F$344,'Info utili'!$I$533,AS306:AS344)+SUMIF($F$306:$F$344,'Info utili'!$I$533,AT306:AT344)+SUMIF($F$306:$F$344,'Info utili'!$I$533,AU306:AU344)+SUMIF($F$346:$F$364,'Info utili'!$I$533,AS346:AS364)+SUMIF($F$346:$F$364,'Info utili'!$I$533,AT346:AT364)+SUMIF($F$346:$F$364,'Info utili'!$I$533,AU346:AU364)+SUMIF($F$366:$F$374,'Info utili'!$I$533,AS366:AS374)+SUMIF($F$366:$F$374,'Info utili'!$I$533,AT366:AT374)+SUMIF($F$376:$F$384,'Info utili'!$I$533,AS376:AS384)</f>
        <v>0</v>
      </c>
      <c r="F431" s="1239">
        <f>SUMIF($F$12:$F$24,'Info utili'!$I$533,AU12:AU24)+SUMIF($F$12:$F$24,'Info utili'!$I$533,AV12:AV24)+SUMIF($F$26:$F$106,'Info utili'!$I$533,AV26:AV106)+SUMIF($F$26:$F$106,'Info utili'!$I$533,AW26:AW106)+SUMIF($F$26:$F$106,'Info utili'!$I$533,AX26:AX106)+SUMIF($F$108:$F$116,'Info utili'!$I$533,AT108:AT116)+SUMIF($F$122:$F$133,'Info utili'!$I$533,AU122:AU133)+SUMIF($F$122:$F$133,'Info utili'!$I$533,AV122:AV133)+SUMIF($F$135:$F$196,'Info utili'!$I$533,AV135:AV196)+SUMIF($F$135:$F$196,'Info utili'!$I$533,AW135:AW196)+SUMIF($F$135:$F$196,'Info utili'!$I$533,AX135:AX196)+SUMIF($F$217:$F$225,'Info utili'!$I$533,AT217:AT225)+SUMIF($F$230:$F$260,'Info utili'!$I$533,AV230:AV260)+SUMIF($F$230:$F$260,'Info utili'!$I$533,AW230:AW260)+SUMIF($F$230:$F$260,'Info utili'!$I$533,AX230:AX260)+SUMIF($F$265:$F$304,'Info utili'!$I$533,AU265:AU304)+SUMIF($F$265:$F$304,'Info utili'!$I$533,AV265:AV304)+SUMIF($F$306:$F$344,'Info utili'!$I$533,AV306:AV344)+SUMIF($F$306:$F$344,'Info utili'!$I$533,AW306:AW344)+SUMIF($F$306:$F$344,'Info utili'!$I$533,AX306:AX344)+SUMIF($F$346:$F$364,'Info utili'!$I$533,AV346:AV364)+SUMIF($F$346:$F$364,'Info utili'!$I$533,AW346:AW364)+SUMIF($F$346:$F$364,'Info utili'!$I$533,AX346:AX364)+SUMIF($F$366:$F$374,'Info utili'!$I$533,AU366:AU374)+SUMIF($F$366:$F$374,'Info utili'!$I$533,AV366:AV374)+SUMIF($F$376:$F$384,'Info utili'!$I$533,AT376:AT384)</f>
        <v>0</v>
      </c>
      <c r="G431" s="1239">
        <f>SUMIF($F$12:$F$24,'Info utili'!$I$533,AW12:AW24)+SUMIF($F$12:$F$24,'Info utili'!$I$533,AX12:AX24)+SUMIF($F$26:$F$106,'Info utili'!$I$533,AY26:AY106)+SUMIF($F$26:$F$106,'Info utili'!$I$533,AZ26:AZ106)+SUMIF($F$26:$F$106,'Info utili'!$I$533,BA26:BA106)+SUMIF($F$108:$F$116,'Info utili'!$I$533,AU108:AU116)+SUMIF($F$122:$F$133,'Info utili'!$I$533,AW122:AW133)+SUMIF($F$122:$F$133,'Info utili'!$I$533,AX122:AX133)+SUMIF($F$135:$F$196,'Info utili'!$I$533,AY135:AY196)+SUMIF($F$135:$F$196,'Info utili'!$I$533,AZ135:AZ196)+SUMIF($F$135:$F$196,'Info utili'!$I$533,BA135:BA196)+SUMIF($F$217:$F$225,'Info utili'!$I$533,AU217:AU225)+SUMIF($F$230:$F$260,'Info utili'!$I$533,AY230:AY260)+SUMIF($F$230:$F$260,'Info utili'!$I$533,AZ230:AZ260)+SUMIF($F$230:$F$260,'Info utili'!$I$533,BA230:BA260)+SUMIF($F$265:$F$304,'Info utili'!$I$533,AW265:AW304)+SUMIF($F$265:$F$304,'Info utili'!$I$533,AX265:AX304)+SUMIF($F$306:$F$344,'Info utili'!$I$533,AY306:AY344)+SUMIF($F$306:$F$344,'Info utili'!$I$533,AZ306:AZ344)+SUMIF($F$306:$F$344,'Info utili'!$I$533,BA306:BA344)+SUMIF($F$346:$F$364,'Info utili'!$I$533,AY346:AY364)+SUMIF($F$346:$F$364,'Info utili'!$I$533,AZ346:AZ364)+SUMIF($F$346:$F$364,'Info utili'!$I$533,BA346:BA364)+SUMIF($F$366:$F$374,'Info utili'!$I$533,AW366:AW374)+SUMIF($F$366:$F$374,'Info utili'!$I$533,AX366:AX374)+SUMIF($F$376:$F$384,'Info utili'!$I$533,AU376:AU384)</f>
        <v>0</v>
      </c>
      <c r="H431" s="1239">
        <v>0</v>
      </c>
      <c r="I431" s="1239">
        <v>0</v>
      </c>
      <c r="J431" s="1239">
        <v>0</v>
      </c>
      <c r="K431" s="1239">
        <v>0</v>
      </c>
      <c r="L431" s="1248">
        <f>SUMIF($F$12:$F$24,'Info utili'!$I$533,BA12:BA24)+SUMIF($F$12:$F$24,'Info utili'!$I$533,BB12:BB24)+SUMIF($F$26:$F$106,'Info utili'!$I$533,BE26:BE106)+SUMIF($F$26:$F$106,'Info utili'!$I$533,BF26:BF106)+SUMIF($F$26:$F$106,'Info utili'!$I$533,BG26:BG106)+SUMIF($F$108:$F$116,'Info utili'!$I$533,AW108:AW116)+SUMIF($F$122:$F$133,'Info utili'!$I$533,BA122:BA133)+SUMIF($F$122:$F$133,'Info utili'!$I$533,BB122:BB133)+SUMIF($F$135:$F$196,'Info utili'!$I$533,BE135:BE196)+SUMIF($F$135:$F$196,'Info utili'!$I$533,BF135:BF196)+SUMIF($F$135:$F$196,'Info utili'!$I$533,BG135:BG196)+SUMIF($F$217:$F$225,'Info utili'!$I$533,AW217:AW225)+SUMIF($F$230:$F$260,'Info utili'!$I$533,BE230:BE260)+SUMIF($F$230:$F$260,'Info utili'!$I$533,BF230:BF260)+SUMIF($F$230:$F$260,'Info utili'!$I$533,BG230:BG260)+SUMIF($F$265:$F$304,'Info utili'!$I$533,BA265:BA304)+SUMIF($F$265:$F$304,'Info utili'!$I$533,BB265:BB304)+SUMIF($F$306:$F$344,'Info utili'!$I$533,BE306:BE344)+SUMIF($F$306:$F$344,'Info utili'!$I$533,BF306:BF344)+SUMIF($F$306:$F$344,'Info utili'!$I$533,BG306:BG344)+SUMIF($F$346:$F$364,'Info utili'!$I$533,BE346:BE364)+SUMIF($F$346:$F$364,'Info utili'!$I$533,BF346:BF364)+SUMIF($F$346:$F$364,'Info utili'!$I$533,BG346:BG364)+SUMIF($F$366:$F$374,'Info utili'!$I$533,BA366:BA374)+SUMIF($F$366:$F$374,'Info utili'!$I$533,BB366:BB374)+SUMIF($F$376:$F$384,'Info utili'!$I$533,AW376:AW384)</f>
        <v>315.55459790784857</v>
      </c>
      <c r="M431" s="1237">
        <f>SUMIF($F$12:$F$24,'Info utili'!$I$533,BC12:BC24)+SUMIF($F$12:$F$24,'Info utili'!$I$533,BD12:BD24)+SUMIF($F$26:$F$106,'Info utili'!$I$533,BI26:BI106)+SUMIF($F$26:$F$106,'Info utili'!$I$533,BJ26:BJ106)+SUMIF($F$26:$F$106,'Info utili'!$I$533,AV26:AV106)+SUMIF($F$108:$F$116,'Info utili'!$I$533,AX108:AX116)+SUMIF($F$122:$F$133,'Info utili'!$I$533,BC122:BC133)+SUMIF($F$122:$F$133,'Info utili'!$I$533,BD122:BD133)+SUMIF($F$135:$F$196,'Info utili'!$I$533,BH135:BH196)+SUMIF($F$135:$F$196,'Info utili'!$I$533,BI135:BI196)+SUMIF($F$135:$F$196,'Info utili'!$I$533,BJ135:BJ196)+SUMIF($F$217:$F$225,'Info utili'!$I$533,AX217:AX225)+SUMIF($F$230:$F$260,'Info utili'!$I$533,BH230:BH260)+SUMIF($F$230:$F$260,'Info utili'!$I$533,BI230:BI260)+SUMIF($F$230:$F$260,'Info utili'!$I$533,BJ230:BJ260)+SUMIF($F$265:$F$304,'Info utili'!$I$533,BC265:BC304)+SUMIF($F$265:$F$304,'Info utili'!$I$533,BD265:BD304)+SUMIF($F$306:$F$344,'Info utili'!$I$533,BH306:BH344)+SUMIF($F$306:$F$344,'Info utili'!$I$533,BI306:BI344)+SUMIF($F$306:$F$344,'Info utili'!$I$533,BJ306:BJ344)+SUMIF($F$346:$F$364,'Info utili'!$I$533,BH346:BH364)+SUMIF($F$346:$F$364,'Info utili'!$I$533,BI346:BI364)+SUMIF($F$346:$F$364,'Info utili'!$I$533,BJ346:BJ364)+SUMIF($F$366:$F$374,'Info utili'!$I$533,BC366:BC374)+SUMIF($F$366:$F$374,'Info utili'!$I$533,BD366:BD374)+SUMIF($F$376:$F$384,'Info utili'!$I$533,AX376:AX384)</f>
        <v>0</v>
      </c>
      <c r="N431" s="1242">
        <f>SQRT(SUMPRODUCT(($F$12:$F$24='Info utili'!$I$533)*1,Z12:Z24,Z12:Z24)+SUMPRODUCT(($F$12:$F$24='Info utili'!$I$533)*1,AA12:AA24,AA12:AA24)+SUMPRODUCT(($F$26:$F$106='Info utili'!$I$533)*1,Z26:Z106,Z26:Z106)+SUMPRODUCT(($F$26:$F$106='Info utili'!$I$533)*1,AA26:AA106,AA26:AA106)+SUMPRODUCT(($F$26:$F$106='Info utili'!$I$533)*1,AB26:AB106,AB26:AB106)+SUMPRODUCT(($F$108:$F$116='Info utili'!$I$533)*1,Z108:Z116,Z108:Z116)+SUMPRODUCT(($F$122:$F$133='Info utili'!$I$533)*1,Z122:Z133,Z122:Z133)+SUMPRODUCT(($F$122:$F$133='Info utili'!$I$533)*1,AA122:AA133,AA122:AA133)+SUMPRODUCT(($F$135:$F$196='Info utili'!$I$533)*1,Z135:Z196,Z135:Z196)+SUMPRODUCT(($F$135:$F$196='Info utili'!$I$533)*1,AA135:AA196,AA135:AA196)+SUMPRODUCT(($F$135:$F$196='Info utili'!$I$533)*1,AB135:AB196,AB135:AB196)+SUMPRODUCT(($F$217:$F$225='Info utili'!$I$533)*1,Z217:Z225,Z217:Z225)+SUMPRODUCT(($F$230:$F$260='Info utili'!$I$533)*1,Z230:Z260,Z230:Z260)+SUMPRODUCT(($F$230:$F$260='Info utili'!$I$533)*1,AA230:AA260,AA230:AA260)+SUMPRODUCT(($F$230:$F$260='Info utili'!$I$533)*1,AB230:AB260,AB230:AB260)+SUMPRODUCT(($F$265:$F$304='Info utili'!$I$533)*1,Z265:Z304,Z265:Z304)+SUMPRODUCT(($F$265:$F$304='Info utili'!$I$533)*1,AA265:AA304,AA265:AA304)+SUMPRODUCT(($F$306:$F$344='Info utili'!$I$533)*1,Z306:Z344,Z306:Z344)+SUMPRODUCT(($F$306:$F$344='Info utili'!$I$533)*1,AA306:AA344,AA306:AA344)+SUMPRODUCT(($F$306:$F$344='Info utili'!$I$533)*1,AB306:AB344,AB306:AB344)+SUMPRODUCT(($F$346:$F$364='Info utili'!$I$533)*1,Z346:Z364,Z346:Z364)+SUMPRODUCT(($F$346:$F$364='Info utili'!$I$533)*1,AA346:AA364,AA346:AA364)+SUMPRODUCT(($F$346:$F$364='Info utili'!$I$533)*1,AB346:AB364,AB346:AB364)+SUMPRODUCT(($F$366:$F$374='Info utili'!$I$533)*1,Z366:Z374,Z366:Z374)+SUMPRODUCT(($F$366:$F$374='Info utili'!$I$533)*1,AA366:AA374,AA366:AA374)+SUMPRODUCT(($F$376:$F$384='Info utili'!$I$533)*1,Z376:Z384,Z376:Z384))</f>
        <v>0</v>
      </c>
      <c r="O431" s="1240"/>
      <c r="Z431" s="1162"/>
      <c r="AE431" s="1162"/>
      <c r="AI431" s="1162"/>
      <c r="AN431" s="729"/>
      <c r="AO431" s="729"/>
      <c r="AP431" s="729"/>
      <c r="AQ431" s="729"/>
      <c r="AR431" s="729"/>
      <c r="AS431" s="729"/>
      <c r="AT431" s="729"/>
      <c r="AU431" s="729"/>
      <c r="AV431" s="729"/>
      <c r="AW431" s="729"/>
      <c r="AX431" s="729"/>
      <c r="AY431" s="729"/>
    </row>
    <row r="432" spans="2:51" s="39" customFormat="1" outlineLevel="1" x14ac:dyDescent="0.2">
      <c r="B432" s="1749" t="str">
        <f>+Energia!B171</f>
        <v>Altre emissioni indirette premanifattura</v>
      </c>
      <c r="C432" s="1749"/>
      <c r="D432" s="1238"/>
      <c r="E432" s="1239"/>
      <c r="F432" s="1239"/>
      <c r="G432" s="1239"/>
      <c r="H432" s="1239"/>
      <c r="I432" s="1239"/>
      <c r="J432" s="1239"/>
      <c r="K432" s="1239"/>
      <c r="L432" s="1248"/>
      <c r="M432" s="1237"/>
      <c r="N432" s="1242"/>
      <c r="O432" s="1240"/>
      <c r="Z432" s="1162"/>
      <c r="AE432" s="1162"/>
      <c r="AI432" s="1162"/>
      <c r="AN432" s="729"/>
      <c r="AO432" s="729"/>
      <c r="AP432" s="729"/>
      <c r="AQ432" s="729"/>
      <c r="AR432" s="729"/>
      <c r="AS432" s="729"/>
      <c r="AT432" s="729"/>
      <c r="AU432" s="729"/>
      <c r="AV432" s="729"/>
      <c r="AW432" s="729"/>
      <c r="AX432" s="729"/>
      <c r="AY432" s="729"/>
    </row>
    <row r="433" spans="2:51" s="39" customFormat="1" outlineLevel="1" x14ac:dyDescent="0.2">
      <c r="B433" s="1771" t="s">
        <v>2744</v>
      </c>
      <c r="C433" s="1772"/>
      <c r="D433" s="1772"/>
      <c r="E433" s="1772"/>
      <c r="F433" s="1772"/>
      <c r="G433" s="1772"/>
      <c r="H433" s="1772"/>
      <c r="I433" s="1772"/>
      <c r="J433" s="1772"/>
      <c r="K433" s="1772"/>
      <c r="L433" s="1772"/>
      <c r="M433" s="1772"/>
      <c r="N433" s="1772"/>
      <c r="O433" s="1773"/>
      <c r="Z433" s="1162"/>
      <c r="AE433" s="1162"/>
      <c r="AI433" s="1162"/>
      <c r="AN433" s="729"/>
      <c r="AO433" s="729"/>
      <c r="AP433" s="729"/>
      <c r="AQ433" s="729"/>
      <c r="AR433" s="729"/>
      <c r="AS433" s="729"/>
      <c r="AT433" s="729"/>
      <c r="AU433" s="729"/>
      <c r="AV433" s="729"/>
      <c r="AW433" s="729"/>
      <c r="AX433" s="729"/>
      <c r="AY433" s="729"/>
    </row>
    <row r="434" spans="2:51" s="39" customFormat="1" ht="14" outlineLevel="1" x14ac:dyDescent="0.2">
      <c r="B434" s="1749" t="str">
        <f>+Energia!B173</f>
        <v>Trasporto di merci e distribuzione in fase d’uso e fine vita</v>
      </c>
      <c r="C434" s="1749"/>
      <c r="D434" s="1246" t="s">
        <v>114</v>
      </c>
      <c r="E434" s="1239"/>
      <c r="F434" s="1239"/>
      <c r="G434" s="1239"/>
      <c r="H434" s="1239"/>
      <c r="I434" s="1239"/>
      <c r="J434" s="1239"/>
      <c r="K434" s="1239"/>
      <c r="L434" s="1248"/>
      <c r="M434" s="1237"/>
      <c r="N434" s="1242"/>
      <c r="O434" s="1240"/>
      <c r="Z434" s="1162"/>
      <c r="AE434" s="1162"/>
      <c r="AI434" s="1162"/>
      <c r="AN434" s="729"/>
      <c r="AO434" s="729"/>
      <c r="AP434" s="729"/>
      <c r="AQ434" s="729"/>
      <c r="AR434" s="729"/>
      <c r="AS434" s="729"/>
      <c r="AT434" s="729"/>
      <c r="AU434" s="729"/>
      <c r="AV434" s="729"/>
      <c r="AW434" s="729"/>
      <c r="AX434" s="729"/>
      <c r="AY434" s="729"/>
    </row>
    <row r="435" spans="2:51" s="39" customFormat="1" ht="14" outlineLevel="1" x14ac:dyDescent="0.2">
      <c r="B435" s="1749" t="str">
        <f>+Energia!B174</f>
        <v>Lavorazioni dei prodotti venduti</v>
      </c>
      <c r="C435" s="1749"/>
      <c r="D435" s="1246" t="s">
        <v>115</v>
      </c>
      <c r="E435" s="1239"/>
      <c r="F435" s="1239"/>
      <c r="G435" s="1239"/>
      <c r="H435" s="1239"/>
      <c r="I435" s="1239"/>
      <c r="J435" s="1239"/>
      <c r="K435" s="1239"/>
      <c r="L435" s="1248"/>
      <c r="M435" s="1237"/>
      <c r="N435" s="1242"/>
      <c r="O435" s="1240"/>
      <c r="Z435" s="1162"/>
      <c r="AE435" s="1162"/>
      <c r="AI435" s="1162"/>
      <c r="AN435" s="729"/>
      <c r="AO435" s="729"/>
      <c r="AP435" s="729"/>
      <c r="AQ435" s="729"/>
      <c r="AR435" s="729"/>
      <c r="AS435" s="729"/>
      <c r="AT435" s="729"/>
      <c r="AU435" s="729"/>
      <c r="AV435" s="729"/>
      <c r="AW435" s="729"/>
      <c r="AX435" s="729"/>
      <c r="AY435" s="729"/>
    </row>
    <row r="436" spans="2:51" s="39" customFormat="1" ht="14" outlineLevel="1" x14ac:dyDescent="0.2">
      <c r="B436" s="1749" t="str">
        <f>+Energia!B175</f>
        <v xml:space="preserve">Uso dei prodotto venduti  </v>
      </c>
      <c r="C436" s="1749"/>
      <c r="D436" s="1246" t="s">
        <v>116</v>
      </c>
      <c r="E436" s="1239"/>
      <c r="F436" s="1239"/>
      <c r="G436" s="1239"/>
      <c r="H436" s="1239"/>
      <c r="I436" s="1239"/>
      <c r="J436" s="1239"/>
      <c r="K436" s="1239"/>
      <c r="L436" s="1248"/>
      <c r="M436" s="1237"/>
      <c r="N436" s="1242"/>
      <c r="O436" s="1240"/>
      <c r="Z436" s="1162"/>
      <c r="AE436" s="1162"/>
      <c r="AI436" s="1162"/>
      <c r="AN436" s="729"/>
      <c r="AO436" s="729"/>
      <c r="AP436" s="729"/>
      <c r="AQ436" s="729"/>
      <c r="AR436" s="729"/>
      <c r="AS436" s="729"/>
      <c r="AT436" s="729"/>
      <c r="AU436" s="729"/>
      <c r="AV436" s="729"/>
      <c r="AW436" s="729"/>
      <c r="AX436" s="729"/>
      <c r="AY436" s="729"/>
    </row>
    <row r="437" spans="2:51" s="39" customFormat="1" ht="14" outlineLevel="1" x14ac:dyDescent="0.2">
      <c r="B437" s="1749" t="str">
        <f>+Energia!B176</f>
        <v>Fine vita dei prodotti venduti</v>
      </c>
      <c r="C437" s="1749"/>
      <c r="D437" s="1246" t="s">
        <v>117</v>
      </c>
      <c r="E437" s="1239"/>
      <c r="F437" s="1239"/>
      <c r="G437" s="1239"/>
      <c r="H437" s="1239"/>
      <c r="I437" s="1239"/>
      <c r="J437" s="1239"/>
      <c r="K437" s="1239"/>
      <c r="L437" s="1248"/>
      <c r="M437" s="1237"/>
      <c r="N437" s="1242"/>
      <c r="O437" s="1240"/>
      <c r="Z437" s="1162"/>
      <c r="AE437" s="1162"/>
      <c r="AI437" s="1162"/>
      <c r="AN437" s="729"/>
      <c r="AO437" s="729"/>
      <c r="AP437" s="729"/>
      <c r="AQ437" s="729"/>
      <c r="AR437" s="729"/>
      <c r="AS437" s="729"/>
      <c r="AT437" s="729"/>
      <c r="AU437" s="729"/>
      <c r="AV437" s="729"/>
      <c r="AW437" s="729"/>
      <c r="AX437" s="729"/>
      <c r="AY437" s="729"/>
    </row>
    <row r="438" spans="2:51" s="39" customFormat="1" ht="14" outlineLevel="1" x14ac:dyDescent="0.2">
      <c r="B438" s="1749" t="str">
        <f>+Energia!B177</f>
        <v>Downstream leased assets</v>
      </c>
      <c r="C438" s="1749"/>
      <c r="D438" s="1246" t="s">
        <v>118</v>
      </c>
      <c r="E438" s="1239"/>
      <c r="F438" s="1239"/>
      <c r="G438" s="1239"/>
      <c r="H438" s="1239"/>
      <c r="I438" s="1239"/>
      <c r="J438" s="1239"/>
      <c r="K438" s="1239"/>
      <c r="L438" s="1248"/>
      <c r="M438" s="1237"/>
      <c r="N438" s="1242"/>
      <c r="O438" s="1240"/>
      <c r="Z438" s="1162"/>
      <c r="AE438" s="1162"/>
      <c r="AI438" s="1162"/>
      <c r="AN438" s="729"/>
      <c r="AO438" s="729"/>
      <c r="AP438" s="729"/>
      <c r="AQ438" s="729"/>
      <c r="AR438" s="729"/>
      <c r="AS438" s="729"/>
      <c r="AT438" s="729"/>
      <c r="AU438" s="729"/>
      <c r="AV438" s="729"/>
      <c r="AW438" s="729"/>
      <c r="AX438" s="729"/>
      <c r="AY438" s="729"/>
    </row>
    <row r="439" spans="2:51" s="39" customFormat="1" ht="14" outlineLevel="1" x14ac:dyDescent="0.2">
      <c r="B439" s="1749" t="str">
        <f>+Energia!B178</f>
        <v>Franchises</v>
      </c>
      <c r="C439" s="1749"/>
      <c r="D439" s="1246" t="s">
        <v>119</v>
      </c>
      <c r="E439" s="1239"/>
      <c r="F439" s="1239"/>
      <c r="G439" s="1239"/>
      <c r="H439" s="1239"/>
      <c r="I439" s="1239"/>
      <c r="J439" s="1239"/>
      <c r="K439" s="1239"/>
      <c r="L439" s="1248"/>
      <c r="M439" s="1237"/>
      <c r="N439" s="1242"/>
      <c r="O439" s="1240"/>
      <c r="Z439" s="1162"/>
      <c r="AE439" s="1162"/>
      <c r="AI439" s="1162"/>
      <c r="AN439" s="729"/>
      <c r="AO439" s="729"/>
      <c r="AP439" s="729"/>
      <c r="AQ439" s="729"/>
      <c r="AR439" s="729"/>
      <c r="AS439" s="729"/>
      <c r="AT439" s="729"/>
      <c r="AU439" s="729"/>
      <c r="AV439" s="729"/>
      <c r="AW439" s="729"/>
      <c r="AX439" s="729"/>
      <c r="AY439" s="729"/>
    </row>
    <row r="440" spans="2:51" s="39" customFormat="1" ht="14" outlineLevel="1" x14ac:dyDescent="0.2">
      <c r="B440" s="1749" t="str">
        <f>+Energia!B179</f>
        <v>Investimenti</v>
      </c>
      <c r="C440" s="1749"/>
      <c r="D440" s="1246" t="s">
        <v>120</v>
      </c>
      <c r="E440" s="1239"/>
      <c r="F440" s="1239"/>
      <c r="G440" s="1239"/>
      <c r="H440" s="1239"/>
      <c r="I440" s="1239"/>
      <c r="J440" s="1239"/>
      <c r="K440" s="1239"/>
      <c r="L440" s="1248"/>
      <c r="M440" s="1237"/>
      <c r="N440" s="1242"/>
      <c r="O440" s="1240"/>
      <c r="Z440" s="1162"/>
      <c r="AE440" s="1162"/>
      <c r="AI440" s="1162"/>
      <c r="AN440" s="729"/>
      <c r="AO440" s="729"/>
      <c r="AP440" s="729"/>
      <c r="AQ440" s="729"/>
      <c r="AR440" s="729"/>
      <c r="AS440" s="729"/>
      <c r="AT440" s="729"/>
      <c r="AU440" s="729"/>
      <c r="AV440" s="729"/>
      <c r="AW440" s="729"/>
      <c r="AX440" s="729"/>
      <c r="AY440" s="729"/>
    </row>
    <row r="441" spans="2:51" s="39" customFormat="1" outlineLevel="1" x14ac:dyDescent="0.2">
      <c r="B441" s="1749" t="str">
        <f>+Energia!B180</f>
        <v xml:space="preserve">Altre emissioni indirette in fase d'uso e fine vita </v>
      </c>
      <c r="C441" s="1749"/>
      <c r="D441" s="1238"/>
      <c r="E441" s="1239">
        <f>SUMIF($F$292:$F$304,'Info utili'!$I$534,AS292:AS304)+SUMIF($F$292:$F$304,'Info utili'!$I$534,AT292:AT304)+SUMIF($F$306:$F$344,'Info utili'!$I$534,AS306:AS344)+SUMIF($F$306:$F$344,'Info utili'!$I$534,AT306:AT344)+SUMIF($F$306:$F$344,'Info utili'!$I$534,AU306:AU344)+SUMIF($F$346:$F$364,'Info utili'!$I$534,AS346:AS364)+SUMIF($F$346:$F$364,'Info utili'!$I$534,AT346:AT364)+SUMIF($F$346:$F$364,'Info utili'!$I$534,AU346:AU364)+SUMIF($F$366:$F$374,'Info utili'!$I$534,AS366:AS374)+SUMIF($F$366:$F$374,'Info utili'!$I$534,AT366:AT374)+SUMIF($F$376:$F$384,'Info utili'!$I$534,AS376:AS384)+SUMIF($F$292:$F$304,'Info utili'!$I$538,AS292:AS304)+SUMIF($F$292:$F$304,'Info utili'!$I$538,AT292:AT304)+SUMIF($F$306:$F$344,'Info utili'!$I$538,AS306:AS344)+SUMIF($F$306:$F$344,'Info utili'!$I$538,AT306:AT344)+SUMIF($F$306:$F$344,'Info utili'!$I$538,AU306:AU344)+SUMIF($F$346:$F$364,'Info utili'!$I$538,AS346:AS364)+SUMIF($F$346:$F$364,'Info utili'!$I$538,AT346:AT364)+SUMIF($F$346:$F$364,'Info utili'!$I$538,AU346:AU364)+SUMIF($F$366:$F$374,'Info utili'!$I$538,AS366:AS374)+SUMIF($F$366:$F$374,'Info utili'!$I$538,AT366:AT374)+SUMIF($F$376:$F$384,'Info utili'!$I$538,AS376:AS384)</f>
        <v>0</v>
      </c>
      <c r="F441" s="1239">
        <f>SUMIF($F$292:$F$304,'Info utili'!$I$534,AU292:AU304)+SUMIF($F$292:$F$304,'Info utili'!$I$534,AV292:AV304)+SUMIF($F$306:$F$344,'Info utili'!$I$534,AV306:AV344)+SUMIF($F$306:$F$344,'Info utili'!$I$534,AW306:AW344)+SUMIF($F$306:$F$344,'Info utili'!$I$534,AX306:AX344)+SUMIF($F$346:$F$364,'Info utili'!$I$534,AV346:AV364)+SUMIF($F$346:$F$364,'Info utili'!$I$534,AW346:AW364)+SUMIF($F$346:$F$364,'Info utili'!$I$534,AX346:AX364)+SUMIF($F$366:$F$374,'Info utili'!$I$534,AU366:AU374)+SUMIF($F$366:$F$374,'Info utili'!$I$534,AV366:AV374)+SUMIF($F$376:$F$384,'Info utili'!$I$534,AT376:AT384)+SUMIF($F$292:$F$304,'Info utili'!$I$538,AU292:AU304)+SUMIF($F$292:$F$304,'Info utili'!$I$538,AV292:AV304)+SUMIF($F$306:$F$344,'Info utili'!$I$538,AV306:AV344)+SUMIF($F$306:$F$344,'Info utili'!$I$538,AW306:AW344)+SUMIF($F$306:$F$344,'Info utili'!$I$538,AX306:AX344)+SUMIF($F$346:$F$364,'Info utili'!$I$538,AV346:AV364)+SUMIF($F$346:$F$364,'Info utili'!$I$538,AW346:AW364)+SUMIF($F$346:$F$364,'Info utili'!$I$538,AX346:AX364)+SUMIF($F$366:$F$374,'Info utili'!$I$538,AU366:AU374)+SUMIF($F$366:$F$374,'Info utili'!$I$538,AV366:AV374)+SUMIF($F$376:$F$384,'Info utili'!$I$538,AT376:AT384)</f>
        <v>0</v>
      </c>
      <c r="G441" s="1239">
        <f>SUMIF($F$292:$F$304,'Info utili'!$I$534,AW292:AW304)+SUMIF($F$292:$F$304,'Info utili'!$I$534,AX292:AX304)+SUMIF($F$306:$F$344,'Info utili'!$I$534,AY306:AY344)+SUMIF($F$306:$F$344,'Info utili'!$I$534,AZ306:AZ344)+SUMIF($F$306:$F$344,'Info utili'!$I$534,BA306:BA344)+SUMIF($F$346:$F$364,'Info utili'!$I$534,AY346:AY364)+SUMIF($F$346:$F$364,'Info utili'!$I$534,AZ346:AZ364)+SUMIF($F$346:$F$364,'Info utili'!$I$534,BA346:BA364)+SUMIF($F$366:$F$374,'Info utili'!$I$534,AW366:AW374)+SUMIF($F$366:$F$374,'Info utili'!$I$534,AX366:AX374)+SUMIF($F$376:$F$384,'Info utili'!$I$534,AU376:AU384)+SUMIF($F$292:$F$304,'Info utili'!$I$538,AW292:AW304)+SUMIF($F$292:$F$304,'Info utili'!$I$538,AX292:AX304)+SUMIF($F$306:$F$344,'Info utili'!$I$538,AY306:AY344)+SUMIF($F$306:$F$344,'Info utili'!$I$538,AZ306:AZ344)+SUMIF($F$306:$F$344,'Info utili'!$I$538,BA306:BA344)+SUMIF($F$346:$F$364,'Info utili'!$I$538,AY346:AY364)+SUMIF($F$346:$F$364,'Info utili'!$I$538,AZ346:AZ364)+SUMIF($F$346:$F$364,'Info utili'!$I$538,BA346:BA364)+SUMIF($F$366:$F$374,'Info utili'!$I$538,AW366:AW374)+SUMIF($F$366:$F$374,'Info utili'!$I$538,AX366:AX374)+SUMIF($F$376:$F$384,'Info utili'!$I$538,AU376:AU384)</f>
        <v>0</v>
      </c>
      <c r="H441" s="1239">
        <v>0</v>
      </c>
      <c r="I441" s="1239">
        <v>0</v>
      </c>
      <c r="J441" s="1239">
        <v>0</v>
      </c>
      <c r="K441" s="1239">
        <v>0</v>
      </c>
      <c r="L441" s="1248">
        <f>SUMIF($F$292:$F$304,'Info utili'!$I$534,BA292:BA304)+SUMIF($F$292:$F$304,'Info utili'!$I$534,BB292:BB304)+SUMIF($F$306:$F$344,'Info utili'!$I$534,BE306:BE344)+SUMIF($F$306:$F$344,'Info utili'!$I$534,BF306:BF344)+SUMIF($F$306:$F$344,'Info utili'!$I$534,BG306:BG344)+SUMIF($F$346:$F$364,'Info utili'!$I$534,BE346:BE364)+SUMIF($F$346:$F$364,'Info utili'!$I$534,BF346:BF364)+SUMIF($F$346:$F$364,'Info utili'!$I$534,BG346:BG364)+SUMIF($F$366:$F$374,'Info utili'!$I$534,BA366:BA374)+SUMIF($F$366:$F$374,'Info utili'!$I$534,BB366:BB374)+SUMIF($F$376:$F$384,'Info utili'!$I$534,AW376:AW384)+SUMIF($F$292:$F$304,'Info utili'!$I$538,BA292:BA304)+SUMIF($F$292:$F$304,'Info utili'!$I$538,BB292:BB304)+SUMIF($F$306:$F$344,'Info utili'!$I$538,BE306:BE344)+SUMIF($F$306:$F$344,'Info utili'!$I$538,BF306:BF344)+SUMIF($F$306:$F$344,'Info utili'!$I$538,BG306:BG344)+SUMIF($F$346:$F$364,'Info utili'!$I$538,BE346:BE364)+SUMIF($F$346:$F$364,'Info utili'!$I$538,BF346:BF364)+SUMIF($F$346:$F$364,'Info utili'!$I$538,BG346:BG364)+SUMIF($F$366:$F$374,'Info utili'!$I$538,BA366:BA374)+SUMIF($F$366:$F$374,'Info utili'!$I$538,BB366:BB374)+SUMIF($F$376:$F$384,'Info utili'!$I$538,AW376:AW384)</f>
        <v>0</v>
      </c>
      <c r="M441" s="1237">
        <f>SUMIF($F$292:$F$304,'Info utili'!$I$534,BC292:BC304)+SUMIF($F$292:$F$304,'Info utili'!$I$534,BD292:BD304)+SUMIF($F$306:$F$344,'Info utili'!$I$534,BH306:BH344)+SUMIF($F$306:$F$344,'Info utili'!$I$534,BI306:BI344)+SUMIF($F$306:$F$344,'Info utili'!$I$534,BJ306:BJ344)+SUMIF($F$346:$F$364,'Info utili'!$I$534,BH346:BH364)+SUMIF($F$346:$F$364,'Info utili'!$I$534,BI346:BI364)+SUMIF($F$346:$F$364,'Info utili'!$I$534,BJ346:BJ364)+SUMIF($F$366:$F$374,'Info utili'!$I$534,BC366:BC374)+SUMIF($F$366:$F$374,'Info utili'!$I$534,BD366:BD374)+SUMIF($F$376:$F$384,'Info utili'!$I$534,AX376:AX384)+SUMIF($F$292:$F$304,'Info utili'!$I$538,BC292:BC304)+SUMIF($F$292:$F$304,'Info utili'!$I$538,BD292:BD304)+SUMIF($F$306:$F$344,'Info utili'!$I$538,BH306:BH344)+SUMIF($F$306:$F$344,'Info utili'!$I$538,BI306:BI344)+SUMIF($F$306:$F$344,'Info utili'!$I$538,BJ306:BJ344)+SUMIF($F$346:$F$364,'Info utili'!$I$538,BH346:BH364)+SUMIF($F$346:$F$364,'Info utili'!$I$538,BI346:BI364)+SUMIF($F$346:$F$364,'Info utili'!$I$538,BJ346:BJ364)+SUMIF($F$366:$F$374,'Info utili'!$I$538,BC366:BC374)+SUMIF($F$366:$F$374,'Info utili'!$I$538,BD366:BD374)+SUMIF($F$376:$F$384,'Info utili'!$I$538,AX376:AX384)</f>
        <v>0</v>
      </c>
      <c r="N441" s="1242">
        <f>SQRT(SUMPRODUCT(($F$292:$F$304='Info utili'!$I$534)*1,Z292:Z304,Z292:Z304)+SUMPRODUCT(($F$292:$F$304='Info utili'!$I$534)*1,AA292:AA304,AA292:AA304)+SUMPRODUCT(($F$306:$F$344='Info utili'!$I$534)*1,Z306:Z344,Z306:Z344)+SUMPRODUCT(($F$306:$F$344='Info utili'!$I$534)*1,AA306:AA344,AA306:AA344)+SUMPRODUCT(($F$306:$F$344='Info utili'!$I$534)*1,AB306:AB344,AB306:AB344)+SUMPRODUCT(($F$346:$F$364='Info utili'!$I$534)*1,Z346:Z364,Z346:Z364)+SUMPRODUCT(($F$346:$F$364='Info utili'!$I$534)*1,AA346:AA364,AA346:AA364)+SUMPRODUCT(($F$346:$F$364='Info utili'!$I$534)*1,AB346:AB364,AB346:AB364)+SUMPRODUCT(($F$366:$F$374='Info utili'!$I$534)*1,Z366:Z374,Z366:Z374)+SUMPRODUCT(($F$366:$F$374='Info utili'!$I$534)*1,AA366:AA374,AA366:AA374)+SUMPRODUCT(($F$376:$F$384='Info utili'!$I$534)*1,Z376:Z384,Z376:Z384)+SUMPRODUCT(($F$292:$F$304='Info utili'!$I$538)*1,Z292:Z304,Z292:Z304)+SUMPRODUCT(($F$292:$F$304='Info utili'!$I$538)*1,AA292:AA304,AA292:AA304)+SUMPRODUCT(($F$306:$F$344='Info utili'!$I$538)*1,Z306:Z344,Z306:Z344)+SUMPRODUCT(($F$306:$F$344='Info utili'!$I$538)*1,AA306:AA344,AA306:AA344)+SUMPRODUCT(($F$306:$F$344='Info utili'!$I$538)*1,AB306:AB344,AB306:AB344)+SUMPRODUCT(($F$346:$F$364='Info utili'!$I$538)*1,Z346:Z364,Z346:Z364)+SUMPRODUCT(($F$346:$F$364='Info utili'!$I$538)*1,AA346:AA364,AA346:AA364)+SUMPRODUCT(($F$346:$F$364='Info utili'!$I$538)*1,AB346:AB364,AB346:AB364)+SUMPRODUCT(($F$366:$F$374='Info utili'!$I$538)*1,Z366:Z374,Z366:Z374)+SUMPRODUCT(($F$366:$F$374='Info utili'!$I$538)*1,AA366:AA374,AA366:AA374)+SUMPRODUCT(($F$376:$F$384='Info utili'!$I$538)*1,Z376:Z384,Z376:Z384))</f>
        <v>0</v>
      </c>
      <c r="O441" s="1240"/>
      <c r="Z441" s="1162"/>
      <c r="AE441" s="1162"/>
      <c r="AI441" s="1162"/>
      <c r="AN441" s="729"/>
      <c r="AO441" s="729"/>
      <c r="AP441" s="729"/>
      <c r="AQ441" s="729"/>
      <c r="AR441" s="729"/>
      <c r="AS441" s="729"/>
      <c r="AT441" s="729"/>
      <c r="AU441" s="729"/>
      <c r="AV441" s="729"/>
      <c r="AW441" s="729"/>
      <c r="AX441" s="729"/>
      <c r="AY441" s="729"/>
    </row>
    <row r="442" spans="2:51" s="39" customFormat="1" outlineLevel="1" x14ac:dyDescent="0.2">
      <c r="B442" s="1766" t="s">
        <v>96</v>
      </c>
      <c r="C442" s="1767"/>
      <c r="D442" s="1768"/>
      <c r="E442" s="1236">
        <f t="shared" ref="E442:O442" si="86">SUM(E424:E441)</f>
        <v>0</v>
      </c>
      <c r="F442" s="1236">
        <f t="shared" si="86"/>
        <v>0</v>
      </c>
      <c r="G442" s="1236">
        <f t="shared" si="86"/>
        <v>0</v>
      </c>
      <c r="H442" s="1236">
        <f t="shared" si="86"/>
        <v>0</v>
      </c>
      <c r="I442" s="1236">
        <f t="shared" si="86"/>
        <v>0</v>
      </c>
      <c r="J442" s="1236">
        <f t="shared" si="86"/>
        <v>0</v>
      </c>
      <c r="K442" s="1236">
        <f t="shared" si="86"/>
        <v>0</v>
      </c>
      <c r="L442" s="1236">
        <f t="shared" si="86"/>
        <v>617.89137884359116</v>
      </c>
      <c r="M442" s="1247">
        <f t="shared" si="86"/>
        <v>0</v>
      </c>
      <c r="N442" s="1243">
        <f>SQRT(SUMSQ(N424:N441))</f>
        <v>0</v>
      </c>
      <c r="O442" s="1244">
        <f t="shared" si="86"/>
        <v>0</v>
      </c>
      <c r="Z442" s="1162"/>
      <c r="AE442" s="1162"/>
      <c r="AI442" s="1162"/>
      <c r="AN442" s="729"/>
      <c r="AO442" s="729"/>
      <c r="AP442" s="729"/>
      <c r="AQ442" s="729"/>
      <c r="AR442" s="729"/>
      <c r="AS442" s="729"/>
      <c r="AT442" s="729"/>
      <c r="AU442" s="729"/>
      <c r="AV442" s="729"/>
      <c r="AW442" s="729"/>
      <c r="AX442" s="729"/>
      <c r="AY442" s="729"/>
    </row>
    <row r="443" spans="2:51" s="39" customFormat="1" ht="12" outlineLevel="1" x14ac:dyDescent="0.2">
      <c r="W443" s="1162"/>
      <c r="AB443" s="1162"/>
      <c r="AF443" s="1162"/>
      <c r="AK443" s="729"/>
      <c r="AL443" s="729"/>
      <c r="AM443" s="729"/>
      <c r="AN443" s="729"/>
      <c r="AO443" s="729"/>
      <c r="AP443" s="729"/>
      <c r="AQ443" s="729"/>
      <c r="AR443" s="729"/>
      <c r="AS443" s="729"/>
      <c r="AT443" s="729"/>
      <c r="AU443" s="729"/>
      <c r="AV443" s="729"/>
    </row>
    <row r="445" spans="2:51" s="39" customFormat="1" ht="15.75" customHeight="1" x14ac:dyDescent="0.2">
      <c r="B445" s="1741" t="str">
        <f>+Energia!B184</f>
        <v xml:space="preserve">Panoramica delle categorie definite nella  ISO/TR 14069:2013 </v>
      </c>
      <c r="C445" s="1742"/>
      <c r="D445" s="1742"/>
      <c r="E445" s="1742"/>
      <c r="F445" s="1742"/>
      <c r="G445" s="1742"/>
      <c r="H445" s="1742"/>
      <c r="I445" s="1742"/>
      <c r="J445" s="1742"/>
      <c r="K445" s="1742"/>
      <c r="L445" s="1742"/>
      <c r="M445" s="1742"/>
      <c r="N445" s="1742"/>
      <c r="O445" s="1743"/>
      <c r="W445" s="1162"/>
      <c r="AB445" s="1162"/>
      <c r="AF445" s="1162"/>
      <c r="AK445" s="729"/>
      <c r="AL445" s="729"/>
      <c r="AM445" s="729"/>
      <c r="AN445" s="729"/>
      <c r="AO445" s="729"/>
      <c r="AP445" s="729"/>
      <c r="AQ445" s="729"/>
      <c r="AR445" s="729"/>
      <c r="AS445" s="729"/>
      <c r="AT445" s="729"/>
      <c r="AU445" s="729"/>
      <c r="AV445" s="729"/>
    </row>
    <row r="446" spans="2:51" s="39" customFormat="1" ht="12" outlineLevel="1" x14ac:dyDescent="0.2">
      <c r="Q446" s="1317"/>
      <c r="R446" s="1317"/>
      <c r="W446" s="1162"/>
      <c r="AB446" s="1162"/>
      <c r="AF446" s="1162"/>
      <c r="AK446" s="729"/>
      <c r="AL446" s="729"/>
      <c r="AM446" s="729"/>
      <c r="AN446" s="729"/>
      <c r="AO446" s="729"/>
      <c r="AP446" s="729"/>
      <c r="AQ446" s="729"/>
      <c r="AR446" s="729"/>
      <c r="AS446" s="729"/>
      <c r="AT446" s="729"/>
      <c r="AU446" s="729"/>
      <c r="AV446" s="729"/>
    </row>
    <row r="447" spans="2:51" s="39" customFormat="1" ht="28" outlineLevel="1" x14ac:dyDescent="0.2">
      <c r="B447" s="118"/>
      <c r="C447" s="118"/>
      <c r="D447" s="118"/>
      <c r="E447" s="1735" t="s">
        <v>2498</v>
      </c>
      <c r="F447" s="1737"/>
      <c r="G447" s="1737"/>
      <c r="H447" s="1737"/>
      <c r="I447" s="1737"/>
      <c r="J447" s="1737"/>
      <c r="K447" s="1737"/>
      <c r="L447" s="1737"/>
      <c r="M447" s="1736"/>
      <c r="N447" s="1433" t="s">
        <v>2743</v>
      </c>
      <c r="O447" s="1430" t="s">
        <v>2517</v>
      </c>
      <c r="Q447" s="1317"/>
      <c r="R447" s="1317"/>
      <c r="W447" s="1162"/>
      <c r="AB447" s="1162"/>
      <c r="AF447" s="1162"/>
      <c r="AK447" s="729"/>
      <c r="AL447" s="729"/>
      <c r="AM447" s="729"/>
      <c r="AN447" s="729"/>
      <c r="AO447" s="729"/>
      <c r="AP447" s="729"/>
      <c r="AQ447" s="729"/>
      <c r="AR447" s="729"/>
      <c r="AS447" s="729"/>
      <c r="AT447" s="729"/>
      <c r="AU447" s="729"/>
      <c r="AV447" s="729"/>
    </row>
    <row r="448" spans="2:51" s="39" customFormat="1" ht="42" outlineLevel="1" x14ac:dyDescent="0.2">
      <c r="B448" s="1735" t="str">
        <f>+Energia!B187</f>
        <v>Sorgenti di emissione</v>
      </c>
      <c r="C448" s="1736"/>
      <c r="D448" s="1432" t="s">
        <v>2500</v>
      </c>
      <c r="E448" s="1431" t="s">
        <v>666</v>
      </c>
      <c r="F448" s="1431" t="s">
        <v>667</v>
      </c>
      <c r="G448" s="1431" t="s">
        <v>668</v>
      </c>
      <c r="H448" s="1431" t="s">
        <v>2582</v>
      </c>
      <c r="I448" s="1431" t="s">
        <v>2584</v>
      </c>
      <c r="J448" s="1432" t="s">
        <v>69</v>
      </c>
      <c r="K448" s="1431" t="s">
        <v>673</v>
      </c>
      <c r="L448" s="1431" t="s">
        <v>2588</v>
      </c>
      <c r="M448" s="1431" t="s">
        <v>2586</v>
      </c>
      <c r="N448" s="1434" t="s">
        <v>669</v>
      </c>
      <c r="O448" s="1436" t="s">
        <v>69</v>
      </c>
      <c r="Q448" s="1317"/>
      <c r="R448" s="1317"/>
      <c r="W448" s="1162"/>
      <c r="AB448" s="1162"/>
      <c r="AF448" s="1162"/>
      <c r="AK448" s="729"/>
      <c r="AL448" s="729"/>
      <c r="AM448" s="729"/>
      <c r="AN448" s="729"/>
      <c r="AO448" s="729"/>
      <c r="AP448" s="729"/>
      <c r="AQ448" s="729"/>
      <c r="AR448" s="729"/>
      <c r="AS448" s="729"/>
      <c r="AT448" s="729"/>
      <c r="AU448" s="729"/>
      <c r="AV448" s="729"/>
    </row>
    <row r="449" spans="2:48" s="39" customFormat="1" ht="12.75" customHeight="1" outlineLevel="1" x14ac:dyDescent="0.2">
      <c r="B449" s="1733" t="str">
        <f>+Energia!B188</f>
        <v xml:space="preserve">Emissioni dirette da sorgenti di combustione stazionarie </v>
      </c>
      <c r="C449" s="1734"/>
      <c r="D449" s="1435">
        <v>1</v>
      </c>
      <c r="E449" s="1441"/>
      <c r="F449" s="1441"/>
      <c r="G449" s="1441"/>
      <c r="H449" s="1441"/>
      <c r="I449" s="1441"/>
      <c r="J449" s="1442"/>
      <c r="K449" s="1443"/>
      <c r="L449" s="1443"/>
      <c r="M449" s="1444"/>
      <c r="N449" s="1445"/>
      <c r="O449" s="1730" t="s">
        <v>2518</v>
      </c>
      <c r="Q449" s="1317"/>
      <c r="R449" s="1317"/>
      <c r="W449" s="1162"/>
      <c r="AB449" s="1162"/>
      <c r="AF449" s="1162"/>
      <c r="AK449" s="729"/>
      <c r="AL449" s="729"/>
      <c r="AM449" s="729"/>
      <c r="AN449" s="729"/>
      <c r="AO449" s="729"/>
      <c r="AP449" s="729"/>
      <c r="AQ449" s="729"/>
      <c r="AR449" s="729"/>
      <c r="AS449" s="729"/>
      <c r="AT449" s="729"/>
      <c r="AU449" s="729"/>
      <c r="AV449" s="729"/>
    </row>
    <row r="450" spans="2:48" s="39" customFormat="1" outlineLevel="1" x14ac:dyDescent="0.2">
      <c r="B450" s="1733" t="str">
        <f>+Energia!B189</f>
        <v>Emissioni dirette da sorgenti di combustione mobili</v>
      </c>
      <c r="C450" s="1734"/>
      <c r="D450" s="1435">
        <v>2</v>
      </c>
      <c r="E450" s="1441">
        <f>SUMIF($F$12:$F$24,'Info utili'!$I$532,AT12:AT24)+SUMIF($F$26:$F$106,'Info utili'!$I$532,AU26:AU106)+SUMIF($F$122:$F$133,'Info utili'!$I$532,AT122:AT133)+SUMIF($F$135:$F$196,'Info utili'!$I$532,AU135:AU196)+SUMIF($F$230:$F$260,'Info utili'!$I$532,AT230:AT260)+SUMIF($F$230:$F$260,'Info utili'!$I$532,AU230:AU260)+SUMIF($F$265:$F$304,'Info utili'!$I$532,AT265:AT304)+SUMIF($F$306:$F$344,'Info utili'!$I$532,AU306:AU344)+SUMIF($F$346:$F$364,'Info utili'!$I$532,AT346:AT364)+SUMIF($F$346:$F$364,'Info utili'!$I$532,AU346:AU364)+SUMIF($F$366:$F$374,'Info utili'!$I$532,AT366:AT374)+SUMIF($F$12:$F$24,'Info utili'!$I$537,AT12:AT24)+SUMIF($F$26:$F$106,'Info utili'!$I$537,AU26:AU106)+SUMIF($F$122:$F$133,'Info utili'!$I$537,AT122:AT133)+SUMIF($F$135:$F$196,'Info utili'!$I$537,AU135:AU196)+SUMIF($F$230:$F$260,'Info utili'!$I$537,AT230:AT260)+SUMIF($F$230:$F$260,'Info utili'!$I$537,AU230:AU260)+SUMIF($F$265:$F$304,'Info utili'!$I$537,AT265:AT304)+SUMIF($F$306:$F$344,'Info utili'!$I$537,AU306:AU344)+SUMIF($F$346:$F$364,'Info utili'!$I$537,AT346:AT364)+SUMIF($F$346:$F$364,'Info utili'!$I$537,AU346:AU364)+SUMIF($F$366:$F$374,'Info utili'!$I$537,AT366:AT374)</f>
        <v>0</v>
      </c>
      <c r="F450" s="1441">
        <f>SUMIF($F$12:$F$24,'Info utili'!$I$532,AV12:AV24)+SUMIF($F$26:$F$106,'Info utili'!$I$532,AX26:AX106)+SUMIF($F$122:$F$133,'Info utili'!$I$532,AV122:AV133)+SUMIF($F$135:$F$196,'Info utili'!$I$532,AX135:AX196)+SUMIF($F$230:$F$260,'Info utili'!$I$532,AW230:AW260)+SUMIF($F$230:$F$260,'Info utili'!$I$532,AX230:AX260)+SUMIF($F$265:$F$304,'Info utili'!$I$532,AV265:AV304)+SUMIF($F$306:$F$344,'Info utili'!$I$532,AX306:AX344)+SUMIF($F$346:$F$364,'Info utili'!$I$532,AW346:AW364)+SUMIF($F$346:$F$364,'Info utili'!$I$532,AX346:AX364)+SUMIF($F$366:$F$374,'Info utili'!$I$532,AV366:AV374)+SUMIF($F$12:$F$24,'Info utili'!$I$537,AV12:AV24)+SUMIF($F$26:$F$106,'Info utili'!$I$537,AX26:AX106)+SUMIF($F$122:$F$133,'Info utili'!$I$537,AV122:AV133)+SUMIF($F$135:$F$196,'Info utili'!$I$537,AX135:AX196)+SUMIF($F$230:$F$260,'Info utili'!$I$537,AW230:AW260)+SUMIF($F$230:$F$260,'Info utili'!$I$537,AX230:AX260)+SUMIF($F$265:$F$304,'Info utili'!$I$537,AV265:AV304)+SUMIF($F$306:$F$344,'Info utili'!$I$537,AX306:AX344)+SUMIF($F$346:$F$364,'Info utili'!$I$537,AW346:AW364)+SUMIF($F$346:$F$364,'Info utili'!$I$537,AX346:AX364)+SUMIF($F$366:$F$374,'Info utili'!$I$537,AV366:AV374)</f>
        <v>0</v>
      </c>
      <c r="G450" s="1441">
        <f>SUMIF($F$12:$F$24,'Info utili'!$I$532,AX12:AX24)+SUMIF($F$26:$F$106,'Info utili'!$I$532,BA26:BA106)+SUMIF($F$122:$F$133,'Info utili'!$I$532,AX122:AX133)+SUMIF($F$135:$F$196,'Info utili'!$I$532,BA135:BA196)+SUMIF($F$230:$F$260,'Info utili'!$I$532,AZ230:AZ260)+SUMIF($F$230:$F$260,'Info utili'!$I$532,BA230:BA260)+SUMIF($F$265:$F$304,'Info utili'!$I$532,AX265:AX304)+SUMIF($F$306:$F$344,'Info utili'!$I$532,BA306:BA344)+SUMIF($F$346:$F$364,'Info utili'!$I$532,AZ346:AZ364)+SUMIF($F$346:$F$364,'Info utili'!$I$532,BA346:BA364)+SUMIF($F$366:$F$374,'Info utili'!$I$532,AX366:AX374)+SUMIF($F$12:$F$24,'Info utili'!$I$537,AX12:AX24)+SUMIF($F$26:$F$106,'Info utili'!$I$537,BA26:BA106)+SUMIF($F$122:$F$133,'Info utili'!$I$537,AX122:AX133)+SUMIF($F$135:$F$196,'Info utili'!$I$537,BA135:BA196)+SUMIF($F$230:$F$260,'Info utili'!$I$537,AZ230:AZ260)+SUMIF($F$230:$F$260,'Info utili'!$I$537,BA230:BA260)+SUMIF($F$265:$F$304,'Info utili'!$I$537,AX265:AX304)+SUMIF($F$306:$F$344,'Info utili'!$I$537,BA306:BA344)+SUMIF($F$346:$F$364,'Info utili'!$I$537,AZ346:AZ364)+SUMIF($F$346:$F$364,'Info utili'!$I$537,BA346:BA364)+SUMIF($F$366:$F$374,'Info utili'!$I$537,AX366:AX374)</f>
        <v>0</v>
      </c>
      <c r="H450" s="1441">
        <v>0</v>
      </c>
      <c r="I450" s="1441">
        <v>0</v>
      </c>
      <c r="J450" s="1442">
        <f>SUMIF($F$12:$F$24,'Info utili'!$I$532,BB12:BB24)+SUMIF($F$26:$F$106,'Info utili'!$I$532,BG26:BG106)+SUMIF($F$122:$F$133,'Info utili'!$I$532,BB122:BB133)+SUMIF($F$135:$F$196,'Info utili'!$I$532,BG135:BG196)+SUMIF($F$230:$F$260,'Info utili'!$I$532,BF230:BF260)+SUMIF($F$230:$F$260,'Info utili'!$I$532,BG230:BG260)+SUMIF($F$265:$F$304,'Info utili'!$I$532,BB265:BB304)+SUMIF($F$306:$F$344,'Info utili'!$I$532,BG306:BG344)+SUMIF($F$346:$F$364,'Info utili'!$I$532,BF346:BF364)+SUMIF($F$346:$F$364,'Info utili'!$I$532,BG346:BG364)+SUMIF($F$366:$F$374,'Info utili'!$I$532,BB366:BB374)+SUMIF($F$12:$F$24,'Info utili'!$I$537,BB12:BB24)+SUMIF($F$26:$F$106,'Info utili'!$I$537,BG26:BG106)+SUMIF($F$122:$F$133,'Info utili'!$I$537,BB122:BB133)+SUMIF($F$135:$F$196,'Info utili'!$I$537,BG135:BG196)+SUMIF($F$230:$F$260,'Info utili'!$I$537,BF230:BF260)+SUMIF($F$230:$F$260,'Info utili'!$I$537,BG230:BG260)+SUMIF($F$265:$F$304,'Info utili'!$I$537,BB265:BB304)+SUMIF($F$306:$F$344,'Info utili'!$I$537,BG306:BG344)+SUMIF($F$346:$F$364,'Info utili'!$I$537,BF346:BF364)+SUMIF($F$346:$F$364,'Info utili'!$I$537,BG346:BG364)+SUMIF($F$366:$F$374,'Info utili'!$I$537,BB366:BB374)</f>
        <v>397</v>
      </c>
      <c r="K450" s="1443">
        <f>SUMIF($F$12:$F$24,'Info utili'!$I$532,BD12:BD24)+SUMIF($F$26:$F$106,'Info utili'!$I$532,BJ26:BJ106)+SUMIF($F$122:$F$133,'Info utili'!$I$532,BD122:BD133)+SUMIF($F$135:$F$196,'Info utili'!$I$532,BJ135:BJ196)+SUMIF($F$230:$F$260,'Info utili'!$I$532,BI230:BI260)+SUMIF($F$230:$F$260,'Info utili'!$I$532,BJ230:BJ260)+SUMIF($F$265:$F$304,'Info utili'!$I$532,BD265:BD304)+SUMIF($F$306:$F$344,'Info utili'!$I$532,BJ306:BJ344)+SUMIF($F$346:$F$364,'Info utili'!$I$532,BI346:BI364)+SUMIF($F$346:$F$364,'Info utili'!$I$532,BJ346:BJ364)+SUMIF($F$366:$F$374,'Info utili'!$I$532,BD366:BD374)+SUMIF($F$12:$F$24,'Info utili'!$I$537,BD12:BD24)+SUMIF($F$26:$F$106,'Info utili'!$I$537,BJ26:BJ106)+SUMIF($F$122:$F$133,'Info utili'!$I$537,BD122:BD133)+SUMIF($F$135:$F$196,'Info utili'!$I$537,BJ135:BJ196)+SUMIF($F$230:$F$260,'Info utili'!$I$537,BI230:BI260)+SUMIF($F$230:$F$260,'Info utili'!$I$537,BJ230:BJ260)+SUMIF($F$265:$F$304,'Info utili'!$I$537,BD265:BD304)+SUMIF($F$306:$F$344,'Info utili'!$I$537,BJ306:BJ344)+SUMIF($F$346:$F$364,'Info utili'!$I$537,BI346:BI364)+SUMIF($F$346:$F$364,'Info utili'!$I$537,BJ346:BJ364)+SUMIF($F$366:$F$374,'Info utili'!$I$537,BD366:BD374)</f>
        <v>0</v>
      </c>
      <c r="L450" s="1443">
        <v>0</v>
      </c>
      <c r="M450" s="1444">
        <f>SQRT(SUMPRODUCT(($F$12:$F$24='Info utili'!$I$532)*1,AA12:AA24,AA12:AA24)+SUMPRODUCT(($F$26:$F$106='Info utili'!$I$532)*1,AB26:AB106,AB26:AB106)+SUMPRODUCT(($F$122:$F$133='Info utili'!$I$532)*1,AA122:AA133,AA122:AA133)+SUMPRODUCT(($F$135:$F$196='Info utili'!$I$532)*1,AB135:AB196,AB135:AB196)+SUMPRODUCT(($F$230:$F$260='Info utili'!$I$532)*1,AA230:AA260,AA230:AA260)+SUMPRODUCT(($F$230:$F$260='Info utili'!$I$532)*1,AB230:AB260,AB230:AB260)+SUMPRODUCT(($F$265:$F$304='Info utili'!$I$532)*1,AA265:AA304,AA265:AA304)+SUMPRODUCT(($F$306:$F$344='Info utili'!$I$532)*1,AB306:AB344,AB306:AB344)+SUMPRODUCT(($F$346:$F$364='Info utili'!$I$532)*1,AA346:AA364,AA346:AA364)+SUMPRODUCT(($F$346:$F$364='Info utili'!$I$532)*1,AB346:AB364,AB346:AB364)+SUMPRODUCT(($F$366:$F$374='Info utili'!$I$532)*1,AA366:AA374,AA366:AA374)+SUMPRODUCT(($F$12:$F$24='Info utili'!$I$537)*1,AA12:AA24,AA12:AA24)+SUMPRODUCT(($F$26:$F$106='Info utili'!$I$537)*1,AB26:AB106,AB26:AB106)+SUMPRODUCT(($F$122:$F$133='Info utili'!$I$537)*1,AA122:AA133,AA122:AA133)+SUMPRODUCT(($F$135:$F$196='Info utili'!$I$537)*1,AB135:AB196,AB135:AB196)+SUMPRODUCT(($F$230:$F$260='Info utili'!$I$537)*1,AA230:AA260,AA230:AA260)+SUMPRODUCT(($F$230:$F$260='Info utili'!$I$537)*1,AB230:AB260,AB230:AB260)+SUMPRODUCT(($F$265:$F$304='Info utili'!$I$537)*1,AA265:AA304,AA265:AA304)+SUMPRODUCT(($F$306:$F$344='Info utili'!$I$537)*1,AB306:AB344,AB306:AB344)+SUMPRODUCT(($F$346:$F$364='Info utili'!$I$537)*1,AA346:AA364,AA346:AA364)+SUMPRODUCT(($F$346:$F$364='Info utili'!$I$537)*1,AB346:AB364,AB346:AB364)+SUMPRODUCT(($F$366:$F$374='Info utili'!$I$537)*1,AA366:AA374,AA366:AA374))</f>
        <v>0</v>
      </c>
      <c r="N450" s="1445"/>
      <c r="O450" s="1731"/>
      <c r="Q450" s="1317"/>
      <c r="R450" s="1317"/>
      <c r="W450" s="1162"/>
      <c r="AB450" s="1162"/>
      <c r="AF450" s="1162"/>
      <c r="AK450" s="729"/>
      <c r="AL450" s="729"/>
      <c r="AM450" s="729"/>
      <c r="AN450" s="729"/>
      <c r="AO450" s="729"/>
      <c r="AP450" s="729"/>
      <c r="AQ450" s="729"/>
      <c r="AR450" s="729"/>
      <c r="AS450" s="729"/>
      <c r="AT450" s="729"/>
      <c r="AU450" s="729"/>
      <c r="AV450" s="729"/>
    </row>
    <row r="451" spans="2:48" s="39" customFormat="1" outlineLevel="1" x14ac:dyDescent="0.2">
      <c r="B451" s="1733" t="str">
        <f>+Energia!B190</f>
        <v>Emissioni dirette da  processi</v>
      </c>
      <c r="C451" s="1734"/>
      <c r="D451" s="1435">
        <v>3</v>
      </c>
      <c r="E451" s="1441"/>
      <c r="F451" s="1441"/>
      <c r="G451" s="1441"/>
      <c r="H451" s="1441"/>
      <c r="I451" s="1441"/>
      <c r="J451" s="1442"/>
      <c r="K451" s="1443"/>
      <c r="L451" s="1443"/>
      <c r="M451" s="1444"/>
      <c r="N451" s="1445"/>
      <c r="O451" s="1731"/>
      <c r="Q451" s="1317"/>
      <c r="R451" s="1317"/>
      <c r="W451" s="1162"/>
      <c r="AB451" s="1162"/>
      <c r="AF451" s="1162"/>
      <c r="AK451" s="729"/>
      <c r="AL451" s="729"/>
      <c r="AM451" s="729"/>
      <c r="AN451" s="729"/>
      <c r="AO451" s="729"/>
      <c r="AP451" s="729"/>
      <c r="AQ451" s="729"/>
      <c r="AR451" s="729"/>
      <c r="AS451" s="729"/>
      <c r="AT451" s="729"/>
      <c r="AU451" s="729"/>
      <c r="AV451" s="729"/>
    </row>
    <row r="452" spans="2:48" s="39" customFormat="1" outlineLevel="1" x14ac:dyDescent="0.2">
      <c r="B452" s="1733" t="str">
        <f>+Energia!B191</f>
        <v>Emissioni dirette da  fonti fugitive</v>
      </c>
      <c r="C452" s="1734"/>
      <c r="D452" s="1435">
        <v>4</v>
      </c>
      <c r="E452" s="1441"/>
      <c r="F452" s="1441"/>
      <c r="G452" s="1441"/>
      <c r="H452" s="1441"/>
      <c r="I452" s="1441"/>
      <c r="J452" s="1442"/>
      <c r="K452" s="1443"/>
      <c r="L452" s="1443"/>
      <c r="M452" s="1444"/>
      <c r="N452" s="1445"/>
      <c r="O452" s="1731"/>
      <c r="Q452" s="1317"/>
      <c r="R452" s="1317"/>
      <c r="W452" s="1162"/>
      <c r="AB452" s="1162"/>
      <c r="AF452" s="1162"/>
      <c r="AK452" s="729"/>
      <c r="AL452" s="729"/>
      <c r="AM452" s="729"/>
      <c r="AN452" s="729"/>
      <c r="AO452" s="729"/>
      <c r="AP452" s="729"/>
      <c r="AQ452" s="729"/>
      <c r="AR452" s="729"/>
      <c r="AS452" s="729"/>
      <c r="AT452" s="729"/>
      <c r="AU452" s="729"/>
      <c r="AV452" s="729"/>
    </row>
    <row r="453" spans="2:48" s="39" customFormat="1" outlineLevel="1" x14ac:dyDescent="0.2">
      <c r="B453" s="1733" t="str">
        <f>+Energia!B192</f>
        <v>Emissioni dirette da LULUCF</v>
      </c>
      <c r="C453" s="1734"/>
      <c r="D453" s="1435">
        <v>5</v>
      </c>
      <c r="E453" s="1441"/>
      <c r="F453" s="1441"/>
      <c r="G453" s="1441"/>
      <c r="H453" s="1441"/>
      <c r="I453" s="1441"/>
      <c r="J453" s="1442"/>
      <c r="K453" s="1443"/>
      <c r="L453" s="1443"/>
      <c r="M453" s="1444"/>
      <c r="N453" s="1446"/>
      <c r="O453" s="1731"/>
      <c r="Q453" s="1317"/>
      <c r="R453" s="1317"/>
      <c r="W453" s="1162"/>
      <c r="AB453" s="1162"/>
      <c r="AF453" s="1162"/>
      <c r="AK453" s="729"/>
      <c r="AL453" s="729"/>
      <c r="AM453" s="729"/>
      <c r="AN453" s="729"/>
      <c r="AO453" s="729"/>
      <c r="AP453" s="729"/>
      <c r="AQ453" s="729"/>
      <c r="AR453" s="729"/>
      <c r="AS453" s="729"/>
      <c r="AT453" s="729"/>
      <c r="AU453" s="729"/>
      <c r="AV453" s="729"/>
    </row>
    <row r="454" spans="2:48" s="39" customFormat="1" outlineLevel="1" x14ac:dyDescent="0.2">
      <c r="B454" s="1738" t="s">
        <v>98</v>
      </c>
      <c r="C454" s="1738"/>
      <c r="D454" s="1738"/>
      <c r="E454" s="1447">
        <f>SUM(E449:E453)</f>
        <v>0</v>
      </c>
      <c r="F454" s="1447">
        <f t="shared" ref="F454:N454" si="87">SUM(F449:F453)</f>
        <v>0</v>
      </c>
      <c r="G454" s="1447">
        <f t="shared" si="87"/>
        <v>0</v>
      </c>
      <c r="H454" s="1447">
        <f t="shared" si="87"/>
        <v>0</v>
      </c>
      <c r="I454" s="1447">
        <f t="shared" si="87"/>
        <v>0</v>
      </c>
      <c r="J454" s="1447">
        <f t="shared" si="87"/>
        <v>397</v>
      </c>
      <c r="K454" s="1448">
        <f t="shared" si="87"/>
        <v>0</v>
      </c>
      <c r="L454" s="1448">
        <f t="shared" si="87"/>
        <v>0</v>
      </c>
      <c r="M454" s="1449">
        <f>SQRT(SUMSQ(M449:M453))</f>
        <v>0</v>
      </c>
      <c r="N454" s="1450">
        <f t="shared" si="87"/>
        <v>0</v>
      </c>
      <c r="O454" s="1732"/>
      <c r="Q454" s="1317"/>
      <c r="R454" s="1317"/>
      <c r="W454" s="1162"/>
      <c r="AB454" s="1162"/>
      <c r="AF454" s="1162"/>
      <c r="AK454" s="729"/>
      <c r="AL454" s="729"/>
      <c r="AM454" s="729"/>
      <c r="AN454" s="729"/>
      <c r="AO454" s="729"/>
      <c r="AP454" s="729"/>
      <c r="AQ454" s="729"/>
      <c r="AR454" s="729"/>
      <c r="AS454" s="729"/>
      <c r="AT454" s="729"/>
      <c r="AU454" s="729"/>
      <c r="AV454" s="729"/>
    </row>
    <row r="455" spans="2:48" s="39" customFormat="1" outlineLevel="1" x14ac:dyDescent="0.2">
      <c r="B455" s="1733" t="str">
        <f>+Energia!B194</f>
        <v xml:space="preserve">Emissioni indirette da consumo di elettricità </v>
      </c>
      <c r="C455" s="1734"/>
      <c r="D455" s="1435">
        <v>6</v>
      </c>
      <c r="E455" s="1441">
        <f>AS207</f>
        <v>0</v>
      </c>
      <c r="F455" s="1441">
        <f>AT207</f>
        <v>0</v>
      </c>
      <c r="G455" s="1441">
        <f>AU207</f>
        <v>0</v>
      </c>
      <c r="H455" s="1441">
        <v>0</v>
      </c>
      <c r="I455" s="1441">
        <v>0</v>
      </c>
      <c r="J455" s="1442">
        <f>AW207</f>
        <v>0</v>
      </c>
      <c r="K455" s="1443">
        <f>AX207</f>
        <v>0</v>
      </c>
      <c r="L455" s="1443">
        <v>0</v>
      </c>
      <c r="M455" s="1444">
        <f>Z207</f>
        <v>0</v>
      </c>
      <c r="N455" s="1445"/>
      <c r="O455" s="1451"/>
      <c r="Q455" s="1317"/>
      <c r="R455" s="1317"/>
      <c r="W455" s="1162"/>
      <c r="AB455" s="1162"/>
      <c r="AF455" s="1162"/>
      <c r="AK455" s="729"/>
      <c r="AL455" s="729"/>
      <c r="AM455" s="729"/>
      <c r="AN455" s="729"/>
      <c r="AO455" s="729"/>
      <c r="AP455" s="729"/>
      <c r="AQ455" s="729"/>
      <c r="AR455" s="729"/>
      <c r="AS455" s="729"/>
      <c r="AT455" s="729"/>
      <c r="AU455" s="729"/>
      <c r="AV455" s="729"/>
    </row>
    <row r="456" spans="2:48" s="39" customFormat="1" outlineLevel="1" x14ac:dyDescent="0.2">
      <c r="B456" s="1733" t="str">
        <f>+Energia!B195</f>
        <v xml:space="preserve">Emissioni indirette da consumi di energia di rete (senza l'eletricita) </v>
      </c>
      <c r="C456" s="1734"/>
      <c r="D456" s="1435">
        <v>7</v>
      </c>
      <c r="E456" s="1441"/>
      <c r="F456" s="1441"/>
      <c r="G456" s="1441"/>
      <c r="H456" s="1441"/>
      <c r="I456" s="1441"/>
      <c r="J456" s="1442"/>
      <c r="K456" s="1443"/>
      <c r="L456" s="1443"/>
      <c r="M456" s="1444"/>
      <c r="N456" s="1445"/>
      <c r="O456" s="1445"/>
      <c r="Q456" s="1317"/>
      <c r="R456" s="1317"/>
      <c r="W456" s="1162"/>
      <c r="AB456" s="1162"/>
      <c r="AF456" s="1162"/>
      <c r="AK456" s="729"/>
      <c r="AL456" s="729"/>
      <c r="AM456" s="729"/>
      <c r="AN456" s="729"/>
      <c r="AO456" s="729"/>
      <c r="AP456" s="729"/>
      <c r="AQ456" s="729"/>
      <c r="AR456" s="729"/>
      <c r="AS456" s="729"/>
      <c r="AT456" s="729"/>
      <c r="AU456" s="729"/>
      <c r="AV456" s="729"/>
    </row>
    <row r="457" spans="2:48" s="39" customFormat="1" outlineLevel="1" x14ac:dyDescent="0.2">
      <c r="B457" s="1738" t="s">
        <v>97</v>
      </c>
      <c r="C457" s="1738"/>
      <c r="D457" s="1738"/>
      <c r="E457" s="1447">
        <f>SUM(E455:E456)</f>
        <v>0</v>
      </c>
      <c r="F457" s="1447">
        <f t="shared" ref="F457:O457" si="88">SUM(F455:F456)</f>
        <v>0</v>
      </c>
      <c r="G457" s="1447">
        <f t="shared" si="88"/>
        <v>0</v>
      </c>
      <c r="H457" s="1447">
        <f t="shared" si="88"/>
        <v>0</v>
      </c>
      <c r="I457" s="1447">
        <f t="shared" si="88"/>
        <v>0</v>
      </c>
      <c r="J457" s="1447">
        <f t="shared" si="88"/>
        <v>0</v>
      </c>
      <c r="K457" s="1448">
        <f t="shared" si="88"/>
        <v>0</v>
      </c>
      <c r="L457" s="1448">
        <f t="shared" si="88"/>
        <v>0</v>
      </c>
      <c r="M457" s="1449">
        <f>SQRT(SUMSQ(M455:M456))</f>
        <v>0</v>
      </c>
      <c r="N457" s="1450">
        <f t="shared" si="88"/>
        <v>0</v>
      </c>
      <c r="O457" s="1450">
        <f t="shared" si="88"/>
        <v>0</v>
      </c>
      <c r="Q457" s="1317"/>
      <c r="R457" s="1317"/>
      <c r="W457" s="1162"/>
      <c r="AB457" s="1162"/>
      <c r="AF457" s="1162"/>
      <c r="AK457" s="729"/>
      <c r="AL457" s="729"/>
      <c r="AM457" s="729"/>
      <c r="AN457" s="729"/>
      <c r="AO457" s="729"/>
      <c r="AP457" s="729"/>
      <c r="AQ457" s="729"/>
      <c r="AR457" s="729"/>
      <c r="AS457" s="729"/>
      <c r="AT457" s="729"/>
      <c r="AU457" s="729"/>
      <c r="AV457" s="729"/>
    </row>
    <row r="458" spans="2:48" s="39" customFormat="1" outlineLevel="1" x14ac:dyDescent="0.2">
      <c r="B458" s="1733" t="str">
        <f>+Energia!B197</f>
        <v>Emissioni dovute all'energia non coperte dalle sorgenti da 1 a 7</v>
      </c>
      <c r="C458" s="1734"/>
      <c r="D458" s="1435">
        <v>8</v>
      </c>
      <c r="E458" s="1441">
        <f>SUMIF($F$12:$F$24,'Info utili'!$I$532,AS12:AS24)+SUMIF($F$26:$F$106,'Info utili'!$I$532,AT26:AT106)+SUMIF($F$122:$F$133,'Info utili'!$I$532,AS122:AS133)+SUMIF($F$135:$F$196,'Info utili'!$I$532,AT135:AT196)+SUMIF($F$230:$F$260,'Info utili'!$I$532,AS230:AS260)+SUMIF($F$265:$F$304,'Info utili'!$I$532,AS265:AS304)+SUMIF($F$306:$F$344,'Info utili'!$I$532,AT306:AT344)+SUMIF($F$346:$F$364,'Info utili'!$I$532,AS346:AS364)+SUMIF($F$366:$F$374,'Info utili'!$I$532,AS366:AS374)+SUMIF($F$12:$F$24,'Info utili'!$I$537,AS12:AS24)+SUMIF($F$26:$F$106,'Info utili'!$I$537,AT26:AT106)+SUMIF($F$122:$F$133,'Info utili'!$I$537,AS122:AS133)+SUMIF($F$135:$F$196,'Info utili'!$I$537,AT135:AT196)+SUMIF($F$230:$F$260,'Info utili'!$I$537,AS230:AS260)+SUMIF($F$265:$F$304,'Info utili'!$I$537,AS265:AS304)+SUMIF($F$306:$F$344,'Info utili'!$I$537,AT306:AT344)+SUMIF($F$346:$F$364,'Info utili'!$I$537,AS346:AS364)+SUMIF($F$366:$F$374,'Info utili'!$I$537,AS366:AS374)+AS215</f>
        <v>0</v>
      </c>
      <c r="F458" s="1441">
        <f>SUMIF($F$12:$F$24,'Info utili'!$I$532,AU12:AU24)+SUMIF($F$26:$F$106,'Info utili'!$I$532,AW26:AW106)+SUMIF($F$122:$F$133,'Info utili'!$I$532,AU122:AU133)+SUMIF($F$135:$F$196,'Info utili'!$I$532,AW135:AW196)+SUMIF($F$230:$F$260,'Info utili'!$I$532,AV230:AV260)+SUMIF($F$265:$F$304,'Info utili'!$I$532,AU265:AU304)+SUMIF($F$306:$F$344,'Info utili'!$I$532,AW306:AW344)+SUMIF($F$346:$F$364,'Info utili'!$I$532,AV346:AV364)+SUMIF($F$366:$F$374,'Info utili'!$I$532,AU366:AU374)+SUMIF($F$12:$F$24,'Info utili'!$I$537,AU12:AU24)+SUMIF($F$26:$F$106,'Info utili'!$I$537,AW26:AW106)+SUMIF($F$122:$F$133,'Info utili'!$I$537,AU122:AU133)+SUMIF($F$135:$F$196,'Info utili'!$I$537,AW135:AW196)+SUMIF($F$230:$F$260,'Info utili'!$I$537,AV230:AV260)+SUMIF($F$265:$F$304,'Info utili'!$I$537,AU265:AU304)+SUMIF($F$306:$F$344,'Info utili'!$I$537,AW306:AW344)+SUMIF($F$346:$F$364,'Info utili'!$I$537,AV346:AV364)+SUMIF($F$366:$F$374,'Info utili'!$I$537,AU366:AU374)+AT215</f>
        <v>0</v>
      </c>
      <c r="G458" s="1441">
        <f>SUMIF($F$12:$F$24,'Info utili'!$I$532,AW12:AW24)+SUMIF($F$26:$F$106,'Info utili'!$I$532,AZ26:AZ106)+SUMIF($F$122:$F$133,'Info utili'!$I$532,AW122:AW133)+SUMIF($F$135:$F$196,'Info utili'!$I$532,AZ135:AZ196)+SUMIF($F$230:$F$260,'Info utili'!$I$532,AY230:AY260)+SUMIF($F$265:$F$304,'Info utili'!$I$532,AW265:AW304)+SUMIF($F$306:$F$344,'Info utili'!$I$532,AZ306:AZ344)+SUMIF($F$346:$F$364,'Info utili'!$I$532,AY346:AY364)+SUMIF($F$366:$F$374,'Info utili'!$I$532,AW366:AW374)+SUMIF($F$12:$F$24,'Info utili'!$I$537,AW12:AW24)+SUMIF($F$26:$F$106,'Info utili'!$I$537,AZ26:AZ106)+SUMIF($F$122:$F$133,'Info utili'!$I$537,AW122:AW133)+SUMIF($F$135:$F$196,'Info utili'!$I$537,AZ135:AZ196)+SUMIF($F$230:$F$260,'Info utili'!$I$537,AY230:AY260)+SUMIF($F$265:$F$304,'Info utili'!$I$537,AW265:AW304)+SUMIF($F$306:$F$344,'Info utili'!$I$537,AZ306:AZ344)+SUMIF($F$346:$F$364,'Info utili'!$I$537,AY346:AY364)+SUMIF($F$366:$F$374,'Info utili'!$I$537,AW366:AW374)+AU215</f>
        <v>0</v>
      </c>
      <c r="H458" s="1441">
        <v>0</v>
      </c>
      <c r="I458" s="1441">
        <v>0</v>
      </c>
      <c r="J458" s="1442">
        <f>SUMIF($F$12:$F$24,'Info utili'!$I$532,BA12:BA24)+SUMIF($F$26:$F$106,'Info utili'!$I$532,BF26:BF106)+SUMIF($F$122:$F$133,'Info utili'!$I$532,BA122:BA133)+SUMIF($F$135:$F$196,'Info utili'!$I$532,BF135:BF196)+SUMIF($F$230:$F$260,'Info utili'!$I$532,BE230:BE260)+SUMIF($F$265:$F$304,'Info utili'!$I$532,BA265:BA304)+SUMIF($F$306:$F$344,'Info utili'!$I$532,BF306:BF344)+SUMIF($F$346:$F$364,'Info utili'!$I$532,BE346:BE364)+SUMIF($F$366:$F$374,'Info utili'!$I$532,BA366:BA374)+SUMIF($F$12:$F$24,'Info utili'!$I$537,BA12:BA24)+SUMIF($F$26:$F$106,'Info utili'!$I$537,BF26:BF106)+SUMIF($F$122:$F$133,'Info utili'!$I$537,BA122:BA133)+SUMIF($F$135:$F$196,'Info utili'!$I$537,BF135:BF196)+SUMIF($F$230:$F$260,'Info utili'!$I$537,BE230:BE260)+SUMIF($F$265:$F$304,'Info utili'!$I$537,BA265:BA304)+SUMIF($F$306:$F$344,'Info utili'!$I$537,BF306:BF344)+SUMIF($F$346:$F$364,'Info utili'!$I$537,BE346:BE364)+SUMIF($F$366:$F$374,'Info utili'!$I$537,BA366:BA374)+AW215</f>
        <v>82.316780935742599</v>
      </c>
      <c r="K458" s="1443">
        <f>SUMIF($F$12:$F$24,'Info utili'!$I$532,BC12:BC24)+SUMIF($F$26:$F$106,'Info utili'!$I$532,BI26:BI106)+SUMIF($F$122:$F$133,'Info utili'!$I$532,BC122:BC133)+SUMIF($F$135:$F$196,'Info utili'!$I$532,BI135:BI196)+SUMIF($F$230:$F$260,'Info utili'!$I$532,BH230:BH260)+SUMIF($F$265:$F$304,'Info utili'!$I$532,BC265:BC304)+SUMIF($F$306:$F$344,'Info utili'!$I$532,BI306:BI344)+SUMIF($F$346:$F$364,'Info utili'!$I$532,BH346:BH364)+SUMIF($F$366:$F$374,'Info utili'!$I$532,BC366:BC374)+SUMIF($F$12:$F$24,'Info utili'!$I$537,BC12:BC24)+SUMIF($F$26:$F$106,'Info utili'!$I$537,BI26:BI106)+SUMIF($F$122:$F$133,'Info utili'!$I$537,BC122:BC133)+SUMIF($F$135:$F$196,'Info utili'!$I$537,BI135:BI196)+SUMIF($F$230:$F$260,'Info utili'!$I$537,BH230:BH260)+SUMIF($F$265:$F$304,'Info utili'!$I$537,BC265:BC304)+SUMIF($F$306:$F$344,'Info utili'!$I$537,BI306:BI344)+SUMIF($F$346:$F$364,'Info utili'!$I$537,BH346:BH364)+SUMIF($F$366:$F$374,'Info utili'!$I$537,BC366:BC374)+AX215</f>
        <v>0</v>
      </c>
      <c r="L458" s="1443">
        <v>0</v>
      </c>
      <c r="M458" s="1444">
        <f>SQRT(SUMPRODUCT(($F$12:$F$24='Info utili'!$I$532)*1,Z12:Z24,Z12:Z24)+SUMPRODUCT(($F$26:$F$106='Info utili'!$I$532)*1,AA26:AA106,AA26:AA106)+SUMPRODUCT(($F$122:$F$133='Info utili'!$I$532)*1,Z122:Z133,Z122:Z133)+SUMPRODUCT(($F$135:$F$196='Info utili'!$I$532)*1,AA135:AA196,AA135:AA196)+SUMPRODUCT(($F$230:$F$260='Info utili'!$I$532)*1,Z230:Z260,Z230:Z260)+SUMPRODUCT(($F$265:$F$304='Info utili'!$I$532)*1,Z265:Z304,Z265:Z304)+SUMPRODUCT(($F$306:$F$344='Info utili'!$I$532)*1,AA306:AA344,AA306:AA344)+SUMPRODUCT(($F$346:$F$364='Info utili'!$I$532)*1,Z346:Z364,Z346:Z364)+SUMPRODUCT(($F$366:$F$374='Info utili'!$I$532)*1,Z366:Z374,Z366:Z374)+SUMPRODUCT(($F$12:$F$24='Info utili'!$I$537)*1,Z12:Z24,Z12:Z24)+SUMPRODUCT(($F$26:$F$106='Info utili'!$I$537)*1,AA26:AA106,AA26:AA106)+SUMPRODUCT(($F$122:$F$133='Info utili'!$I$537)*1,Z122:Z133,Z122:Z133)+SUMPRODUCT(($F$135:$F$196='Info utili'!$I$537)*1,AA135:AA196,AA135:AA196)+SUMPRODUCT(($F$230:$F$260='Info utili'!$I$537)*1,Z230:Z260,Z230:Z260)+SUMPRODUCT(($F$265:$F$304='Info utili'!$I$537)*1,Z265:Z304,Z265:Z304)+SUMPRODUCT(($F$306:$F$344='Info utili'!$I$537)*1,AA306:AA344,AA306:AA344)+SUMPRODUCT(($F$346:$F$364='Info utili'!$I$537)*1,Z346:Z364,Z346:Z364)+SUMPRODUCT(($F$366:$F$374='Info utili'!$I$537)*1,Z366:Z374,Z366:Z374)+Z215^2)</f>
        <v>0</v>
      </c>
      <c r="N458" s="1445"/>
      <c r="O458" s="1445"/>
      <c r="Q458" s="1317"/>
      <c r="R458" s="1317"/>
      <c r="W458" s="1162"/>
      <c r="AB458" s="1162"/>
      <c r="AF458" s="1162"/>
      <c r="AK458" s="729"/>
      <c r="AL458" s="729"/>
      <c r="AM458" s="729"/>
      <c r="AN458" s="729"/>
      <c r="AO458" s="729"/>
      <c r="AP458" s="729"/>
      <c r="AQ458" s="729"/>
      <c r="AR458" s="729"/>
      <c r="AS458" s="729"/>
      <c r="AT458" s="729"/>
      <c r="AU458" s="729"/>
      <c r="AV458" s="729"/>
    </row>
    <row r="459" spans="2:48" s="39" customFormat="1" outlineLevel="1" x14ac:dyDescent="0.2">
      <c r="B459" s="1733" t="str">
        <f>+Energia!B198</f>
        <v>Beni acquistati</v>
      </c>
      <c r="C459" s="1734"/>
      <c r="D459" s="1435">
        <v>9</v>
      </c>
      <c r="E459" s="1441"/>
      <c r="F459" s="1441"/>
      <c r="G459" s="1441"/>
      <c r="H459" s="1441"/>
      <c r="I459" s="1441"/>
      <c r="J459" s="1442"/>
      <c r="K459" s="1443"/>
      <c r="L459" s="1443"/>
      <c r="M459" s="1444"/>
      <c r="N459" s="1445"/>
      <c r="O459" s="1445"/>
      <c r="Q459" s="1317"/>
      <c r="R459" s="1317"/>
      <c r="W459" s="1162"/>
      <c r="AB459" s="1162"/>
      <c r="AF459" s="1162"/>
      <c r="AK459" s="729"/>
      <c r="AL459" s="729"/>
      <c r="AM459" s="729"/>
      <c r="AN459" s="729"/>
      <c r="AO459" s="729"/>
      <c r="AP459" s="729"/>
      <c r="AQ459" s="729"/>
      <c r="AR459" s="729"/>
      <c r="AS459" s="729"/>
      <c r="AT459" s="729"/>
      <c r="AU459" s="729"/>
      <c r="AV459" s="729"/>
    </row>
    <row r="460" spans="2:48" s="39" customFormat="1" outlineLevel="1" x14ac:dyDescent="0.2">
      <c r="B460" s="1733" t="str">
        <f>+Energia!B199</f>
        <v>Beni di consumo</v>
      </c>
      <c r="C460" s="1734"/>
      <c r="D460" s="1435">
        <v>10</v>
      </c>
      <c r="E460" s="1441">
        <f>IF(D8="Yes",SUMIF($F$26:$F$106,'Info utili'!$I$532,AS26:AS106)+SUMIF($F$135:$F$196,'Info utili'!$I$532,AS135:AS196)+SUMIF($F$306:$F$344,'Info utili'!$I$532,AS306:AS344)
+SUMIF($F$26:$F$106,'Info utili'!$I$537,AS26:AS106)+SUMIF($F$135:$F$196,'Info utili'!$I$537,AS135:AS196)+SUMIF($F$306:$F$344,'Info utili'!$I$537,AS306:AS344),0)</f>
        <v>0</v>
      </c>
      <c r="F460" s="1441">
        <f>IF(D8="Yes",SUMIF($F$26:$F$106,'Info utili'!$I$532,AV26:AV106)+SUMIF($F$135:$F$196,'Info utili'!$I$532,AV135:AV196)+SUMIF($F$306:$F$344,'Info utili'!$I$532,AV306:AV344)
+SUMIF($F$26:$F$106,'Info utili'!$I$537,AV26:AV106)+SUMIF($F$135:$F$196,'Info utili'!$I$537,AV135:AV196)+SUMIF($F$306:$F$344,'Info utili'!$I$537,AV306:AV344),0)</f>
        <v>0</v>
      </c>
      <c r="G460" s="1441">
        <f>IF(D8="Yes",SUMIF($F$26:$F$106,'Info utili'!$I$532,AY26:AY106)+SUMIF($F$135:$F$196,'Info utili'!$I$532,AY135:AY196)+SUMIF($F$306:$F$344,'Info utili'!$I$532,AY306:AY344)
+SUMIF($F$26:$F$106,'Info utili'!$I$537,AY26:AY106)+SUMIF($F$135:$F$196,'Info utili'!$I$537,AY135:AY196)+SUMIF($F$306:$F$344,'Info utili'!$I$537,AY306:AY344),0)</f>
        <v>0</v>
      </c>
      <c r="H460" s="1441">
        <f>IF(D8="Yes",0,0)</f>
        <v>0</v>
      </c>
      <c r="I460" s="1441">
        <f>IF(D8="Yes",0,0)</f>
        <v>0</v>
      </c>
      <c r="J460" s="1442">
        <f>IF(D8="Yes",SUMIF($F$26:$F$106,'Info utili'!$I$532,BE26:BE106)+SUMIF($F$135:$F$196,'Info utili'!$I$532,BE135:BE196)+SUMIF($F$306:$F$344,'Info utili'!$I$532,BE306:BE344)
+SUMIF($F$26:$F$106,'Info utili'!$I$537,BE26:BE106)+SUMIF($F$135:$F$196,'Info utili'!$I$537,BE135:BE196)+SUMIF($F$306:$F$344,'Info utili'!$I$537,BE306:BE344),0)</f>
        <v>80.257816972106014</v>
      </c>
      <c r="K460" s="1443">
        <f>IF(D8="Yes",SUMIF($F$26:$F$106,'Info utili'!$I$532,BH26:BH106)+SUMIF($F$135:$F$196,'Info utili'!$I$532,BH135:BH196)+SUMIF($F$306:$F$344,'Info utili'!$I$532,BH306:BH344)
+SUMIF($F$26:$F$106,'Info utili'!$I$537,BH26:BH106)+SUMIF($F$135:$F$196,'Info utili'!$I$537,BH135:BH196)+SUMIF($F$306:$F$344,'Info utili'!$I$537,BH306:BH344),0)</f>
        <v>0</v>
      </c>
      <c r="L460" s="1443">
        <f>IF(D8="Yes",0,0)</f>
        <v>0</v>
      </c>
      <c r="M460" s="1444">
        <f>IF(D8="Yes",SQRT(SUMPRODUCT(($F$26:$F$106='Info utili'!$I$532)*1,Z26:Z106,Z26:Z106)+SUMPRODUCT(($F$135:$F$196='Info utili'!$I$532)*1,Z135:Z196,Z135:Z196)+SUMPRODUCT(($F$306:$F$344='Info utili'!$I$532)*1,Z306:Z344,Z306:Z344)
+SUMPRODUCT(($F$26:$F$106='Info utili'!$I$537)*1,Z26:Z106,Z26:Z106)+SUMPRODUCT(($F$135:$F$196='Info utili'!$I$537)*1,Z135:Z196,Z135:Z196)+SUMPRODUCT(($F$306:$F$344='Info utili'!$I$537)*1,Z306:Z344)),0)</f>
        <v>0</v>
      </c>
      <c r="N460" s="1445"/>
      <c r="O460" s="1445"/>
      <c r="Q460" s="1317"/>
      <c r="R460" s="1317"/>
      <c r="W460" s="1162"/>
      <c r="AB460" s="1162"/>
      <c r="AF460" s="1162"/>
      <c r="AK460" s="729"/>
      <c r="AL460" s="729"/>
      <c r="AM460" s="729"/>
      <c r="AN460" s="729"/>
      <c r="AO460" s="729"/>
      <c r="AP460" s="729"/>
      <c r="AQ460" s="729"/>
      <c r="AR460" s="729"/>
      <c r="AS460" s="729"/>
      <c r="AT460" s="729"/>
      <c r="AU460" s="729"/>
      <c r="AV460" s="729"/>
    </row>
    <row r="461" spans="2:48" s="39" customFormat="1" outlineLevel="1" x14ac:dyDescent="0.2">
      <c r="B461" s="1733" t="str">
        <f>+Energia!B200</f>
        <v xml:space="preserve">Rifiuti prodotti </v>
      </c>
      <c r="C461" s="1734"/>
      <c r="D461" s="1435">
        <v>11</v>
      </c>
      <c r="E461" s="1441"/>
      <c r="F461" s="1441"/>
      <c r="G461" s="1441"/>
      <c r="H461" s="1441"/>
      <c r="I461" s="1441"/>
      <c r="J461" s="1442"/>
      <c r="K461" s="1443"/>
      <c r="L461" s="1443"/>
      <c r="M461" s="1444"/>
      <c r="N461" s="1445"/>
      <c r="O461" s="1445"/>
      <c r="Q461" s="1317"/>
      <c r="R461" s="1317"/>
      <c r="W461" s="1162"/>
      <c r="AB461" s="1162"/>
      <c r="AF461" s="1162"/>
      <c r="AK461" s="729"/>
      <c r="AL461" s="729"/>
      <c r="AM461" s="729"/>
      <c r="AN461" s="729"/>
      <c r="AO461" s="729"/>
      <c r="AP461" s="729"/>
      <c r="AQ461" s="729"/>
      <c r="AR461" s="729"/>
      <c r="AS461" s="729"/>
      <c r="AT461" s="729"/>
      <c r="AU461" s="729"/>
      <c r="AV461" s="729"/>
    </row>
    <row r="462" spans="2:48" s="39" customFormat="1" outlineLevel="1" x14ac:dyDescent="0.2">
      <c r="B462" s="1733" t="str">
        <f>+Energia!B201</f>
        <v>Trasporto e distribuzione premanifattura</v>
      </c>
      <c r="C462" s="1734"/>
      <c r="D462" s="1435">
        <v>12</v>
      </c>
      <c r="E462" s="1441"/>
      <c r="F462" s="1441"/>
      <c r="G462" s="1441"/>
      <c r="H462" s="1441"/>
      <c r="I462" s="1441"/>
      <c r="J462" s="1442"/>
      <c r="K462" s="1443"/>
      <c r="L462" s="1443"/>
      <c r="M462" s="1444"/>
      <c r="N462" s="1445"/>
      <c r="O462" s="1445"/>
      <c r="Q462" s="1317"/>
      <c r="R462" s="1317"/>
      <c r="W462" s="1162"/>
      <c r="AB462" s="1162"/>
      <c r="AF462" s="1162"/>
      <c r="AK462" s="729"/>
      <c r="AL462" s="729"/>
      <c r="AM462" s="729"/>
      <c r="AN462" s="729"/>
      <c r="AO462" s="729"/>
      <c r="AP462" s="729"/>
      <c r="AQ462" s="729"/>
      <c r="AR462" s="729"/>
      <c r="AS462" s="729"/>
      <c r="AT462" s="729"/>
      <c r="AU462" s="729"/>
      <c r="AV462" s="729"/>
    </row>
    <row r="463" spans="2:48" s="39" customFormat="1" outlineLevel="1" x14ac:dyDescent="0.2">
      <c r="B463" s="1733" t="str">
        <f>+Energia!B202</f>
        <v>Viaggi di lavoro</v>
      </c>
      <c r="C463" s="1734"/>
      <c r="D463" s="1435">
        <v>13</v>
      </c>
      <c r="E463" s="1441">
        <f>SUMIF($F$122:$F$133,'Info utili'!$I$534,AS122:AS133)+SUMIF($F$122:$F$133,'Info utili'!$I$534,AT122:AT133)+SUMIF($F$135:$F$196,'Info utili'!$I$534,AS135:AS196)+SUMIF($F$135:$F$196,'Info utili'!$I$534,AT135:AT196)+SUMIF($F$135:$F$196,'Info utili'!$I$534,AU135:AU196)+SUMIF($F$217:$F$225,'Info utili'!$I$534,AS217:AS225)+SUMIF($F$230:$F$260,'Info utili'!$I$534,AS230:AS260)+SUMIF($F$230:$F$260,'Info utili'!$I$534,AT230:AT260)+SUMIF($F$230:$F$260,'Info utili'!$I$534,AU230:AU260)+SUMIF($F$265:$F$286,'Info utili'!$I$534,AS265:AS286)+SUMIF($F$265:$F$286,'Info utili'!$I$534,AT265:AT286)+SUMIF($F$122:$F$133,'Info utili'!$I$538,AS122:AS133)+SUMIF($F$122:$F$133,'Info utili'!$I$538,AT122:AT133)+SUMIF($F$135:$F$196,'Info utili'!$I$538,AS135:AS196)+SUMIF($F$135:$F$196,'Info utili'!$I$538,AT135:AT196)+SUMIF($F$135:$F$196,'Info utili'!$I$538,AU135:AU196)+SUMIF($F$217:$F$225,'Info utili'!$I$538,AS217:AS225)+SUMIF($F$230:$F$260,'Info utili'!$I$538,AS230:AS260)+SUMIF($F$230:$F$260,'Info utili'!$I$538,AT230:AT260)+SUMIF($F$230:$F$260,'Info utili'!$I$538,AU230:AU260)+SUMIF($F$265:$F$286,'Info utili'!$I$538,AS265:AS286)+SUMIF($F$265:$F$286,'Info utili'!$I$538,AT265:AT286)</f>
        <v>0</v>
      </c>
      <c r="F463" s="1441">
        <f>SUMIF($F$122:$F$133,'Info utili'!$I$534,AU122:AU133)+SUMIF($F$122:$F$133,'Info utili'!$I$534,AV122:AV133)+SUMIF($F$135:$F$196,'Info utili'!$I$534,AV135:AV196)+SUMIF($F$135:$F$196,'Info utili'!$I$534,AW135:AW196)+SUMIF($F$135:$F$196,'Info utili'!$I$534,AX135:AX196)+SUMIF($F$217:$F$225,'Info utili'!$I$534,AT217:AT225)+SUMIF($F$230:$F$260,'Info utili'!$I$534,AV230:AV260)+SUMIF($F$230:$F$260,'Info utili'!$I$534,AW230:AW260)+SUMIF($F$230:$F$260,'Info utili'!$I$534,AX230:AX260)+SUMIF($F$265:$F$286,'Info utili'!$I$534,AU265:AU286)+SUMIF($F$265:$F$286,'Info utili'!$I$534,AV265:AV286)+SUMIF($F$122:$F$133,'Info utili'!$I$538,AU122:AU133)+SUMIF($F$122:$F$133,'Info utili'!$I$538,AV122:AV133)+SUMIF($F$135:$F$196,'Info utili'!$I$538,AV135:AV196)+SUMIF($F$135:$F$196,'Info utili'!$I$538,AW135:AW196)+SUMIF($F$135:$F$196,'Info utili'!$I$538,AX135:AX196)+SUMIF($F$217:$F$225,'Info utili'!$I$538,AT217:AT225)+SUMIF($F$230:$F$260,'Info utili'!$I$538,AV230:AV260)+SUMIF($F$230:$F$260,'Info utili'!$I$538,AW230:AW260)+SUMIF($F$230:$F$260,'Info utili'!$I$538,AX230:AX260)+SUMIF($F$265:$F$286,'Info utili'!$I$538,AU265:AU286)+SUMIF($F$265:$F$286,'Info utili'!$I$538,AV265:AV286)</f>
        <v>0</v>
      </c>
      <c r="G463" s="1441">
        <f>SUMIF($F$122:$F$133,'Info utili'!$I$534,AW122:AW133)+SUMIF($F$122:$F$133,'Info utili'!$I$534,AX122:AX133)+SUMIF($F$135:$F$196,'Info utili'!$I$534,AY135:AY196)+SUMIF($F$135:$F$196,'Info utili'!$I$534,AZ135:AZ196)+SUMIF($F$135:$F$196,'Info utili'!$I$534,BA135:BA196)+SUMIF($F$217:$F$225,'Info utili'!$I$534,AU217:AU225)+SUMIF($F$230:$F$260,'Info utili'!$I$534,AY230:AY260)+SUMIF($F$230:$F$260,'Info utili'!$I$534,AZ230:AZ260)+SUMIF($F$230:$F$260,'Info utili'!$I$534,BA230:BA260)+SUMIF($F$265:$F$286,'Info utili'!$I$534,AW265:AW286)+SUMIF($F$265:$F$286,'Info utili'!$I$534,AX265:AX286)+SUMIF($F$122:$F$133,'Info utili'!$I$538,AW122:AW133)+SUMIF($F$122:$F$133,'Info utili'!$I$538,AX122:AX133)+SUMIF($F$135:$F$196,'Info utili'!$I$538,AY135:AY196)+SUMIF($F$135:$F$196,'Info utili'!$I$538,AZ135:AZ196)+SUMIF($F$135:$F$196,'Info utili'!$I$538,BA135:BA196)+SUMIF($F$217:$F$225,'Info utili'!$I$538,AU217:AU225)+SUMIF($F$230:$F$260,'Info utili'!$I$538,AY230:AY260)+SUMIF($F$230:$F$260,'Info utili'!$I$538,AZ230:AZ260)+SUMIF($F$230:$F$260,'Info utili'!$I$538,BA230:BA260)+SUMIF($F$265:$F$286,'Info utili'!$I$538,AW265:AW286)+SUMIF($F$265:$F$286,'Info utili'!$I$538,AX265:AX286)</f>
        <v>0</v>
      </c>
      <c r="H463" s="1441">
        <v>0</v>
      </c>
      <c r="I463" s="1441">
        <v>0</v>
      </c>
      <c r="J463" s="1442">
        <f>SUMIF($F$122:$F$133,'Info utili'!$I$534,BA122:BA133)+SUMIF($F$122:$F$133,'Info utili'!$I$534,BB122:BB133)+SUMIF($F$135:$F$196,'Info utili'!$I$534,BE135:BE196)+SUMIF($F$135:$F$196,'Info utili'!$I$534,BF135:BF196)+SUMIF($F$135:$F$196,'Info utili'!$I$534,BG135:BG196)+SUMIF($F$217:$F$225,'Info utili'!$I$534,AW217:AW225)+SUMIF($F$230:$F$260,'Info utili'!$I$534,BE230:BE260)+SUMIF($F$230:$F$260,'Info utili'!$I$534,BF230:BF260)+SUMIF($F$230:$F$260,'Info utili'!$I$534,BG230:BG260)+SUMIF($F$265:$F$286,'Info utili'!$I$534,BA265:BA286)+SUMIF($F$265:$F$286,'Info utili'!$I$534,BB265:BB286)
+SUMIF($F$122:$F$133,'Info utili'!$I$538,BA122:BA133)+SUMIF($F$122:$F$133,'Info utili'!$I$538,BB122:BB133)+SUMIF($F$135:$F$196,'Info utili'!$I$538,BE135:BE196)+SUMIF($F$135:$F$196,'Info utili'!$I$538,BF135:BF196)+SUMIF($F$135:$F$196,'Info utili'!$I$538,BG135:BG196)+SUMIF($F$217:$F$225,'Info utili'!$I$538,AW217:AW225)+SUMIF($F$230:$F$260,'Info utili'!$I$538,BE230:BE260)+SUMIF($F$230:$F$260,'Info utili'!$I$538,BF230:BF260)+SUMIF($F$230:$F$260,'Info utili'!$I$538,BG230:BG260)+SUMIF($F$265:$F$286,'Info utili'!$I$538,BA265:BA286)+SUMIF($F$265:$F$286,'Info utili'!$I$538,BB265:BB286)</f>
        <v>0</v>
      </c>
      <c r="K463" s="1443">
        <f>SUMIF($F$122:$F$133,'Info utili'!$I$534,BC122:BC133)+SUMIF($F$122:$F$133,'Info utili'!$I$534,BD122:BD133)+SUMIF($F$135:$F$196,'Info utili'!$I$534,BH135:BH196)+SUMIF($F$135:$F$196,'Info utili'!$I$534,BI135:BI196)+SUMIF($F$135:$F$196,'Info utili'!$I$534,BJ135:BJ196)+SUMIF($F$217:$F$225,'Info utili'!$I$534,AX217:AX225)+SUMIF($F$230:$F$260,'Info utili'!$I$534,BH230:BH260)+SUMIF($F$230:$F$260,'Info utili'!$I$534,BI230:BI260)+SUMIF($F$230:$F$260,'Info utili'!$I$534,BJ230:BJ260)+SUMIF($F$265:$F$286,'Info utili'!$I$534,BC265:BC286)+SUMIF($F$265:$F$286,'Info utili'!$I$534,BD265:BD286)+SUMIF($F$122:$F$133,'Info utili'!$I$538,BC122:BC133)+SUMIF($F$122:$F$133,'Info utili'!$I$538,BD122:BD133)+SUMIF($F$135:$F$196,'Info utili'!$I$538,BH135:BH196)+SUMIF($F$135:$F$196,'Info utili'!$I$538,BI135:BI196)+SUMIF($F$135:$F$196,'Info utili'!$I$538,BJ135:BJ196)+SUMIF($F$217:$F$225,'Info utili'!$I$538,AX217:AX225)+SUMIF($F$230:$F$260,'Info utili'!$I$538,BH230:BH260)+SUMIF($F$230:$F$260,'Info utili'!$I$538,BI230:BI260)+SUMIF($F$230:$F$260,'Info utili'!$I$538,BJ230:BJ260)+SUMIF($F$265:$F$286,'Info utili'!$I$538,BC265:BC286)+SUMIF($F$265:$F$286,'Info utili'!$I$538,BD265:BD286)</f>
        <v>0</v>
      </c>
      <c r="L463" s="1443">
        <v>0</v>
      </c>
      <c r="M463" s="1444">
        <f>SQRT(SUMPRODUCT(($F$122:$F$133='Info utili'!$I$534)*1,Z122:Z133,Z122:Z133)+SUMPRODUCT(($F$122:$F$133='Info utili'!$I$534)*1,AA122:AA133,AA122:AA133)+SUMPRODUCT(($F$135:$F$196='Info utili'!$I$534)*1,Z135:Z196,Z135:Z196)+SUMPRODUCT(($F$135:$F$196='Info utili'!$I$534)*1,AA135:AA196,AA135:AA196)+SUMPRODUCT(($F$135:$F$196='Info utili'!$I$534)*1,AB135:AB196,AB135:AB196)+SUMPRODUCT(($F$217:$F$225='Info utili'!$I$534)*1,Z217:Z225,Z217:Z225)+SUMPRODUCT(($F$230:$F$260='Info utili'!$I$534)*1,Z230:Z260,Z230:Z260)+SUMPRODUCT(($F$230:$F$260='Info utili'!$I$534)*1,AA230:AA260,AA230:AA260)+SUMPRODUCT(($F$230:$F$260='Info utili'!$I$534)*1,AB230:AB260,AB230:AB260)+SUMPRODUCT(($F$265:$F$286='Info utili'!$I$534)*1,Z265:Z286,Z265:Z286)+SUMPRODUCT(($F$265:$F$286='Info utili'!$I$534)*1,AA265:AA286,AA265:AA286)
+SUMPRODUCT(($F$122:$F$133='Info utili'!$I$538)*1,Z122:Z133,Z122:Z133)+SUMPRODUCT(($F$122:$F$133='Info utili'!$I$538)*1,AA122:AA133,AA122:AA133)+SUMPRODUCT(($F$135:$F$196='Info utili'!$I$538)*1,Z135:Z196,Z135:Z196)+SUMPRODUCT(($F$135:$F$196='Info utili'!$I$538)*1,AA135:AA196,AA135:AA196)+SUMPRODUCT(($F$135:$F$196='Info utili'!$I$538)*1,AB135:AB196,AB135:AB196)+SUMPRODUCT(($F$217:$F$225='Info utili'!$I$538)*1,Z217:Z225,Z217:Z225)+SUMPRODUCT(($F$230:$F$260='Info utili'!$I$538)*1,Z230:Z260,Z230:Z260)+SUMPRODUCT(($F$230:$F$260='Info utili'!$I$538)*1,AA230:AA260,AA230:AA260)+SUMPRODUCT(($F$230:$F$260='Info utili'!$I$538)*1,AB230:AB260,AB230:AB260)+SUMPRODUCT(($F$265:$F$286='Info utili'!$I$538)*1,Z265:Z286,Z265:Z286)+SUMPRODUCT(($F$265:$F$286='Info utili'!$I$538)*1,AA265:AA286,AA265:AA286))</f>
        <v>0</v>
      </c>
      <c r="N463" s="1445"/>
      <c r="O463" s="1445"/>
      <c r="Q463" s="1317"/>
      <c r="R463" s="1317"/>
      <c r="W463" s="1162"/>
      <c r="AB463" s="1162"/>
      <c r="AF463" s="1162"/>
      <c r="AK463" s="729"/>
      <c r="AL463" s="729"/>
      <c r="AM463" s="729"/>
      <c r="AN463" s="729"/>
      <c r="AO463" s="729"/>
      <c r="AP463" s="729"/>
      <c r="AQ463" s="729"/>
      <c r="AR463" s="729"/>
      <c r="AS463" s="729"/>
      <c r="AT463" s="729"/>
      <c r="AU463" s="729"/>
      <c r="AV463" s="729"/>
    </row>
    <row r="464" spans="2:48" s="39" customFormat="1" outlineLevel="1" x14ac:dyDescent="0.2">
      <c r="B464" s="1733" t="str">
        <f>+Energia!B203</f>
        <v>Upstream leased assets</v>
      </c>
      <c r="C464" s="1734"/>
      <c r="D464" s="1435">
        <v>14</v>
      </c>
      <c r="E464" s="1441">
        <f>SUMIF($F$12:$F$24,'Info utili'!$I$533,AS12:AS24)+SUMIF($F$12:$F$24,'Info utili'!$I$533,AT12:AT24)+SUMIF($F$26:$F$106,'Info utili'!$I$533,AS26:AS106)+SUMIF($F$26:$F$106,'Info utili'!$I$533,AT26:AT106)+SUMIF($F$26:$F$106,'Info utili'!$I$533,AU26:AU106)+SUMIF($F$108:$F$116,'Info utili'!$I$533,AS108:AS116)+SUMIF($F$122:$F$133,'Info utili'!$I$533,AS122:AS133)+SUMIF($F$122:$F$133,'Info utili'!$I$533,AT122:AT133)+SUMIF($F$135:$F$196,'Info utili'!$I$533,AS135:AS196)+SUMIF($F$135:$F$196,'Info utili'!$I$533,AT135:AT196)+SUMIF($F$135:$F$196,'Info utili'!$I$533,AU135:AU196)+SUMIF($F$217:$F$225,'Info utili'!$I$533,AS217:AS225)+SUMIF($F$230:$F$260,'Info utili'!$I$533,AS230:AS260)+SUMIF($F$230:$F$260,'Info utili'!$I$533,AT230:AT260)+SUMIF($F$230:$F$260,'Info utili'!$I$533,AU230:AU260)+SUMIF($F$265:$F$304,'Info utili'!$I$533,AS265:AS304)+SUMIF($F$265:$F$304,'Info utili'!$I$533,AT265:AT304)+SUMIF($F$306:$F$344,'Info utili'!$I$533,AS306:AS344)+SUMIF($F$306:$F$344,'Info utili'!$I$533,AT306:AT344)+SUMIF($F$306:$F$344,'Info utili'!$I$533,AU306:AU344)+SUMIF($F$346:$F$364,'Info utili'!$I$533,AS346:AS364)+SUMIF($F$346:$F$364,'Info utili'!$I$533,AT346:AT364)+SUMIF($F$346:$F$364,'Info utili'!$I$533,AU346:AU364)+SUMIF($F$366:$F$374,'Info utili'!$I$533,AS366:AS374)+SUMIF($F$366:$F$374,'Info utili'!$I$533,AT366:AT374)+SUMIF($F$376:$F$384,'Info utili'!$I$533,AS376:AS384)</f>
        <v>0</v>
      </c>
      <c r="F464" s="1441">
        <f>SUMIF($F$12:$F$24,'Info utili'!$I$533,AU12:AU24)+SUMIF($F$12:$F$24,'Info utili'!$I$533,AV12:AV24)+SUMIF($F$26:$F$106,'Info utili'!$I$533,AV26:AV106)+SUMIF($F$26:$F$106,'Info utili'!$I$533,AW26:AW106)+SUMIF($F$26:$F$106,'Info utili'!$I$533,AX26:AX106)+SUMIF($F$108:$F$116,'Info utili'!$I$533,AT108:AT116)+SUMIF($F$122:$F$133,'Info utili'!$I$533,AU122:AU133)+SUMIF($F$122:$F$133,'Info utili'!$I$533,AV122:AV133)+SUMIF($F$135:$F$196,'Info utili'!$I$533,AV135:AV196)+SUMIF($F$135:$F$196,'Info utili'!$I$533,AW135:AW196)+SUMIF($F$135:$F$196,'Info utili'!$I$533,AX135:AX196)+SUMIF($F$217:$F$225,'Info utili'!$I$533,AT217:AT225)+SUMIF($F$230:$F$260,'Info utili'!$I$533,AV230:AV260)+SUMIF($F$230:$F$260,'Info utili'!$I$533,AW230:AW260)+SUMIF($F$230:$F$260,'Info utili'!$I$533,AX230:AX260)+SUMIF($F$265:$F$304,'Info utili'!$I$533,AU265:AU304)+SUMIF($F$265:$F$304,'Info utili'!$I$533,AV265:AV304)+SUMIF($F$306:$F$344,'Info utili'!$I$533,AV306:AV344)+SUMIF($F$306:$F$344,'Info utili'!$I$533,AW306:AW344)+SUMIF($F$306:$F$344,'Info utili'!$I$533,AX306:AX344)+SUMIF($F$346:$F$364,'Info utili'!$I$533,AV346:AV364)+SUMIF($F$346:$F$364,'Info utili'!$I$533,AW346:AW364)+SUMIF($F$346:$F$364,'Info utili'!$I$533,AX346:AX364)+SUMIF($F$366:$F$374,'Info utili'!$I$533,AU366:AU374)+SUMIF($F$366:$F$374,'Info utili'!$I$533,AV366:AV374)+SUMIF($F$376:$F$384,'Info utili'!$I$533,AT376:AT384)</f>
        <v>0</v>
      </c>
      <c r="G464" s="1441">
        <f>SUMIF($F$12:$F$24,'Info utili'!$I$533,AW12:AW24)+SUMIF($F$12:$F$24,'Info utili'!$I$533,AX12:AX24)+SUMIF($F$26:$F$106,'Info utili'!$I$533,AY26:AY106)+SUMIF($F$26:$F$106,'Info utili'!$I$533,AZ26:AZ106)+SUMIF($F$26:$F$106,'Info utili'!$I$533,BA26:BA106)+SUMIF($F$108:$F$116,'Info utili'!$I$533,AU108:AU116)+SUMIF($F$122:$F$133,'Info utili'!$I$533,AW122:AW133)+SUMIF($F$122:$F$133,'Info utili'!$I$533,AX122:AX133)+SUMIF($F$135:$F$196,'Info utili'!$I$533,AY135:AY196)+SUMIF($F$135:$F$196,'Info utili'!$I$533,AZ135:AZ196)+SUMIF($F$135:$F$196,'Info utili'!$I$533,BA135:BA196)+SUMIF($F$217:$F$225,'Info utili'!$I$533,AU217:AU225)+SUMIF($F$230:$F$260,'Info utili'!$I$533,AY230:AY260)+SUMIF($F$230:$F$260,'Info utili'!$I$533,AZ230:AZ260)+SUMIF($F$230:$F$260,'Info utili'!$I$533,BA230:BA260)+SUMIF($F$265:$F$304,'Info utili'!$I$533,AW265:AW304)+SUMIF($F$265:$F$304,'Info utili'!$I$533,AX265:AX304)+SUMIF($F$306:$F$344,'Info utili'!$I$533,AY306:AY344)+SUMIF($F$306:$F$344,'Info utili'!$I$533,AZ306:AZ344)+SUMIF($F$306:$F$344,'Info utili'!$I$533,BA306:BA344)+SUMIF($F$346:$F$364,'Info utili'!$I$533,AY346:AY364)+SUMIF($F$346:$F$364,'Info utili'!$I$533,AZ346:AZ364)+SUMIF($F$346:$F$364,'Info utili'!$I$533,BA346:BA364)+SUMIF($F$366:$F$374,'Info utili'!$I$533,AW366:AW374)+SUMIF($F$366:$F$374,'Info utili'!$I$533,AX366:AX374)+SUMIF($F$376:$F$384,'Info utili'!$I$533,AU376:AU384)</f>
        <v>0</v>
      </c>
      <c r="H464" s="1441">
        <v>0</v>
      </c>
      <c r="I464" s="1441">
        <v>0</v>
      </c>
      <c r="J464" s="1442">
        <f>SUMIF($F$12:$F$24,'Info utili'!$I$533,BA12:BA24)+SUMIF($F$12:$F$24,'Info utili'!$I$533,BB12:BB24)+SUMIF($F$26:$F$106,'Info utili'!$I$533,BE26:BE106)+SUMIF($F$26:$F$106,'Info utili'!$I$533,BF26:BF106)+SUMIF($F$26:$F$106,'Info utili'!$I$533,BG26:BG106)+SUMIF($F$108:$F$116,'Info utili'!$I$533,AW108:AW116)+SUMIF($F$122:$F$133,'Info utili'!$I$533,BA122:BA133)+SUMIF($F$122:$F$133,'Info utili'!$I$533,BB122:BB133)+SUMIF($F$135:$F$196,'Info utili'!$I$533,BE135:BE196)+SUMIF($F$135:$F$196,'Info utili'!$I$533,BF135:BF196)+SUMIF($F$135:$F$196,'Info utili'!$I$533,BG135:BG196)+SUMIF($F$217:$F$225,'Info utili'!$I$533,AW217:AW225)+SUMIF($F$230:$F$260,'Info utili'!$I$533,BE230:BE260)+SUMIF($F$230:$F$260,'Info utili'!$I$533,BF230:BF260)+SUMIF($F$230:$F$260,'Info utili'!$I$533,BG230:BG260)+SUMIF($F$265:$F$304,'Info utili'!$I$533,BA265:BA304)+SUMIF($F$265:$F$304,'Info utili'!$I$533,BB265:BB304)+SUMIF($F$306:$F$344,'Info utili'!$I$533,BE306:BE344)+SUMIF($F$306:$F$344,'Info utili'!$I$533,BF306:BF344)+SUMIF($F$306:$F$344,'Info utili'!$I$533,BG306:BG344)+SUMIF($F$346:$F$364,'Info utili'!$I$533,BE346:BE364)+SUMIF($F$346:$F$364,'Info utili'!$I$533,BF346:BF364)+SUMIF($F$346:$F$364,'Info utili'!$I$533,BG346:BG364)+SUMIF($F$366:$F$374,'Info utili'!$I$533,BA366:BA374)+SUMIF($F$366:$F$374,'Info utili'!$I$533,BB366:BB374)+SUMIF($F$376:$F$384,'Info utili'!$I$533,AW376:AW384)</f>
        <v>315.55459790784857</v>
      </c>
      <c r="K464" s="1443">
        <f>SUMIF($F$12:$F$24,'Info utili'!$I$533,BC12:BC24)+SUMIF($F$12:$F$24,'Info utili'!$I$533,BD12:BD24)+SUMIF($F$26:$F$106,'Info utili'!$I$533,BI26:BI106)+SUMIF($F$26:$F$106,'Info utili'!$I$533,BJ26:BJ106)+SUMIF($F$26:$F$106,'Info utili'!$I$533,AV26:AV106)+SUMIF($F$108:$F$116,'Info utili'!$I$533,AX108:AX116)+SUMIF($F$122:$F$133,'Info utili'!$I$533,BC122:BC133)+SUMIF($F$122:$F$133,'Info utili'!$I$533,BD122:BD133)+SUMIF($F$135:$F$196,'Info utili'!$I$533,BH135:BH196)+SUMIF($F$135:$F$196,'Info utili'!$I$533,BI135:BI196)+SUMIF($F$135:$F$196,'Info utili'!$I$533,BJ135:BJ196)+SUMIF($F$217:$F$225,'Info utili'!$I$533,AX217:AX225)+SUMIF($F$230:$F$260,'Info utili'!$I$533,BH230:BH260)+SUMIF($F$230:$F$260,'Info utili'!$I$533,BI230:BI260)+SUMIF($F$230:$F$260,'Info utili'!$I$533,BJ230:BJ260)+SUMIF($F$265:$F$304,'Info utili'!$I$533,BC265:BC304)+SUMIF($F$265:$F$304,'Info utili'!$I$533,BD265:BD304)+SUMIF($F$306:$F$344,'Info utili'!$I$533,BH306:BH344)+SUMIF($F$306:$F$344,'Info utili'!$I$533,BI306:BI344)+SUMIF($F$306:$F$344,'Info utili'!$I$533,BJ306:BJ344)+SUMIF($F$346:$F$364,'Info utili'!$I$533,BH346:BH364)+SUMIF($F$346:$F$364,'Info utili'!$I$533,BI346:BI364)+SUMIF($F$346:$F$364,'Info utili'!$I$533,BJ346:BJ364)+SUMIF($F$366:$F$374,'Info utili'!$I$533,BC366:BC374)+SUMIF($F$366:$F$374,'Info utili'!$I$533,BD366:BD374)+SUMIF($F$376:$F$384,'Info utili'!$I$533,AX376:AX384)</f>
        <v>0</v>
      </c>
      <c r="L464" s="1443">
        <v>0</v>
      </c>
      <c r="M464" s="1444">
        <f>SQRT(SUMPRODUCT(($F$12:$F$24='Info utili'!$I$533)*1,Z12:Z24,Z12:Z24)+SUMPRODUCT(($F$12:$F$24='Info utili'!$I$533)*1,AA12:AA24,AA12:AA24)+SUMPRODUCT(($F$26:$F$106='Info utili'!$I$533)*1,Z26:Z106,Z26:Z106)+SUMPRODUCT(($F$26:$F$106='Info utili'!$I$533)*1,AA26:AA106,AA26:AA106)+SUMPRODUCT(($F$26:$F$106='Info utili'!$I$533)*1,AB26:AB106,AB26:AB106)+SUMPRODUCT(($F$108:$F$116='Info utili'!$I$533)*1,Z108:Z116,Z108:Z116)+SUMPRODUCT(($F$122:$F$133='Info utili'!$I$533)*1,Z122:Z133,Z122:Z133)+SUMPRODUCT(($F$122:$F$133='Info utili'!$I$533)*1,AA122:AA133,AA122:AA133)+SUMPRODUCT(($F$135:$F$196='Info utili'!$I$533)*1,Z135:Z196,Z135:Z196)+SUMPRODUCT(($F$135:$F$196='Info utili'!$I$533)*1,AA135:AA196,AA135:AA196)+SUMPRODUCT(($F$135:$F$196='Info utili'!$I$533)*1,AB135:AB196,AB135:AB196)+SUMPRODUCT(($F$217:$F$225='Info utili'!$I$533)*1,Z217:Z225,Z217:Z225)+SUMPRODUCT(($F$230:$F$260='Info utili'!$I$533)*1,Z230:Z260,Z230:Z260)+SUMPRODUCT(($F$230:$F$260='Info utili'!$I$533)*1,AA230:AA260,AA230:AA260)+SUMPRODUCT(($F$230:$F$260='Info utili'!$I$533)*1,AB230:AB260,AB230:AB260)+SUMPRODUCT(($F$265:$F$304='Info utili'!$I$533)*1,Z265:Z304,Z265:Z304)+SUMPRODUCT(($F$265:$F$304='Info utili'!$I$533)*1,AA265:AA304,AA265:AA304)+SUMPRODUCT(($F$306:$F$344='Info utili'!$I$533)*1,Z306:Z344,Z306:Z344)+SUMPRODUCT(($F$306:$F$344='Info utili'!$I$533)*1,AA306:AA344,AA306:AA344)+SUMPRODUCT(($F$306:$F$344='Info utili'!$I$533)*1,AB306:AB344,AB306:AB344)+SUMPRODUCT(($F$346:$F$364='Info utili'!$I$533)*1,Z346:Z364,Z346:Z364)+SUMPRODUCT(($F$346:$F$364='Info utili'!$I$533)*1,AA346:AA364,AA346:AA364)+SUMPRODUCT(($F$346:$F$364='Info utili'!$I$533)*1,AB346:AB364,AB346:AB364)+SUMPRODUCT(($F$366:$F$374='Info utili'!$I$533)*1,Z366:Z374,Z366:Z374)+SUMPRODUCT(($F$366:$F$374='Info utili'!$I$533)*1,AA366:AA374,AA366:AA374)+SUMPRODUCT(($F$376:$F$384='Info utili'!$I$533)*1,Z376:Z384,Z376:Z384))</f>
        <v>0</v>
      </c>
      <c r="N464" s="1445"/>
      <c r="O464" s="1445"/>
      <c r="Q464" s="1317"/>
      <c r="R464" s="1317"/>
      <c r="W464" s="1162"/>
      <c r="AB464" s="1162"/>
      <c r="AF464" s="1162"/>
      <c r="AK464" s="729"/>
      <c r="AL464" s="729"/>
      <c r="AM464" s="729"/>
      <c r="AN464" s="729"/>
      <c r="AO464" s="729"/>
      <c r="AP464" s="729"/>
      <c r="AQ464" s="729"/>
      <c r="AR464" s="729"/>
      <c r="AS464" s="729"/>
      <c r="AT464" s="729"/>
      <c r="AU464" s="729"/>
      <c r="AV464" s="729"/>
    </row>
    <row r="465" spans="2:48" s="39" customFormat="1" outlineLevel="1" x14ac:dyDescent="0.2">
      <c r="B465" s="1733" t="str">
        <f>+Energia!B204</f>
        <v>Investimenti</v>
      </c>
      <c r="C465" s="1734"/>
      <c r="D465" s="1435">
        <v>15</v>
      </c>
      <c r="E465" s="1441"/>
      <c r="F465" s="1441"/>
      <c r="G465" s="1441"/>
      <c r="H465" s="1441"/>
      <c r="I465" s="1441"/>
      <c r="J465" s="1442"/>
      <c r="K465" s="1443"/>
      <c r="L465" s="1443"/>
      <c r="M465" s="1444"/>
      <c r="N465" s="1445"/>
      <c r="O465" s="1445"/>
      <c r="Q465" s="1317"/>
      <c r="R465" s="1317"/>
      <c r="W465" s="1162"/>
      <c r="AB465" s="1162"/>
      <c r="AF465" s="1162"/>
      <c r="AK465" s="729"/>
      <c r="AL465" s="729"/>
      <c r="AM465" s="729"/>
      <c r="AN465" s="729"/>
      <c r="AO465" s="729"/>
      <c r="AP465" s="729"/>
      <c r="AQ465" s="729"/>
      <c r="AR465" s="729"/>
      <c r="AS465" s="729"/>
      <c r="AT465" s="729"/>
      <c r="AU465" s="729"/>
      <c r="AV465" s="729"/>
    </row>
    <row r="466" spans="2:48" s="39" customFormat="1" outlineLevel="1" x14ac:dyDescent="0.2">
      <c r="B466" s="1733" t="str">
        <f>+Energia!B205</f>
        <v xml:space="preserve">Trasporto di clienti e visitatori </v>
      </c>
      <c r="C466" s="1734"/>
      <c r="D466" s="1435">
        <v>16</v>
      </c>
      <c r="E466" s="1441">
        <f>SUMIF($F$292:$F$304,'Info utili'!$I$534,AS292:AS304)+SUMIF($F$292:$F$304,'Info utili'!$I$534,AT292:AT304)+SUMIF($F$306:$F$344,'Info utili'!$I$534,AS306:AS344)+SUMIF($F$306:$F$344,'Info utili'!$I$534,AT306:AT344)+SUMIF($F$306:$F$344,'Info utili'!$I$534,AU306:AU344)+SUMIF($F$346:$F$364,'Info utili'!$I$534,AS346:AS364)+SUMIF($F$346:$F$364,'Info utili'!$I$534,AT346:AT364)+SUMIF($F$346:$F$364,'Info utili'!$I$534,AU346:AU364)+SUMIF($F$366:$F$374,'Info utili'!$I$534,AS366:AS374)+SUMIF($F$366:$F$374,'Info utili'!$I$534,AT366:AT374)+SUMIF($F$376:$F$384,'Info utili'!$I$534,AS376:AS384)+SUMIF($F$292:$F$304,'Info utili'!$I$538,AS292:AS304)+SUMIF($F$292:$F$304,'Info utili'!$I$538,AT292:AT304)+SUMIF($F$306:$F$344,'Info utili'!$I$538,AS306:AS344)+SUMIF($F$306:$F$344,'Info utili'!$I$538,AT306:AT344)+SUMIF($F$306:$F$344,'Info utili'!$I$538,AU306:AU344)+SUMIF($F$346:$F$364,'Info utili'!$I$538,AS346:AS364)+SUMIF($F$346:$F$364,'Info utili'!$I$538,AT346:AT364)+SUMIF($F$346:$F$364,'Info utili'!$I$538,AU346:AU364)+SUMIF($F$366:$F$374,'Info utili'!$I$538,AS366:AS374)+SUMIF($F$366:$F$374,'Info utili'!$I$538,AT366:AT374)+SUMIF($F$376:$F$384,'Info utili'!$I$538,AS376:AS384)</f>
        <v>0</v>
      </c>
      <c r="F466" s="1441">
        <f>SUMIF($F$292:$F$304,'Info utili'!$I$534,AU292:AU304)+SUMIF($F$292:$F$304,'Info utili'!$I$534,AV292:AV304)+SUMIF($F$306:$F$344,'Info utili'!$I$534,AV306:AV344)+SUMIF($F$306:$F$344,'Info utili'!$I$534,AW306:AW344)+SUMIF($F$306:$F$344,'Info utili'!$I$534,AX306:AX344)+SUMIF($F$346:$F$364,'Info utili'!$I$534,AV346:AV364)+SUMIF($F$346:$F$364,'Info utili'!$I$534,AW346:AW364)+SUMIF($F$346:$F$364,'Info utili'!$I$534,AX346:AX364)+SUMIF($F$366:$F$374,'Info utili'!$I$534,AU366:AU374)+SUMIF($F$366:$F$374,'Info utili'!$I$534,AV366:AV374)+SUMIF($F$376:$F$384,'Info utili'!$I$534,AT376:AT384)+SUMIF($F$292:$F$304,'Info utili'!$I$538,AU292:AU304)+SUMIF($F$292:$F$304,'Info utili'!$I$538,AV292:AV304)+SUMIF($F$306:$F$344,'Info utili'!$I$538,AV306:AV344)+SUMIF($F$306:$F$344,'Info utili'!$I$538,AW306:AW344)+SUMIF($F$306:$F$344,'Info utili'!$I$538,AX306:AX344)+SUMIF($F$346:$F$364,'Info utili'!$I$538,AV346:AV364)+SUMIF($F$346:$F$364,'Info utili'!$I$538,AW346:AW364)+SUMIF($F$346:$F$364,'Info utili'!$I$538,AX346:AX364)+SUMIF($F$366:$F$374,'Info utili'!$I$538,AU366:AU374)+SUMIF($F$366:$F$374,'Info utili'!$I$538,AV366:AV374)+SUMIF($F$376:$F$384,'Info utili'!$I$538,AT376:AT384)</f>
        <v>0</v>
      </c>
      <c r="G466" s="1441">
        <f>SUMIF($F$292:$F$304,'Info utili'!$I$534,AW292:AW304)+SUMIF($F$292:$F$304,'Info utili'!$I$534,AX292:AX304)+SUMIF($F$306:$F$344,'Info utili'!$I$534,AY306:AY344)+SUMIF($F$306:$F$344,'Info utili'!$I$534,AZ306:AZ344)+SUMIF($F$306:$F$344,'Info utili'!$I$534,BA306:BA344)+SUMIF($F$346:$F$364,'Info utili'!$I$534,AY346:AY364)+SUMIF($F$346:$F$364,'Info utili'!$I$534,AZ346:AZ364)+SUMIF($F$346:$F$364,'Info utili'!$I$534,BA346:BA364)+SUMIF($F$366:$F$374,'Info utili'!$I$534,AW366:AW374)+SUMIF($F$366:$F$374,'Info utili'!$I$534,AX366:AX374)+SUMIF($F$376:$F$384,'Info utili'!$I$534,AU376:AU384)+SUMIF($F$292:$F$304,'Info utili'!$I$538,AW292:AW304)+SUMIF($F$292:$F$304,'Info utili'!$I$538,AX292:AX304)+SUMIF($F$306:$F$344,'Info utili'!$I$538,AY306:AY344)+SUMIF($F$306:$F$344,'Info utili'!$I$538,AZ306:AZ344)+SUMIF($F$306:$F$344,'Info utili'!$I$538,BA306:BA344)+SUMIF($F$346:$F$364,'Info utili'!$I$538,AY346:AY364)+SUMIF($F$346:$F$364,'Info utili'!$I$538,AZ346:AZ364)+SUMIF($F$346:$F$364,'Info utili'!$I$538,BA346:BA364)+SUMIF($F$366:$F$374,'Info utili'!$I$538,AW366:AW374)+SUMIF($F$366:$F$374,'Info utili'!$I$538,AX366:AX374)+SUMIF($F$376:$F$384,'Info utili'!$I$538,AU376:AU384)</f>
        <v>0</v>
      </c>
      <c r="H466" s="1441">
        <v>0</v>
      </c>
      <c r="I466" s="1441">
        <v>0</v>
      </c>
      <c r="J466" s="1442">
        <f>SUMIF($F$292:$F$304,'Info utili'!$I$534,BA292:BA304)+SUMIF($F$292:$F$304,'Info utili'!$I$534,BB292:BB304)+SUMIF($F$306:$F$344,'Info utili'!$I$534,BE306:BE344)+SUMIF($F$306:$F$344,'Info utili'!$I$534,BF306:BF344)+SUMIF($F$306:$F$344,'Info utili'!$I$534,BG306:BG344)+SUMIF($F$346:$F$364,'Info utili'!$I$534,BE346:BE364)+SUMIF($F$346:$F$364,'Info utili'!$I$534,BF346:BF364)+SUMIF($F$346:$F$364,'Info utili'!$I$534,BG346:BG364)+SUMIF($F$366:$F$374,'Info utili'!$I$534,BA366:BA374)+SUMIF($F$366:$F$374,'Info utili'!$I$534,BB366:BB374)+SUMIF($F$376:$F$384,'Info utili'!$I$534,AW376:AW384)+SUMIF($F$292:$F$304,'Info utili'!$I$538,BA292:BA304)+SUMIF($F$292:$F$304,'Info utili'!$I$538,BB292:BB304)+SUMIF($F$306:$F$344,'Info utili'!$I$538,BE306:BE344)+SUMIF($F$306:$F$344,'Info utili'!$I$538,BF306:BF344)+SUMIF($F$306:$F$344,'Info utili'!$I$538,BG306:BG344)+SUMIF($F$346:$F$364,'Info utili'!$I$538,BE346:BE364)+SUMIF($F$346:$F$364,'Info utili'!$I$538,BF346:BF364)+SUMIF($F$346:$F$364,'Info utili'!$I$538,BG346:BG364)+SUMIF($F$366:$F$374,'Info utili'!$I$538,BA366:BA374)+SUMIF($F$366:$F$374,'Info utili'!$I$538,BB366:BB374)+SUMIF($F$376:$F$384,'Info utili'!$I$538,AW376:AW384)</f>
        <v>0</v>
      </c>
      <c r="K466" s="1443">
        <f>SUMIF($F$292:$F$304,'Info utili'!$I$534,BC292:BC304)+SUMIF($F$292:$F$304,'Info utili'!$I$534,BD292:BD304)+SUMIF($F$306:$F$344,'Info utili'!$I$534,BH306:BH344)+SUMIF($F$306:$F$344,'Info utili'!$I$534,BI306:BI344)+SUMIF($F$306:$F$344,'Info utili'!$I$534,BJ306:BJ344)+SUMIF($F$346:$F$364,'Info utili'!$I$534,BH346:BH364)+SUMIF($F$346:$F$364,'Info utili'!$I$534,BI346:BI364)+SUMIF($F$346:$F$364,'Info utili'!$I$534,BJ346:BJ364)+SUMIF($F$366:$F$374,'Info utili'!$I$534,BC366:BC374)+SUMIF($F$366:$F$374,'Info utili'!$I$534,BD366:BD374)+SUMIF($F$376:$F$384,'Info utili'!$I$534,AX376:AX384)+SUMIF($F$292:$F$304,'Info utili'!$I$538,BC292:BC304)+SUMIF($F$292:$F$304,'Info utili'!$I$538,BD292:BD304)+SUMIF($F$306:$F$344,'Info utili'!$I$538,BH306:BH344)+SUMIF($F$306:$F$344,'Info utili'!$I$538,BI306:BI344)+SUMIF($F$306:$F$344,'Info utili'!$I$538,BJ306:BJ344)+SUMIF($F$346:$F$364,'Info utili'!$I$538,BH346:BH364)+SUMIF($F$346:$F$364,'Info utili'!$I$538,BI346:BI364)+SUMIF($F$346:$F$364,'Info utili'!$I$538,BJ346:BJ364)+SUMIF($F$366:$F$374,'Info utili'!$I$538,BC366:BC374)+SUMIF($F$366:$F$374,'Info utili'!$I$538,BD366:BD374)+SUMIF($F$376:$F$384,'Info utili'!$I$538,AX376:AX384)</f>
        <v>0</v>
      </c>
      <c r="L466" s="1443">
        <v>0</v>
      </c>
      <c r="M466" s="1444">
        <f>SQRT(SUMPRODUCT(($F$292:$F$304='Info utili'!$I$534)*1,Z292:Z304,Z292:Z304)+SUMPRODUCT(($F$292:$F$304='Info utili'!$I$534)*1,AA292:AA304,AA292:AA304)+SUMPRODUCT(($F$306:$F$344='Info utili'!$I$534)*1,Z306:Z344,Z306:Z344)+SUMPRODUCT(($F$306:$F$344='Info utili'!$I$534)*1,AA306:AA344,AA306:AA344)+SUMPRODUCT(($F$306:$F$344='Info utili'!$I$534)*1,AB306:AB344,AB306:AB344)+SUMPRODUCT(($F$346:$F$364='Info utili'!$I$534)*1,Z346:Z364,Z346:Z364)+SUMPRODUCT(($F$346:$F$364='Info utili'!$I$534)*1,AA346:AA364,AA346:AA364)+SUMPRODUCT(($F$346:$F$364='Info utili'!$I$534)*1,AB346:AB364,AB346:AB364)+SUMPRODUCT(($F$366:$F$374='Info utili'!$I$534)*1,Z366:Z374,Z366:Z374)+SUMPRODUCT(($F$366:$F$374='Info utili'!$I$534)*1,AA366:AA374,AA366:AA374)+SUMPRODUCT(($F$376:$F$384='Info utili'!$I$534)*1,Z376:Z384,Z376:Z384)+SUMPRODUCT(($F$292:$F$304='Info utili'!$I$538)*1,Z292:Z304,Z292:Z304)+SUMPRODUCT(($F$292:$F$304='Info utili'!$I$538)*1,AA292:AA304,AA292:AA304)+SUMPRODUCT(($F$306:$F$344='Info utili'!$I$538)*1,Z306:Z344,Z306:Z344)+SUMPRODUCT(($F$306:$F$344='Info utili'!$I$538)*1,AA306:AA344,AA306:AA344)+SUMPRODUCT(($F$306:$F$344='Info utili'!$I$538)*1,AB306:AB344,AB306:AB344)+SUMPRODUCT(($F$346:$F$364='Info utili'!$I$538)*1,Z346:Z364,Z346:Z364)+SUMPRODUCT(($F$346:$F$364='Info utili'!$I$538)*1,AA346:AA364,AA346:AA364)+SUMPRODUCT(($F$346:$F$364='Info utili'!$I$538)*1,AB346:AB364,AB346:AB364)+SUMPRODUCT(($F$366:$F$374='Info utili'!$I$538)*1,Z366:Z374,Z366:Z374)+SUMPRODUCT(($F$366:$F$374='Info utili'!$I$538)*1,AA366:AA374,AA366:AA374)+SUMPRODUCT(($F$376:$F$384='Info utili'!$I$538)*1,Z376:Z384,Z376:Z384))</f>
        <v>0</v>
      </c>
      <c r="N466" s="1445"/>
      <c r="O466" s="1445"/>
      <c r="Q466" s="1317"/>
      <c r="R466" s="1317"/>
      <c r="W466" s="1162"/>
      <c r="AB466" s="1162"/>
      <c r="AF466" s="1162"/>
      <c r="AK466" s="729"/>
      <c r="AL466" s="729"/>
      <c r="AM466" s="729"/>
      <c r="AN466" s="729"/>
      <c r="AO466" s="729"/>
      <c r="AP466" s="729"/>
      <c r="AQ466" s="729"/>
      <c r="AR466" s="729"/>
      <c r="AS466" s="729"/>
      <c r="AT466" s="729"/>
      <c r="AU466" s="729"/>
      <c r="AV466" s="729"/>
    </row>
    <row r="467" spans="2:48" s="39" customFormat="1" outlineLevel="1" x14ac:dyDescent="0.2">
      <c r="B467" s="1733" t="str">
        <f>+Energia!B206</f>
        <v>Trasporto di merci e distribuzione in fase d’uso e fine vita</v>
      </c>
      <c r="C467" s="1734"/>
      <c r="D467" s="1435">
        <v>17</v>
      </c>
      <c r="E467" s="1441"/>
      <c r="F467" s="1441"/>
      <c r="G467" s="1441"/>
      <c r="H467" s="1441"/>
      <c r="I467" s="1441"/>
      <c r="J467" s="1442"/>
      <c r="K467" s="1443"/>
      <c r="L467" s="1443"/>
      <c r="M467" s="1444"/>
      <c r="N467" s="1445"/>
      <c r="O467" s="1445"/>
      <c r="Q467" s="1317"/>
      <c r="R467" s="1317"/>
      <c r="W467" s="1162"/>
      <c r="AB467" s="1162"/>
      <c r="AF467" s="1162"/>
      <c r="AK467" s="729"/>
      <c r="AL467" s="729"/>
      <c r="AM467" s="729"/>
      <c r="AN467" s="729"/>
      <c r="AO467" s="729"/>
      <c r="AP467" s="729"/>
      <c r="AQ467" s="729"/>
      <c r="AR467" s="729"/>
      <c r="AS467" s="729"/>
      <c r="AT467" s="729"/>
      <c r="AU467" s="729"/>
      <c r="AV467" s="729"/>
    </row>
    <row r="468" spans="2:48" s="39" customFormat="1" outlineLevel="1" x14ac:dyDescent="0.2">
      <c r="B468" s="1733" t="str">
        <f>+Energia!B207</f>
        <v xml:space="preserve">Uso dei prodotto venduti  </v>
      </c>
      <c r="C468" s="1734"/>
      <c r="D468" s="1435">
        <v>18</v>
      </c>
      <c r="E468" s="1441"/>
      <c r="F468" s="1441"/>
      <c r="G468" s="1441"/>
      <c r="H468" s="1441"/>
      <c r="I468" s="1441"/>
      <c r="J468" s="1442"/>
      <c r="K468" s="1443"/>
      <c r="L468" s="1443"/>
      <c r="M468" s="1444"/>
      <c r="N468" s="1445"/>
      <c r="O468" s="1445"/>
      <c r="Q468" s="1317"/>
      <c r="R468" s="1317"/>
      <c r="W468" s="1162"/>
      <c r="AB468" s="1162"/>
      <c r="AF468" s="1162"/>
      <c r="AK468" s="729"/>
      <c r="AL468" s="729"/>
      <c r="AM468" s="729"/>
      <c r="AN468" s="729"/>
      <c r="AO468" s="729"/>
      <c r="AP468" s="729"/>
      <c r="AQ468" s="729"/>
      <c r="AR468" s="729"/>
      <c r="AS468" s="729"/>
      <c r="AT468" s="729"/>
      <c r="AU468" s="729"/>
      <c r="AV468" s="729"/>
    </row>
    <row r="469" spans="2:48" s="39" customFormat="1" outlineLevel="1" x14ac:dyDescent="0.2">
      <c r="B469" s="1733" t="str">
        <f>+Energia!B208</f>
        <v>Fine vita dei prodotti venduti</v>
      </c>
      <c r="C469" s="1734"/>
      <c r="D469" s="1435">
        <v>19</v>
      </c>
      <c r="E469" s="1441"/>
      <c r="F469" s="1441"/>
      <c r="G469" s="1441"/>
      <c r="H469" s="1441"/>
      <c r="I469" s="1441"/>
      <c r="J469" s="1442"/>
      <c r="K469" s="1443"/>
      <c r="L469" s="1443"/>
      <c r="M469" s="1444"/>
      <c r="N469" s="1445"/>
      <c r="O469" s="1445"/>
      <c r="Q469" s="1317"/>
      <c r="R469" s="1317"/>
      <c r="W469" s="1162"/>
      <c r="AB469" s="1162"/>
      <c r="AF469" s="1162"/>
      <c r="AK469" s="729"/>
      <c r="AL469" s="729"/>
      <c r="AM469" s="729"/>
      <c r="AN469" s="729"/>
      <c r="AO469" s="729"/>
      <c r="AP469" s="729"/>
      <c r="AQ469" s="729"/>
      <c r="AR469" s="729"/>
      <c r="AS469" s="729"/>
      <c r="AT469" s="729"/>
      <c r="AU469" s="729"/>
      <c r="AV469" s="729"/>
    </row>
    <row r="470" spans="2:48" s="39" customFormat="1" outlineLevel="1" x14ac:dyDescent="0.2">
      <c r="B470" s="1733" t="str">
        <f>+Energia!B209</f>
        <v xml:space="preserve">Downstream franchises </v>
      </c>
      <c r="C470" s="1734"/>
      <c r="D470" s="1435">
        <v>20</v>
      </c>
      <c r="E470" s="1441"/>
      <c r="F470" s="1441"/>
      <c r="G470" s="1441"/>
      <c r="H470" s="1441"/>
      <c r="I470" s="1441"/>
      <c r="J470" s="1442"/>
      <c r="K470" s="1443"/>
      <c r="L470" s="1443"/>
      <c r="M470" s="1444"/>
      <c r="N470" s="1445"/>
      <c r="O470" s="1445"/>
      <c r="Q470" s="1317"/>
      <c r="R470" s="1317"/>
      <c r="W470" s="1162"/>
      <c r="AB470" s="1162"/>
      <c r="AF470" s="1162"/>
      <c r="AK470" s="729"/>
      <c r="AL470" s="729"/>
      <c r="AM470" s="729"/>
      <c r="AN470" s="729"/>
      <c r="AO470" s="729"/>
      <c r="AP470" s="729"/>
      <c r="AQ470" s="729"/>
      <c r="AR470" s="729"/>
      <c r="AS470" s="729"/>
      <c r="AT470" s="729"/>
      <c r="AU470" s="729"/>
      <c r="AV470" s="729"/>
    </row>
    <row r="471" spans="2:48" s="39" customFormat="1" outlineLevel="1" x14ac:dyDescent="0.2">
      <c r="B471" s="1733" t="str">
        <f>+Energia!B210</f>
        <v>Downstream leased assets</v>
      </c>
      <c r="C471" s="1734"/>
      <c r="D471" s="1435">
        <v>21</v>
      </c>
      <c r="E471" s="1441"/>
      <c r="F471" s="1441"/>
      <c r="G471" s="1441"/>
      <c r="H471" s="1441"/>
      <c r="I471" s="1441"/>
      <c r="J471" s="1442"/>
      <c r="K471" s="1443"/>
      <c r="L471" s="1443"/>
      <c r="M471" s="1444"/>
      <c r="N471" s="1445"/>
      <c r="O471" s="1445"/>
      <c r="Q471" s="1317"/>
      <c r="R471" s="1317"/>
      <c r="W471" s="1162"/>
      <c r="AB471" s="1162"/>
      <c r="AF471" s="1162"/>
      <c r="AK471" s="729"/>
      <c r="AL471" s="729"/>
      <c r="AM471" s="729"/>
      <c r="AN471" s="729"/>
      <c r="AO471" s="729"/>
      <c r="AP471" s="729"/>
      <c r="AQ471" s="729"/>
      <c r="AR471" s="729"/>
      <c r="AS471" s="729"/>
      <c r="AT471" s="729"/>
      <c r="AU471" s="729"/>
      <c r="AV471" s="729"/>
    </row>
    <row r="472" spans="2:48" s="39" customFormat="1" outlineLevel="1" x14ac:dyDescent="0.2">
      <c r="B472" s="1733" t="str">
        <f>+Energia!B211</f>
        <v>Impiegati pendolari</v>
      </c>
      <c r="C472" s="1734"/>
      <c r="D472" s="1435">
        <v>22</v>
      </c>
      <c r="E472" s="1441">
        <f>SUMIF($F$12:$F$24,'Info utili'!$I$534,AS12:AS24)+SUMIF($F$12:$F$24,'Info utili'!$I$534,AT12:AT24)+SUMIF($F$26:$F$106,'Info utili'!$I$534,AS26:AS106)+SUMIF($F$26:$F$106,'Info utili'!$I$534,AT26:AT106)+SUMIF($F$26:$F$106,'Info utili'!$I$534,AU26:AU106)+SUMIF($F$108:$F$116,'Info utili'!$I$534,AS108:AS116)+SUMIF($F$12:$F$24,'Info utili'!$I$538,AS12:AS24)+SUMIF($F$12:$F$24,'Info utili'!$I$538,AT12:AT24)+SUMIF($F$26:$F$106,'Info utili'!$I$538,AS26:AS106)+SUMIF($F$26:$F$106,'Info utili'!$I$538,AT26:AT106)+SUMIF($F$26:$F$106,'Info utili'!$I$538,AU26:AU106)+SUMIF($F$108:$F$116,'Info utili'!$I$538,AS108:AS116)</f>
        <v>0</v>
      </c>
      <c r="F472" s="1441">
        <f>SUMIF($F$12:$F$24,'Info utili'!$I$534,AU12:AU24)+SUMIF($F$12:$F$24,'Info utili'!$I$534,AV12:AV24)+SUMIF($F$26:$F$106,'Info utili'!$I$534,AV26:AV106)+SUMIF($F$26:$F$106,'Info utili'!$I$534,AW26:AW106)+SUMIF($F$26:$F$106,'Info utili'!$I$534,AX26:AX106)+SUMIF($F$108:$F$116,'Info utili'!$I$534,AT108:AT116)+SUMIF($F$12:$F$24,'Info utili'!$I$538,AU12:AU24)+SUMIF($F$12:$F$24,'Info utili'!$I$538,AV12:AV24)+SUMIF($F$26:$F$106,'Info utili'!$I$538,AV26:AV106)+SUMIF($F$26:$F$106,'Info utili'!$I$538,AW26:AW106)+SUMIF($F$26:$F$106,'Info utili'!$I$538,AX26:AX106)+SUMIF($F$108:$F$116,'Info utili'!$I$538,AT108:AT116)</f>
        <v>0</v>
      </c>
      <c r="G472" s="1441">
        <f>SUMIF($F$12:$F$24,'Info utili'!$I$534,AW12:AW24)+SUMIF($F$12:$F$24,'Info utili'!$I$534,AX12:AX24)+SUMIF($F$26:$F$106,'Info utili'!$I$534,AY26:AY106)+SUMIF($F$26:$F$106,'Info utili'!$I$534,AZ26:AZ106)+SUMIF($F$26:$F$106,'Info utili'!$I$534,BA26:BA106)+SUMIF($F$108:$F$116,'Info utili'!$I$534,AU108:AU116)+SUMIF($F$12:$F$24,'Info utili'!$I$538,AW12:AW24)+SUMIF($F$12:$F$24,'Info utili'!$I$538,AX12:AX24)+SUMIF($F$26:$F$106,'Info utili'!$I$538,AY26:AY106)+SUMIF($F$26:$F$106,'Info utili'!$I$538,AZ26:AZ106)+SUMIF($F$26:$F$106,'Info utili'!$I$538,BA26:BA106)+SUMIF($F$108:$F$116,'Info utili'!$I$538,AU108:AU116)</f>
        <v>0</v>
      </c>
      <c r="H472" s="1441">
        <v>0</v>
      </c>
      <c r="I472" s="1441">
        <v>0</v>
      </c>
      <c r="J472" s="1442">
        <f>SUMIF($F$12:$F$24,'Info utili'!$I$534,BA12:BA24)+SUMIF($F$12:$F$24,'Info utili'!$I$534,BB12:BB24)+SUMIF($F$26:$F$106,'Info utili'!$I$534,BE26:BE106)+SUMIF($F$26:$F$106,'Info utili'!$I$534,BF26:BF106)+SUMIF($F$26:$F$106,'Info utili'!$I$534,BG26:BG106)+SUMIF($F$108:$F$116,'Info utili'!$I$534,AW108:AW116)+SUMIF($F$12:$F$24,'Info utili'!$I$538,BA12:BA24)+SUMIF($F$12:$F$24,'Info utili'!$I$538,BB12:BB24)+SUMIF($F$26:$F$106,'Info utili'!$I$538,BE26:BE106)+SUMIF($F$26:$F$106,'Info utili'!$I$538,BF26:BF106)+SUMIF($F$26:$F$106,'Info utili'!$I$538,BG26:BG106)+SUMIF($F$108:$F$116,'Info utili'!$I$538,AW108:AW116)</f>
        <v>220.02</v>
      </c>
      <c r="K472" s="1443">
        <f>SUMIF($F$12:$F$24,'Info utili'!$I$534,BC12:BC24)+SUMIF($F$12:$F$24,'Info utili'!$I$534,BD12:BD24)+SUMIF($F$26:$F$106,'Info utili'!$I$534,BH26:BH106)+SUMIF($F$26:$F$106,'Info utili'!$I$534,BI26:BI106)+SUMIF($F$26:$F$106,'Info utili'!$I$534,BJ26:BJ106)+SUMIF($F$108:$F$116,'Info utili'!$I$534,AX108:AX116)+SUMIF($F$12:$F$24,'Info utili'!$I$538,BC12:BC24)+SUMIF($F$12:$F$24,'Info utili'!$I$538,BD12:BD24)+SUMIF($F$26:$F$106,'Info utili'!$I$538,BH26:BH106)+SUMIF($F$26:$F$106,'Info utili'!$I$538,BI26:BI106)+SUMIF($F$26:$F$106,'Info utili'!$I$538,BJ26:BJ106)+SUMIF($F$108:$F$116,'Info utili'!$I$538,AX108:AX116)</f>
        <v>0</v>
      </c>
      <c r="L472" s="1443">
        <v>0</v>
      </c>
      <c r="M472" s="1444">
        <f>SQRT(SUMPRODUCT(($F$12:$F$24='Info utili'!$I$534)*1,Z12:Z24,Z12:Z24)+SUMPRODUCT(($F$12:$F$24='Info utili'!$I$534)*1,AA12:AA24,AA12:AA24)+SUMPRODUCT(($F$26:$F$106='Info utili'!$I$534)*1,Z26:Z106,Z26:Z106)+SUMPRODUCT(($F$26:$F$106='Info utili'!$I$534)*1,AA26:AA106,AA26:AA106)+SUMPRODUCT(($F$26:$F$106='Info utili'!$I$534)*1,AB26:AB106,AB26:AB106)+SUMPRODUCT(($F$108:$F$116='Info utili'!$I$534)*1,Z108:Z116,Z108:Z116)+SUMPRODUCT(($F$12:$F$24='Info utili'!$I$538)*1,Z12:Z24,Z12:Z24)+SUMPRODUCT(($F$12:$F$24='Info utili'!$I$538)*1,AA12:AA24,AA12:AA24)+SUMPRODUCT(($F$26:$F$106='Info utili'!$I$538)*1,Z26:Z106,Z26:Z106)+SUMPRODUCT(($F$26:$F$106='Info utili'!$I$538)*1,AA26:AA106,AA26:AA106)+SUMPRODUCT(($F$26:$F$106='Info utili'!$I$538)*1,AB26:AB106,AB26:AB106)+SUMPRODUCT(($F$108:$F$116='Info utili'!$I$538)*1,Z108:Z116,Z108:Z116))</f>
        <v>0</v>
      </c>
      <c r="N472" s="1445"/>
      <c r="O472" s="1445"/>
      <c r="Q472" s="1317"/>
      <c r="R472" s="1317"/>
      <c r="W472" s="1162"/>
      <c r="AB472" s="1162"/>
      <c r="AF472" s="1162"/>
      <c r="AK472" s="729"/>
      <c r="AL472" s="729"/>
      <c r="AM472" s="729"/>
      <c r="AN472" s="729"/>
      <c r="AO472" s="729"/>
      <c r="AP472" s="729"/>
      <c r="AQ472" s="729"/>
      <c r="AR472" s="729"/>
      <c r="AS472" s="729"/>
      <c r="AT472" s="729"/>
      <c r="AU472" s="729"/>
      <c r="AV472" s="729"/>
    </row>
    <row r="473" spans="2:48" s="39" customFormat="1" outlineLevel="1" x14ac:dyDescent="0.2">
      <c r="B473" s="1733" t="str">
        <f>+Energia!B212</f>
        <v xml:space="preserve">Altre emissioni indirette </v>
      </c>
      <c r="C473" s="1734"/>
      <c r="D473" s="1435">
        <v>23</v>
      </c>
      <c r="E473" s="1441"/>
      <c r="F473" s="1441"/>
      <c r="G473" s="1441"/>
      <c r="H473" s="1441"/>
      <c r="I473" s="1441"/>
      <c r="J473" s="1442"/>
      <c r="K473" s="1443"/>
      <c r="L473" s="1443"/>
      <c r="M473" s="1444"/>
      <c r="N473" s="1445"/>
      <c r="O473" s="1445"/>
      <c r="Q473" s="1317"/>
      <c r="R473" s="1317"/>
      <c r="W473" s="1162"/>
      <c r="AB473" s="1162"/>
      <c r="AF473" s="1162"/>
      <c r="AK473" s="729"/>
      <c r="AL473" s="729"/>
      <c r="AM473" s="729"/>
      <c r="AN473" s="729"/>
      <c r="AO473" s="729"/>
      <c r="AP473" s="729"/>
      <c r="AQ473" s="729"/>
      <c r="AR473" s="729"/>
      <c r="AS473" s="729"/>
      <c r="AT473" s="729"/>
      <c r="AU473" s="729"/>
      <c r="AV473" s="729"/>
    </row>
    <row r="474" spans="2:48" s="39" customFormat="1" outlineLevel="1" x14ac:dyDescent="0.2">
      <c r="B474" s="1738" t="s">
        <v>96</v>
      </c>
      <c r="C474" s="1738"/>
      <c r="D474" s="1738"/>
      <c r="E474" s="1447">
        <f>SUM(E458:E473)</f>
        <v>0</v>
      </c>
      <c r="F474" s="1447">
        <f t="shared" ref="F474:O474" si="89">SUM(F458:F473)</f>
        <v>0</v>
      </c>
      <c r="G474" s="1447">
        <f t="shared" si="89"/>
        <v>0</v>
      </c>
      <c r="H474" s="1447">
        <f t="shared" si="89"/>
        <v>0</v>
      </c>
      <c r="I474" s="1447">
        <f t="shared" si="89"/>
        <v>0</v>
      </c>
      <c r="J474" s="1447">
        <f t="shared" si="89"/>
        <v>698.14919581569723</v>
      </c>
      <c r="K474" s="1448">
        <f t="shared" si="89"/>
        <v>0</v>
      </c>
      <c r="L474" s="1448">
        <f t="shared" si="89"/>
        <v>0</v>
      </c>
      <c r="M474" s="1449">
        <f>SQRT(SUMSQ(M458:M473))</f>
        <v>0</v>
      </c>
      <c r="N474" s="1450">
        <f t="shared" si="89"/>
        <v>0</v>
      </c>
      <c r="O474" s="1450">
        <f t="shared" si="89"/>
        <v>0</v>
      </c>
      <c r="Q474" s="1317"/>
      <c r="R474" s="1317"/>
      <c r="W474" s="1162"/>
      <c r="AB474" s="1162"/>
      <c r="AF474" s="1162"/>
      <c r="AK474" s="729"/>
      <c r="AL474" s="729"/>
      <c r="AM474" s="729"/>
      <c r="AN474" s="729"/>
      <c r="AO474" s="729"/>
      <c r="AP474" s="729"/>
      <c r="AQ474" s="729"/>
      <c r="AR474" s="729"/>
      <c r="AS474" s="729"/>
      <c r="AT474" s="729"/>
      <c r="AU474" s="729"/>
      <c r="AV474" s="729"/>
    </row>
    <row r="475" spans="2:48" s="39" customFormat="1" ht="12" outlineLevel="1" x14ac:dyDescent="0.2">
      <c r="Q475" s="1317"/>
      <c r="R475" s="1317"/>
      <c r="W475" s="1162"/>
      <c r="AB475" s="1162"/>
      <c r="AF475" s="1162"/>
      <c r="AK475" s="729"/>
      <c r="AL475" s="729"/>
      <c r="AM475" s="729"/>
      <c r="AN475" s="729"/>
      <c r="AO475" s="729"/>
      <c r="AP475" s="729"/>
      <c r="AQ475" s="729"/>
      <c r="AR475" s="729"/>
      <c r="AS475" s="729"/>
      <c r="AT475" s="729"/>
      <c r="AU475" s="729"/>
      <c r="AV475" s="729"/>
    </row>
    <row r="477" spans="2:48" ht="17" x14ac:dyDescent="0.2">
      <c r="B477" s="1649" t="s">
        <v>2768</v>
      </c>
    </row>
    <row r="478" spans="2:48" ht="17" x14ac:dyDescent="0.2">
      <c r="B478" s="1649" t="s">
        <v>2769</v>
      </c>
    </row>
    <row r="479" spans="2:48" ht="17" x14ac:dyDescent="0.2">
      <c r="B479" s="1650" t="s">
        <v>2770</v>
      </c>
    </row>
    <row r="480" spans="2:48" ht="16" x14ac:dyDescent="0.2">
      <c r="B480" s="1651" t="s">
        <v>2771</v>
      </c>
    </row>
    <row r="481" spans="2:2" ht="17" x14ac:dyDescent="0.2">
      <c r="B481" s="1649" t="s">
        <v>2772</v>
      </c>
    </row>
  </sheetData>
  <mergeCells count="512">
    <mergeCell ref="X356:AD356"/>
    <mergeCell ref="L6:M6"/>
    <mergeCell ref="H157:J157"/>
    <mergeCell ref="H190:J190"/>
    <mergeCell ref="BB253:BD253"/>
    <mergeCell ref="AS253:AU253"/>
    <mergeCell ref="P189:Q189"/>
    <mergeCell ref="J253:L253"/>
    <mergeCell ref="L327:M327"/>
    <mergeCell ref="K280:L280"/>
    <mergeCell ref="N267:O267"/>
    <mergeCell ref="N294:O294"/>
    <mergeCell ref="Q294:R294"/>
    <mergeCell ref="Q267:R267"/>
    <mergeCell ref="AS278:BD278"/>
    <mergeCell ref="AS219:AV219"/>
    <mergeCell ref="AS231:BD231"/>
    <mergeCell ref="AS252:BD252"/>
    <mergeCell ref="AS241:BD241"/>
    <mergeCell ref="AS266:AZ266"/>
    <mergeCell ref="AS230:BJ230"/>
    <mergeCell ref="BE231:BG231"/>
    <mergeCell ref="X306:AD306"/>
    <mergeCell ref="BE253:BG253"/>
    <mergeCell ref="X316:AD316"/>
    <mergeCell ref="AF251:AQ251"/>
    <mergeCell ref="AF240:AQ240"/>
    <mergeCell ref="AF265:AM265"/>
    <mergeCell ref="K232:L232"/>
    <mergeCell ref="X230:AC230"/>
    <mergeCell ref="X240:AD240"/>
    <mergeCell ref="X217:Z217"/>
    <mergeCell ref="X209:Z209"/>
    <mergeCell ref="AF230:AO230"/>
    <mergeCell ref="AF217:AI217"/>
    <mergeCell ref="B403:C403"/>
    <mergeCell ref="B404:C404"/>
    <mergeCell ref="B405:C405"/>
    <mergeCell ref="B406:C406"/>
    <mergeCell ref="B407:C407"/>
    <mergeCell ref="H348:J348"/>
    <mergeCell ref="H368:I368"/>
    <mergeCell ref="K368:L368"/>
    <mergeCell ref="B391:C392"/>
    <mergeCell ref="B400:C400"/>
    <mergeCell ref="J358:L358"/>
    <mergeCell ref="K391:L391"/>
    <mergeCell ref="H338:J338"/>
    <mergeCell ref="H267:I267"/>
    <mergeCell ref="H242:J242"/>
    <mergeCell ref="H280:I280"/>
    <mergeCell ref="H294:I294"/>
    <mergeCell ref="H328:J328"/>
    <mergeCell ref="H318:J318"/>
    <mergeCell ref="L338:N338"/>
    <mergeCell ref="B389:O389"/>
    <mergeCell ref="B290:O290"/>
    <mergeCell ref="L317:M317"/>
    <mergeCell ref="L307:M307"/>
    <mergeCell ref="K294:L294"/>
    <mergeCell ref="AS368:AT368"/>
    <mergeCell ref="H124:I124"/>
    <mergeCell ref="N232:O232"/>
    <mergeCell ref="K267:L267"/>
    <mergeCell ref="BE252:BG252"/>
    <mergeCell ref="AS317:BD317"/>
    <mergeCell ref="AS327:BD327"/>
    <mergeCell ref="BE318:BG318"/>
    <mergeCell ref="AS318:AU318"/>
    <mergeCell ref="AV318:AX318"/>
    <mergeCell ref="AU294:AV294"/>
    <mergeCell ref="AF306:AQ306"/>
    <mergeCell ref="AF292:AM292"/>
    <mergeCell ref="AS251:BJ251"/>
    <mergeCell ref="BA293:BB293"/>
    <mergeCell ref="AS293:AZ293"/>
    <mergeCell ref="AY318:BA318"/>
    <mergeCell ref="BB318:BD318"/>
    <mergeCell ref="AW294:AX294"/>
    <mergeCell ref="AY294:AZ294"/>
    <mergeCell ref="AS280:AT280"/>
    <mergeCell ref="BC280:BD280"/>
    <mergeCell ref="AS294:AT294"/>
    <mergeCell ref="BH253:BJ253"/>
    <mergeCell ref="AF356:AQ356"/>
    <mergeCell ref="BE357:BG357"/>
    <mergeCell ref="Q391:T391"/>
    <mergeCell ref="P337:Q337"/>
    <mergeCell ref="H308:J308"/>
    <mergeCell ref="L169:M169"/>
    <mergeCell ref="L179:M179"/>
    <mergeCell ref="L190:N190"/>
    <mergeCell ref="AV328:AX328"/>
    <mergeCell ref="AY328:BA328"/>
    <mergeCell ref="BB328:BD328"/>
    <mergeCell ref="BE328:BG328"/>
    <mergeCell ref="BC267:BD267"/>
    <mergeCell ref="AS265:BD265"/>
    <mergeCell ref="BA266:BB266"/>
    <mergeCell ref="AS267:AT267"/>
    <mergeCell ref="AS378:AV378"/>
    <mergeCell ref="X376:Z376"/>
    <mergeCell ref="AF376:AI376"/>
    <mergeCell ref="AS376:AX376"/>
    <mergeCell ref="X366:AC366"/>
    <mergeCell ref="AU267:AV267"/>
    <mergeCell ref="AU368:AV368"/>
    <mergeCell ref="AS367:AZ367"/>
    <mergeCell ref="X346:AD346"/>
    <mergeCell ref="AF346:AQ346"/>
    <mergeCell ref="X336:AD336"/>
    <mergeCell ref="AS279:AZ279"/>
    <mergeCell ref="BB308:BD308"/>
    <mergeCell ref="AS292:BD292"/>
    <mergeCell ref="BA279:BB279"/>
    <mergeCell ref="BA294:BB294"/>
    <mergeCell ref="BC294:BD294"/>
    <mergeCell ref="AY308:BA308"/>
    <mergeCell ref="AS306:BJ306"/>
    <mergeCell ref="BE307:BG307"/>
    <mergeCell ref="BH318:BJ318"/>
    <mergeCell ref="BE327:BG327"/>
    <mergeCell ref="X326:AD326"/>
    <mergeCell ref="AS308:AU308"/>
    <mergeCell ref="BH308:BJ308"/>
    <mergeCell ref="AV308:AX308"/>
    <mergeCell ref="BE308:BG308"/>
    <mergeCell ref="AS307:BD307"/>
    <mergeCell ref="AF316:AQ316"/>
    <mergeCell ref="AF326:AQ326"/>
    <mergeCell ref="AS326:BJ326"/>
    <mergeCell ref="X292:AB292"/>
    <mergeCell ref="BH358:BJ358"/>
    <mergeCell ref="AV358:AX358"/>
    <mergeCell ref="AY358:BA358"/>
    <mergeCell ref="BB358:BD358"/>
    <mergeCell ref="BE358:BG358"/>
    <mergeCell ref="AW280:AX280"/>
    <mergeCell ref="BE180:BG180"/>
    <mergeCell ref="BH328:BJ328"/>
    <mergeCell ref="AS357:BD357"/>
    <mergeCell ref="AS348:AU348"/>
    <mergeCell ref="AS356:BJ356"/>
    <mergeCell ref="AS358:AU358"/>
    <mergeCell ref="AS316:BJ316"/>
    <mergeCell ref="BE317:BG317"/>
    <mergeCell ref="BB338:BD338"/>
    <mergeCell ref="BE338:BG338"/>
    <mergeCell ref="AV253:AX253"/>
    <mergeCell ref="AY253:BA253"/>
    <mergeCell ref="AS209:AX209"/>
    <mergeCell ref="AY180:BA180"/>
    <mergeCell ref="AY280:AZ280"/>
    <mergeCell ref="BA280:BB280"/>
    <mergeCell ref="AU280:AV280"/>
    <mergeCell ref="AW267:AX267"/>
    <mergeCell ref="AF366:AO366"/>
    <mergeCell ref="AS366:BD366"/>
    <mergeCell ref="BA367:BB367"/>
    <mergeCell ref="AW368:AX368"/>
    <mergeCell ref="AY368:AZ368"/>
    <mergeCell ref="BA368:BB368"/>
    <mergeCell ref="BC368:BD368"/>
    <mergeCell ref="AS328:AU328"/>
    <mergeCell ref="BH348:BJ348"/>
    <mergeCell ref="AV348:AX348"/>
    <mergeCell ref="AY348:BA348"/>
    <mergeCell ref="BB348:BD348"/>
    <mergeCell ref="BE348:BG348"/>
    <mergeCell ref="AF336:AQ336"/>
    <mergeCell ref="AS336:BJ336"/>
    <mergeCell ref="BE337:BG337"/>
    <mergeCell ref="AS338:AU338"/>
    <mergeCell ref="AS347:BD347"/>
    <mergeCell ref="BE347:BG347"/>
    <mergeCell ref="AS337:BD337"/>
    <mergeCell ref="AS346:BJ346"/>
    <mergeCell ref="BH338:BJ338"/>
    <mergeCell ref="AV338:AX338"/>
    <mergeCell ref="AY338:BA338"/>
    <mergeCell ref="AY267:AZ267"/>
    <mergeCell ref="BA267:BB267"/>
    <mergeCell ref="AF278:AO278"/>
    <mergeCell ref="H80:J80"/>
    <mergeCell ref="X265:AB265"/>
    <mergeCell ref="AS157:AU157"/>
    <mergeCell ref="AS189:BD189"/>
    <mergeCell ref="AS203:AV203"/>
    <mergeCell ref="H147:J147"/>
    <mergeCell ref="Q232:R232"/>
    <mergeCell ref="H232:I232"/>
    <mergeCell ref="X251:AD251"/>
    <mergeCell ref="X278:AC278"/>
    <mergeCell ref="AF188:AQ188"/>
    <mergeCell ref="AS179:BD179"/>
    <mergeCell ref="X188:AD188"/>
    <mergeCell ref="X201:Z201"/>
    <mergeCell ref="AV137:AX137"/>
    <mergeCell ref="AF145:AQ145"/>
    <mergeCell ref="AS145:BJ145"/>
    <mergeCell ref="AF168:AQ168"/>
    <mergeCell ref="AF155:AQ155"/>
    <mergeCell ref="AF178:AQ178"/>
    <mergeCell ref="AF209:AI209"/>
    <mergeCell ref="BE136:BG136"/>
    <mergeCell ref="L38:M38"/>
    <mergeCell ref="L146:M146"/>
    <mergeCell ref="L156:M156"/>
    <mergeCell ref="K90:M90"/>
    <mergeCell ref="L79:M79"/>
    <mergeCell ref="O89:P89"/>
    <mergeCell ref="P99:Q99"/>
    <mergeCell ref="Q124:R124"/>
    <mergeCell ref="L69:M69"/>
    <mergeCell ref="BE146:BG146"/>
    <mergeCell ref="AS147:AU147"/>
    <mergeCell ref="AF108:AI108"/>
    <mergeCell ref="AF122:AM122"/>
    <mergeCell ref="BA123:BB123"/>
    <mergeCell ref="AS124:AT124"/>
    <mergeCell ref="BE147:BG147"/>
    <mergeCell ref="BC124:BD124"/>
    <mergeCell ref="AU124:AV124"/>
    <mergeCell ref="AW124:AX124"/>
    <mergeCell ref="AY124:AZ124"/>
    <mergeCell ref="BA124:BB124"/>
    <mergeCell ref="AY137:BA137"/>
    <mergeCell ref="BB137:BD137"/>
    <mergeCell ref="BE170:BG170"/>
    <mergeCell ref="BE156:BG156"/>
    <mergeCell ref="BH170:BJ170"/>
    <mergeCell ref="AV170:AX170"/>
    <mergeCell ref="AY232:BA232"/>
    <mergeCell ref="BB232:BD232"/>
    <mergeCell ref="BE232:BG232"/>
    <mergeCell ref="BH242:BJ242"/>
    <mergeCell ref="BB242:BD242"/>
    <mergeCell ref="BE242:BG242"/>
    <mergeCell ref="AV242:AX242"/>
    <mergeCell ref="AS240:BJ240"/>
    <mergeCell ref="AS168:BJ168"/>
    <mergeCell ref="BE169:BG169"/>
    <mergeCell ref="AS211:AV211"/>
    <mergeCell ref="BE241:BG241"/>
    <mergeCell ref="AS242:AU242"/>
    <mergeCell ref="AS180:AU180"/>
    <mergeCell ref="BH180:BJ180"/>
    <mergeCell ref="BH190:BJ190"/>
    <mergeCell ref="BH232:BJ232"/>
    <mergeCell ref="AV232:AX232"/>
    <mergeCell ref="AS178:BJ178"/>
    <mergeCell ref="BB180:BD180"/>
    <mergeCell ref="AF201:AI201"/>
    <mergeCell ref="AY100:BA100"/>
    <mergeCell ref="BB100:BD100"/>
    <mergeCell ref="BE100:BG100"/>
    <mergeCell ref="AS98:BJ98"/>
    <mergeCell ref="AS99:BD99"/>
    <mergeCell ref="AS108:AX108"/>
    <mergeCell ref="AS110:AV110"/>
    <mergeCell ref="AS122:BD122"/>
    <mergeCell ref="AS123:AZ123"/>
    <mergeCell ref="BE99:BG99"/>
    <mergeCell ref="AS100:AU100"/>
    <mergeCell ref="BH100:BJ100"/>
    <mergeCell ref="AV100:AX100"/>
    <mergeCell ref="AS136:BD136"/>
    <mergeCell ref="AS146:BD146"/>
    <mergeCell ref="AY190:BA190"/>
    <mergeCell ref="AS135:BJ135"/>
    <mergeCell ref="AS137:AU137"/>
    <mergeCell ref="BH137:BJ137"/>
    <mergeCell ref="BE137:BG137"/>
    <mergeCell ref="AS170:AU170"/>
    <mergeCell ref="AV190:AX190"/>
    <mergeCell ref="AS201:AX201"/>
    <mergeCell ref="AY242:BA242"/>
    <mergeCell ref="AS217:AX217"/>
    <mergeCell ref="BH157:BJ157"/>
    <mergeCell ref="AV157:AX157"/>
    <mergeCell ref="AY157:BA157"/>
    <mergeCell ref="BB157:BD157"/>
    <mergeCell ref="BE157:BG157"/>
    <mergeCell ref="BH147:BJ147"/>
    <mergeCell ref="AV147:AX147"/>
    <mergeCell ref="AY147:BA147"/>
    <mergeCell ref="BB147:BD147"/>
    <mergeCell ref="AS155:BJ155"/>
    <mergeCell ref="AS169:BD169"/>
    <mergeCell ref="BE179:BG179"/>
    <mergeCell ref="AS156:BD156"/>
    <mergeCell ref="AY170:BA170"/>
    <mergeCell ref="BB170:BD170"/>
    <mergeCell ref="AS232:AU232"/>
    <mergeCell ref="AS188:BJ188"/>
    <mergeCell ref="BE189:BG189"/>
    <mergeCell ref="AS190:AU190"/>
    <mergeCell ref="AV180:AX180"/>
    <mergeCell ref="BB190:BD190"/>
    <mergeCell ref="BE190:BG190"/>
    <mergeCell ref="BE89:BG89"/>
    <mergeCell ref="AS90:AU90"/>
    <mergeCell ref="BH90:BJ90"/>
    <mergeCell ref="AV90:AX90"/>
    <mergeCell ref="AY90:BA90"/>
    <mergeCell ref="BB90:BD90"/>
    <mergeCell ref="BE90:BG90"/>
    <mergeCell ref="AS88:BJ88"/>
    <mergeCell ref="AS89:BD89"/>
    <mergeCell ref="BE79:BG79"/>
    <mergeCell ref="AS80:AU80"/>
    <mergeCell ref="BH80:BJ80"/>
    <mergeCell ref="AV80:AX80"/>
    <mergeCell ref="AY80:BA80"/>
    <mergeCell ref="BB80:BD80"/>
    <mergeCell ref="BE80:BG80"/>
    <mergeCell ref="AS78:BJ78"/>
    <mergeCell ref="AS79:BD79"/>
    <mergeCell ref="BE28:BG28"/>
    <mergeCell ref="BE39:BG39"/>
    <mergeCell ref="AS48:BJ48"/>
    <mergeCell ref="AS38:BD38"/>
    <mergeCell ref="AS50:AU50"/>
    <mergeCell ref="BH50:BJ50"/>
    <mergeCell ref="BE69:BG69"/>
    <mergeCell ref="AF26:AQ26"/>
    <mergeCell ref="BE27:BG27"/>
    <mergeCell ref="AS28:AU28"/>
    <mergeCell ref="AS37:BJ37"/>
    <mergeCell ref="AS26:BJ26"/>
    <mergeCell ref="AS27:BD27"/>
    <mergeCell ref="AF37:AQ37"/>
    <mergeCell ref="BE38:BG38"/>
    <mergeCell ref="AS39:AU39"/>
    <mergeCell ref="BH39:BJ39"/>
    <mergeCell ref="BE49:BG49"/>
    <mergeCell ref="BE59:BG59"/>
    <mergeCell ref="BH28:BJ28"/>
    <mergeCell ref="AV28:AX28"/>
    <mergeCell ref="AS70:AU70"/>
    <mergeCell ref="BH70:BJ70"/>
    <mergeCell ref="AV70:AX70"/>
    <mergeCell ref="AY70:BA70"/>
    <mergeCell ref="BB70:BD70"/>
    <mergeCell ref="AS58:BJ58"/>
    <mergeCell ref="AS59:BD59"/>
    <mergeCell ref="BE50:BG50"/>
    <mergeCell ref="AV50:AX50"/>
    <mergeCell ref="AY50:BA50"/>
    <mergeCell ref="BB50:BD50"/>
    <mergeCell ref="AS60:AU60"/>
    <mergeCell ref="BH60:BJ60"/>
    <mergeCell ref="AV60:AX60"/>
    <mergeCell ref="AY60:BA60"/>
    <mergeCell ref="BB60:BD60"/>
    <mergeCell ref="BE60:BG60"/>
    <mergeCell ref="BE70:BG70"/>
    <mergeCell ref="AS68:BJ68"/>
    <mergeCell ref="AS69:BD69"/>
    <mergeCell ref="BA13:BB13"/>
    <mergeCell ref="AS14:AT14"/>
    <mergeCell ref="X12:AB12"/>
    <mergeCell ref="K14:L14"/>
    <mergeCell ref="N14:O14"/>
    <mergeCell ref="AS49:BD49"/>
    <mergeCell ref="AF58:AQ58"/>
    <mergeCell ref="AF48:AQ48"/>
    <mergeCell ref="BC14:BD14"/>
    <mergeCell ref="AU14:AV14"/>
    <mergeCell ref="AW14:AX14"/>
    <mergeCell ref="AY14:AZ14"/>
    <mergeCell ref="BA14:BB14"/>
    <mergeCell ref="AS12:BD12"/>
    <mergeCell ref="AS13:AZ13"/>
    <mergeCell ref="Q14:R14"/>
    <mergeCell ref="AV39:AX39"/>
    <mergeCell ref="AY39:BA39"/>
    <mergeCell ref="BB39:BD39"/>
    <mergeCell ref="AY28:BA28"/>
    <mergeCell ref="BB28:BD28"/>
    <mergeCell ref="O27:P27"/>
    <mergeCell ref="X26:AD26"/>
    <mergeCell ref="X37:AD37"/>
    <mergeCell ref="AF12:AM12"/>
    <mergeCell ref="X48:AD48"/>
    <mergeCell ref="X58:AD58"/>
    <mergeCell ref="X68:AD68"/>
    <mergeCell ref="X78:AD78"/>
    <mergeCell ref="X88:AD88"/>
    <mergeCell ref="X98:AD98"/>
    <mergeCell ref="X135:AD135"/>
    <mergeCell ref="X108:Z108"/>
    <mergeCell ref="X122:AB122"/>
    <mergeCell ref="X145:AD145"/>
    <mergeCell ref="X155:AD155"/>
    <mergeCell ref="X168:AD168"/>
    <mergeCell ref="X178:AD178"/>
    <mergeCell ref="H100:J100"/>
    <mergeCell ref="H60:J60"/>
    <mergeCell ref="H137:J137"/>
    <mergeCell ref="B2:O2"/>
    <mergeCell ref="AF68:AQ68"/>
    <mergeCell ref="AF78:AQ78"/>
    <mergeCell ref="AF88:AQ88"/>
    <mergeCell ref="AF98:AQ98"/>
    <mergeCell ref="AF135:AQ135"/>
    <mergeCell ref="D6:E6"/>
    <mergeCell ref="F6:G6"/>
    <mergeCell ref="H6:I6"/>
    <mergeCell ref="N4:O4"/>
    <mergeCell ref="D5:E5"/>
    <mergeCell ref="F5:G5"/>
    <mergeCell ref="H5:I5"/>
    <mergeCell ref="J5:K5"/>
    <mergeCell ref="L5:M5"/>
    <mergeCell ref="N5:O5"/>
    <mergeCell ref="D4:E4"/>
    <mergeCell ref="F4:G4"/>
    <mergeCell ref="H4:I4"/>
    <mergeCell ref="J4:K4"/>
    <mergeCell ref="B10:O10"/>
    <mergeCell ref="B120:O120"/>
    <mergeCell ref="B166:O166"/>
    <mergeCell ref="B199:O199"/>
    <mergeCell ref="B228:O228"/>
    <mergeCell ref="B263:O263"/>
    <mergeCell ref="H14:I14"/>
    <mergeCell ref="L100:N100"/>
    <mergeCell ref="L49:M49"/>
    <mergeCell ref="L4:M4"/>
    <mergeCell ref="K28:M28"/>
    <mergeCell ref="H50:J50"/>
    <mergeCell ref="K124:L124"/>
    <mergeCell ref="N124:O124"/>
    <mergeCell ref="L136:M136"/>
    <mergeCell ref="H70:J70"/>
    <mergeCell ref="L59:M59"/>
    <mergeCell ref="B438:C438"/>
    <mergeCell ref="B421:C421"/>
    <mergeCell ref="B422:D422"/>
    <mergeCell ref="B423:O423"/>
    <mergeCell ref="B424:C424"/>
    <mergeCell ref="B425:C425"/>
    <mergeCell ref="B426:C426"/>
    <mergeCell ref="B427:C427"/>
    <mergeCell ref="B428:C428"/>
    <mergeCell ref="B429:C429"/>
    <mergeCell ref="B435:C435"/>
    <mergeCell ref="B436:C436"/>
    <mergeCell ref="B437:C437"/>
    <mergeCell ref="B431:C431"/>
    <mergeCell ref="B432:C432"/>
    <mergeCell ref="B433:O433"/>
    <mergeCell ref="B434:C434"/>
    <mergeCell ref="B411:O411"/>
    <mergeCell ref="E413:N413"/>
    <mergeCell ref="B414:C414"/>
    <mergeCell ref="B415:C415"/>
    <mergeCell ref="B416:C416"/>
    <mergeCell ref="B417:C417"/>
    <mergeCell ref="B418:C418"/>
    <mergeCell ref="J6:K6"/>
    <mergeCell ref="B430:C430"/>
    <mergeCell ref="B419:D419"/>
    <mergeCell ref="B420:C420"/>
    <mergeCell ref="B8:C8"/>
    <mergeCell ref="H170:J170"/>
    <mergeCell ref="H180:J180"/>
    <mergeCell ref="B395:C395"/>
    <mergeCell ref="B396:C396"/>
    <mergeCell ref="B397:C397"/>
    <mergeCell ref="B398:C398"/>
    <mergeCell ref="B399:C399"/>
    <mergeCell ref="D391:F391"/>
    <mergeCell ref="B393:C393"/>
    <mergeCell ref="B394:C394"/>
    <mergeCell ref="H391:I391"/>
    <mergeCell ref="B408:C408"/>
    <mergeCell ref="B449:C449"/>
    <mergeCell ref="O449:O454"/>
    <mergeCell ref="B450:C450"/>
    <mergeCell ref="B451:C451"/>
    <mergeCell ref="B452:C452"/>
    <mergeCell ref="B453:C453"/>
    <mergeCell ref="B454:D454"/>
    <mergeCell ref="B439:C439"/>
    <mergeCell ref="B440:C440"/>
    <mergeCell ref="B441:C441"/>
    <mergeCell ref="B442:D442"/>
    <mergeCell ref="B445:O445"/>
    <mergeCell ref="E447:M447"/>
    <mergeCell ref="B448:C448"/>
    <mergeCell ref="B473:C473"/>
    <mergeCell ref="B474:D474"/>
    <mergeCell ref="B464:C464"/>
    <mergeCell ref="B465:C465"/>
    <mergeCell ref="B466:C466"/>
    <mergeCell ref="B467:C467"/>
    <mergeCell ref="B468:C468"/>
    <mergeCell ref="B469:C469"/>
    <mergeCell ref="B470:C470"/>
    <mergeCell ref="B471:C471"/>
    <mergeCell ref="B472:C472"/>
    <mergeCell ref="B455:C455"/>
    <mergeCell ref="B456:C456"/>
    <mergeCell ref="B457:D457"/>
    <mergeCell ref="B458:C458"/>
    <mergeCell ref="B459:C459"/>
    <mergeCell ref="B460:C460"/>
    <mergeCell ref="B461:C461"/>
    <mergeCell ref="B462:C462"/>
    <mergeCell ref="B463:C463"/>
  </mergeCells>
  <phoneticPr fontId="4"/>
  <dataValidations count="15">
    <dataValidation type="list" allowBlank="1" showInputMessage="1" showErrorMessage="1" sqref="B126:B128 B269:B271 B16:B19 B296:B299 B234:B236" xr:uid="{00000000-0002-0000-0600-000000000000}">
      <formula1>combustibles</formula1>
    </dataValidation>
    <dataValidation type="list" allowBlank="1" showInputMessage="1" showErrorMessage="1" sqref="B130:B131 B273:B274 B21:B22 B301:B302" xr:uid="{00000000-0002-0000-0600-000001000000}">
      <formula1>biocombustibles</formula1>
    </dataValidation>
    <dataValidation type="list" allowBlank="1" showInputMessage="1" showErrorMessage="1" sqref="B30:B33 B41:B44" xr:uid="{00000000-0002-0000-0600-000002000000}">
      <formula1>tissus_urbain_km</formula1>
    </dataValidation>
    <dataValidation type="list" allowBlank="1" showInputMessage="1" showErrorMessage="1" sqref="B52:B54 B139:B141" xr:uid="{00000000-0002-0000-0600-000003000000}">
      <formula1>CV_essence</formula1>
    </dataValidation>
    <dataValidation type="list" allowBlank="1" showInputMessage="1" showErrorMessage="1" sqref="B62:B64 B149:B151" xr:uid="{00000000-0002-0000-0600-000004000000}">
      <formula1>CV_diesel</formula1>
    </dataValidation>
    <dataValidation type="list" allowBlank="1" showInputMessage="1" showErrorMessage="1" sqref="B192:B194 B102:B104 B340:B342" xr:uid="{00000000-0002-0000-0600-000005000000}">
      <formula1>cycles</formula1>
    </dataValidation>
    <dataValidation type="list" allowBlank="1" showInputMessage="1" showErrorMessage="1" sqref="B112:B114 B221:B223 B380:B382" xr:uid="{00000000-0002-0000-0600-000006000000}">
      <formula1>train_personnes</formula1>
    </dataValidation>
    <dataValidation type="list" allowBlank="1" showInputMessage="1" showErrorMessage="1" sqref="B310:B312 B159:B161" xr:uid="{00000000-0002-0000-0600-000007000000}">
      <formula1>parcours</formula1>
    </dataValidation>
    <dataValidation type="list" allowBlank="1" showInputMessage="1" showErrorMessage="1" sqref="B360:B362 B244:B247 B350:B352 B255:B258" xr:uid="{00000000-0002-0000-0600-000008000000}">
      <formula1>avion_passagers</formula1>
    </dataValidation>
    <dataValidation type="list" allowBlank="1" showInputMessage="1" showErrorMessage="1" sqref="B92:B94 B72:B74 B82:B84 B172:B174 B182:B184 B320:B322 B330:B332" xr:uid="{00000000-0002-0000-0600-000009000000}">
      <formula1>bus_domW</formula1>
    </dataValidation>
    <dataValidation type="list" allowBlank="1" showInputMessage="1" showErrorMessage="1" sqref="B282:B284 B370:B372" xr:uid="{00000000-0002-0000-0600-00000A000000}">
      <formula1>bateau_passagers</formula1>
    </dataValidation>
    <dataValidation allowBlank="1" showInputMessage="1" showErrorMessage="1" sqref="C30:C33 C41:C44 C52:C54 C62:C64 C234:C236 C72:C74 C92:C94 C102:C104 C112:C114 C139:C141 C149:C151 C159:C161 C172:C174 C182:C184 C192:C194 C221:C223 C244:C247 C255:C258 C282:C284 C310:C312 C320:C322 C330:C332 C340:C342 C350:C352 C360:C362 C370:C372 C380:C382 C82:C84" xr:uid="{00000000-0002-0000-0600-00000B000000}"/>
    <dataValidation type="list" allowBlank="1" showInputMessage="1" showErrorMessage="1" sqref="F52:F54 F41:F44 F370:F372 F360:F362 F350:F352 F340:F342 F330:F332 F320:F322 F310:F312 F92:F94 F82:F84 F282:F284 F62:F64 F102:F104 F255:F258 F244:F247 F139:F141 F30:F33 F72:F74 F192:F194 F182:F184 F172:F174 F159:F161 F149:F151 F16:F19 F21:F22 F126:F128 F130:F131 F234:F236 F269:F271 F273:F274 F296:F299 F301:F302" xr:uid="{00000000-0002-0000-0600-00000C000000}">
      <formula1>Liste_Deplacements</formula1>
    </dataValidation>
    <dataValidation type="list" allowBlank="1" showInputMessage="1" showErrorMessage="1" sqref="F221:F223 F112:F114 F380:F382" xr:uid="{00000000-0002-0000-0600-00000D000000}">
      <formula1>Liste_Deplacements_bis</formula1>
    </dataValidation>
    <dataValidation type="list" allowBlank="1" showInputMessage="1" showErrorMessage="1" sqref="F205" xr:uid="{00000000-0002-0000-0600-00000E000000}">
      <formula1>Liste_Deplacements_ter</formula1>
    </dataValidation>
  </dataValidations>
  <hyperlinks>
    <hyperlink ref="D4" location="deplacements_domicile_travail" display="domicile-travail" xr:uid="{00000000-0004-0000-0600-000000000000}"/>
    <hyperlink ref="F4" location="deplacements_salaries_voiture" display="voiture" xr:uid="{00000000-0004-0000-0600-000001000000}"/>
    <hyperlink ref="H4" location="deplacements_salaries_autre_route" display="autre route" xr:uid="{00000000-0004-0000-0600-000002000000}"/>
    <hyperlink ref="J4" location="deplacements_salaries_train" display="train" xr:uid="{00000000-0004-0000-0600-000003000000}"/>
    <hyperlink ref="L4" location="deplacements_salaries_avion" display="avion" xr:uid="{00000000-0004-0000-0600-000004000000}"/>
    <hyperlink ref="N4" location="deplacements_salaries_bateau" display="bateau" xr:uid="{00000000-0004-0000-0600-000005000000}"/>
    <hyperlink ref="D5" location="deplacements_visiteurs" display="visiteurs" xr:uid="{00000000-0004-0000-0600-000006000000}"/>
    <hyperlink ref="D6" location="deplacements_recap" display="total" xr:uid="{00000000-0004-0000-0600-000007000000}"/>
    <hyperlink ref="J6" location="dechetsdirects_GHGProtocol" display="GHG Protocol" xr:uid="{00000000-0004-0000-0600-000008000000}"/>
    <hyperlink ref="J6:K6" location="deplacements_GHGProtocol" display="GHG Protocol" xr:uid="{00000000-0004-0000-0600-000009000000}"/>
    <hyperlink ref="L6:M6" location="deplacements_ISO14069" display="ISO 14069" xr:uid="{00000000-0004-0000-0600-00000A000000}"/>
    <hyperlink ref="B480" r:id="rId1" xr:uid="{00000000-0004-0000-0600-00000B000000}"/>
    <hyperlink ref="B479" r:id="rId2" xr:uid="{00000000-0004-0000-0600-00000C000000}"/>
  </hyperlinks>
  <pageMargins left="0.78740157499999996" right="0.78740157499999996" top="0.984251969" bottom="0.984251969" header="0.4921259845" footer="0.4921259845"/>
  <pageSetup paperSize="9" orientation="portrait" horizontalDpi="4294967292" verticalDpi="4294967292"/>
  <headerFooter alignWithMargins="0"/>
  <ignoredErrors>
    <ignoredError sqref="D438:D440" twoDigitTextYear="1"/>
  </ignoredErrors>
  <drawing r:id="rId3"/>
  <legacyDrawing r:id="rId4"/>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6">
    <tabColor theme="5"/>
    <outlinePr summaryBelow="0"/>
  </sheetPr>
  <dimension ref="A1:AY255"/>
  <sheetViews>
    <sheetView showGridLines="0" workbookViewId="0">
      <pane xSplit="3" ySplit="9" topLeftCell="D135" activePane="bottomRight" state="frozenSplit"/>
      <selection pane="topRight" activeCell="E9" sqref="E9"/>
      <selection pane="bottomLeft" activeCell="E9" sqref="E9"/>
      <selection pane="bottomRight" activeCell="F143" sqref="F143"/>
    </sheetView>
  </sheetViews>
  <sheetFormatPr baseColWidth="10" defaultColWidth="10.83203125" defaultRowHeight="13" outlineLevelRow="1" x14ac:dyDescent="0.2"/>
  <cols>
    <col min="1" max="1" width="2.6640625" style="40" customWidth="1"/>
    <col min="2" max="2" width="52.6640625" style="40" customWidth="1"/>
    <col min="3" max="3" width="2.5" style="40" customWidth="1"/>
    <col min="4" max="23" width="12.33203125" style="40" customWidth="1"/>
    <col min="24" max="29" width="12.33203125" style="602" customWidth="1"/>
    <col min="30" max="39" width="12.33203125" style="40" customWidth="1"/>
    <col min="40" max="16384" width="10.83203125" style="40"/>
  </cols>
  <sheetData>
    <row r="1" spans="2:29" s="39" customFormat="1" ht="12" x14ac:dyDescent="0.2">
      <c r="X1" s="729"/>
      <c r="Y1" s="729"/>
      <c r="Z1" s="729"/>
      <c r="AA1" s="729"/>
      <c r="AB1" s="729"/>
      <c r="AC1" s="729"/>
    </row>
    <row r="2" spans="2:29" s="39" customFormat="1" ht="30" customHeight="1" x14ac:dyDescent="0.2">
      <c r="B2" s="1840" t="str">
        <f>Description!C22</f>
        <v>Rifiuti di processo</v>
      </c>
      <c r="C2" s="1840"/>
      <c r="D2" s="1840"/>
      <c r="E2" s="1840"/>
      <c r="F2" s="1840"/>
      <c r="G2" s="1840"/>
      <c r="H2" s="1840"/>
      <c r="I2" s="1840"/>
      <c r="J2" s="1840"/>
      <c r="K2" s="1840"/>
      <c r="L2" s="1840"/>
      <c r="M2" s="1840"/>
      <c r="N2" s="1840"/>
      <c r="O2" s="1840"/>
      <c r="X2" s="729"/>
      <c r="Y2" s="729"/>
      <c r="Z2" s="729"/>
      <c r="AA2" s="729"/>
      <c r="AB2" s="729"/>
      <c r="AC2" s="729"/>
    </row>
    <row r="4" spans="2:29" ht="14" x14ac:dyDescent="0.2">
      <c r="B4" s="119" t="s">
        <v>2531</v>
      </c>
      <c r="C4" s="120"/>
      <c r="D4" s="1797" t="s">
        <v>2683</v>
      </c>
      <c r="E4" s="1797"/>
      <c r="F4" s="1797" t="s">
        <v>2684</v>
      </c>
      <c r="G4" s="1797"/>
      <c r="H4" s="1797" t="s">
        <v>2685</v>
      </c>
      <c r="I4" s="1797"/>
      <c r="J4" s="1797"/>
      <c r="K4" s="1797"/>
      <c r="L4" s="1797"/>
      <c r="M4" s="1797"/>
      <c r="N4" s="104"/>
      <c r="O4" s="105"/>
    </row>
    <row r="5" spans="2:29" ht="14" x14ac:dyDescent="0.2">
      <c r="B5" s="106" t="s">
        <v>71</v>
      </c>
      <c r="C5" s="107"/>
      <c r="D5" s="1798" t="s">
        <v>44</v>
      </c>
      <c r="E5" s="1798"/>
      <c r="F5" s="1798" t="s">
        <v>121</v>
      </c>
      <c r="G5" s="1798"/>
      <c r="H5" s="1798" t="s">
        <v>132</v>
      </c>
      <c r="I5" s="1798"/>
      <c r="J5" s="108"/>
      <c r="K5" s="108"/>
      <c r="L5" s="108"/>
      <c r="M5" s="108"/>
      <c r="N5" s="108"/>
      <c r="O5" s="109"/>
    </row>
    <row r="6" spans="2:29" ht="14" x14ac:dyDescent="0.2">
      <c r="B6" s="1334"/>
      <c r="C6" s="1335"/>
      <c r="D6" s="1332"/>
      <c r="E6" s="1332"/>
      <c r="F6" s="1332"/>
      <c r="G6" s="1332"/>
      <c r="H6" s="1332"/>
      <c r="I6" s="1332"/>
      <c r="J6" s="1332"/>
      <c r="K6" s="1332"/>
      <c r="L6" s="328"/>
      <c r="M6" s="328"/>
      <c r="N6" s="328"/>
      <c r="O6" s="328"/>
    </row>
    <row r="7" spans="2:29" ht="14" x14ac:dyDescent="0.2">
      <c r="B7" s="1841" t="s">
        <v>3070</v>
      </c>
      <c r="C7" s="1841"/>
      <c r="D7" s="1842" t="s">
        <v>2394</v>
      </c>
      <c r="E7" s="1842"/>
      <c r="F7" s="1842"/>
      <c r="G7" s="1332"/>
      <c r="H7" s="1332"/>
      <c r="I7" s="1332"/>
      <c r="J7" s="1332"/>
      <c r="K7" s="1332"/>
      <c r="L7" s="328"/>
      <c r="M7" s="328"/>
      <c r="N7" s="328"/>
      <c r="O7" s="328"/>
    </row>
    <row r="8" spans="2:29" ht="14" x14ac:dyDescent="0.2">
      <c r="B8" s="1841" t="s">
        <v>3071</v>
      </c>
      <c r="C8" s="1841"/>
      <c r="D8" s="1842" t="s">
        <v>2682</v>
      </c>
      <c r="E8" s="1842"/>
      <c r="F8" s="1842"/>
      <c r="G8" s="1336" t="str">
        <f>IF(D7='Info utili'!Q551,IF(D8="Not customizable","&lt; Please fulfill the description",""),IF(D7='Info utili'!Q553,IF(D8="Not customizable","&lt;- Please fulfill the description",""),IF(D8="Not customizable","","&lt;- Please fulfill the description")))</f>
        <v/>
      </c>
      <c r="H8" s="1332"/>
      <c r="I8" s="1332"/>
      <c r="J8" s="1332"/>
      <c r="K8" s="1332"/>
      <c r="L8" s="328"/>
      <c r="M8" s="328"/>
      <c r="N8" s="328"/>
      <c r="O8" s="328"/>
    </row>
    <row r="9" spans="2:29" ht="14" x14ac:dyDescent="0.2">
      <c r="B9" s="41"/>
      <c r="C9" s="41"/>
      <c r="D9" s="41"/>
      <c r="E9" s="41"/>
      <c r="F9" s="41"/>
      <c r="G9" s="41"/>
      <c r="H9" s="32"/>
      <c r="I9" s="32"/>
      <c r="J9" s="32"/>
    </row>
    <row r="10" spans="2:29" s="191" customFormat="1" ht="18" customHeight="1" x14ac:dyDescent="0.2">
      <c r="B10" s="1795" t="s">
        <v>2945</v>
      </c>
      <c r="C10" s="1795"/>
      <c r="D10" s="1795"/>
      <c r="E10" s="1795"/>
      <c r="F10" s="1795"/>
      <c r="G10" s="1795"/>
      <c r="H10" s="1795"/>
      <c r="I10" s="1795"/>
      <c r="J10" s="1795"/>
      <c r="K10" s="1795"/>
      <c r="L10" s="1795"/>
      <c r="M10" s="1795"/>
      <c r="N10" s="1795"/>
      <c r="O10" s="1795"/>
      <c r="X10" s="751"/>
      <c r="Y10" s="751"/>
      <c r="Z10" s="751"/>
      <c r="AA10" s="751"/>
      <c r="AB10" s="751"/>
      <c r="AC10" s="751"/>
    </row>
    <row r="11" spans="2:29" outlineLevel="1" x14ac:dyDescent="0.2"/>
    <row r="12" spans="2:29" outlineLevel="1" x14ac:dyDescent="0.2">
      <c r="B12" s="195" t="s">
        <v>2948</v>
      </c>
      <c r="C12" s="196"/>
      <c r="D12" s="421"/>
      <c r="E12" s="421"/>
      <c r="F12" s="421"/>
      <c r="G12" s="421"/>
      <c r="H12" s="421"/>
      <c r="I12" s="421"/>
      <c r="J12" s="421"/>
      <c r="K12" s="515"/>
      <c r="L12" s="516"/>
      <c r="O12" s="1746" t="s">
        <v>723</v>
      </c>
      <c r="P12" s="1747"/>
      <c r="Q12" s="1748"/>
      <c r="S12" s="1746" t="s">
        <v>2066</v>
      </c>
      <c r="T12" s="1747"/>
      <c r="U12" s="1747"/>
      <c r="V12" s="1748"/>
      <c r="X12" s="1755" t="s">
        <v>2073</v>
      </c>
      <c r="Y12" s="1756"/>
      <c r="Z12" s="1756"/>
      <c r="AA12" s="1756"/>
      <c r="AB12" s="1756"/>
      <c r="AC12" s="1757"/>
    </row>
    <row r="13" spans="2:29" outlineLevel="1" x14ac:dyDescent="0.2">
      <c r="B13" s="417"/>
      <c r="C13" s="225"/>
      <c r="D13" s="424"/>
      <c r="E13" s="424"/>
      <c r="F13" s="424"/>
      <c r="G13" s="424"/>
      <c r="H13" s="424"/>
      <c r="I13" s="424"/>
      <c r="J13" s="424"/>
      <c r="K13" s="444" t="s">
        <v>2619</v>
      </c>
      <c r="L13" s="445"/>
      <c r="O13" s="461"/>
      <c r="P13" s="423"/>
      <c r="Q13" s="203"/>
      <c r="S13" s="461"/>
      <c r="T13" s="423"/>
      <c r="U13" s="423"/>
      <c r="V13" s="203"/>
      <c r="X13" s="778"/>
      <c r="Y13" s="779"/>
      <c r="Z13" s="779"/>
      <c r="AA13" s="779"/>
      <c r="AB13" s="741"/>
      <c r="AC13" s="780"/>
    </row>
    <row r="14" spans="2:29" outlineLevel="1" x14ac:dyDescent="0.2">
      <c r="B14" s="461"/>
      <c r="C14" s="423"/>
      <c r="D14" s="423" t="s">
        <v>56</v>
      </c>
      <c r="E14" s="423" t="s">
        <v>56</v>
      </c>
      <c r="F14" s="205" t="s">
        <v>11</v>
      </c>
      <c r="G14" s="205"/>
      <c r="H14" s="205" t="s">
        <v>2686</v>
      </c>
      <c r="I14" s="423" t="s">
        <v>64</v>
      </c>
      <c r="J14" s="424" t="s">
        <v>61</v>
      </c>
      <c r="K14" s="444" t="s">
        <v>64</v>
      </c>
      <c r="L14" s="445" t="s">
        <v>61</v>
      </c>
      <c r="O14" s="1634" t="s">
        <v>2605</v>
      </c>
      <c r="P14" s="423" t="s">
        <v>2110</v>
      </c>
      <c r="Q14" s="481" t="s">
        <v>61</v>
      </c>
      <c r="S14" s="461" t="s">
        <v>2065</v>
      </c>
      <c r="T14" s="424" t="s">
        <v>61</v>
      </c>
      <c r="U14" s="423" t="s">
        <v>2558</v>
      </c>
      <c r="V14" s="481" t="s">
        <v>61</v>
      </c>
      <c r="X14" s="1739" t="s">
        <v>61</v>
      </c>
      <c r="Y14" s="1740"/>
      <c r="Z14" s="1740"/>
      <c r="AA14" s="1740"/>
      <c r="AB14" s="741" t="s">
        <v>61</v>
      </c>
      <c r="AC14" s="742"/>
    </row>
    <row r="15" spans="2:29" outlineLevel="1" x14ac:dyDescent="0.2">
      <c r="B15" s="461"/>
      <c r="C15" s="423"/>
      <c r="D15" s="423" t="s">
        <v>61</v>
      </c>
      <c r="E15" s="423" t="s">
        <v>63</v>
      </c>
      <c r="F15" s="208" t="s">
        <v>2687</v>
      </c>
      <c r="G15" s="208" t="s">
        <v>2688</v>
      </c>
      <c r="H15" s="208" t="s">
        <v>80</v>
      </c>
      <c r="I15" s="423" t="s">
        <v>2058</v>
      </c>
      <c r="J15" s="424"/>
      <c r="K15" s="444" t="s">
        <v>2058</v>
      </c>
      <c r="L15" s="445" t="s">
        <v>2618</v>
      </c>
      <c r="O15" s="1634" t="s">
        <v>2109</v>
      </c>
      <c r="P15" s="423"/>
      <c r="Q15" s="481"/>
      <c r="S15" s="461"/>
      <c r="T15" s="424"/>
      <c r="U15" s="423"/>
      <c r="V15" s="481"/>
      <c r="X15" s="744" t="s">
        <v>14</v>
      </c>
      <c r="Y15" s="745" t="s">
        <v>60</v>
      </c>
      <c r="Z15" s="745" t="s">
        <v>27</v>
      </c>
      <c r="AA15" s="745" t="s">
        <v>2074</v>
      </c>
      <c r="AB15" s="746" t="s">
        <v>41</v>
      </c>
      <c r="AC15" s="747" t="s">
        <v>85</v>
      </c>
    </row>
    <row r="16" spans="2:29" outlineLevel="1" x14ac:dyDescent="0.2">
      <c r="B16" s="517" t="s">
        <v>1894</v>
      </c>
      <c r="C16" s="432"/>
      <c r="D16" s="262">
        <f>J16</f>
        <v>0</v>
      </c>
      <c r="E16" s="265">
        <f>D16*12/44</f>
        <v>0</v>
      </c>
      <c r="F16" s="182"/>
      <c r="G16" s="523" t="s">
        <v>2689</v>
      </c>
      <c r="H16" s="523" t="s">
        <v>1879</v>
      </c>
      <c r="I16" s="273">
        <f>VLOOKUP($B16,'Emissions factors'!$B$2182:$Z$2190,IF(G16="Y",12,7),FALSE)</f>
        <v>33</v>
      </c>
      <c r="J16" s="210">
        <f>F16*I16</f>
        <v>0</v>
      </c>
      <c r="K16" s="446">
        <f>VLOOKUP($B16,'Emissions factors'!$B$2182:$Z$2190,VLOOKUP($H16,'Emissions factors'!$B$2172:$C$2177,2,FALSE),FALSE)</f>
        <v>0</v>
      </c>
      <c r="L16" s="447">
        <f>IF(G16="Y",F16*K16,0)</f>
        <v>0</v>
      </c>
      <c r="M16" s="40" t="str">
        <f>IF(AND(G16&lt;&gt;"Y",H16&lt;&gt;'Emissions factors'!$B$2172),"Recovery without uptaking!","")</f>
        <v/>
      </c>
      <c r="O16" s="282">
        <f>VLOOKUP($B16,'Emissions factors'!$B$2182:$AA$2190,26,FALSE)</f>
        <v>0.5</v>
      </c>
      <c r="P16" s="183"/>
      <c r="Q16" s="211">
        <f>J16*SQRT(O16^2+P16^2)</f>
        <v>0</v>
      </c>
      <c r="S16" s="184"/>
      <c r="T16" s="210">
        <f>J16*S16</f>
        <v>0</v>
      </c>
      <c r="U16" s="184"/>
      <c r="V16" s="211">
        <f>J16*U16</f>
        <v>0</v>
      </c>
      <c r="X16" s="717">
        <f>$F16*VLOOKUP($B16,'Emissions factors'!$B$2182:$Z$2190,IF($G16="O",13,8),FALSE)</f>
        <v>0</v>
      </c>
      <c r="Y16" s="718">
        <f>$F16*VLOOKUP($B16,'Emissions factors'!$B$2182:$Z$2190,IF($G16="O",14,9),FALSE)</f>
        <v>0</v>
      </c>
      <c r="Z16" s="718">
        <f>$F16*VLOOKUP($B16,'Emissions factors'!$B$2182:$Z$2190,IF($G16="O",15,10),FALSE)</f>
        <v>0</v>
      </c>
      <c r="AA16" s="718">
        <v>0</v>
      </c>
      <c r="AB16" s="720">
        <f>J16</f>
        <v>0</v>
      </c>
      <c r="AC16" s="748">
        <f>$F16*VLOOKUP($B16,'Emissions factors'!$B$2182:$Z$2190,IF($G16="O",16,11),FALSE)</f>
        <v>0</v>
      </c>
    </row>
    <row r="17" spans="2:29" outlineLevel="1" x14ac:dyDescent="0.2">
      <c r="B17" s="517" t="s">
        <v>2025</v>
      </c>
      <c r="C17" s="432"/>
      <c r="D17" s="262">
        <f>J17</f>
        <v>0</v>
      </c>
      <c r="E17" s="265">
        <f>D17*12/44</f>
        <v>0</v>
      </c>
      <c r="F17" s="185"/>
      <c r="G17" s="524" t="s">
        <v>2689</v>
      </c>
      <c r="H17" s="524" t="s">
        <v>1879</v>
      </c>
      <c r="I17" s="273">
        <f>VLOOKUP($B17,'Emissions factors'!$B$2182:$Z$2190,IF(G17="Y",12,7),FALSE)</f>
        <v>558</v>
      </c>
      <c r="J17" s="210">
        <f>F17*I17</f>
        <v>0</v>
      </c>
      <c r="K17" s="446">
        <f>VLOOKUP($B17,'Emissions factors'!$B$2182:$Z$2190,VLOOKUP($H17,'Emissions factors'!$B$2172:$C$2177,2,FALSE),FALSE)</f>
        <v>-174.10604399999997</v>
      </c>
      <c r="L17" s="447">
        <f t="shared" ref="L17:L19" si="0">IF(G17="Y",F17*K17,0)</f>
        <v>0</v>
      </c>
      <c r="M17" s="40" t="str">
        <f>IF(AND(G17&lt;&gt;"Y",H17&lt;&gt;'Emissions factors'!$B$2172),"Recovery without uptaking!","")</f>
        <v/>
      </c>
      <c r="O17" s="282">
        <f>VLOOKUP($B17,'Emissions factors'!$B$2182:$AA$2190,26,FALSE)</f>
        <v>0.5</v>
      </c>
      <c r="P17" s="186"/>
      <c r="Q17" s="211">
        <f>J17*SQRT(O17^2+P17^2)</f>
        <v>0</v>
      </c>
      <c r="S17" s="187"/>
      <c r="T17" s="210">
        <f>J17*S17</f>
        <v>0</v>
      </c>
      <c r="U17" s="187"/>
      <c r="V17" s="211">
        <f>J17*U17</f>
        <v>0</v>
      </c>
      <c r="X17" s="717">
        <f>$F17*VLOOKUP($B17,'Emissions factors'!$B$2182:$Z$2190,IF($G17="O",13,8),FALSE)</f>
        <v>0</v>
      </c>
      <c r="Y17" s="718">
        <f>$F17*VLOOKUP($B17,'Emissions factors'!$B$2182:$Z$2190,IF($G17="O",14,9),FALSE)</f>
        <v>0</v>
      </c>
      <c r="Z17" s="718">
        <f>$F17*VLOOKUP($B17,'Emissions factors'!$B$2182:$Z$2190,IF($G17="O",15,10),FALSE)</f>
        <v>0</v>
      </c>
      <c r="AA17" s="718">
        <v>0</v>
      </c>
      <c r="AB17" s="720">
        <f>J17</f>
        <v>0</v>
      </c>
      <c r="AC17" s="748">
        <f>$F17*VLOOKUP($B17,'Emissions factors'!$B$2182:$Z$2190,IF($G17="O",16,11),FALSE)</f>
        <v>0</v>
      </c>
    </row>
    <row r="18" spans="2:29" outlineLevel="1" x14ac:dyDescent="0.2">
      <c r="B18" s="517" t="s">
        <v>1896</v>
      </c>
      <c r="C18" s="432"/>
      <c r="D18" s="262">
        <f>J18</f>
        <v>0</v>
      </c>
      <c r="E18" s="265">
        <f>D18*12/44</f>
        <v>0</v>
      </c>
      <c r="F18" s="185"/>
      <c r="G18" s="524" t="s">
        <v>2689</v>
      </c>
      <c r="H18" s="524" t="s">
        <v>1877</v>
      </c>
      <c r="I18" s="273">
        <f>VLOOKUP($B18,'Emissions factors'!$B$2182:$Z$2190,IF(G18="Y",12,7),FALSE)</f>
        <v>33</v>
      </c>
      <c r="J18" s="210">
        <f>F18*I18</f>
        <v>0</v>
      </c>
      <c r="K18" s="446">
        <f>VLOOKUP($B18,'Emissions factors'!$B$2182:$Z$2190,VLOOKUP($H18,'Emissions factors'!$B$2172:$C$2177,2,FALSE),FALSE)</f>
        <v>0</v>
      </c>
      <c r="L18" s="447">
        <f t="shared" si="0"/>
        <v>0</v>
      </c>
      <c r="M18" s="40" t="str">
        <f>IF(AND(G18&lt;&gt;"Y",H18&lt;&gt;'Emissions factors'!$B$2172),"Recovery without uptaking!","")</f>
        <v/>
      </c>
      <c r="O18" s="282">
        <f>VLOOKUP($B18,'Emissions factors'!$B$2182:$AA$2190,26,FALSE)</f>
        <v>0.5</v>
      </c>
      <c r="P18" s="186"/>
      <c r="Q18" s="211">
        <f>J18*SQRT(O18^2+P18^2)</f>
        <v>0</v>
      </c>
      <c r="S18" s="187"/>
      <c r="T18" s="210">
        <f>J18*S18</f>
        <v>0</v>
      </c>
      <c r="U18" s="187"/>
      <c r="V18" s="211">
        <f>J18*U18</f>
        <v>0</v>
      </c>
      <c r="X18" s="717">
        <f>$F18*VLOOKUP($B18,'Emissions factors'!$B$2182:$Z$2190,IF($G18="O",13,8),FALSE)</f>
        <v>0</v>
      </c>
      <c r="Y18" s="718">
        <f>$F18*VLOOKUP($B18,'Emissions factors'!$B$2182:$Z$2190,IF($G18="O",14,9),FALSE)</f>
        <v>0</v>
      </c>
      <c r="Z18" s="718">
        <f>$F18*VLOOKUP($B18,'Emissions factors'!$B$2182:$Z$2190,IF($G18="O",15,10),FALSE)</f>
        <v>0</v>
      </c>
      <c r="AA18" s="718">
        <v>0</v>
      </c>
      <c r="AB18" s="720">
        <f>J18</f>
        <v>0</v>
      </c>
      <c r="AC18" s="748">
        <f>$F18*VLOOKUP($B18,'Emissions factors'!$B$2182:$Z$2190,IF($G18="O",16,11),FALSE)</f>
        <v>0</v>
      </c>
    </row>
    <row r="19" spans="2:29" outlineLevel="1" x14ac:dyDescent="0.2">
      <c r="B19" s="517" t="s">
        <v>1895</v>
      </c>
      <c r="C19" s="432"/>
      <c r="D19" s="262">
        <f>J19</f>
        <v>0</v>
      </c>
      <c r="E19" s="265">
        <f>D19*12/44</f>
        <v>0</v>
      </c>
      <c r="F19" s="188"/>
      <c r="G19" s="525" t="s">
        <v>2689</v>
      </c>
      <c r="H19" s="525" t="s">
        <v>1877</v>
      </c>
      <c r="I19" s="273">
        <f>VLOOKUP($B19,'Emissions factors'!$B$2182:$Z$2190,IF(G19="Y",12,7),FALSE)</f>
        <v>33</v>
      </c>
      <c r="J19" s="210">
        <f>F19*I19</f>
        <v>0</v>
      </c>
      <c r="K19" s="446">
        <f>VLOOKUP($B19,'Emissions factors'!$B$2182:$Z$2190,VLOOKUP($H19,'Emissions factors'!$B$2172:$C$2177,2,FALSE),FALSE)</f>
        <v>0</v>
      </c>
      <c r="L19" s="447">
        <f t="shared" si="0"/>
        <v>0</v>
      </c>
      <c r="M19" s="40" t="str">
        <f>IF(AND(G19&lt;&gt;"Y",H19&lt;&gt;'Emissions factors'!$B$2172),"Recovery without uptaking!","")</f>
        <v/>
      </c>
      <c r="O19" s="282">
        <f>VLOOKUP($B19,'Emissions factors'!$B$2182:$AA$2190,26,FALSE)</f>
        <v>0.5</v>
      </c>
      <c r="P19" s="189"/>
      <c r="Q19" s="211">
        <f>J19*SQRT(O19^2+P19^2)</f>
        <v>0</v>
      </c>
      <c r="S19" s="190"/>
      <c r="T19" s="210">
        <f>J19*S19</f>
        <v>0</v>
      </c>
      <c r="U19" s="190"/>
      <c r="V19" s="211">
        <f>J19*U19</f>
        <v>0</v>
      </c>
      <c r="X19" s="717">
        <f>$F19*VLOOKUP($B19,'Emissions factors'!$B$2182:$Z$2190,IF($G19="O",13,8),FALSE)</f>
        <v>0</v>
      </c>
      <c r="Y19" s="718">
        <f>$F19*VLOOKUP($B19,'Emissions factors'!$B$2182:$Z$2190,IF($G19="O",14,9),FALSE)</f>
        <v>0</v>
      </c>
      <c r="Z19" s="718">
        <f>$F19*VLOOKUP($B19,'Emissions factors'!$B$2182:$Z$2190,IF($G19="O",15,10),FALSE)</f>
        <v>0</v>
      </c>
      <c r="AA19" s="718">
        <v>0</v>
      </c>
      <c r="AB19" s="720">
        <f>J19</f>
        <v>0</v>
      </c>
      <c r="AC19" s="748">
        <f>$F19*VLOOKUP($B19,'Emissions factors'!$B$2182:$Z$2190,IF($G19="O",16,11),FALSE)</f>
        <v>0</v>
      </c>
    </row>
    <row r="20" spans="2:29" outlineLevel="1" x14ac:dyDescent="0.2">
      <c r="B20" s="200"/>
      <c r="C20" s="201"/>
      <c r="D20" s="273"/>
      <c r="E20" s="518"/>
      <c r="F20" s="221"/>
      <c r="G20" s="221"/>
      <c r="H20" s="221"/>
      <c r="I20" s="410"/>
      <c r="J20" s="210"/>
      <c r="K20" s="446"/>
      <c r="L20" s="447"/>
      <c r="O20" s="220"/>
      <c r="P20" s="201"/>
      <c r="Q20" s="222"/>
      <c r="S20" s="200"/>
      <c r="T20" s="423"/>
      <c r="U20" s="201"/>
      <c r="V20" s="222"/>
      <c r="X20" s="717"/>
      <c r="Y20" s="718"/>
      <c r="Z20" s="718"/>
      <c r="AA20" s="718"/>
      <c r="AB20" s="720"/>
      <c r="AC20" s="749"/>
    </row>
    <row r="21" spans="2:29" outlineLevel="1" x14ac:dyDescent="0.2">
      <c r="B21" s="253" t="s">
        <v>2828</v>
      </c>
      <c r="C21" s="254"/>
      <c r="D21" s="264">
        <f>SUM(D16:D20)</f>
        <v>0</v>
      </c>
      <c r="E21" s="267">
        <f>SUM(E16:E20)</f>
        <v>0</v>
      </c>
      <c r="F21" s="260"/>
      <c r="G21" s="260"/>
      <c r="H21" s="259"/>
      <c r="I21" s="260"/>
      <c r="J21" s="259">
        <f>SUM(J16:J20)</f>
        <v>0</v>
      </c>
      <c r="K21" s="450"/>
      <c r="L21" s="451">
        <f>SUM(L16:L20)</f>
        <v>0</v>
      </c>
      <c r="O21" s="258"/>
      <c r="P21" s="256"/>
      <c r="Q21" s="257">
        <f>SQRT(SUMSQ(Q16:Q20))</f>
        <v>0</v>
      </c>
      <c r="S21" s="258"/>
      <c r="T21" s="259">
        <f>SUM(T16:T20)</f>
        <v>0</v>
      </c>
      <c r="U21" s="256"/>
      <c r="V21" s="257">
        <f>SUM(V16:V20)</f>
        <v>0</v>
      </c>
      <c r="X21" s="724">
        <f t="shared" ref="X21:AC21" si="1">SUM(X16:X20)</f>
        <v>0</v>
      </c>
      <c r="Y21" s="725">
        <f t="shared" si="1"/>
        <v>0</v>
      </c>
      <c r="Z21" s="725">
        <f t="shared" si="1"/>
        <v>0</v>
      </c>
      <c r="AA21" s="725">
        <f t="shared" si="1"/>
        <v>0</v>
      </c>
      <c r="AB21" s="727">
        <f t="shared" si="1"/>
        <v>0</v>
      </c>
      <c r="AC21" s="750">
        <f t="shared" si="1"/>
        <v>0</v>
      </c>
    </row>
    <row r="22" spans="2:29" outlineLevel="1" x14ac:dyDescent="0.2"/>
    <row r="23" spans="2:29" outlineLevel="1" x14ac:dyDescent="0.2">
      <c r="F23" s="108"/>
      <c r="G23" s="108"/>
      <c r="H23" s="108"/>
      <c r="I23" s="108"/>
      <c r="J23" s="108"/>
      <c r="K23" s="108"/>
    </row>
    <row r="24" spans="2:29" outlineLevel="1" x14ac:dyDescent="0.2">
      <c r="B24" s="195" t="s">
        <v>2949</v>
      </c>
      <c r="C24" s="196"/>
      <c r="D24" s="421"/>
      <c r="E24" s="421"/>
      <c r="F24" s="198"/>
      <c r="G24" s="421"/>
      <c r="H24" s="198"/>
      <c r="I24" s="421"/>
      <c r="J24" s="515"/>
      <c r="K24" s="516"/>
      <c r="O24" s="1746" t="s">
        <v>723</v>
      </c>
      <c r="P24" s="1747"/>
      <c r="Q24" s="1748"/>
      <c r="R24" s="42"/>
      <c r="S24" s="1746" t="s">
        <v>2066</v>
      </c>
      <c r="T24" s="1747"/>
      <c r="U24" s="1747"/>
      <c r="V24" s="1748"/>
      <c r="X24" s="1755" t="s">
        <v>2073</v>
      </c>
      <c r="Y24" s="1756"/>
      <c r="Z24" s="1756"/>
      <c r="AA24" s="1756"/>
      <c r="AB24" s="1756"/>
      <c r="AC24" s="1757"/>
    </row>
    <row r="25" spans="2:29" outlineLevel="1" x14ac:dyDescent="0.2">
      <c r="B25" s="417"/>
      <c r="C25" s="225"/>
      <c r="D25" s="424"/>
      <c r="E25" s="424"/>
      <c r="F25" s="201"/>
      <c r="G25" s="424"/>
      <c r="H25" s="201"/>
      <c r="I25" s="424"/>
      <c r="J25" s="444" t="s">
        <v>2619</v>
      </c>
      <c r="K25" s="445"/>
      <c r="O25" s="461"/>
      <c r="P25" s="423"/>
      <c r="Q25" s="203"/>
      <c r="R25" s="42"/>
      <c r="S25" s="461"/>
      <c r="T25" s="423"/>
      <c r="U25" s="423"/>
      <c r="V25" s="203"/>
      <c r="X25" s="778"/>
      <c r="Y25" s="779"/>
      <c r="Z25" s="779"/>
      <c r="AA25" s="779"/>
      <c r="AB25" s="741"/>
      <c r="AC25" s="780"/>
    </row>
    <row r="26" spans="2:29" outlineLevel="1" x14ac:dyDescent="0.2">
      <c r="B26" s="461"/>
      <c r="C26" s="423"/>
      <c r="D26" s="423" t="s">
        <v>56</v>
      </c>
      <c r="E26" s="423" t="s">
        <v>56</v>
      </c>
      <c r="F26" s="205" t="s">
        <v>11</v>
      </c>
      <c r="G26" s="205" t="s">
        <v>2686</v>
      </c>
      <c r="H26" s="423" t="s">
        <v>64</v>
      </c>
      <c r="I26" s="424" t="s">
        <v>61</v>
      </c>
      <c r="J26" s="444" t="s">
        <v>64</v>
      </c>
      <c r="K26" s="445" t="s">
        <v>61</v>
      </c>
      <c r="O26" s="1634" t="s">
        <v>2605</v>
      </c>
      <c r="P26" s="423" t="s">
        <v>2110</v>
      </c>
      <c r="Q26" s="481" t="s">
        <v>61</v>
      </c>
      <c r="R26" s="42"/>
      <c r="S26" s="461" t="s">
        <v>2065</v>
      </c>
      <c r="T26" s="424" t="s">
        <v>61</v>
      </c>
      <c r="U26" s="423" t="s">
        <v>2558</v>
      </c>
      <c r="V26" s="481" t="s">
        <v>61</v>
      </c>
      <c r="X26" s="1739" t="s">
        <v>61</v>
      </c>
      <c r="Y26" s="1740"/>
      <c r="Z26" s="1740"/>
      <c r="AA26" s="1740"/>
      <c r="AB26" s="741" t="s">
        <v>61</v>
      </c>
      <c r="AC26" s="742"/>
    </row>
    <row r="27" spans="2:29" outlineLevel="1" x14ac:dyDescent="0.2">
      <c r="B27" s="461"/>
      <c r="C27" s="423"/>
      <c r="D27" s="423" t="s">
        <v>61</v>
      </c>
      <c r="E27" s="423" t="s">
        <v>63</v>
      </c>
      <c r="F27" s="208" t="s">
        <v>2687</v>
      </c>
      <c r="G27" s="208" t="s">
        <v>80</v>
      </c>
      <c r="H27" s="423" t="s">
        <v>2058</v>
      </c>
      <c r="I27" s="424"/>
      <c r="J27" s="444" t="s">
        <v>2058</v>
      </c>
      <c r="K27" s="445" t="s">
        <v>2618</v>
      </c>
      <c r="O27" s="1634" t="s">
        <v>2109</v>
      </c>
      <c r="P27" s="423"/>
      <c r="Q27" s="481"/>
      <c r="R27" s="42"/>
      <c r="S27" s="461"/>
      <c r="T27" s="424"/>
      <c r="U27" s="423"/>
      <c r="V27" s="481"/>
      <c r="X27" s="744" t="s">
        <v>14</v>
      </c>
      <c r="Y27" s="745" t="s">
        <v>60</v>
      </c>
      <c r="Z27" s="745" t="s">
        <v>27</v>
      </c>
      <c r="AA27" s="745" t="s">
        <v>2074</v>
      </c>
      <c r="AB27" s="746" t="s">
        <v>41</v>
      </c>
      <c r="AC27" s="747" t="s">
        <v>85</v>
      </c>
    </row>
    <row r="28" spans="2:29" outlineLevel="1" x14ac:dyDescent="0.2">
      <c r="B28" s="200" t="s">
        <v>1896</v>
      </c>
      <c r="C28" s="201"/>
      <c r="D28" s="262">
        <f>I28</f>
        <v>0</v>
      </c>
      <c r="E28" s="265">
        <f>D28*12/44</f>
        <v>0</v>
      </c>
      <c r="F28" s="182"/>
      <c r="G28" s="523" t="s">
        <v>1879</v>
      </c>
      <c r="H28" s="273">
        <f>VLOOKUP($B28,'Emissions factors'!$B$2225:$V$2233,7,FALSE)</f>
        <v>2681.0666666766001</v>
      </c>
      <c r="I28" s="210">
        <f>F28*H28</f>
        <v>0</v>
      </c>
      <c r="J28" s="446">
        <f>VLOOKUP($B28,'Emissions factors'!$B$2225:$V$2233,VLOOKUP($G28,'Emissions factors'!$B$2215:$C$2220,2,FALSE),FALSE)</f>
        <v>-1356.2190000000001</v>
      </c>
      <c r="K28" s="447">
        <f>IF(G28&lt;&gt;'Emissions factors'!$B$2215,F28*J28,0)</f>
        <v>0</v>
      </c>
      <c r="O28" s="511">
        <f>VLOOKUP($B28,'Emissions factors'!$B$2225:$V$2233,21,FALSE)</f>
        <v>0.2</v>
      </c>
      <c r="P28" s="183"/>
      <c r="Q28" s="211">
        <f>I28*SQRT(O28^2+P28^2)</f>
        <v>0</v>
      </c>
      <c r="R28" s="42"/>
      <c r="S28" s="184"/>
      <c r="T28" s="210">
        <f>I28*S28</f>
        <v>0</v>
      </c>
      <c r="U28" s="184"/>
      <c r="V28" s="211">
        <f>I28*U28</f>
        <v>0</v>
      </c>
      <c r="X28" s="717">
        <f>$F28*VLOOKUP($B28,'Emissions factors'!$B$2225:$V$2233,8,FALSE)</f>
        <v>0</v>
      </c>
      <c r="Y28" s="718">
        <f>$F28*VLOOKUP($B28,'Emissions factors'!$B$2225:$V$2233,9,FALSE)</f>
        <v>0</v>
      </c>
      <c r="Z28" s="718">
        <f>$F28*VLOOKUP($B28,'Emissions factors'!$B$2225:$V$2233,10,FALSE)</f>
        <v>0</v>
      </c>
      <c r="AA28" s="718">
        <v>0</v>
      </c>
      <c r="AB28" s="720">
        <f>I28</f>
        <v>0</v>
      </c>
      <c r="AC28" s="748">
        <f>$F28*VLOOKUP($B28,'Emissions factors'!$B$2225:$V$2233,11,FALSE)</f>
        <v>0</v>
      </c>
    </row>
    <row r="29" spans="2:29" outlineLevel="1" x14ac:dyDescent="0.2">
      <c r="B29" s="200" t="s">
        <v>2025</v>
      </c>
      <c r="C29" s="201"/>
      <c r="D29" s="262">
        <f>I29</f>
        <v>0</v>
      </c>
      <c r="E29" s="265">
        <f>D29*12/44</f>
        <v>0</v>
      </c>
      <c r="F29" s="185"/>
      <c r="G29" s="524" t="s">
        <v>1879</v>
      </c>
      <c r="H29" s="273">
        <f>VLOOKUP($B29,'Emissions factors'!$B$2225:$V$2233,7,FALSE)</f>
        <v>47.666666673199998</v>
      </c>
      <c r="I29" s="210">
        <f>F29*H29</f>
        <v>0</v>
      </c>
      <c r="J29" s="446">
        <f>VLOOKUP($B29,'Emissions factors'!$B$2225:$V$2233,VLOOKUP($G29,'Emissions factors'!$B$2215:$C$2220,2,FALSE),FALSE)</f>
        <v>-171.864</v>
      </c>
      <c r="K29" s="447">
        <f>IF(G29&lt;&gt;'Emissions factors'!$B$2215,F29*J29,0)</f>
        <v>0</v>
      </c>
      <c r="O29" s="511">
        <f>VLOOKUP($B29,'Emissions factors'!$B$2225:$V$2233,21,FALSE)</f>
        <v>0.5</v>
      </c>
      <c r="P29" s="186"/>
      <c r="Q29" s="211">
        <f>I29*SQRT(O29^2+P29^2)</f>
        <v>0</v>
      </c>
      <c r="R29" s="42"/>
      <c r="S29" s="187"/>
      <c r="T29" s="210">
        <f>I29*S29</f>
        <v>0</v>
      </c>
      <c r="U29" s="187"/>
      <c r="V29" s="211">
        <f>I29*U29</f>
        <v>0</v>
      </c>
      <c r="X29" s="717">
        <f>$F29*VLOOKUP($B29,'Emissions factors'!$B$2225:$V$2233,8,FALSE)</f>
        <v>0</v>
      </c>
      <c r="Y29" s="718">
        <f>$F29*VLOOKUP($B29,'Emissions factors'!$B$2225:$V$2233,9,FALSE)</f>
        <v>0</v>
      </c>
      <c r="Z29" s="718">
        <f>$F29*VLOOKUP($B29,'Emissions factors'!$B$2225:$V$2233,10,FALSE)</f>
        <v>0</v>
      </c>
      <c r="AA29" s="718">
        <v>0</v>
      </c>
      <c r="AB29" s="720">
        <f>I29</f>
        <v>0</v>
      </c>
      <c r="AC29" s="748">
        <f>$F29*VLOOKUP($B29,'Emissions factors'!$B$2225:$V$2233,11,FALSE)</f>
        <v>0</v>
      </c>
    </row>
    <row r="30" spans="2:29" outlineLevel="1" x14ac:dyDescent="0.2">
      <c r="B30" s="200" t="s">
        <v>1895</v>
      </c>
      <c r="C30" s="201"/>
      <c r="D30" s="262">
        <f>I30</f>
        <v>0</v>
      </c>
      <c r="E30" s="265">
        <f>D30*12/44</f>
        <v>0</v>
      </c>
      <c r="F30" s="185"/>
      <c r="G30" s="524" t="s">
        <v>1878</v>
      </c>
      <c r="H30" s="273">
        <f>VLOOKUP($B30,'Emissions factors'!$B$2225:$V$2233,7,FALSE)</f>
        <v>36.666666666600001</v>
      </c>
      <c r="I30" s="210">
        <f>F30*H30</f>
        <v>0</v>
      </c>
      <c r="J30" s="446">
        <f>VLOOKUP($B30,'Emissions factors'!$B$2225:$V$2233,VLOOKUP($G30,'Emissions factors'!$B$2215:$C$2220,2,FALSE),FALSE)</f>
        <v>0</v>
      </c>
      <c r="K30" s="447">
        <f>IF(G30&lt;&gt;'Emissions factors'!$B$2215,F30*J30,0)</f>
        <v>0</v>
      </c>
      <c r="O30" s="511">
        <f>VLOOKUP($B30,'Emissions factors'!$B$2225:$V$2233,21,FALSE)</f>
        <v>0.5</v>
      </c>
      <c r="P30" s="186"/>
      <c r="Q30" s="211">
        <f>I30*SQRT(O30^2+P30^2)</f>
        <v>0</v>
      </c>
      <c r="R30" s="42"/>
      <c r="S30" s="187"/>
      <c r="T30" s="210">
        <f>I30*S30</f>
        <v>0</v>
      </c>
      <c r="U30" s="187"/>
      <c r="V30" s="211">
        <f>I30*U30</f>
        <v>0</v>
      </c>
      <c r="X30" s="717">
        <f>$F30*VLOOKUP($B30,'Emissions factors'!$B$2225:$V$2233,8,FALSE)</f>
        <v>0</v>
      </c>
      <c r="Y30" s="718">
        <f>$F30*VLOOKUP($B30,'Emissions factors'!$B$2225:$V$2233,9,FALSE)</f>
        <v>0</v>
      </c>
      <c r="Z30" s="718">
        <f>$F30*VLOOKUP($B30,'Emissions factors'!$B$2225:$V$2233,10,FALSE)</f>
        <v>0</v>
      </c>
      <c r="AA30" s="718">
        <v>0</v>
      </c>
      <c r="AB30" s="720">
        <f>I30</f>
        <v>0</v>
      </c>
      <c r="AC30" s="748">
        <f>$F30*VLOOKUP($B30,'Emissions factors'!$B$2225:$V$2233,11,FALSE)</f>
        <v>0</v>
      </c>
    </row>
    <row r="31" spans="2:29" outlineLevel="1" x14ac:dyDescent="0.2">
      <c r="B31" s="200" t="s">
        <v>1549</v>
      </c>
      <c r="C31" s="201"/>
      <c r="D31" s="262">
        <f>I31</f>
        <v>0</v>
      </c>
      <c r="E31" s="265">
        <f>D31*12/44</f>
        <v>0</v>
      </c>
      <c r="F31" s="188"/>
      <c r="G31" s="525" t="s">
        <v>1877</v>
      </c>
      <c r="H31" s="273">
        <f>VLOOKUP($B31,'Emissions factors'!$B$2225:$V$2233,7,FALSE)</f>
        <v>47.666666673199998</v>
      </c>
      <c r="I31" s="210">
        <f>F31*H31</f>
        <v>0</v>
      </c>
      <c r="J31" s="446">
        <f>VLOOKUP($B31,'Emissions factors'!$B$2225:$V$2233,VLOOKUP($G31,'Emissions factors'!$B$2215:$C$2220,2,FALSE),FALSE)</f>
        <v>0</v>
      </c>
      <c r="K31" s="447">
        <f>IF(G31&lt;&gt;'Emissions factors'!$B$2215,F31*J31,0)</f>
        <v>0</v>
      </c>
      <c r="O31" s="511">
        <f>VLOOKUP($B31,'Emissions factors'!$B$2225:$V$2233,21,FALSE)</f>
        <v>0.3</v>
      </c>
      <c r="P31" s="189"/>
      <c r="Q31" s="211">
        <f>I31*SQRT(O31^2+P31^2)</f>
        <v>0</v>
      </c>
      <c r="R31" s="42"/>
      <c r="S31" s="190"/>
      <c r="T31" s="210">
        <f>I31*S31</f>
        <v>0</v>
      </c>
      <c r="U31" s="190"/>
      <c r="V31" s="211">
        <f>I31*U31</f>
        <v>0</v>
      </c>
      <c r="X31" s="717">
        <f>$F31*VLOOKUP($B31,'Emissions factors'!$B$2225:$V$2233,8,FALSE)</f>
        <v>0</v>
      </c>
      <c r="Y31" s="718">
        <f>$F31*VLOOKUP($B31,'Emissions factors'!$B$2225:$V$2233,9,FALSE)</f>
        <v>0</v>
      </c>
      <c r="Z31" s="718">
        <f>$F31*VLOOKUP($B31,'Emissions factors'!$B$2225:$V$2233,10,FALSE)</f>
        <v>0</v>
      </c>
      <c r="AA31" s="718">
        <v>0</v>
      </c>
      <c r="AB31" s="720">
        <f>I31</f>
        <v>0</v>
      </c>
      <c r="AC31" s="748">
        <f>$F31*VLOOKUP($B31,'Emissions factors'!$B$2225:$V$2233,11,FALSE)</f>
        <v>0</v>
      </c>
    </row>
    <row r="32" spans="2:29" outlineLevel="1" x14ac:dyDescent="0.2">
      <c r="B32" s="200"/>
      <c r="C32" s="201"/>
      <c r="D32" s="273"/>
      <c r="E32" s="518"/>
      <c r="F32" s="221"/>
      <c r="G32" s="221"/>
      <c r="H32" s="410"/>
      <c r="I32" s="210"/>
      <c r="J32" s="446"/>
      <c r="K32" s="447"/>
      <c r="O32" s="220"/>
      <c r="P32" s="201"/>
      <c r="Q32" s="222"/>
      <c r="R32" s="42"/>
      <c r="S32" s="200"/>
      <c r="T32" s="423"/>
      <c r="U32" s="201"/>
      <c r="V32" s="222"/>
      <c r="X32" s="717"/>
      <c r="Y32" s="718"/>
      <c r="Z32" s="718"/>
      <c r="AA32" s="718"/>
      <c r="AB32" s="720"/>
      <c r="AC32" s="749"/>
    </row>
    <row r="33" spans="2:29" outlineLevel="1" x14ac:dyDescent="0.2">
      <c r="B33" s="253" t="s">
        <v>2828</v>
      </c>
      <c r="C33" s="254"/>
      <c r="D33" s="264">
        <f>SUM(D28:D32)</f>
        <v>0</v>
      </c>
      <c r="E33" s="267">
        <f>SUM(E28:E32)</f>
        <v>0</v>
      </c>
      <c r="F33" s="260"/>
      <c r="G33" s="259"/>
      <c r="H33" s="260"/>
      <c r="I33" s="259">
        <f>SUM(I28:I32)</f>
        <v>0</v>
      </c>
      <c r="J33" s="450"/>
      <c r="K33" s="451">
        <f>SUM(K28:K32)</f>
        <v>0</v>
      </c>
      <c r="O33" s="258"/>
      <c r="P33" s="256"/>
      <c r="Q33" s="257">
        <f>SQRT(SUMSQ(Q28:Q32))</f>
        <v>0</v>
      </c>
      <c r="R33" s="42"/>
      <c r="S33" s="258"/>
      <c r="T33" s="259">
        <f>SUM(T28:T32)</f>
        <v>0</v>
      </c>
      <c r="U33" s="256"/>
      <c r="V33" s="257">
        <f>SUM(V28:V32)</f>
        <v>0</v>
      </c>
      <c r="X33" s="724">
        <f t="shared" ref="X33:AC33" si="2">SUM(X28:X32)</f>
        <v>0</v>
      </c>
      <c r="Y33" s="725">
        <f t="shared" si="2"/>
        <v>0</v>
      </c>
      <c r="Z33" s="725">
        <f t="shared" si="2"/>
        <v>0</v>
      </c>
      <c r="AA33" s="725">
        <f t="shared" si="2"/>
        <v>0</v>
      </c>
      <c r="AB33" s="727">
        <f t="shared" si="2"/>
        <v>0</v>
      </c>
      <c r="AC33" s="750">
        <f t="shared" si="2"/>
        <v>0</v>
      </c>
    </row>
    <row r="34" spans="2:29" outlineLevel="1" x14ac:dyDescent="0.2">
      <c r="J34" s="322"/>
    </row>
    <row r="35" spans="2:29" outlineLevel="1" x14ac:dyDescent="0.2">
      <c r="J35" s="322"/>
    </row>
    <row r="36" spans="2:29" outlineLevel="1" x14ac:dyDescent="0.2">
      <c r="B36" s="195" t="s">
        <v>3301</v>
      </c>
      <c r="C36" s="196"/>
      <c r="D36" s="421"/>
      <c r="E36" s="421"/>
      <c r="F36" s="198"/>
      <c r="G36" s="198"/>
      <c r="H36" s="198"/>
      <c r="I36" s="198"/>
      <c r="J36" s="515"/>
      <c r="K36" s="516"/>
      <c r="O36" s="1746" t="s">
        <v>723</v>
      </c>
      <c r="P36" s="1747"/>
      <c r="Q36" s="1748"/>
      <c r="R36" s="42"/>
      <c r="S36" s="1746" t="s">
        <v>2066</v>
      </c>
      <c r="T36" s="1747"/>
      <c r="U36" s="1747"/>
      <c r="V36" s="1748"/>
      <c r="X36" s="1755" t="s">
        <v>2073</v>
      </c>
      <c r="Y36" s="1756"/>
      <c r="Z36" s="1756"/>
      <c r="AA36" s="1756"/>
      <c r="AB36" s="1756"/>
      <c r="AC36" s="1757"/>
    </row>
    <row r="37" spans="2:29" outlineLevel="1" x14ac:dyDescent="0.2">
      <c r="B37" s="417"/>
      <c r="C37" s="225"/>
      <c r="D37" s="424"/>
      <c r="E37" s="424"/>
      <c r="F37" s="201"/>
      <c r="G37" s="201"/>
      <c r="H37" s="201"/>
      <c r="I37" s="201"/>
      <c r="J37" s="444" t="s">
        <v>2619</v>
      </c>
      <c r="K37" s="445"/>
      <c r="O37" s="461"/>
      <c r="P37" s="423"/>
      <c r="Q37" s="203"/>
      <c r="R37" s="42"/>
      <c r="S37" s="461"/>
      <c r="T37" s="423"/>
      <c r="U37" s="423"/>
      <c r="V37" s="203"/>
      <c r="X37" s="778"/>
      <c r="Y37" s="779"/>
      <c r="Z37" s="779"/>
      <c r="AA37" s="779"/>
      <c r="AB37" s="741"/>
      <c r="AC37" s="780"/>
    </row>
    <row r="38" spans="2:29" outlineLevel="1" x14ac:dyDescent="0.2">
      <c r="B38" s="461"/>
      <c r="C38" s="423"/>
      <c r="D38" s="423" t="s">
        <v>56</v>
      </c>
      <c r="E38" s="423" t="s">
        <v>56</v>
      </c>
      <c r="F38" s="205" t="s">
        <v>11</v>
      </c>
      <c r="G38" s="205" t="s">
        <v>2686</v>
      </c>
      <c r="H38" s="423" t="s">
        <v>64</v>
      </c>
      <c r="I38" s="424" t="s">
        <v>61</v>
      </c>
      <c r="J38" s="444" t="s">
        <v>64</v>
      </c>
      <c r="K38" s="445" t="s">
        <v>61</v>
      </c>
      <c r="O38" s="1634" t="s">
        <v>2605</v>
      </c>
      <c r="P38" s="423" t="s">
        <v>2110</v>
      </c>
      <c r="Q38" s="481" t="s">
        <v>61</v>
      </c>
      <c r="R38" s="42"/>
      <c r="S38" s="461" t="s">
        <v>2065</v>
      </c>
      <c r="T38" s="424" t="s">
        <v>61</v>
      </c>
      <c r="U38" s="423" t="s">
        <v>2558</v>
      </c>
      <c r="V38" s="481" t="s">
        <v>61</v>
      </c>
      <c r="X38" s="1739" t="s">
        <v>61</v>
      </c>
      <c r="Y38" s="1740"/>
      <c r="Z38" s="1740"/>
      <c r="AA38" s="1740"/>
      <c r="AB38" s="741" t="s">
        <v>61</v>
      </c>
      <c r="AC38" s="742"/>
    </row>
    <row r="39" spans="2:29" outlineLevel="1" x14ac:dyDescent="0.2">
      <c r="B39" s="461"/>
      <c r="C39" s="423"/>
      <c r="D39" s="423" t="s">
        <v>61</v>
      </c>
      <c r="E39" s="423" t="s">
        <v>63</v>
      </c>
      <c r="F39" s="212" t="s">
        <v>2777</v>
      </c>
      <c r="G39" s="208" t="s">
        <v>80</v>
      </c>
      <c r="H39" s="423" t="s">
        <v>2058</v>
      </c>
      <c r="I39" s="424"/>
      <c r="J39" s="444" t="s">
        <v>2058</v>
      </c>
      <c r="K39" s="445" t="s">
        <v>2618</v>
      </c>
      <c r="O39" s="1634" t="s">
        <v>2109</v>
      </c>
      <c r="P39" s="423"/>
      <c r="Q39" s="481"/>
      <c r="R39" s="42"/>
      <c r="S39" s="461"/>
      <c r="T39" s="424"/>
      <c r="U39" s="423"/>
      <c r="V39" s="481"/>
      <c r="X39" s="744" t="s">
        <v>14</v>
      </c>
      <c r="Y39" s="745" t="s">
        <v>60</v>
      </c>
      <c r="Z39" s="745" t="s">
        <v>27</v>
      </c>
      <c r="AA39" s="745" t="s">
        <v>2074</v>
      </c>
      <c r="AB39" s="746" t="s">
        <v>41</v>
      </c>
      <c r="AC39" s="747" t="s">
        <v>85</v>
      </c>
    </row>
    <row r="40" spans="2:29" outlineLevel="1" x14ac:dyDescent="0.2">
      <c r="B40" s="236" t="s">
        <v>2690</v>
      </c>
      <c r="C40" s="237"/>
      <c r="D40" s="262">
        <f>I40</f>
        <v>0</v>
      </c>
      <c r="E40" s="265">
        <f>D40*12/44</f>
        <v>0</v>
      </c>
      <c r="F40" s="182"/>
      <c r="G40" s="523" t="s">
        <v>3257</v>
      </c>
      <c r="H40" s="273">
        <f>VLOOKUP($G40,'Emissions factors'!$B$2265:$I$2269,2,FALSE)</f>
        <v>28</v>
      </c>
      <c r="I40" s="210">
        <f>F40*H40</f>
        <v>0</v>
      </c>
      <c r="J40" s="446">
        <f>VLOOKUP($G40,'Emissions factors'!$B$2265:$I$2269,7,FALSE)</f>
        <v>-77</v>
      </c>
      <c r="K40" s="447">
        <f>F40*J40</f>
        <v>0</v>
      </c>
      <c r="O40" s="282">
        <f>VLOOKUP($G40,'Emissions factors'!$B$2265:$I$2269,8,FALSE)</f>
        <v>0.5</v>
      </c>
      <c r="P40" s="183"/>
      <c r="Q40" s="211">
        <f>I40*SQRT(O40^2+P40^2)</f>
        <v>0</v>
      </c>
      <c r="R40" s="42"/>
      <c r="S40" s="183"/>
      <c r="T40" s="210">
        <f>I40*S40</f>
        <v>0</v>
      </c>
      <c r="U40" s="183"/>
      <c r="V40" s="211">
        <f>I40*U40</f>
        <v>0</v>
      </c>
      <c r="X40" s="717">
        <f>$F40*VLOOKUP($G40,'Emissions factors'!$B$2265:$I$2269,3,FALSE)</f>
        <v>0</v>
      </c>
      <c r="Y40" s="718">
        <f>$F40*VLOOKUP($G40,'Emissions factors'!$B$2265:$I$2269,4,FALSE)</f>
        <v>0</v>
      </c>
      <c r="Z40" s="718">
        <f>$F40*VLOOKUP($G40,'Emissions factors'!$B$2265:$I$2269,5,FALSE)</f>
        <v>0</v>
      </c>
      <c r="AA40" s="718">
        <v>0</v>
      </c>
      <c r="AB40" s="720">
        <f>I40</f>
        <v>0</v>
      </c>
      <c r="AC40" s="748">
        <f>$F40*VLOOKUP($G40,'Emissions factors'!$B$2265:$I$2269,6,FALSE)</f>
        <v>0</v>
      </c>
    </row>
    <row r="41" spans="2:29" outlineLevel="1" x14ac:dyDescent="0.2">
      <c r="B41" s="236" t="s">
        <v>2690</v>
      </c>
      <c r="C41" s="237"/>
      <c r="D41" s="262">
        <f>I41</f>
        <v>0</v>
      </c>
      <c r="E41" s="265">
        <f>D41*12/44</f>
        <v>0</v>
      </c>
      <c r="F41" s="188"/>
      <c r="G41" s="525" t="s">
        <v>3256</v>
      </c>
      <c r="H41" s="273">
        <f>VLOOKUP($G41,'Emissions factors'!$B$2265:$I$2269,2,FALSE)</f>
        <v>14.3</v>
      </c>
      <c r="I41" s="210">
        <f>F41*H41</f>
        <v>0</v>
      </c>
      <c r="J41" s="446">
        <f>VLOOKUP($G41,'Emissions factors'!$B$2265:$I$2269,7,FALSE)</f>
        <v>-26.51</v>
      </c>
      <c r="K41" s="447">
        <f>F41*J41</f>
        <v>0</v>
      </c>
      <c r="O41" s="282">
        <f>VLOOKUP($G41,'Emissions factors'!$B$2265:$I$2269,8,FALSE)</f>
        <v>0.5</v>
      </c>
      <c r="P41" s="189"/>
      <c r="Q41" s="211">
        <f>I41*SQRT(O41^2+P41^2)</f>
        <v>0</v>
      </c>
      <c r="R41" s="42"/>
      <c r="S41" s="189"/>
      <c r="T41" s="210">
        <f>I41*S41</f>
        <v>0</v>
      </c>
      <c r="U41" s="189"/>
      <c r="V41" s="211">
        <f>I41*U41</f>
        <v>0</v>
      </c>
      <c r="X41" s="717">
        <f>$F41*VLOOKUP($G41,'Emissions factors'!$B$2265:$I$2269,3,FALSE)</f>
        <v>0</v>
      </c>
      <c r="Y41" s="718">
        <f>$F41*VLOOKUP($G41,'Emissions factors'!$B$2265:$I$2269,4,FALSE)</f>
        <v>0</v>
      </c>
      <c r="Z41" s="718">
        <f>$F41*VLOOKUP($G41,'Emissions factors'!$B$2265:$I$2269,5,FALSE)</f>
        <v>0</v>
      </c>
      <c r="AA41" s="718">
        <v>0</v>
      </c>
      <c r="AB41" s="720">
        <f>I41</f>
        <v>0</v>
      </c>
      <c r="AC41" s="748">
        <f>$F41*VLOOKUP($G41,'Emissions factors'!$B$2265:$I$2269,6,FALSE)</f>
        <v>0</v>
      </c>
    </row>
    <row r="42" spans="2:29" outlineLevel="1" x14ac:dyDescent="0.2">
      <c r="B42" s="213"/>
      <c r="C42" s="214"/>
      <c r="D42" s="275"/>
      <c r="E42" s="268"/>
      <c r="F42" s="227"/>
      <c r="G42" s="227"/>
      <c r="H42" s="469"/>
      <c r="I42" s="463"/>
      <c r="J42" s="448"/>
      <c r="K42" s="449"/>
      <c r="O42" s="220"/>
      <c r="P42" s="201"/>
      <c r="Q42" s="222"/>
      <c r="R42" s="42"/>
      <c r="S42" s="200"/>
      <c r="T42" s="423"/>
      <c r="U42" s="201"/>
      <c r="V42" s="222"/>
      <c r="X42" s="717"/>
      <c r="Y42" s="718"/>
      <c r="Z42" s="718"/>
      <c r="AA42" s="718"/>
      <c r="AB42" s="720"/>
      <c r="AC42" s="749"/>
    </row>
    <row r="43" spans="2:29" outlineLevel="1" x14ac:dyDescent="0.2">
      <c r="B43" s="253" t="s">
        <v>2828</v>
      </c>
      <c r="C43" s="254"/>
      <c r="D43" s="264">
        <f>SUM(D40:D42)</f>
        <v>0</v>
      </c>
      <c r="E43" s="267">
        <f>SUM(E40:E42)</f>
        <v>0</v>
      </c>
      <c r="F43" s="260"/>
      <c r="G43" s="260"/>
      <c r="H43" s="260"/>
      <c r="I43" s="259">
        <f>SUM(I40:I42)</f>
        <v>0</v>
      </c>
      <c r="J43" s="529"/>
      <c r="K43" s="451">
        <f>SUM(K40:K42)</f>
        <v>0</v>
      </c>
      <c r="O43" s="258"/>
      <c r="P43" s="256"/>
      <c r="Q43" s="257">
        <f>SQRT(SUMSQ(Q38:Q42))</f>
        <v>0</v>
      </c>
      <c r="R43" s="42"/>
      <c r="S43" s="258"/>
      <c r="T43" s="259">
        <f>SUM(T40:T42)</f>
        <v>0</v>
      </c>
      <c r="U43" s="256"/>
      <c r="V43" s="257">
        <f>SUM(V40:V42)</f>
        <v>0</v>
      </c>
      <c r="X43" s="724">
        <f t="shared" ref="X43:AC43" si="3">SUM(X40:X42)</f>
        <v>0</v>
      </c>
      <c r="Y43" s="725">
        <f t="shared" si="3"/>
        <v>0</v>
      </c>
      <c r="Z43" s="725">
        <f t="shared" si="3"/>
        <v>0</v>
      </c>
      <c r="AA43" s="725">
        <f t="shared" si="3"/>
        <v>0</v>
      </c>
      <c r="AB43" s="727">
        <f t="shared" si="3"/>
        <v>0</v>
      </c>
      <c r="AC43" s="750">
        <f t="shared" si="3"/>
        <v>0</v>
      </c>
    </row>
    <row r="44" spans="2:29" outlineLevel="1" x14ac:dyDescent="0.2">
      <c r="I44" s="42"/>
      <c r="K44" s="330"/>
    </row>
    <row r="45" spans="2:29" outlineLevel="1" x14ac:dyDescent="0.2">
      <c r="I45" s="42"/>
    </row>
    <row r="46" spans="2:29" outlineLevel="1" x14ac:dyDescent="0.2">
      <c r="B46" s="195" t="s">
        <v>2950</v>
      </c>
      <c r="C46" s="196"/>
      <c r="D46" s="421"/>
      <c r="E46" s="421"/>
      <c r="F46" s="198"/>
      <c r="G46" s="198"/>
      <c r="H46" s="198"/>
      <c r="I46" s="198"/>
      <c r="J46" s="515"/>
      <c r="K46" s="516"/>
      <c r="M46" s="42"/>
      <c r="O46" s="1746" t="s">
        <v>723</v>
      </c>
      <c r="P46" s="1747"/>
      <c r="Q46" s="1748"/>
      <c r="S46" s="1746" t="s">
        <v>2066</v>
      </c>
      <c r="T46" s="1747"/>
      <c r="U46" s="1747"/>
      <c r="V46" s="1748"/>
      <c r="X46" s="1755" t="s">
        <v>2073</v>
      </c>
      <c r="Y46" s="1756"/>
      <c r="Z46" s="1756"/>
      <c r="AA46" s="1756"/>
      <c r="AB46" s="1756"/>
      <c r="AC46" s="1757"/>
    </row>
    <row r="47" spans="2:29" outlineLevel="1" x14ac:dyDescent="0.2">
      <c r="B47" s="417"/>
      <c r="C47" s="225"/>
      <c r="D47" s="424"/>
      <c r="E47" s="424"/>
      <c r="F47" s="201"/>
      <c r="G47" s="201"/>
      <c r="H47" s="201"/>
      <c r="I47" s="201"/>
      <c r="J47" s="444" t="s">
        <v>2619</v>
      </c>
      <c r="K47" s="445"/>
      <c r="M47" s="42"/>
      <c r="O47" s="461"/>
      <c r="P47" s="423"/>
      <c r="Q47" s="203"/>
      <c r="S47" s="461"/>
      <c r="T47" s="423"/>
      <c r="U47" s="423"/>
      <c r="V47" s="203"/>
      <c r="X47" s="778"/>
      <c r="Y47" s="779"/>
      <c r="Z47" s="779"/>
      <c r="AA47" s="779"/>
      <c r="AB47" s="741"/>
      <c r="AC47" s="780"/>
    </row>
    <row r="48" spans="2:29" outlineLevel="1" x14ac:dyDescent="0.2">
      <c r="B48" s="461"/>
      <c r="C48" s="423"/>
      <c r="D48" s="423" t="s">
        <v>56</v>
      </c>
      <c r="E48" s="423" t="s">
        <v>56</v>
      </c>
      <c r="F48" s="205" t="s">
        <v>11</v>
      </c>
      <c r="G48" s="205" t="s">
        <v>2691</v>
      </c>
      <c r="H48" s="423" t="s">
        <v>64</v>
      </c>
      <c r="I48" s="424" t="s">
        <v>61</v>
      </c>
      <c r="J48" s="444" t="s">
        <v>64</v>
      </c>
      <c r="K48" s="445" t="s">
        <v>61</v>
      </c>
      <c r="M48" s="42"/>
      <c r="O48" s="1634" t="s">
        <v>2605</v>
      </c>
      <c r="P48" s="423" t="s">
        <v>2110</v>
      </c>
      <c r="Q48" s="481" t="s">
        <v>61</v>
      </c>
      <c r="S48" s="461" t="s">
        <v>2065</v>
      </c>
      <c r="T48" s="424" t="s">
        <v>61</v>
      </c>
      <c r="U48" s="423" t="s">
        <v>2558</v>
      </c>
      <c r="V48" s="481" t="s">
        <v>61</v>
      </c>
      <c r="X48" s="1739" t="s">
        <v>61</v>
      </c>
      <c r="Y48" s="1740"/>
      <c r="Z48" s="1740"/>
      <c r="AA48" s="1740"/>
      <c r="AB48" s="741" t="s">
        <v>61</v>
      </c>
      <c r="AC48" s="742"/>
    </row>
    <row r="49" spans="2:29" outlineLevel="1" x14ac:dyDescent="0.2">
      <c r="B49" s="461"/>
      <c r="C49" s="423"/>
      <c r="D49" s="423" t="s">
        <v>61</v>
      </c>
      <c r="E49" s="423" t="s">
        <v>63</v>
      </c>
      <c r="F49" s="212" t="s">
        <v>2692</v>
      </c>
      <c r="G49" s="208" t="s">
        <v>2693</v>
      </c>
      <c r="H49" s="423" t="s">
        <v>2058</v>
      </c>
      <c r="I49" s="424"/>
      <c r="J49" s="444" t="s">
        <v>2058</v>
      </c>
      <c r="K49" s="445" t="s">
        <v>2618</v>
      </c>
      <c r="M49" s="42"/>
      <c r="O49" s="1634" t="s">
        <v>2109</v>
      </c>
      <c r="P49" s="423"/>
      <c r="Q49" s="481"/>
      <c r="S49" s="461"/>
      <c r="T49" s="424"/>
      <c r="U49" s="423"/>
      <c r="V49" s="481"/>
      <c r="X49" s="744" t="s">
        <v>14</v>
      </c>
      <c r="Y49" s="745" t="s">
        <v>60</v>
      </c>
      <c r="Z49" s="745" t="s">
        <v>27</v>
      </c>
      <c r="AA49" s="745" t="s">
        <v>2074</v>
      </c>
      <c r="AB49" s="746" t="s">
        <v>41</v>
      </c>
      <c r="AC49" s="747" t="s">
        <v>85</v>
      </c>
    </row>
    <row r="50" spans="2:29" outlineLevel="1" x14ac:dyDescent="0.2">
      <c r="B50" s="200" t="s">
        <v>1526</v>
      </c>
      <c r="C50" s="201"/>
      <c r="D50" s="262">
        <f>I50</f>
        <v>0</v>
      </c>
      <c r="E50" s="265">
        <f>D50*12/44</f>
        <v>0</v>
      </c>
      <c r="F50" s="182"/>
      <c r="G50" s="436"/>
      <c r="H50" s="273">
        <f>'Emissions factors'!$C$2259</f>
        <v>33</v>
      </c>
      <c r="I50" s="210">
        <f>F50*H50</f>
        <v>0</v>
      </c>
      <c r="J50" s="446">
        <f>(1-G50)*(-VLOOKUP($B50,'Emissions factors'!$B$1692:$D$1699,2,FALSE)+VLOOKUP($B50,'Emissions factors'!$B$1692:$D$1699,3,FALSE))</f>
        <v>0</v>
      </c>
      <c r="K50" s="447">
        <f>F50*J50</f>
        <v>0</v>
      </c>
      <c r="M50" s="42"/>
      <c r="O50" s="282">
        <f>'Emissions factors'!$H$2259</f>
        <v>0.5</v>
      </c>
      <c r="P50" s="183"/>
      <c r="Q50" s="211">
        <f>I50*SQRT(O50^2+P50^2)</f>
        <v>0</v>
      </c>
      <c r="S50" s="183"/>
      <c r="T50" s="210">
        <f>I50*S50</f>
        <v>0</v>
      </c>
      <c r="U50" s="183"/>
      <c r="V50" s="211">
        <f>I50*U50</f>
        <v>0</v>
      </c>
      <c r="X50" s="717">
        <f>$F50*'Emissions factors'!D$2259</f>
        <v>0</v>
      </c>
      <c r="Y50" s="718">
        <f>$F50*'Emissions factors'!E$2259</f>
        <v>0</v>
      </c>
      <c r="Z50" s="718">
        <f>$F50*'Emissions factors'!F$2259</f>
        <v>0</v>
      </c>
      <c r="AA50" s="718">
        <v>0</v>
      </c>
      <c r="AB50" s="720">
        <f>I50</f>
        <v>0</v>
      </c>
      <c r="AC50" s="748">
        <f>$F50*'Emissions factors'!G$2259</f>
        <v>0</v>
      </c>
    </row>
    <row r="51" spans="2:29" outlineLevel="1" x14ac:dyDescent="0.2">
      <c r="B51" s="200" t="s">
        <v>1524</v>
      </c>
      <c r="C51" s="201"/>
      <c r="D51" s="262">
        <f>I51</f>
        <v>0</v>
      </c>
      <c r="E51" s="265">
        <f>D51*12/44</f>
        <v>0</v>
      </c>
      <c r="F51" s="185"/>
      <c r="G51" s="437"/>
      <c r="H51" s="273">
        <f>'Emissions factors'!$C$2259</f>
        <v>33</v>
      </c>
      <c r="I51" s="210">
        <f>F51*H51</f>
        <v>0</v>
      </c>
      <c r="J51" s="446">
        <f>(1-G51)*(-VLOOKUP($B51,'Emissions factors'!$B$1692:$D$1699,2,FALSE)+VLOOKUP($B51,'Emissions factors'!$B$1692:$D$1699,3,FALSE))</f>
        <v>-2090</v>
      </c>
      <c r="K51" s="447">
        <f>F51*J51</f>
        <v>0</v>
      </c>
      <c r="M51" s="42"/>
      <c r="O51" s="282">
        <f>'Emissions factors'!$H$2259</f>
        <v>0.5</v>
      </c>
      <c r="P51" s="186"/>
      <c r="Q51" s="211">
        <f>I51*SQRT(O51^2+P51^2)</f>
        <v>0</v>
      </c>
      <c r="S51" s="186"/>
      <c r="T51" s="210">
        <f>I51*S51</f>
        <v>0</v>
      </c>
      <c r="U51" s="186"/>
      <c r="V51" s="211">
        <f>I51*U51</f>
        <v>0</v>
      </c>
      <c r="X51" s="717">
        <f>$F51*'Emissions factors'!D$2259</f>
        <v>0</v>
      </c>
      <c r="Y51" s="718">
        <f>$F51*'Emissions factors'!E$2259</f>
        <v>0</v>
      </c>
      <c r="Z51" s="718">
        <f>$F51*'Emissions factors'!F$2259</f>
        <v>0</v>
      </c>
      <c r="AA51" s="718">
        <v>0</v>
      </c>
      <c r="AB51" s="720">
        <f>I51</f>
        <v>0</v>
      </c>
      <c r="AC51" s="748">
        <f>$F51*'Emissions factors'!G$2259</f>
        <v>0</v>
      </c>
    </row>
    <row r="52" spans="2:29" outlineLevel="1" x14ac:dyDescent="0.2">
      <c r="B52" s="200" t="s">
        <v>159</v>
      </c>
      <c r="C52" s="201"/>
      <c r="D52" s="262">
        <f>I52</f>
        <v>0</v>
      </c>
      <c r="E52" s="265">
        <f>D52*12/44</f>
        <v>0</v>
      </c>
      <c r="F52" s="188"/>
      <c r="G52" s="438"/>
      <c r="H52" s="273">
        <f>'Emissions factors'!$C$2259</f>
        <v>33</v>
      </c>
      <c r="I52" s="210">
        <f>F52*H52</f>
        <v>0</v>
      </c>
      <c r="J52" s="446">
        <f>(1-G52)*(-VLOOKUP($B52,'Emissions factors'!$B$1692:$D$1699,2,FALSE)+VLOOKUP($B52,'Emissions factors'!$B$1692:$D$1699,3,FALSE))</f>
        <v>-9317</v>
      </c>
      <c r="K52" s="447">
        <f>F52*J52</f>
        <v>0</v>
      </c>
      <c r="M52" s="42"/>
      <c r="O52" s="282">
        <f>'Emissions factors'!$H$2259</f>
        <v>0.5</v>
      </c>
      <c r="P52" s="189"/>
      <c r="Q52" s="211">
        <f>I52*SQRT(O52^2+P52^2)</f>
        <v>0</v>
      </c>
      <c r="S52" s="189"/>
      <c r="T52" s="210">
        <f>I52*S52</f>
        <v>0</v>
      </c>
      <c r="U52" s="189"/>
      <c r="V52" s="211">
        <f>I52*U52</f>
        <v>0</v>
      </c>
      <c r="X52" s="717">
        <f>$F52*'Emissions factors'!D$2259</f>
        <v>0</v>
      </c>
      <c r="Y52" s="718">
        <f>$F52*'Emissions factors'!E$2259</f>
        <v>0</v>
      </c>
      <c r="Z52" s="718">
        <f>$F52*'Emissions factors'!F$2259</f>
        <v>0</v>
      </c>
      <c r="AA52" s="718">
        <v>0</v>
      </c>
      <c r="AB52" s="720">
        <f>I52</f>
        <v>0</v>
      </c>
      <c r="AC52" s="748">
        <f>$F52*'Emissions factors'!G$2259</f>
        <v>0</v>
      </c>
    </row>
    <row r="53" spans="2:29" outlineLevel="1" x14ac:dyDescent="0.2">
      <c r="B53" s="213"/>
      <c r="C53" s="214"/>
      <c r="D53" s="275"/>
      <c r="E53" s="268"/>
      <c r="F53" s="227"/>
      <c r="G53" s="469"/>
      <c r="H53" s="469"/>
      <c r="I53" s="463"/>
      <c r="J53" s="448"/>
      <c r="K53" s="449"/>
      <c r="M53" s="42"/>
      <c r="O53" s="220"/>
      <c r="P53" s="201"/>
      <c r="Q53" s="222"/>
      <c r="S53" s="200"/>
      <c r="T53" s="423"/>
      <c r="U53" s="201"/>
      <c r="V53" s="222"/>
      <c r="X53" s="717"/>
      <c r="Y53" s="718"/>
      <c r="Z53" s="718"/>
      <c r="AA53" s="718"/>
      <c r="AB53" s="720"/>
      <c r="AC53" s="749"/>
    </row>
    <row r="54" spans="2:29" outlineLevel="1" x14ac:dyDescent="0.2">
      <c r="B54" s="253" t="s">
        <v>2828</v>
      </c>
      <c r="C54" s="254"/>
      <c r="D54" s="264">
        <f>SUM(D50:D53)</f>
        <v>0</v>
      </c>
      <c r="E54" s="267">
        <f>SUM(E50:E53)</f>
        <v>0</v>
      </c>
      <c r="F54" s="260"/>
      <c r="G54" s="260"/>
      <c r="H54" s="260"/>
      <c r="I54" s="259">
        <f>SUM(I50:I53)</f>
        <v>0</v>
      </c>
      <c r="J54" s="529"/>
      <c r="K54" s="451">
        <f>SUM(K50:K53)</f>
        <v>0</v>
      </c>
      <c r="M54" s="42"/>
      <c r="O54" s="258"/>
      <c r="P54" s="256"/>
      <c r="Q54" s="257">
        <f>SQRT(SUMSQ(Q49:Q53))</f>
        <v>0</v>
      </c>
      <c r="S54" s="258"/>
      <c r="T54" s="259">
        <f>SUM(T50:T53)</f>
        <v>0</v>
      </c>
      <c r="U54" s="256"/>
      <c r="V54" s="257">
        <f>SUM(V50:V53)</f>
        <v>0</v>
      </c>
      <c r="X54" s="724">
        <f t="shared" ref="X54:AC54" si="4">SUM(X50:X53)</f>
        <v>0</v>
      </c>
      <c r="Y54" s="725">
        <f t="shared" si="4"/>
        <v>0</v>
      </c>
      <c r="Z54" s="725">
        <f t="shared" si="4"/>
        <v>0</v>
      </c>
      <c r="AA54" s="725">
        <f t="shared" si="4"/>
        <v>0</v>
      </c>
      <c r="AB54" s="727">
        <f t="shared" si="4"/>
        <v>0</v>
      </c>
      <c r="AC54" s="750">
        <f t="shared" si="4"/>
        <v>0</v>
      </c>
    </row>
    <row r="55" spans="2:29" outlineLevel="1" x14ac:dyDescent="0.2">
      <c r="J55" s="336"/>
    </row>
    <row r="56" spans="2:29" outlineLevel="1" x14ac:dyDescent="0.2">
      <c r="B56" s="195" t="s">
        <v>2951</v>
      </c>
      <c r="C56" s="196"/>
      <c r="D56" s="421"/>
      <c r="E56" s="421"/>
      <c r="F56" s="198"/>
      <c r="G56" s="198"/>
      <c r="H56" s="198"/>
      <c r="I56" s="198"/>
      <c r="J56" s="515"/>
      <c r="K56" s="516"/>
      <c r="M56" s="42"/>
      <c r="O56" s="1746" t="s">
        <v>723</v>
      </c>
      <c r="P56" s="1747"/>
      <c r="Q56" s="1748"/>
      <c r="S56" s="1746" t="s">
        <v>2066</v>
      </c>
      <c r="T56" s="1747"/>
      <c r="U56" s="1747"/>
      <c r="V56" s="1748"/>
      <c r="X56" s="1755" t="s">
        <v>2073</v>
      </c>
      <c r="Y56" s="1756"/>
      <c r="Z56" s="1756"/>
      <c r="AA56" s="1756"/>
      <c r="AB56" s="1756"/>
      <c r="AC56" s="1757"/>
    </row>
    <row r="57" spans="2:29" outlineLevel="1" x14ac:dyDescent="0.2">
      <c r="B57" s="417"/>
      <c r="C57" s="225"/>
      <c r="D57" s="424"/>
      <c r="E57" s="424"/>
      <c r="F57" s="201"/>
      <c r="G57" s="201"/>
      <c r="H57" s="201"/>
      <c r="I57" s="201"/>
      <c r="J57" s="444" t="s">
        <v>2619</v>
      </c>
      <c r="K57" s="445"/>
      <c r="M57" s="42"/>
      <c r="O57" s="461"/>
      <c r="P57" s="423"/>
      <c r="Q57" s="203"/>
      <c r="S57" s="461"/>
      <c r="T57" s="423"/>
      <c r="U57" s="423"/>
      <c r="V57" s="203"/>
      <c r="X57" s="778"/>
      <c r="Y57" s="779"/>
      <c r="Z57" s="779"/>
      <c r="AA57" s="779"/>
      <c r="AB57" s="741"/>
      <c r="AC57" s="780"/>
    </row>
    <row r="58" spans="2:29" outlineLevel="1" x14ac:dyDescent="0.2">
      <c r="B58" s="461"/>
      <c r="C58" s="423"/>
      <c r="D58" s="423" t="s">
        <v>56</v>
      </c>
      <c r="E58" s="423" t="s">
        <v>56</v>
      </c>
      <c r="F58" s="205" t="s">
        <v>11</v>
      </c>
      <c r="G58" s="205" t="s">
        <v>2691</v>
      </c>
      <c r="H58" s="423" t="s">
        <v>64</v>
      </c>
      <c r="I58" s="424" t="s">
        <v>61</v>
      </c>
      <c r="J58" s="444" t="s">
        <v>64</v>
      </c>
      <c r="K58" s="445" t="s">
        <v>61</v>
      </c>
      <c r="M58" s="42"/>
      <c r="O58" s="1634" t="s">
        <v>2605</v>
      </c>
      <c r="P58" s="423" t="s">
        <v>2110</v>
      </c>
      <c r="Q58" s="481" t="s">
        <v>61</v>
      </c>
      <c r="S58" s="461" t="s">
        <v>2065</v>
      </c>
      <c r="T58" s="424" t="s">
        <v>61</v>
      </c>
      <c r="U58" s="423" t="s">
        <v>2558</v>
      </c>
      <c r="V58" s="481" t="s">
        <v>61</v>
      </c>
      <c r="X58" s="1739" t="s">
        <v>61</v>
      </c>
      <c r="Y58" s="1740"/>
      <c r="Z58" s="1740"/>
      <c r="AA58" s="1740"/>
      <c r="AB58" s="741" t="s">
        <v>61</v>
      </c>
      <c r="AC58" s="742"/>
    </row>
    <row r="59" spans="2:29" outlineLevel="1" x14ac:dyDescent="0.2">
      <c r="B59" s="461"/>
      <c r="C59" s="423"/>
      <c r="D59" s="423" t="s">
        <v>61</v>
      </c>
      <c r="E59" s="423" t="s">
        <v>63</v>
      </c>
      <c r="F59" s="212" t="s">
        <v>2692</v>
      </c>
      <c r="G59" s="208" t="s">
        <v>2693</v>
      </c>
      <c r="H59" s="423" t="s">
        <v>2058</v>
      </c>
      <c r="I59" s="424"/>
      <c r="J59" s="444" t="s">
        <v>2058</v>
      </c>
      <c r="K59" s="445" t="s">
        <v>2618</v>
      </c>
      <c r="M59" s="42"/>
      <c r="O59" s="1634" t="s">
        <v>2109</v>
      </c>
      <c r="P59" s="423"/>
      <c r="Q59" s="481"/>
      <c r="S59" s="461"/>
      <c r="T59" s="424"/>
      <c r="U59" s="423"/>
      <c r="V59" s="481"/>
      <c r="X59" s="744" t="s">
        <v>14</v>
      </c>
      <c r="Y59" s="745" t="s">
        <v>60</v>
      </c>
      <c r="Z59" s="745" t="s">
        <v>27</v>
      </c>
      <c r="AA59" s="745" t="s">
        <v>2074</v>
      </c>
      <c r="AB59" s="746" t="s">
        <v>41</v>
      </c>
      <c r="AC59" s="747" t="s">
        <v>85</v>
      </c>
    </row>
    <row r="60" spans="2:29" outlineLevel="1" x14ac:dyDescent="0.2">
      <c r="B60" s="200" t="s">
        <v>160</v>
      </c>
      <c r="C60" s="201"/>
      <c r="D60" s="262">
        <f>I60</f>
        <v>0</v>
      </c>
      <c r="E60" s="265">
        <f>D60*12/44</f>
        <v>0</v>
      </c>
      <c r="F60" s="182"/>
      <c r="G60" s="436"/>
      <c r="H60" s="273">
        <f>'Emissions factors'!$C$2259</f>
        <v>33</v>
      </c>
      <c r="I60" s="210">
        <f>F60*H60</f>
        <v>0</v>
      </c>
      <c r="J60" s="446">
        <f>(1-G60)*(-VLOOKUP($B60,'Emissions factors'!$B$1719:$D$1730,2,FALSE)+VLOOKUP($B60,'Emissions factors'!$B$1719:$D$1730,3,FALSE))</f>
        <v>-3068</v>
      </c>
      <c r="K60" s="447">
        <f>F60*J60</f>
        <v>0</v>
      </c>
      <c r="M60" s="42"/>
      <c r="O60" s="282">
        <f>'Emissions factors'!$H$2259</f>
        <v>0.5</v>
      </c>
      <c r="P60" s="183"/>
      <c r="Q60" s="211">
        <f>I60*SQRT(O60^2+P60^2)</f>
        <v>0</v>
      </c>
      <c r="S60" s="183"/>
      <c r="T60" s="210">
        <f>I60*S60</f>
        <v>0</v>
      </c>
      <c r="U60" s="183"/>
      <c r="V60" s="211">
        <f>I60*U60</f>
        <v>0</v>
      </c>
      <c r="X60" s="717">
        <f>$F60*'Emissions factors'!D$2259</f>
        <v>0</v>
      </c>
      <c r="Y60" s="718">
        <f>$F60*'Emissions factors'!E$2259</f>
        <v>0</v>
      </c>
      <c r="Z60" s="718">
        <f>$F60*'Emissions factors'!F$2259</f>
        <v>0</v>
      </c>
      <c r="AA60" s="718">
        <v>0</v>
      </c>
      <c r="AB60" s="720">
        <f>I60</f>
        <v>0</v>
      </c>
      <c r="AC60" s="748">
        <f>$F60*'Emissions factors'!G$2259</f>
        <v>0</v>
      </c>
    </row>
    <row r="61" spans="2:29" outlineLevel="1" x14ac:dyDescent="0.2">
      <c r="B61" s="200" t="s">
        <v>160</v>
      </c>
      <c r="C61" s="201"/>
      <c r="D61" s="262">
        <f>I61</f>
        <v>0</v>
      </c>
      <c r="E61" s="265">
        <f>D61*12/44</f>
        <v>0</v>
      </c>
      <c r="F61" s="185"/>
      <c r="G61" s="437"/>
      <c r="H61" s="273">
        <f>'Emissions factors'!$C$2259</f>
        <v>33</v>
      </c>
      <c r="I61" s="210">
        <f>F61*H61</f>
        <v>0</v>
      </c>
      <c r="J61" s="446">
        <f>(1-G61)*(-VLOOKUP($B61,'Emissions factors'!$B$1719:$D$1730,2,FALSE)+VLOOKUP($B61,'Emissions factors'!$B$1719:$D$1730,3,FALSE))</f>
        <v>-3068</v>
      </c>
      <c r="K61" s="447">
        <f>F61*J61</f>
        <v>0</v>
      </c>
      <c r="M61" s="42"/>
      <c r="O61" s="282">
        <f>'Emissions factors'!$H$2259</f>
        <v>0.5</v>
      </c>
      <c r="P61" s="186"/>
      <c r="Q61" s="211">
        <f>I61*SQRT(O61^2+P61^2)</f>
        <v>0</v>
      </c>
      <c r="S61" s="186"/>
      <c r="T61" s="210">
        <f>I61*S61</f>
        <v>0</v>
      </c>
      <c r="U61" s="186"/>
      <c r="V61" s="211">
        <f>I61*U61</f>
        <v>0</v>
      </c>
      <c r="X61" s="717">
        <f>$F61*'Emissions factors'!D$2259</f>
        <v>0</v>
      </c>
      <c r="Y61" s="718">
        <f>$F61*'Emissions factors'!E$2259</f>
        <v>0</v>
      </c>
      <c r="Z61" s="718">
        <f>$F61*'Emissions factors'!F$2259</f>
        <v>0</v>
      </c>
      <c r="AA61" s="718">
        <v>0</v>
      </c>
      <c r="AB61" s="720">
        <f>I61</f>
        <v>0</v>
      </c>
      <c r="AC61" s="748">
        <f>$F61*'Emissions factors'!G$2259</f>
        <v>0</v>
      </c>
    </row>
    <row r="62" spans="2:29" outlineLevel="1" x14ac:dyDescent="0.2">
      <c r="B62" s="200" t="s">
        <v>161</v>
      </c>
      <c r="C62" s="201"/>
      <c r="D62" s="262">
        <f>I62</f>
        <v>0</v>
      </c>
      <c r="E62" s="265">
        <f>D62*12/44</f>
        <v>0</v>
      </c>
      <c r="F62" s="188"/>
      <c r="G62" s="438"/>
      <c r="H62" s="273">
        <f>'Emissions factors'!$C$2259</f>
        <v>33</v>
      </c>
      <c r="I62" s="210">
        <f>F62*H62</f>
        <v>0</v>
      </c>
      <c r="J62" s="446">
        <f>(1-G62)*(-VLOOKUP($B62,'Emissions factors'!$B$1719:$D$1730,2,FALSE)+VLOOKUP($B62,'Emissions factors'!$B$1719:$D$1730,3,FALSE))</f>
        <v>-1467</v>
      </c>
      <c r="K62" s="447">
        <f>F62*J62</f>
        <v>0</v>
      </c>
      <c r="M62" s="42"/>
      <c r="O62" s="282">
        <f>'Emissions factors'!$H$2259</f>
        <v>0.5</v>
      </c>
      <c r="P62" s="189"/>
      <c r="Q62" s="211">
        <f>I62*SQRT(O62^2+P62^2)</f>
        <v>0</v>
      </c>
      <c r="S62" s="189"/>
      <c r="T62" s="210">
        <f>I62*S62</f>
        <v>0</v>
      </c>
      <c r="U62" s="189"/>
      <c r="V62" s="211">
        <f>I62*U62</f>
        <v>0</v>
      </c>
      <c r="X62" s="717">
        <f>$F62*'Emissions factors'!D$2259</f>
        <v>0</v>
      </c>
      <c r="Y62" s="718">
        <f>$F62*'Emissions factors'!E$2259</f>
        <v>0</v>
      </c>
      <c r="Z62" s="718">
        <f>$F62*'Emissions factors'!F$2259</f>
        <v>0</v>
      </c>
      <c r="AA62" s="718">
        <v>0</v>
      </c>
      <c r="AB62" s="720">
        <f>I62</f>
        <v>0</v>
      </c>
      <c r="AC62" s="748">
        <f>$F62*'Emissions factors'!G$2259</f>
        <v>0</v>
      </c>
    </row>
    <row r="63" spans="2:29" outlineLevel="1" x14ac:dyDescent="0.2">
      <c r="B63" s="213"/>
      <c r="C63" s="214"/>
      <c r="D63" s="275"/>
      <c r="E63" s="268"/>
      <c r="F63" s="227"/>
      <c r="G63" s="469"/>
      <c r="H63" s="469"/>
      <c r="I63" s="463"/>
      <c r="J63" s="448"/>
      <c r="K63" s="449"/>
      <c r="M63" s="42"/>
      <c r="O63" s="220"/>
      <c r="P63" s="201"/>
      <c r="Q63" s="222"/>
      <c r="S63" s="200"/>
      <c r="T63" s="423"/>
      <c r="U63" s="201"/>
      <c r="V63" s="222"/>
      <c r="X63" s="717"/>
      <c r="Y63" s="718"/>
      <c r="Z63" s="718"/>
      <c r="AA63" s="718"/>
      <c r="AB63" s="720"/>
      <c r="AC63" s="749"/>
    </row>
    <row r="64" spans="2:29" outlineLevel="1" x14ac:dyDescent="0.2">
      <c r="B64" s="253" t="s">
        <v>2828</v>
      </c>
      <c r="C64" s="254"/>
      <c r="D64" s="264">
        <f>SUM(D60:D63)</f>
        <v>0</v>
      </c>
      <c r="E64" s="267">
        <f>SUM(E60:E63)</f>
        <v>0</v>
      </c>
      <c r="F64" s="260"/>
      <c r="G64" s="260"/>
      <c r="H64" s="260"/>
      <c r="I64" s="259">
        <f>SUM(I60:I63)</f>
        <v>0</v>
      </c>
      <c r="J64" s="529"/>
      <c r="K64" s="451">
        <f>SUM(K60:K63)</f>
        <v>0</v>
      </c>
      <c r="M64" s="42"/>
      <c r="O64" s="258"/>
      <c r="P64" s="256"/>
      <c r="Q64" s="257">
        <f>SQRT(SUMSQ(Q59:Q63))</f>
        <v>0</v>
      </c>
      <c r="S64" s="258"/>
      <c r="T64" s="259">
        <f>SUM(T60:T63)</f>
        <v>0</v>
      </c>
      <c r="U64" s="256"/>
      <c r="V64" s="257">
        <f>SUM(V60:V63)</f>
        <v>0</v>
      </c>
      <c r="X64" s="724">
        <f t="shared" ref="X64:AC64" si="5">SUM(X60:X63)</f>
        <v>0</v>
      </c>
      <c r="Y64" s="725">
        <f t="shared" si="5"/>
        <v>0</v>
      </c>
      <c r="Z64" s="725">
        <f t="shared" si="5"/>
        <v>0</v>
      </c>
      <c r="AA64" s="725">
        <f t="shared" si="5"/>
        <v>0</v>
      </c>
      <c r="AB64" s="727">
        <f t="shared" si="5"/>
        <v>0</v>
      </c>
      <c r="AC64" s="750">
        <f t="shared" si="5"/>
        <v>0</v>
      </c>
    </row>
    <row r="65" spans="2:29" outlineLevel="1" x14ac:dyDescent="0.2">
      <c r="J65" s="336"/>
    </row>
    <row r="66" spans="2:29" outlineLevel="1" x14ac:dyDescent="0.2">
      <c r="B66" s="195" t="s">
        <v>2952</v>
      </c>
      <c r="C66" s="196"/>
      <c r="D66" s="421"/>
      <c r="E66" s="421"/>
      <c r="F66" s="198"/>
      <c r="G66" s="198"/>
      <c r="H66" s="198"/>
      <c r="I66" s="198"/>
      <c r="J66" s="515"/>
      <c r="K66" s="516"/>
      <c r="M66" s="42"/>
      <c r="O66" s="1746" t="s">
        <v>723</v>
      </c>
      <c r="P66" s="1747"/>
      <c r="Q66" s="1748"/>
      <c r="S66" s="1746" t="s">
        <v>2066</v>
      </c>
      <c r="T66" s="1747"/>
      <c r="U66" s="1747"/>
      <c r="V66" s="1748"/>
      <c r="X66" s="1755" t="s">
        <v>2073</v>
      </c>
      <c r="Y66" s="1756"/>
      <c r="Z66" s="1756"/>
      <c r="AA66" s="1756"/>
      <c r="AB66" s="1756"/>
      <c r="AC66" s="1757"/>
    </row>
    <row r="67" spans="2:29" outlineLevel="1" x14ac:dyDescent="0.2">
      <c r="B67" s="417"/>
      <c r="C67" s="225"/>
      <c r="D67" s="424"/>
      <c r="E67" s="424"/>
      <c r="F67" s="201"/>
      <c r="G67" s="201"/>
      <c r="H67" s="201"/>
      <c r="I67" s="201"/>
      <c r="J67" s="444" t="s">
        <v>2619</v>
      </c>
      <c r="K67" s="445"/>
      <c r="M67" s="42"/>
      <c r="O67" s="461"/>
      <c r="P67" s="423"/>
      <c r="Q67" s="203"/>
      <c r="S67" s="461"/>
      <c r="T67" s="423"/>
      <c r="U67" s="423"/>
      <c r="V67" s="203"/>
      <c r="X67" s="778"/>
      <c r="Y67" s="779"/>
      <c r="Z67" s="779"/>
      <c r="AA67" s="779"/>
      <c r="AB67" s="741"/>
      <c r="AC67" s="780"/>
    </row>
    <row r="68" spans="2:29" outlineLevel="1" x14ac:dyDescent="0.2">
      <c r="B68" s="461"/>
      <c r="C68" s="423"/>
      <c r="D68" s="423" t="s">
        <v>56</v>
      </c>
      <c r="E68" s="423" t="s">
        <v>56</v>
      </c>
      <c r="F68" s="205" t="s">
        <v>11</v>
      </c>
      <c r="G68" s="205" t="s">
        <v>2691</v>
      </c>
      <c r="H68" s="423" t="s">
        <v>64</v>
      </c>
      <c r="I68" s="424" t="s">
        <v>61</v>
      </c>
      <c r="J68" s="444" t="s">
        <v>64</v>
      </c>
      <c r="K68" s="445" t="s">
        <v>61</v>
      </c>
      <c r="M68" s="42"/>
      <c r="O68" s="1634" t="s">
        <v>2605</v>
      </c>
      <c r="P68" s="423" t="s">
        <v>2110</v>
      </c>
      <c r="Q68" s="481" t="s">
        <v>61</v>
      </c>
      <c r="S68" s="461" t="s">
        <v>2065</v>
      </c>
      <c r="T68" s="424" t="s">
        <v>61</v>
      </c>
      <c r="U68" s="423" t="s">
        <v>2558</v>
      </c>
      <c r="V68" s="481" t="s">
        <v>61</v>
      </c>
      <c r="X68" s="1739" t="s">
        <v>61</v>
      </c>
      <c r="Y68" s="1740"/>
      <c r="Z68" s="1740"/>
      <c r="AA68" s="1740"/>
      <c r="AB68" s="741" t="s">
        <v>61</v>
      </c>
      <c r="AC68" s="742"/>
    </row>
    <row r="69" spans="2:29" outlineLevel="1" x14ac:dyDescent="0.2">
      <c r="B69" s="461"/>
      <c r="C69" s="423"/>
      <c r="D69" s="423" t="s">
        <v>61</v>
      </c>
      <c r="E69" s="423" t="s">
        <v>63</v>
      </c>
      <c r="F69" s="212" t="s">
        <v>2692</v>
      </c>
      <c r="G69" s="208" t="s">
        <v>2693</v>
      </c>
      <c r="H69" s="423" t="s">
        <v>2058</v>
      </c>
      <c r="I69" s="424"/>
      <c r="J69" s="444" t="s">
        <v>2058</v>
      </c>
      <c r="K69" s="445" t="s">
        <v>2618</v>
      </c>
      <c r="M69" s="42"/>
      <c r="O69" s="1634" t="s">
        <v>2109</v>
      </c>
      <c r="P69" s="423"/>
      <c r="Q69" s="481"/>
      <c r="S69" s="461"/>
      <c r="T69" s="424"/>
      <c r="U69" s="423"/>
      <c r="V69" s="481"/>
      <c r="X69" s="744" t="s">
        <v>14</v>
      </c>
      <c r="Y69" s="745" t="s">
        <v>60</v>
      </c>
      <c r="Z69" s="745" t="s">
        <v>27</v>
      </c>
      <c r="AA69" s="745" t="s">
        <v>2074</v>
      </c>
      <c r="AB69" s="746" t="s">
        <v>41</v>
      </c>
      <c r="AC69" s="747" t="s">
        <v>85</v>
      </c>
    </row>
    <row r="70" spans="2:29" outlineLevel="1" x14ac:dyDescent="0.2">
      <c r="B70" s="200" t="s">
        <v>1532</v>
      </c>
      <c r="C70" s="201"/>
      <c r="D70" s="262">
        <f>I70</f>
        <v>0</v>
      </c>
      <c r="E70" s="265">
        <f>D70*12/44</f>
        <v>0</v>
      </c>
      <c r="F70" s="182"/>
      <c r="G70" s="436"/>
      <c r="H70" s="273">
        <f>'Emissions factors'!$C$2259</f>
        <v>33</v>
      </c>
      <c r="I70" s="210">
        <f>F70*H70</f>
        <v>0</v>
      </c>
      <c r="J70" s="446">
        <f>(1-G70)*(-VLOOKUP($B70,'Emissions factors'!$B$1704:$D$1714,2,FALSE)+VLOOKUP($B70,'Emissions factors'!$B$1704:$D$1714,3,FALSE))</f>
        <v>-914</v>
      </c>
      <c r="K70" s="447">
        <f>F70*J70</f>
        <v>0</v>
      </c>
      <c r="M70" s="42"/>
      <c r="O70" s="282">
        <f>'Emissions factors'!$H$2259</f>
        <v>0.5</v>
      </c>
      <c r="P70" s="183"/>
      <c r="Q70" s="211">
        <f>I70*SQRT(O70^2+P70^2)</f>
        <v>0</v>
      </c>
      <c r="S70" s="183"/>
      <c r="T70" s="210">
        <f>I70*S70</f>
        <v>0</v>
      </c>
      <c r="U70" s="183"/>
      <c r="V70" s="211">
        <f>I70*U70</f>
        <v>0</v>
      </c>
      <c r="X70" s="717">
        <f>$F70*'Emissions factors'!D$2259</f>
        <v>0</v>
      </c>
      <c r="Y70" s="718">
        <f>$F70*'Emissions factors'!E$2259</f>
        <v>0</v>
      </c>
      <c r="Z70" s="718">
        <f>$F70*'Emissions factors'!F$2259</f>
        <v>0</v>
      </c>
      <c r="AA70" s="718">
        <v>0</v>
      </c>
      <c r="AB70" s="720">
        <f>I70</f>
        <v>0</v>
      </c>
      <c r="AC70" s="748">
        <f>$F70*'Emissions factors'!G$2259</f>
        <v>0</v>
      </c>
    </row>
    <row r="71" spans="2:29" outlineLevel="1" x14ac:dyDescent="0.2">
      <c r="B71" s="200" t="s">
        <v>1536</v>
      </c>
      <c r="C71" s="201"/>
      <c r="D71" s="262">
        <f>I71</f>
        <v>0</v>
      </c>
      <c r="E71" s="265">
        <f>D71*12/44</f>
        <v>0</v>
      </c>
      <c r="F71" s="185"/>
      <c r="G71" s="437"/>
      <c r="H71" s="273">
        <f>'Emissions factors'!$C$2259</f>
        <v>33</v>
      </c>
      <c r="I71" s="210">
        <f>F71*H71</f>
        <v>0</v>
      </c>
      <c r="J71" s="446">
        <f>(1-G71)*(-VLOOKUP($B71,'Emissions factors'!$B$1704:$D$1714,2,FALSE)+VLOOKUP($B71,'Emissions factors'!$B$1704:$D$1714,3,FALSE))</f>
        <v>0</v>
      </c>
      <c r="K71" s="447">
        <f>F71*J71</f>
        <v>0</v>
      </c>
      <c r="M71" s="42"/>
      <c r="O71" s="282">
        <f>'Emissions factors'!$H$2259</f>
        <v>0.5</v>
      </c>
      <c r="P71" s="186"/>
      <c r="Q71" s="211">
        <f>I71*SQRT(O71^2+P71^2)</f>
        <v>0</v>
      </c>
      <c r="S71" s="186"/>
      <c r="T71" s="210">
        <f>I71*S71</f>
        <v>0</v>
      </c>
      <c r="U71" s="186"/>
      <c r="V71" s="211">
        <f>I71*U71</f>
        <v>0</v>
      </c>
      <c r="X71" s="717">
        <f>$F71*'Emissions factors'!D$2259</f>
        <v>0</v>
      </c>
      <c r="Y71" s="718">
        <f>$F71*'Emissions factors'!E$2259</f>
        <v>0</v>
      </c>
      <c r="Z71" s="718">
        <f>$F71*'Emissions factors'!F$2259</f>
        <v>0</v>
      </c>
      <c r="AA71" s="718">
        <v>0</v>
      </c>
      <c r="AB71" s="720">
        <f>I71</f>
        <v>0</v>
      </c>
      <c r="AC71" s="748">
        <f>$F71*'Emissions factors'!G$2259</f>
        <v>0</v>
      </c>
    </row>
    <row r="72" spans="2:29" outlineLevel="1" x14ac:dyDescent="0.2">
      <c r="B72" s="200" t="s">
        <v>1540</v>
      </c>
      <c r="C72" s="201"/>
      <c r="D72" s="262">
        <f>I72</f>
        <v>0</v>
      </c>
      <c r="E72" s="265">
        <f>D72*12/44</f>
        <v>0</v>
      </c>
      <c r="F72" s="188"/>
      <c r="G72" s="438"/>
      <c r="H72" s="273">
        <f>'Emissions factors'!$C$2259</f>
        <v>33</v>
      </c>
      <c r="I72" s="210">
        <f>F72*H72</f>
        <v>0</v>
      </c>
      <c r="J72" s="446">
        <f>(1-G72)*(-VLOOKUP($B72,'Emissions factors'!$B$1704:$D$1714,2,FALSE)+VLOOKUP($B72,'Emissions factors'!$B$1704:$D$1714,3,FALSE))</f>
        <v>0</v>
      </c>
      <c r="K72" s="447">
        <f>F72*J72</f>
        <v>0</v>
      </c>
      <c r="M72" s="42"/>
      <c r="O72" s="282">
        <f>'Emissions factors'!$H$2259</f>
        <v>0.5</v>
      </c>
      <c r="P72" s="189"/>
      <c r="Q72" s="211">
        <f>I72*SQRT(O72^2+P72^2)</f>
        <v>0</v>
      </c>
      <c r="S72" s="189"/>
      <c r="T72" s="210">
        <f>I72*S72</f>
        <v>0</v>
      </c>
      <c r="U72" s="189"/>
      <c r="V72" s="211">
        <f>I72*U72</f>
        <v>0</v>
      </c>
      <c r="X72" s="717">
        <f>$F72*'Emissions factors'!D$2259</f>
        <v>0</v>
      </c>
      <c r="Y72" s="718">
        <f>$F72*'Emissions factors'!E$2259</f>
        <v>0</v>
      </c>
      <c r="Z72" s="718">
        <f>$F72*'Emissions factors'!F$2259</f>
        <v>0</v>
      </c>
      <c r="AA72" s="718">
        <v>0</v>
      </c>
      <c r="AB72" s="720">
        <f>I72</f>
        <v>0</v>
      </c>
      <c r="AC72" s="748">
        <f>$F72*'Emissions factors'!G$2259</f>
        <v>0</v>
      </c>
    </row>
    <row r="73" spans="2:29" outlineLevel="1" x14ac:dyDescent="0.2">
      <c r="B73" s="213"/>
      <c r="C73" s="214"/>
      <c r="D73" s="275"/>
      <c r="E73" s="268"/>
      <c r="F73" s="227"/>
      <c r="G73" s="469"/>
      <c r="H73" s="469"/>
      <c r="I73" s="463"/>
      <c r="J73" s="448"/>
      <c r="K73" s="449"/>
      <c r="M73" s="42"/>
      <c r="O73" s="220"/>
      <c r="P73" s="201"/>
      <c r="Q73" s="222"/>
      <c r="S73" s="200"/>
      <c r="T73" s="423"/>
      <c r="U73" s="201"/>
      <c r="V73" s="222"/>
      <c r="X73" s="717"/>
      <c r="Y73" s="718"/>
      <c r="Z73" s="718"/>
      <c r="AA73" s="718"/>
      <c r="AB73" s="720"/>
      <c r="AC73" s="749"/>
    </row>
    <row r="74" spans="2:29" outlineLevel="1" x14ac:dyDescent="0.2">
      <c r="B74" s="253" t="s">
        <v>2828</v>
      </c>
      <c r="C74" s="254"/>
      <c r="D74" s="264">
        <f>SUM(D70:D73)</f>
        <v>0</v>
      </c>
      <c r="E74" s="267">
        <f>SUM(E70:E73)</f>
        <v>0</v>
      </c>
      <c r="F74" s="260"/>
      <c r="G74" s="260"/>
      <c r="H74" s="260"/>
      <c r="I74" s="259">
        <f>SUM(I70:I73)</f>
        <v>0</v>
      </c>
      <c r="J74" s="529"/>
      <c r="K74" s="451">
        <f>SUM(K70:K73)</f>
        <v>0</v>
      </c>
      <c r="M74" s="42"/>
      <c r="O74" s="258"/>
      <c r="P74" s="256"/>
      <c r="Q74" s="257">
        <f>SQRT(SUMSQ(Q69:Q73))</f>
        <v>0</v>
      </c>
      <c r="S74" s="258"/>
      <c r="T74" s="259">
        <f>SUM(T70:T73)</f>
        <v>0</v>
      </c>
      <c r="U74" s="256"/>
      <c r="V74" s="257">
        <f>SUM(V70:V73)</f>
        <v>0</v>
      </c>
      <c r="X74" s="724">
        <f t="shared" ref="X74:AC74" si="6">SUM(X70:X73)</f>
        <v>0</v>
      </c>
      <c r="Y74" s="725">
        <f t="shared" si="6"/>
        <v>0</v>
      </c>
      <c r="Z74" s="725">
        <f t="shared" si="6"/>
        <v>0</v>
      </c>
      <c r="AA74" s="725">
        <f t="shared" si="6"/>
        <v>0</v>
      </c>
      <c r="AB74" s="727">
        <f t="shared" si="6"/>
        <v>0</v>
      </c>
      <c r="AC74" s="750">
        <f t="shared" si="6"/>
        <v>0</v>
      </c>
    </row>
    <row r="75" spans="2:29" outlineLevel="1" x14ac:dyDescent="0.2">
      <c r="J75" s="336"/>
    </row>
    <row r="76" spans="2:29" outlineLevel="1" x14ac:dyDescent="0.2">
      <c r="B76" s="195" t="s">
        <v>2953</v>
      </c>
      <c r="C76" s="196"/>
      <c r="D76" s="421"/>
      <c r="E76" s="421"/>
      <c r="F76" s="198"/>
      <c r="G76" s="198"/>
      <c r="H76" s="198"/>
      <c r="I76" s="198"/>
      <c r="J76" s="515"/>
      <c r="K76" s="516"/>
      <c r="M76" s="42"/>
      <c r="O76" s="1746" t="s">
        <v>723</v>
      </c>
      <c r="P76" s="1747"/>
      <c r="Q76" s="1748"/>
      <c r="S76" s="1746" t="s">
        <v>2066</v>
      </c>
      <c r="T76" s="1747"/>
      <c r="U76" s="1747"/>
      <c r="V76" s="1748"/>
      <c r="X76" s="1755" t="s">
        <v>2073</v>
      </c>
      <c r="Y76" s="1756"/>
      <c r="Z76" s="1756"/>
      <c r="AA76" s="1756"/>
      <c r="AB76" s="1756"/>
      <c r="AC76" s="1757"/>
    </row>
    <row r="77" spans="2:29" outlineLevel="1" x14ac:dyDescent="0.2">
      <c r="B77" s="417"/>
      <c r="C77" s="225"/>
      <c r="D77" s="424"/>
      <c r="E77" s="424"/>
      <c r="F77" s="201"/>
      <c r="G77" s="201"/>
      <c r="H77" s="201"/>
      <c r="I77" s="201"/>
      <c r="J77" s="444" t="s">
        <v>2619</v>
      </c>
      <c r="K77" s="445"/>
      <c r="M77" s="42"/>
      <c r="O77" s="461"/>
      <c r="P77" s="423"/>
      <c r="Q77" s="203"/>
      <c r="S77" s="461"/>
      <c r="T77" s="423"/>
      <c r="U77" s="423"/>
      <c r="V77" s="203"/>
      <c r="X77" s="778"/>
      <c r="Y77" s="779"/>
      <c r="Z77" s="779"/>
      <c r="AA77" s="779"/>
      <c r="AB77" s="741"/>
      <c r="AC77" s="780"/>
    </row>
    <row r="78" spans="2:29" outlineLevel="1" x14ac:dyDescent="0.2">
      <c r="B78" s="461"/>
      <c r="C78" s="423"/>
      <c r="D78" s="423" t="s">
        <v>56</v>
      </c>
      <c r="E78" s="423" t="s">
        <v>56</v>
      </c>
      <c r="F78" s="205" t="s">
        <v>11</v>
      </c>
      <c r="G78" s="205" t="s">
        <v>2691</v>
      </c>
      <c r="H78" s="423" t="s">
        <v>64</v>
      </c>
      <c r="I78" s="424" t="s">
        <v>61</v>
      </c>
      <c r="J78" s="444" t="s">
        <v>64</v>
      </c>
      <c r="K78" s="445" t="s">
        <v>61</v>
      </c>
      <c r="M78" s="42"/>
      <c r="O78" s="1634" t="s">
        <v>2605</v>
      </c>
      <c r="P78" s="423" t="s">
        <v>2110</v>
      </c>
      <c r="Q78" s="481" t="s">
        <v>61</v>
      </c>
      <c r="S78" s="461" t="s">
        <v>2065</v>
      </c>
      <c r="T78" s="424" t="s">
        <v>61</v>
      </c>
      <c r="U78" s="423" t="s">
        <v>2558</v>
      </c>
      <c r="V78" s="481" t="s">
        <v>61</v>
      </c>
      <c r="X78" s="1739" t="s">
        <v>61</v>
      </c>
      <c r="Y78" s="1740"/>
      <c r="Z78" s="1740"/>
      <c r="AA78" s="1740"/>
      <c r="AB78" s="741" t="s">
        <v>61</v>
      </c>
      <c r="AC78" s="742"/>
    </row>
    <row r="79" spans="2:29" outlineLevel="1" x14ac:dyDescent="0.2">
      <c r="B79" s="461"/>
      <c r="C79" s="423"/>
      <c r="D79" s="423" t="s">
        <v>61</v>
      </c>
      <c r="E79" s="423" t="s">
        <v>63</v>
      </c>
      <c r="F79" s="212" t="s">
        <v>2692</v>
      </c>
      <c r="G79" s="208" t="s">
        <v>2693</v>
      </c>
      <c r="H79" s="423" t="s">
        <v>2058</v>
      </c>
      <c r="I79" s="424"/>
      <c r="J79" s="444" t="s">
        <v>2058</v>
      </c>
      <c r="K79" s="445" t="s">
        <v>2618</v>
      </c>
      <c r="M79" s="42"/>
      <c r="O79" s="1634" t="s">
        <v>2109</v>
      </c>
      <c r="P79" s="423"/>
      <c r="Q79" s="481"/>
      <c r="S79" s="461"/>
      <c r="T79" s="424"/>
      <c r="U79" s="423"/>
      <c r="V79" s="481"/>
      <c r="X79" s="744" t="s">
        <v>14</v>
      </c>
      <c r="Y79" s="745" t="s">
        <v>60</v>
      </c>
      <c r="Z79" s="745" t="s">
        <v>27</v>
      </c>
      <c r="AA79" s="745" t="s">
        <v>2074</v>
      </c>
      <c r="AB79" s="746" t="s">
        <v>41</v>
      </c>
      <c r="AC79" s="747" t="s">
        <v>85</v>
      </c>
    </row>
    <row r="80" spans="2:29" outlineLevel="1" x14ac:dyDescent="0.2">
      <c r="B80" s="200" t="s">
        <v>1550</v>
      </c>
      <c r="C80" s="201"/>
      <c r="D80" s="262">
        <f>I80</f>
        <v>0</v>
      </c>
      <c r="E80" s="265">
        <f>D80*12/44</f>
        <v>0</v>
      </c>
      <c r="F80" s="182"/>
      <c r="G80" s="436"/>
      <c r="H80" s="273">
        <f>'Emissions factors'!$C$2259</f>
        <v>33</v>
      </c>
      <c r="I80" s="210">
        <f>F80*H80</f>
        <v>0</v>
      </c>
      <c r="J80" s="446">
        <f>(1-G80)*(-VLOOKUP($B80,'Emissions factors'!$B$1735:$D$1741,2,FALSE)+VLOOKUP($B80,'Emissions factors'!$B$1735:$D$1741,3,FALSE))</f>
        <v>30</v>
      </c>
      <c r="K80" s="447">
        <f>F80*J80</f>
        <v>0</v>
      </c>
      <c r="M80" s="42"/>
      <c r="O80" s="282">
        <f>'Emissions factors'!$H$2259</f>
        <v>0.5</v>
      </c>
      <c r="P80" s="183"/>
      <c r="Q80" s="211">
        <f>I80*SQRT(O80^2+P80^2)</f>
        <v>0</v>
      </c>
      <c r="S80" s="183"/>
      <c r="T80" s="210">
        <f>I80*S80</f>
        <v>0</v>
      </c>
      <c r="U80" s="183"/>
      <c r="V80" s="211">
        <f>I80*U80</f>
        <v>0</v>
      </c>
      <c r="X80" s="717">
        <f>$F80*'Emissions factors'!D$2259</f>
        <v>0</v>
      </c>
      <c r="Y80" s="718">
        <f>$F80*'Emissions factors'!E$2259</f>
        <v>0</v>
      </c>
      <c r="Z80" s="718">
        <f>$F80*'Emissions factors'!F$2259</f>
        <v>0</v>
      </c>
      <c r="AA80" s="718">
        <v>0</v>
      </c>
      <c r="AB80" s="720">
        <f>I80</f>
        <v>0</v>
      </c>
      <c r="AC80" s="748">
        <f>$F80*'Emissions factors'!G$2259</f>
        <v>0</v>
      </c>
    </row>
    <row r="81" spans="2:29" outlineLevel="1" x14ac:dyDescent="0.2">
      <c r="B81" s="200" t="s">
        <v>1551</v>
      </c>
      <c r="C81" s="201"/>
      <c r="D81" s="262">
        <f>I81</f>
        <v>0</v>
      </c>
      <c r="E81" s="265">
        <f>D81*12/44</f>
        <v>0</v>
      </c>
      <c r="F81" s="185"/>
      <c r="G81" s="437"/>
      <c r="H81" s="273">
        <f>'Emissions factors'!$C$2259</f>
        <v>33</v>
      </c>
      <c r="I81" s="210">
        <f>F81*H81</f>
        <v>0</v>
      </c>
      <c r="J81" s="446">
        <f>(1-G81)*(-VLOOKUP($B81,'Emissions factors'!$B$1735:$D$1741,2,FALSE)+VLOOKUP($B81,'Emissions factors'!$B$1735:$D$1741,3,FALSE))</f>
        <v>70</v>
      </c>
      <c r="K81" s="447">
        <f>F81*J81</f>
        <v>0</v>
      </c>
      <c r="M81" s="42"/>
      <c r="O81" s="282">
        <f>'Emissions factors'!$H$2259</f>
        <v>0.5</v>
      </c>
      <c r="P81" s="186"/>
      <c r="Q81" s="211">
        <f>I81*SQRT(O81^2+P81^2)</f>
        <v>0</v>
      </c>
      <c r="S81" s="186"/>
      <c r="T81" s="210">
        <f>I81*S81</f>
        <v>0</v>
      </c>
      <c r="U81" s="186"/>
      <c r="V81" s="211">
        <f>I81*U81</f>
        <v>0</v>
      </c>
      <c r="X81" s="717">
        <f>$F81*'Emissions factors'!D$2259</f>
        <v>0</v>
      </c>
      <c r="Y81" s="718">
        <f>$F81*'Emissions factors'!E$2259</f>
        <v>0</v>
      </c>
      <c r="Z81" s="718">
        <f>$F81*'Emissions factors'!F$2259</f>
        <v>0</v>
      </c>
      <c r="AA81" s="718">
        <v>0</v>
      </c>
      <c r="AB81" s="720">
        <f>I81</f>
        <v>0</v>
      </c>
      <c r="AC81" s="748">
        <f>$F81*'Emissions factors'!G$2259</f>
        <v>0</v>
      </c>
    </row>
    <row r="82" spans="2:29" outlineLevel="1" x14ac:dyDescent="0.2">
      <c r="B82" s="200" t="s">
        <v>1549</v>
      </c>
      <c r="C82" s="201"/>
      <c r="D82" s="262">
        <f>I82</f>
        <v>0</v>
      </c>
      <c r="E82" s="265">
        <f>D82*12/44</f>
        <v>0</v>
      </c>
      <c r="F82" s="188"/>
      <c r="G82" s="438"/>
      <c r="H82" s="273">
        <f>'Emissions factors'!$C$2259</f>
        <v>33</v>
      </c>
      <c r="I82" s="210">
        <f>F82*H82</f>
        <v>0</v>
      </c>
      <c r="J82" s="446">
        <f>(1-G82)*(-VLOOKUP($B82,'Emissions factors'!$B$1735:$D$1741,2,FALSE)+VLOOKUP($B82,'Emissions factors'!$B$1735:$D$1741,3,FALSE))</f>
        <v>0</v>
      </c>
      <c r="K82" s="447">
        <f>F82*J82</f>
        <v>0</v>
      </c>
      <c r="M82" s="42"/>
      <c r="O82" s="282">
        <f>'Emissions factors'!$H$2259</f>
        <v>0.5</v>
      </c>
      <c r="P82" s="189"/>
      <c r="Q82" s="211">
        <f>I82*SQRT(O82^2+P82^2)</f>
        <v>0</v>
      </c>
      <c r="S82" s="189"/>
      <c r="T82" s="210">
        <f>I82*S82</f>
        <v>0</v>
      </c>
      <c r="U82" s="189"/>
      <c r="V82" s="211">
        <f>I82*U82</f>
        <v>0</v>
      </c>
      <c r="X82" s="717">
        <f>$F82*'Emissions factors'!D$2259</f>
        <v>0</v>
      </c>
      <c r="Y82" s="718">
        <f>$F82*'Emissions factors'!E$2259</f>
        <v>0</v>
      </c>
      <c r="Z82" s="718">
        <f>$F82*'Emissions factors'!F$2259</f>
        <v>0</v>
      </c>
      <c r="AA82" s="718">
        <v>0</v>
      </c>
      <c r="AB82" s="720">
        <f>I82</f>
        <v>0</v>
      </c>
      <c r="AC82" s="748">
        <f>$F82*'Emissions factors'!G$2259</f>
        <v>0</v>
      </c>
    </row>
    <row r="83" spans="2:29" outlineLevel="1" x14ac:dyDescent="0.2">
      <c r="B83" s="213"/>
      <c r="C83" s="214"/>
      <c r="D83" s="275"/>
      <c r="E83" s="268"/>
      <c r="F83" s="227"/>
      <c r="G83" s="469"/>
      <c r="H83" s="469"/>
      <c r="I83" s="463"/>
      <c r="J83" s="448"/>
      <c r="K83" s="449"/>
      <c r="M83" s="42"/>
      <c r="O83" s="220"/>
      <c r="P83" s="201"/>
      <c r="Q83" s="222"/>
      <c r="S83" s="200"/>
      <c r="T83" s="423"/>
      <c r="U83" s="201"/>
      <c r="V83" s="211"/>
      <c r="X83" s="717"/>
      <c r="Y83" s="718"/>
      <c r="Z83" s="718"/>
      <c r="AA83" s="718"/>
      <c r="AB83" s="720"/>
      <c r="AC83" s="749"/>
    </row>
    <row r="84" spans="2:29" outlineLevel="1" x14ac:dyDescent="0.2">
      <c r="B84" s="253" t="s">
        <v>2828</v>
      </c>
      <c r="C84" s="254"/>
      <c r="D84" s="264">
        <f>SUM(D80:D83)</f>
        <v>0</v>
      </c>
      <c r="E84" s="267">
        <f>SUM(E80:E83)</f>
        <v>0</v>
      </c>
      <c r="F84" s="260"/>
      <c r="G84" s="260"/>
      <c r="H84" s="260"/>
      <c r="I84" s="259">
        <f>SUM(I80:I83)</f>
        <v>0</v>
      </c>
      <c r="J84" s="529"/>
      <c r="K84" s="451">
        <f>SUM(K80:K83)</f>
        <v>0</v>
      </c>
      <c r="M84" s="42"/>
      <c r="O84" s="258"/>
      <c r="P84" s="256"/>
      <c r="Q84" s="257">
        <f>SQRT(SUMSQ(Q79:Q83))</f>
        <v>0</v>
      </c>
      <c r="S84" s="258"/>
      <c r="T84" s="259">
        <f>SUM(T80:T83)</f>
        <v>0</v>
      </c>
      <c r="U84" s="256"/>
      <c r="V84" s="257">
        <f>SUM(V80:V83)</f>
        <v>0</v>
      </c>
      <c r="X84" s="724">
        <f t="shared" ref="X84:AC84" si="7">SUM(X80:X83)</f>
        <v>0</v>
      </c>
      <c r="Y84" s="725">
        <f t="shared" si="7"/>
        <v>0</v>
      </c>
      <c r="Z84" s="725">
        <f t="shared" si="7"/>
        <v>0</v>
      </c>
      <c r="AA84" s="725">
        <f t="shared" si="7"/>
        <v>0</v>
      </c>
      <c r="AB84" s="727">
        <f t="shared" si="7"/>
        <v>0</v>
      </c>
      <c r="AC84" s="750">
        <f t="shared" si="7"/>
        <v>0</v>
      </c>
    </row>
    <row r="85" spans="2:29" outlineLevel="1" x14ac:dyDescent="0.2">
      <c r="I85" s="322"/>
    </row>
    <row r="86" spans="2:29" outlineLevel="1" x14ac:dyDescent="0.2">
      <c r="I86" s="322"/>
    </row>
    <row r="87" spans="2:29" outlineLevel="1" x14ac:dyDescent="0.2">
      <c r="B87" s="1719" t="s">
        <v>3304</v>
      </c>
      <c r="C87" s="196"/>
      <c r="D87" s="421"/>
      <c r="E87" s="421"/>
      <c r="F87" s="198"/>
      <c r="G87" s="198"/>
      <c r="H87" s="198"/>
      <c r="I87" s="198"/>
      <c r="J87" s="515"/>
      <c r="K87" s="516"/>
      <c r="O87" s="1746" t="s">
        <v>723</v>
      </c>
      <c r="P87" s="1747"/>
      <c r="Q87" s="1748"/>
      <c r="S87" s="1746" t="s">
        <v>2066</v>
      </c>
      <c r="T87" s="1747"/>
      <c r="U87" s="1747"/>
      <c r="V87" s="1748"/>
      <c r="X87" s="1755" t="s">
        <v>2073</v>
      </c>
      <c r="Y87" s="1756"/>
      <c r="Z87" s="1756"/>
      <c r="AA87" s="1756"/>
      <c r="AB87" s="1756"/>
      <c r="AC87" s="1757"/>
    </row>
    <row r="88" spans="2:29" outlineLevel="1" x14ac:dyDescent="0.2">
      <c r="B88" s="417"/>
      <c r="C88" s="225"/>
      <c r="D88" s="424"/>
      <c r="E88" s="424"/>
      <c r="F88" s="201"/>
      <c r="G88" s="201"/>
      <c r="H88" s="201"/>
      <c r="I88" s="201"/>
      <c r="J88" s="444" t="s">
        <v>2619</v>
      </c>
      <c r="K88" s="445"/>
      <c r="O88" s="461"/>
      <c r="P88" s="423"/>
      <c r="Q88" s="203"/>
      <c r="S88" s="461"/>
      <c r="T88" s="423"/>
      <c r="U88" s="423"/>
      <c r="V88" s="203"/>
      <c r="X88" s="778"/>
      <c r="Y88" s="779"/>
      <c r="Z88" s="779"/>
      <c r="AA88" s="779"/>
      <c r="AB88" s="741"/>
      <c r="AC88" s="780"/>
    </row>
    <row r="89" spans="2:29" outlineLevel="1" x14ac:dyDescent="0.2">
      <c r="B89" s="461"/>
      <c r="C89" s="423"/>
      <c r="D89" s="423" t="s">
        <v>56</v>
      </c>
      <c r="E89" s="423" t="s">
        <v>56</v>
      </c>
      <c r="F89" s="205" t="s">
        <v>11</v>
      </c>
      <c r="G89" s="205" t="s">
        <v>2691</v>
      </c>
      <c r="H89" s="423" t="s">
        <v>64</v>
      </c>
      <c r="I89" s="424" t="s">
        <v>61</v>
      </c>
      <c r="J89" s="444" t="s">
        <v>64</v>
      </c>
      <c r="K89" s="445" t="s">
        <v>61</v>
      </c>
      <c r="O89" s="1634" t="s">
        <v>2605</v>
      </c>
      <c r="P89" s="423" t="s">
        <v>2110</v>
      </c>
      <c r="Q89" s="481" t="s">
        <v>61</v>
      </c>
      <c r="S89" s="461" t="s">
        <v>2065</v>
      </c>
      <c r="T89" s="424" t="s">
        <v>61</v>
      </c>
      <c r="U89" s="423" t="s">
        <v>2558</v>
      </c>
      <c r="V89" s="481" t="s">
        <v>61</v>
      </c>
      <c r="X89" s="1739" t="s">
        <v>61</v>
      </c>
      <c r="Y89" s="1740"/>
      <c r="Z89" s="1740"/>
      <c r="AA89" s="1740"/>
      <c r="AB89" s="741" t="s">
        <v>61</v>
      </c>
      <c r="AC89" s="742"/>
    </row>
    <row r="90" spans="2:29" outlineLevel="1" x14ac:dyDescent="0.2">
      <c r="B90" s="461"/>
      <c r="C90" s="423"/>
      <c r="D90" s="423" t="s">
        <v>61</v>
      </c>
      <c r="E90" s="423" t="s">
        <v>63</v>
      </c>
      <c r="F90" s="208" t="s">
        <v>2687</v>
      </c>
      <c r="G90" s="208" t="s">
        <v>2693</v>
      </c>
      <c r="H90" s="423" t="s">
        <v>2058</v>
      </c>
      <c r="I90" s="424"/>
      <c r="J90" s="444" t="s">
        <v>2058</v>
      </c>
      <c r="K90" s="445" t="s">
        <v>2618</v>
      </c>
      <c r="O90" s="1634" t="s">
        <v>2109</v>
      </c>
      <c r="P90" s="423"/>
      <c r="Q90" s="481"/>
      <c r="S90" s="461"/>
      <c r="T90" s="424"/>
      <c r="U90" s="423"/>
      <c r="V90" s="481"/>
      <c r="X90" s="744" t="s">
        <v>14</v>
      </c>
      <c r="Y90" s="745" t="s">
        <v>60</v>
      </c>
      <c r="Z90" s="745" t="s">
        <v>27</v>
      </c>
      <c r="AA90" s="745" t="s">
        <v>2074</v>
      </c>
      <c r="AB90" s="746" t="s">
        <v>41</v>
      </c>
      <c r="AC90" s="747" t="s">
        <v>85</v>
      </c>
    </row>
    <row r="91" spans="2:29" outlineLevel="1" x14ac:dyDescent="0.2">
      <c r="B91" s="480" t="s">
        <v>3275</v>
      </c>
      <c r="C91" s="221"/>
      <c r="D91" s="262">
        <f>I91</f>
        <v>0</v>
      </c>
      <c r="E91" s="265">
        <f>D91*12/44</f>
        <v>0</v>
      </c>
      <c r="F91" s="182"/>
      <c r="G91" s="436">
        <v>1</v>
      </c>
      <c r="H91" s="273">
        <f>VLOOKUP($B91,'Emissions factors'!$B$2294:$J$2310,2,FALSE)</f>
        <v>1228.3</v>
      </c>
      <c r="I91" s="210">
        <f>F91*H91</f>
        <v>0</v>
      </c>
      <c r="J91" s="446">
        <f>(1-G91)*VLOOKUP($B91,'Emissions factors'!$B$2273:$N$2288,11,FALSE)*VLOOKUP($B91,'Emissions factors'!$B$2294:$J$2310,8,FALSE)</f>
        <v>0</v>
      </c>
      <c r="K91" s="447">
        <f>F91*J91</f>
        <v>0</v>
      </c>
      <c r="O91" s="282">
        <f>VLOOKUP($B91,'Emissions factors'!$B$2294:$J$2310,9,FALSE)</f>
        <v>0</v>
      </c>
      <c r="P91" s="436"/>
      <c r="Q91" s="211">
        <f>I91*SQRT(O91^2+P91^2)</f>
        <v>0</v>
      </c>
      <c r="S91" s="184"/>
      <c r="T91" s="210">
        <f>I91*S91</f>
        <v>0</v>
      </c>
      <c r="U91" s="184"/>
      <c r="V91" s="211">
        <f>I91*U91</f>
        <v>0</v>
      </c>
      <c r="X91" s="717">
        <f>$F91*VLOOKUP($B91,'Emissions factors'!$B$2294:$J$2310,3,FALSE)</f>
        <v>0</v>
      </c>
      <c r="Y91" s="718">
        <f>$F91*VLOOKUP($B91,'Emissions factors'!$B$2294:$J$2310,4,FALSE)</f>
        <v>0</v>
      </c>
      <c r="Z91" s="718">
        <f>$F91*VLOOKUP($B91,'Emissions factors'!$B$2294:$J$2310,5,FALSE)</f>
        <v>0</v>
      </c>
      <c r="AA91" s="718">
        <v>0</v>
      </c>
      <c r="AB91" s="720">
        <f>I91</f>
        <v>0</v>
      </c>
      <c r="AC91" s="748">
        <f>$F91*VLOOKUP($B91,'Emissions factors'!$B$2294:$J$2310,6,FALSE)</f>
        <v>0</v>
      </c>
    </row>
    <row r="92" spans="2:29" outlineLevel="1" x14ac:dyDescent="0.2">
      <c r="B92" s="480" t="s">
        <v>3274</v>
      </c>
      <c r="C92" s="221"/>
      <c r="D92" s="262">
        <f>I92</f>
        <v>0</v>
      </c>
      <c r="E92" s="265">
        <f>D92*12/44</f>
        <v>0</v>
      </c>
      <c r="F92" s="185"/>
      <c r="G92" s="437">
        <v>0.15</v>
      </c>
      <c r="H92" s="273">
        <f>VLOOKUP($B92,'Emissions factors'!$B$2294:$J$2310,2,FALSE)</f>
        <v>317.3</v>
      </c>
      <c r="I92" s="210">
        <f>F92*H92</f>
        <v>0</v>
      </c>
      <c r="J92" s="446">
        <f>(1-G92)*VLOOKUP($B92,'Emissions factors'!$B$2273:$N$2288,11,FALSE)*VLOOKUP($B92,'Emissions factors'!$B$2294:$J$2310,8,FALSE)+VLOOKUP($B92,'Emissions factors'!$B$2195:$J$2209,8,FALSE)*VLOOKUP($B92,'Emissions factors'!$B$2195:$J$2209,4,FALSE)+VLOOKUP($B92,'Emissions factors'!$B$2238:$J$2252,8,FALSE)*VLOOKUP($B92,'Emissions factors'!$B$2238:$J$2252,7,FALSE)</f>
        <v>0</v>
      </c>
      <c r="K92" s="447">
        <f>F92*J92</f>
        <v>0</v>
      </c>
      <c r="O92" s="282">
        <f>VLOOKUP($B92,'Emissions factors'!$B$2294:$J$2310,9,FALSE)</f>
        <v>0</v>
      </c>
      <c r="P92" s="437"/>
      <c r="Q92" s="211">
        <f>I92*SQRT(O92^2+P92^2)</f>
        <v>0</v>
      </c>
      <c r="S92" s="187"/>
      <c r="T92" s="210">
        <f>I92*S92</f>
        <v>0</v>
      </c>
      <c r="U92" s="187"/>
      <c r="V92" s="211">
        <f>I92*U92</f>
        <v>0</v>
      </c>
      <c r="X92" s="717">
        <f>$F92*VLOOKUP($B92,'Emissions factors'!$B$2294:$J$2310,3,FALSE)</f>
        <v>0</v>
      </c>
      <c r="Y92" s="718">
        <f>$F92*VLOOKUP($B92,'Emissions factors'!$B$2294:$J$2310,4,FALSE)</f>
        <v>0</v>
      </c>
      <c r="Z92" s="718">
        <f>$F92*VLOOKUP($B92,'Emissions factors'!$B$2294:$J$2310,5,FALSE)</f>
        <v>0</v>
      </c>
      <c r="AA92" s="718">
        <v>0</v>
      </c>
      <c r="AB92" s="720">
        <f>I92</f>
        <v>0</v>
      </c>
      <c r="AC92" s="748">
        <f>$F92*VLOOKUP($B92,'Emissions factors'!$B$2294:$J$2310,6,FALSE)</f>
        <v>0</v>
      </c>
    </row>
    <row r="93" spans="2:29" outlineLevel="1" x14ac:dyDescent="0.2">
      <c r="B93" s="480" t="s">
        <v>1894</v>
      </c>
      <c r="C93" s="221"/>
      <c r="D93" s="262">
        <f>I93</f>
        <v>0</v>
      </c>
      <c r="E93" s="265">
        <f>D93*12/44</f>
        <v>0</v>
      </c>
      <c r="F93" s="185"/>
      <c r="G93" s="437"/>
      <c r="H93" s="273">
        <f>VLOOKUP($B93,'Emissions factors'!$B$2294:$J$2310,2,FALSE)</f>
        <v>33</v>
      </c>
      <c r="I93" s="210">
        <f>F93*H93</f>
        <v>0</v>
      </c>
      <c r="J93" s="446">
        <f>(1-G93)*VLOOKUP($B93,'Emissions factors'!$B$2273:$N$2288,11,FALSE)*VLOOKUP($B93,'Emissions factors'!$B$2294:$J$2310,8,FALSE)+VLOOKUP($B93,'Emissions factors'!$B$2195:$J$2209,8,FALSE)*VLOOKUP($B93,'Emissions factors'!$B$2195:$J$2209,4,FALSE)+VLOOKUP($B93,'Emissions factors'!$B$2238:$J$2252,8,FALSE)*VLOOKUP($B93,'Emissions factors'!$B$2238:$J$2252,7,FALSE)</f>
        <v>-836</v>
      </c>
      <c r="K93" s="447">
        <f>F93*J93</f>
        <v>0</v>
      </c>
      <c r="O93" s="282">
        <f>VLOOKUP($B93,'Emissions factors'!$B$2294:$J$2310,9,FALSE)</f>
        <v>0.5</v>
      </c>
      <c r="P93" s="437"/>
      <c r="Q93" s="211">
        <f>I93*SQRT(O93^2+P93^2)</f>
        <v>0</v>
      </c>
      <c r="S93" s="187"/>
      <c r="T93" s="210">
        <f>I93*S93</f>
        <v>0</v>
      </c>
      <c r="U93" s="187"/>
      <c r="V93" s="211">
        <f>I93*U93</f>
        <v>0</v>
      </c>
      <c r="X93" s="717">
        <f>$F93*VLOOKUP($B93,'Emissions factors'!$B$2294:$J$2310,3,FALSE)</f>
        <v>0</v>
      </c>
      <c r="Y93" s="718">
        <f>$F93*VLOOKUP($B93,'Emissions factors'!$B$2294:$J$2310,4,FALSE)</f>
        <v>0</v>
      </c>
      <c r="Z93" s="718">
        <f>$F93*VLOOKUP($B93,'Emissions factors'!$B$2294:$J$2310,5,FALSE)</f>
        <v>0</v>
      </c>
      <c r="AA93" s="718">
        <v>0</v>
      </c>
      <c r="AB93" s="720">
        <f>I93</f>
        <v>0</v>
      </c>
      <c r="AC93" s="748">
        <f>$F93*VLOOKUP($B93,'Emissions factors'!$B$2294:$J$2310,6,FALSE)</f>
        <v>0</v>
      </c>
    </row>
    <row r="94" spans="2:29" outlineLevel="1" x14ac:dyDescent="0.2">
      <c r="B94" s="480" t="s">
        <v>2025</v>
      </c>
      <c r="C94" s="221"/>
      <c r="D94" s="262">
        <f>I94</f>
        <v>0</v>
      </c>
      <c r="E94" s="265">
        <f>D94*12/44</f>
        <v>0</v>
      </c>
      <c r="F94" s="188"/>
      <c r="G94" s="438"/>
      <c r="H94" s="273">
        <f>VLOOKUP($B94,'Emissions factors'!$B$2294:$J$2310,2,FALSE)</f>
        <v>336.29740666869202</v>
      </c>
      <c r="I94" s="210">
        <f>F94*H94</f>
        <v>0</v>
      </c>
      <c r="J94" s="446">
        <f>(1-G94)*VLOOKUP($B94,'Emissions factors'!$B$2273:$N$2288,11,FALSE)*VLOOKUP($B94,'Emissions factors'!$B$2294:$J$2310,8,FALSE)+VLOOKUP($B94,'Emissions factors'!$B$2195:$J$2209,8,FALSE)*VLOOKUP($B94,'Emissions factors'!$B$2195:$J$2209,4,FALSE)+VLOOKUP($B94,'Emissions factors'!$B$2238:$J$2252,8,FALSE)*VLOOKUP($B94,'Emissions factors'!$B$2238:$J$2252,7,FALSE)</f>
        <v>223.71616888115136</v>
      </c>
      <c r="K94" s="447">
        <f>F94*J94</f>
        <v>0</v>
      </c>
      <c r="O94" s="282">
        <f>VLOOKUP($B94,'Emissions factors'!$B$2294:$J$2310,9,FALSE)</f>
        <v>0.5</v>
      </c>
      <c r="P94" s="438"/>
      <c r="Q94" s="222"/>
      <c r="S94" s="190"/>
      <c r="T94" s="210">
        <f>I94*S94</f>
        <v>0</v>
      </c>
      <c r="U94" s="190"/>
      <c r="V94" s="211">
        <f>I94*U94</f>
        <v>0</v>
      </c>
      <c r="X94" s="717">
        <f>$F94*VLOOKUP($B94,'Emissions factors'!$B$2294:$J$2310,3,FALSE)</f>
        <v>0</v>
      </c>
      <c r="Y94" s="718">
        <f>$F94*VLOOKUP($B94,'Emissions factors'!$B$2294:$J$2310,4,FALSE)</f>
        <v>0</v>
      </c>
      <c r="Z94" s="718">
        <f>$F94*VLOOKUP($B94,'Emissions factors'!$B$2294:$J$2310,5,FALSE)</f>
        <v>0</v>
      </c>
      <c r="AA94" s="718">
        <v>0</v>
      </c>
      <c r="AB94" s="720">
        <f>I94</f>
        <v>0</v>
      </c>
      <c r="AC94" s="748">
        <f>$F94*VLOOKUP($B94,'Emissions factors'!$B$2294:$J$2310,6,FALSE)</f>
        <v>0</v>
      </c>
    </row>
    <row r="95" spans="2:29" outlineLevel="1" x14ac:dyDescent="0.2">
      <c r="B95" s="213"/>
      <c r="C95" s="214"/>
      <c r="D95" s="519"/>
      <c r="E95" s="520"/>
      <c r="F95" s="214"/>
      <c r="G95" s="469"/>
      <c r="H95" s="469"/>
      <c r="I95" s="463"/>
      <c r="J95" s="521"/>
      <c r="K95" s="522"/>
      <c r="O95" s="220"/>
      <c r="P95" s="221"/>
      <c r="Q95" s="222"/>
      <c r="S95" s="200"/>
      <c r="T95" s="424"/>
      <c r="U95" s="201"/>
      <c r="V95" s="222"/>
      <c r="X95" s="717"/>
      <c r="Y95" s="718"/>
      <c r="Z95" s="718"/>
      <c r="AA95" s="718"/>
      <c r="AB95" s="720"/>
      <c r="AC95" s="749"/>
    </row>
    <row r="96" spans="2:29" outlineLevel="1" x14ac:dyDescent="0.2">
      <c r="B96" s="253" t="s">
        <v>2828</v>
      </c>
      <c r="C96" s="254"/>
      <c r="D96" s="264">
        <f>SUM(D91:D95)</f>
        <v>0</v>
      </c>
      <c r="E96" s="267">
        <f>SUM(E91:E95)</f>
        <v>0</v>
      </c>
      <c r="F96" s="256"/>
      <c r="G96" s="260"/>
      <c r="H96" s="256"/>
      <c r="I96" s="259">
        <f>SUM(I91:I95)</f>
        <v>0</v>
      </c>
      <c r="J96" s="450"/>
      <c r="K96" s="451">
        <f>SUM(K91:K95)</f>
        <v>0</v>
      </c>
      <c r="O96" s="258"/>
      <c r="P96" s="260"/>
      <c r="Q96" s="257">
        <f>SQRT(SUMSQ(Q91:Q95))</f>
        <v>0</v>
      </c>
      <c r="S96" s="258"/>
      <c r="T96" s="259">
        <f>SUM(T91:T95)</f>
        <v>0</v>
      </c>
      <c r="U96" s="256"/>
      <c r="V96" s="257">
        <f>SUM(V91:V95)</f>
        <v>0</v>
      </c>
      <c r="X96" s="724">
        <f t="shared" ref="X96:AC96" si="8">SUM(X91:X95)</f>
        <v>0</v>
      </c>
      <c r="Y96" s="725">
        <f t="shared" si="8"/>
        <v>0</v>
      </c>
      <c r="Z96" s="725">
        <f t="shared" si="8"/>
        <v>0</v>
      </c>
      <c r="AA96" s="725">
        <f t="shared" si="8"/>
        <v>0</v>
      </c>
      <c r="AB96" s="727">
        <f t="shared" si="8"/>
        <v>0</v>
      </c>
      <c r="AC96" s="750">
        <f t="shared" si="8"/>
        <v>0</v>
      </c>
    </row>
    <row r="97" spans="1:29" outlineLevel="1" x14ac:dyDescent="0.2"/>
    <row r="99" spans="1:29" s="191" customFormat="1" ht="16" x14ac:dyDescent="0.2">
      <c r="A99" s="40"/>
      <c r="B99" s="1795" t="s">
        <v>2946</v>
      </c>
      <c r="C99" s="1795"/>
      <c r="D99" s="1795"/>
      <c r="E99" s="1795"/>
      <c r="F99" s="1795"/>
      <c r="G99" s="1795"/>
      <c r="H99" s="1795"/>
      <c r="I99" s="1795"/>
      <c r="J99" s="1795"/>
      <c r="K99" s="1795"/>
      <c r="L99" s="1795"/>
      <c r="M99" s="1795"/>
      <c r="N99" s="1795"/>
      <c r="O99" s="1795"/>
      <c r="X99" s="602"/>
      <c r="Y99" s="602"/>
      <c r="Z99" s="602"/>
      <c r="AA99" s="602"/>
      <c r="AB99" s="602"/>
      <c r="AC99" s="602"/>
    </row>
    <row r="100" spans="1:29" ht="12.75" customHeight="1" outlineLevel="1" x14ac:dyDescent="0.2">
      <c r="B100" s="321"/>
      <c r="C100" s="321"/>
      <c r="D100" s="321"/>
      <c r="E100" s="321"/>
      <c r="F100" s="321"/>
      <c r="G100" s="321"/>
      <c r="H100" s="321"/>
      <c r="J100" s="314"/>
    </row>
    <row r="101" spans="1:29" outlineLevel="1" x14ac:dyDescent="0.2">
      <c r="B101" s="195" t="s">
        <v>2946</v>
      </c>
      <c r="C101" s="196"/>
      <c r="D101" s="198"/>
      <c r="E101" s="198"/>
      <c r="F101" s="198"/>
      <c r="G101" s="198"/>
      <c r="H101" s="199"/>
      <c r="O101" s="1746" t="s">
        <v>723</v>
      </c>
      <c r="P101" s="1747"/>
      <c r="Q101" s="1748"/>
      <c r="S101" s="1746" t="s">
        <v>2066</v>
      </c>
      <c r="T101" s="1747"/>
      <c r="U101" s="1747"/>
      <c r="V101" s="1748"/>
      <c r="X101" s="1755" t="s">
        <v>2073</v>
      </c>
      <c r="Y101" s="1756"/>
      <c r="Z101" s="1756"/>
      <c r="AA101" s="1756"/>
      <c r="AB101" s="1756"/>
      <c r="AC101" s="1757"/>
    </row>
    <row r="102" spans="1:29" outlineLevel="1" x14ac:dyDescent="0.2">
      <c r="B102" s="417"/>
      <c r="C102" s="225"/>
      <c r="D102" s="424"/>
      <c r="E102" s="424"/>
      <c r="F102" s="201"/>
      <c r="G102" s="201"/>
      <c r="H102" s="203"/>
      <c r="O102" s="461"/>
      <c r="P102" s="423"/>
      <c r="Q102" s="203"/>
      <c r="S102" s="461"/>
      <c r="T102" s="423"/>
      <c r="U102" s="423"/>
      <c r="V102" s="203"/>
      <c r="X102" s="778"/>
      <c r="Y102" s="779"/>
      <c r="Z102" s="779"/>
      <c r="AA102" s="779"/>
      <c r="AB102" s="741"/>
      <c r="AC102" s="780"/>
    </row>
    <row r="103" spans="1:29" outlineLevel="1" x14ac:dyDescent="0.2">
      <c r="B103" s="461"/>
      <c r="C103" s="423"/>
      <c r="D103" s="423" t="s">
        <v>56</v>
      </c>
      <c r="E103" s="423" t="s">
        <v>56</v>
      </c>
      <c r="F103" s="205" t="s">
        <v>11</v>
      </c>
      <c r="G103" s="423" t="s">
        <v>64</v>
      </c>
      <c r="H103" s="481" t="s">
        <v>61</v>
      </c>
      <c r="O103" s="1634" t="s">
        <v>2605</v>
      </c>
      <c r="P103" s="423" t="s">
        <v>2110</v>
      </c>
      <c r="Q103" s="481" t="s">
        <v>61</v>
      </c>
      <c r="S103" s="461" t="s">
        <v>2065</v>
      </c>
      <c r="T103" s="424" t="s">
        <v>61</v>
      </c>
      <c r="U103" s="423" t="s">
        <v>2558</v>
      </c>
      <c r="V103" s="481" t="s">
        <v>61</v>
      </c>
      <c r="X103" s="1739" t="s">
        <v>61</v>
      </c>
      <c r="Y103" s="1740"/>
      <c r="Z103" s="1740"/>
      <c r="AA103" s="1740"/>
      <c r="AB103" s="741" t="s">
        <v>61</v>
      </c>
      <c r="AC103" s="742"/>
    </row>
    <row r="104" spans="1:29" outlineLevel="1" x14ac:dyDescent="0.2">
      <c r="B104" s="461"/>
      <c r="C104" s="423"/>
      <c r="D104" s="423" t="s">
        <v>61</v>
      </c>
      <c r="E104" s="423" t="s">
        <v>63</v>
      </c>
      <c r="F104" s="208" t="s">
        <v>2687</v>
      </c>
      <c r="G104" s="423" t="s">
        <v>2058</v>
      </c>
      <c r="H104" s="481"/>
      <c r="O104" s="1634" t="s">
        <v>2109</v>
      </c>
      <c r="P104" s="423"/>
      <c r="Q104" s="481"/>
      <c r="S104" s="461"/>
      <c r="T104" s="424"/>
      <c r="U104" s="423"/>
      <c r="V104" s="481"/>
      <c r="X104" s="744" t="s">
        <v>14</v>
      </c>
      <c r="Y104" s="745" t="s">
        <v>60</v>
      </c>
      <c r="Z104" s="745" t="s">
        <v>27</v>
      </c>
      <c r="AA104" s="745" t="s">
        <v>2074</v>
      </c>
      <c r="AB104" s="746" t="s">
        <v>41</v>
      </c>
      <c r="AC104" s="747" t="s">
        <v>85</v>
      </c>
    </row>
    <row r="105" spans="1:29" outlineLevel="1" x14ac:dyDescent="0.2">
      <c r="B105" s="480" t="s">
        <v>3276</v>
      </c>
      <c r="C105" s="221"/>
      <c r="D105" s="262">
        <f>H105</f>
        <v>0</v>
      </c>
      <c r="E105" s="265">
        <f>D105*12/44</f>
        <v>0</v>
      </c>
      <c r="F105" s="182"/>
      <c r="G105" s="273">
        <f>VLOOKUP($B105,'Emissions factors'!$B$2317:$H$2321,2,FALSE)</f>
        <v>1228.3</v>
      </c>
      <c r="H105" s="211">
        <f>F105*G105</f>
        <v>0</v>
      </c>
      <c r="O105" s="282">
        <f>VLOOKUP($B105,'Emissions factors'!$B$2317:$H$2321,7,FALSE)</f>
        <v>0</v>
      </c>
      <c r="P105" s="436"/>
      <c r="Q105" s="211">
        <f>H105*SQRT(O105^2+P105^2)</f>
        <v>0</v>
      </c>
      <c r="S105" s="436"/>
      <c r="T105" s="210">
        <f>H105*S105</f>
        <v>0</v>
      </c>
      <c r="U105" s="436"/>
      <c r="V105" s="211">
        <f>H105*U105</f>
        <v>0</v>
      </c>
      <c r="X105" s="717">
        <f>F105*VLOOKUP($B105,'Emissions factors'!$B$2317:$H$2321,3,FALSE)</f>
        <v>0</v>
      </c>
      <c r="Y105" s="718">
        <f>F105*VLOOKUP($B105,'Emissions factors'!$B$2317:$H$2321,4,FALSE)</f>
        <v>0</v>
      </c>
      <c r="Z105" s="718">
        <f>F105*VLOOKUP($B105,'Emissions factors'!$B$2317:$H$2321,5,FALSE)</f>
        <v>0</v>
      </c>
      <c r="AA105" s="718">
        <v>0</v>
      </c>
      <c r="AB105" s="720">
        <f>H105</f>
        <v>0</v>
      </c>
      <c r="AC105" s="748">
        <f>F105*VLOOKUP($B105,'Emissions factors'!$B$2317:$H$2321,6,FALSE)</f>
        <v>0</v>
      </c>
    </row>
    <row r="106" spans="1:29" outlineLevel="1" x14ac:dyDescent="0.2">
      <c r="B106" s="480" t="s">
        <v>3278</v>
      </c>
      <c r="C106" s="221"/>
      <c r="D106" s="262">
        <f>H106</f>
        <v>0</v>
      </c>
      <c r="E106" s="265">
        <f>D106*12/44</f>
        <v>0</v>
      </c>
      <c r="F106" s="185"/>
      <c r="G106" s="273">
        <f>VLOOKUP($B106,'Emissions factors'!$B$2317:$H$2321,2,FALSE)</f>
        <v>3062</v>
      </c>
      <c r="H106" s="211">
        <f>F106*G106</f>
        <v>0</v>
      </c>
      <c r="O106" s="282">
        <f>VLOOKUP($B106,'Emissions factors'!$B$2317:$H$2321,7,FALSE)</f>
        <v>0</v>
      </c>
      <c r="P106" s="437"/>
      <c r="Q106" s="211">
        <f>H106*SQRT(O106^2+P106^2)</f>
        <v>0</v>
      </c>
      <c r="S106" s="437"/>
      <c r="T106" s="210">
        <f>H106*S106</f>
        <v>0</v>
      </c>
      <c r="U106" s="437"/>
      <c r="V106" s="211">
        <f>H106*U106</f>
        <v>0</v>
      </c>
      <c r="X106" s="717">
        <f>F106*VLOOKUP($B106,'Emissions factors'!$B$2317:$H$2321,3,FALSE)</f>
        <v>0</v>
      </c>
      <c r="Y106" s="718">
        <f>F106*VLOOKUP($B106,'Emissions factors'!$B$2317:$H$2321,4,FALSE)</f>
        <v>0</v>
      </c>
      <c r="Z106" s="718">
        <f>F106*VLOOKUP($B106,'Emissions factors'!$B$2317:$H$2321,5,FALSE)</f>
        <v>0</v>
      </c>
      <c r="AA106" s="718">
        <v>0</v>
      </c>
      <c r="AB106" s="720">
        <f>H106</f>
        <v>0</v>
      </c>
      <c r="AC106" s="748">
        <f>F106*VLOOKUP($B106,'Emissions factors'!$B$2317:$H$2321,6,FALSE)</f>
        <v>0</v>
      </c>
    </row>
    <row r="107" spans="1:29" outlineLevel="1" x14ac:dyDescent="0.2">
      <c r="B107" s="480" t="s">
        <v>1950</v>
      </c>
      <c r="C107" s="221"/>
      <c r="D107" s="262">
        <f>H107</f>
        <v>0</v>
      </c>
      <c r="E107" s="265">
        <f>D107*12/44</f>
        <v>0</v>
      </c>
      <c r="F107" s="188"/>
      <c r="G107" s="273">
        <f>VLOOKUP($B107,'Emissions factors'!$B$2317:$H$2321,2,FALSE)</f>
        <v>954.54666666599996</v>
      </c>
      <c r="H107" s="211">
        <f>F107*G107</f>
        <v>0</v>
      </c>
      <c r="O107" s="282">
        <f>VLOOKUP($B107,'Emissions factors'!$B$2317:$H$2321,7,FALSE)</f>
        <v>0.5</v>
      </c>
      <c r="P107" s="438"/>
      <c r="Q107" s="211">
        <f>H107*SQRT(O107^2+P107^2)</f>
        <v>0</v>
      </c>
      <c r="S107" s="438"/>
      <c r="T107" s="210">
        <f>H107*S107</f>
        <v>0</v>
      </c>
      <c r="U107" s="438"/>
      <c r="V107" s="211">
        <f>H107*U107</f>
        <v>0</v>
      </c>
      <c r="X107" s="717">
        <f>F107*VLOOKUP($B107,'Emissions factors'!$B$2317:$H$2321,3,FALSE)</f>
        <v>0</v>
      </c>
      <c r="Y107" s="718">
        <f>F107*VLOOKUP($B107,'Emissions factors'!$B$2317:$H$2321,4,FALSE)</f>
        <v>0</v>
      </c>
      <c r="Z107" s="718">
        <f>F107*VLOOKUP($B107,'Emissions factors'!$B$2317:$H$2321,5,FALSE)</f>
        <v>0</v>
      </c>
      <c r="AA107" s="718">
        <v>0</v>
      </c>
      <c r="AB107" s="720">
        <f>H107</f>
        <v>0</v>
      </c>
      <c r="AC107" s="748">
        <f>F107*VLOOKUP($B107,'Emissions factors'!$B$2317:$H$2321,6,FALSE)</f>
        <v>0</v>
      </c>
    </row>
    <row r="108" spans="1:29" outlineLevel="1" x14ac:dyDescent="0.2">
      <c r="B108" s="200"/>
      <c r="C108" s="201"/>
      <c r="D108" s="519"/>
      <c r="E108" s="520"/>
      <c r="F108" s="201"/>
      <c r="G108" s="410"/>
      <c r="H108" s="211"/>
      <c r="O108" s="220"/>
      <c r="P108" s="221"/>
      <c r="Q108" s="222"/>
      <c r="S108" s="200"/>
      <c r="T108" s="423"/>
      <c r="U108" s="201"/>
      <c r="V108" s="222"/>
      <c r="X108" s="717"/>
      <c r="Y108" s="718"/>
      <c r="Z108" s="718"/>
      <c r="AA108" s="718"/>
      <c r="AB108" s="720"/>
      <c r="AC108" s="749"/>
    </row>
    <row r="109" spans="1:29" outlineLevel="1" x14ac:dyDescent="0.2">
      <c r="B109" s="253" t="s">
        <v>44</v>
      </c>
      <c r="C109" s="254"/>
      <c r="D109" s="264">
        <f>SUM(D105:D108)</f>
        <v>0</v>
      </c>
      <c r="E109" s="267">
        <f>SUM(E105:E108)</f>
        <v>0</v>
      </c>
      <c r="F109" s="256"/>
      <c r="G109" s="256"/>
      <c r="H109" s="257">
        <f>SUM(H105:H108)</f>
        <v>0</v>
      </c>
      <c r="O109" s="258"/>
      <c r="P109" s="260"/>
      <c r="Q109" s="257">
        <f>SQRT(SUMSQ(Q105:Q108))</f>
        <v>0</v>
      </c>
      <c r="S109" s="258"/>
      <c r="T109" s="259">
        <f>SUM(T105:T108)</f>
        <v>0</v>
      </c>
      <c r="U109" s="256"/>
      <c r="V109" s="257">
        <f>SUM(V105:V108)</f>
        <v>0</v>
      </c>
      <c r="X109" s="724">
        <f t="shared" ref="X109:AC109" si="9">SUM(X105:X108)</f>
        <v>0</v>
      </c>
      <c r="Y109" s="725">
        <f t="shared" si="9"/>
        <v>0</v>
      </c>
      <c r="Z109" s="725">
        <f t="shared" si="9"/>
        <v>0</v>
      </c>
      <c r="AA109" s="725">
        <f t="shared" si="9"/>
        <v>0</v>
      </c>
      <c r="AB109" s="727">
        <f t="shared" si="9"/>
        <v>0</v>
      </c>
      <c r="AC109" s="750">
        <f t="shared" si="9"/>
        <v>0</v>
      </c>
    </row>
    <row r="110" spans="1:29" outlineLevel="1" x14ac:dyDescent="0.2"/>
    <row r="111" spans="1:29" outlineLevel="1" x14ac:dyDescent="0.2">
      <c r="B111" s="195" t="s">
        <v>2957</v>
      </c>
      <c r="C111" s="196"/>
      <c r="D111" s="421"/>
      <c r="E111" s="421"/>
      <c r="F111" s="217"/>
      <c r="G111" s="217"/>
      <c r="H111" s="218"/>
      <c r="I111" s="50"/>
      <c r="O111" s="1746" t="s">
        <v>723</v>
      </c>
      <c r="P111" s="1747"/>
      <c r="Q111" s="1748"/>
      <c r="S111" s="1746" t="s">
        <v>2066</v>
      </c>
      <c r="T111" s="1747"/>
      <c r="U111" s="1747"/>
      <c r="V111" s="1748"/>
      <c r="X111" s="1755" t="s">
        <v>2073</v>
      </c>
      <c r="Y111" s="1756"/>
      <c r="Z111" s="1756"/>
      <c r="AA111" s="1756"/>
      <c r="AB111" s="1756"/>
      <c r="AC111" s="1757"/>
    </row>
    <row r="112" spans="1:29" outlineLevel="1" x14ac:dyDescent="0.2">
      <c r="B112" s="417" t="s">
        <v>2954</v>
      </c>
      <c r="C112" s="225"/>
      <c r="D112" s="424"/>
      <c r="E112" s="424"/>
      <c r="F112" s="423"/>
      <c r="G112" s="423"/>
      <c r="H112" s="464"/>
      <c r="I112" s="50"/>
      <c r="O112" s="461"/>
      <c r="P112" s="423"/>
      <c r="Q112" s="203"/>
      <c r="S112" s="461"/>
      <c r="T112" s="423"/>
      <c r="U112" s="423"/>
      <c r="V112" s="203"/>
      <c r="X112" s="778"/>
      <c r="Y112" s="779"/>
      <c r="Z112" s="779"/>
      <c r="AA112" s="779"/>
      <c r="AB112" s="741"/>
      <c r="AC112" s="780"/>
    </row>
    <row r="113" spans="2:29" outlineLevel="1" x14ac:dyDescent="0.2">
      <c r="B113" s="200"/>
      <c r="C113" s="225"/>
      <c r="D113" s="423" t="s">
        <v>56</v>
      </c>
      <c r="E113" s="423" t="s">
        <v>56</v>
      </c>
      <c r="F113" s="205" t="s">
        <v>11</v>
      </c>
      <c r="G113" s="423" t="s">
        <v>61</v>
      </c>
      <c r="H113" s="481" t="s">
        <v>61</v>
      </c>
      <c r="I113" s="50"/>
      <c r="O113" s="1634" t="s">
        <v>2605</v>
      </c>
      <c r="P113" s="423" t="s">
        <v>2110</v>
      </c>
      <c r="Q113" s="481" t="s">
        <v>61</v>
      </c>
      <c r="S113" s="461" t="s">
        <v>2065</v>
      </c>
      <c r="T113" s="424" t="s">
        <v>61</v>
      </c>
      <c r="U113" s="423" t="s">
        <v>2558</v>
      </c>
      <c r="V113" s="481" t="s">
        <v>61</v>
      </c>
      <c r="X113" s="1739" t="s">
        <v>61</v>
      </c>
      <c r="Y113" s="1740"/>
      <c r="Z113" s="1740"/>
      <c r="AA113" s="1740"/>
      <c r="AB113" s="741" t="s">
        <v>61</v>
      </c>
      <c r="AC113" s="742"/>
    </row>
    <row r="114" spans="2:29" outlineLevel="1" x14ac:dyDescent="0.2">
      <c r="B114" s="461"/>
      <c r="C114" s="423"/>
      <c r="D114" s="423" t="s">
        <v>61</v>
      </c>
      <c r="E114" s="423" t="s">
        <v>63</v>
      </c>
      <c r="F114" s="208" t="s">
        <v>2694</v>
      </c>
      <c r="G114" s="423" t="s">
        <v>2534</v>
      </c>
      <c r="H114" s="481"/>
      <c r="I114" s="50"/>
      <c r="O114" s="1634" t="s">
        <v>2109</v>
      </c>
      <c r="P114" s="423"/>
      <c r="Q114" s="481"/>
      <c r="S114" s="461"/>
      <c r="T114" s="424"/>
      <c r="U114" s="423"/>
      <c r="V114" s="481"/>
      <c r="X114" s="744" t="s">
        <v>14</v>
      </c>
      <c r="Y114" s="745" t="s">
        <v>60</v>
      </c>
      <c r="Z114" s="745" t="s">
        <v>27</v>
      </c>
      <c r="AA114" s="745" t="s">
        <v>2074</v>
      </c>
      <c r="AB114" s="746" t="s">
        <v>41</v>
      </c>
      <c r="AC114" s="747" t="s">
        <v>85</v>
      </c>
    </row>
    <row r="115" spans="2:29" outlineLevel="1" x14ac:dyDescent="0.2">
      <c r="B115" s="200" t="s">
        <v>2561</v>
      </c>
      <c r="C115" s="201"/>
      <c r="D115" s="262">
        <f t="shared" ref="D115:D122" si="10">H115</f>
        <v>0</v>
      </c>
      <c r="E115" s="265">
        <f t="shared" ref="E115:E122" si="11">D115*12/44</f>
        <v>0</v>
      </c>
      <c r="F115" s="182"/>
      <c r="G115" s="273">
        <f>'Emissions factors'!C11</f>
        <v>1</v>
      </c>
      <c r="H115" s="211">
        <f>F115*G115*1000</f>
        <v>0</v>
      </c>
      <c r="I115" s="42"/>
      <c r="O115" s="282">
        <f>'Emissions factors'!D11</f>
        <v>0</v>
      </c>
      <c r="P115" s="183"/>
      <c r="Q115" s="211">
        <f>H115*SQRT(O115^2+P115^2)</f>
        <v>0</v>
      </c>
      <c r="S115" s="184"/>
      <c r="T115" s="210">
        <f>H115*S115</f>
        <v>0</v>
      </c>
      <c r="U115" s="184"/>
      <c r="V115" s="211">
        <f>H115*U115</f>
        <v>0</v>
      </c>
      <c r="X115" s="717">
        <f>F115*1000</f>
        <v>0</v>
      </c>
      <c r="Y115" s="718">
        <v>0</v>
      </c>
      <c r="Z115" s="718">
        <v>0</v>
      </c>
      <c r="AA115" s="718">
        <v>0</v>
      </c>
      <c r="AB115" s="720">
        <f>H115</f>
        <v>0</v>
      </c>
      <c r="AC115" s="748">
        <v>0</v>
      </c>
    </row>
    <row r="116" spans="2:29" outlineLevel="1" x14ac:dyDescent="0.2">
      <c r="B116" s="200" t="s">
        <v>2580</v>
      </c>
      <c r="C116" s="201"/>
      <c r="D116" s="262">
        <f t="shared" si="10"/>
        <v>0</v>
      </c>
      <c r="E116" s="265">
        <f t="shared" si="11"/>
        <v>0</v>
      </c>
      <c r="F116" s="185"/>
      <c r="G116" s="273">
        <f>'Emissions factors'!$C$12</f>
        <v>265</v>
      </c>
      <c r="H116" s="211">
        <f>F116*G116*1000</f>
        <v>0</v>
      </c>
      <c r="I116" s="42"/>
      <c r="O116" s="282">
        <f>'Emissions factors'!D12</f>
        <v>0.3</v>
      </c>
      <c r="P116" s="186"/>
      <c r="Q116" s="211">
        <f t="shared" ref="Q116:Q122" si="12">H116*SQRT(O116^2+P116^2)</f>
        <v>0</v>
      </c>
      <c r="S116" s="187"/>
      <c r="T116" s="210">
        <f>H116*S116</f>
        <v>0</v>
      </c>
      <c r="U116" s="187"/>
      <c r="V116" s="211">
        <f>H116*U116</f>
        <v>0</v>
      </c>
      <c r="X116" s="717">
        <v>0</v>
      </c>
      <c r="Y116" s="718">
        <v>0</v>
      </c>
      <c r="Z116" s="718">
        <f>H116</f>
        <v>0</v>
      </c>
      <c r="AA116" s="718">
        <v>0</v>
      </c>
      <c r="AB116" s="720">
        <f>H116</f>
        <v>0</v>
      </c>
      <c r="AC116" s="748">
        <v>0</v>
      </c>
    </row>
    <row r="117" spans="2:29" outlineLevel="1" x14ac:dyDescent="0.2">
      <c r="B117" s="200" t="s">
        <v>2695</v>
      </c>
      <c r="C117" s="201"/>
      <c r="D117" s="262">
        <f t="shared" si="10"/>
        <v>0</v>
      </c>
      <c r="E117" s="265">
        <f t="shared" si="11"/>
        <v>0</v>
      </c>
      <c r="F117" s="535"/>
      <c r="G117" s="273">
        <f>'Emissions factors'!$C$13</f>
        <v>30</v>
      </c>
      <c r="H117" s="211">
        <f>F117*G117*1000</f>
        <v>0</v>
      </c>
      <c r="I117" s="42"/>
      <c r="O117" s="282">
        <f>'Emissions factors'!D13</f>
        <v>0.3</v>
      </c>
      <c r="P117" s="533"/>
      <c r="Q117" s="211">
        <f t="shared" si="12"/>
        <v>0</v>
      </c>
      <c r="S117" s="531"/>
      <c r="T117" s="210">
        <f>H117*S117</f>
        <v>0</v>
      </c>
      <c r="U117" s="531"/>
      <c r="V117" s="211">
        <f>H117*U117</f>
        <v>0</v>
      </c>
      <c r="X117" s="717">
        <v>0</v>
      </c>
      <c r="Y117" s="718">
        <f>H117</f>
        <v>0</v>
      </c>
      <c r="Z117" s="718">
        <v>0</v>
      </c>
      <c r="AA117" s="718">
        <v>0</v>
      </c>
      <c r="AB117" s="720">
        <f>H117</f>
        <v>0</v>
      </c>
      <c r="AC117" s="748">
        <v>0</v>
      </c>
    </row>
    <row r="118" spans="2:29" outlineLevel="1" x14ac:dyDescent="0.2">
      <c r="B118" s="200" t="s">
        <v>2696</v>
      </c>
      <c r="C118" s="201"/>
      <c r="D118" s="262">
        <f t="shared" si="10"/>
        <v>0</v>
      </c>
      <c r="E118" s="265">
        <f t="shared" si="11"/>
        <v>0</v>
      </c>
      <c r="F118" s="535"/>
      <c r="G118" s="273">
        <f>'Emissions factors'!$C$14</f>
        <v>28</v>
      </c>
      <c r="H118" s="211">
        <f>F118*G118*1000</f>
        <v>0</v>
      </c>
      <c r="I118" s="42"/>
      <c r="O118" s="282">
        <f>'Emissions factors'!D14</f>
        <v>0.3</v>
      </c>
      <c r="P118" s="533"/>
      <c r="Q118" s="211">
        <f t="shared" si="12"/>
        <v>0</v>
      </c>
      <c r="S118" s="531"/>
      <c r="T118" s="210">
        <f>H118*S118</f>
        <v>0</v>
      </c>
      <c r="U118" s="531"/>
      <c r="V118" s="211">
        <f>H118*U118</f>
        <v>0</v>
      </c>
      <c r="X118" s="717">
        <v>0</v>
      </c>
      <c r="Y118" s="718">
        <f>H118</f>
        <v>0</v>
      </c>
      <c r="Z118" s="718">
        <v>0</v>
      </c>
      <c r="AA118" s="718">
        <v>0</v>
      </c>
      <c r="AB118" s="720">
        <f>H118</f>
        <v>0</v>
      </c>
      <c r="AC118" s="748">
        <v>0</v>
      </c>
    </row>
    <row r="119" spans="2:29" outlineLevel="1" x14ac:dyDescent="0.2">
      <c r="B119" s="200"/>
      <c r="C119" s="201"/>
      <c r="D119" s="262"/>
      <c r="E119" s="265"/>
      <c r="F119" s="532"/>
      <c r="G119" s="273"/>
      <c r="H119" s="211"/>
      <c r="I119" s="42"/>
      <c r="O119" s="282"/>
      <c r="P119" s="532"/>
      <c r="Q119" s="211"/>
      <c r="S119" s="537"/>
      <c r="T119" s="210"/>
      <c r="U119" s="532"/>
      <c r="V119" s="211"/>
      <c r="X119" s="717"/>
      <c r="Y119" s="718"/>
      <c r="Z119" s="718"/>
      <c r="AA119" s="718"/>
      <c r="AB119" s="720"/>
      <c r="AC119" s="748"/>
    </row>
    <row r="120" spans="2:29" outlineLevel="1" x14ac:dyDescent="0.2">
      <c r="B120" s="512" t="s">
        <v>727</v>
      </c>
      <c r="C120" s="510"/>
      <c r="D120" s="513">
        <f t="shared" si="10"/>
        <v>0</v>
      </c>
      <c r="E120" s="514">
        <f t="shared" si="11"/>
        <v>0</v>
      </c>
      <c r="F120" s="536"/>
      <c r="G120" s="273">
        <f>VLOOKUP($B120,'Emissions factors'!$B$18:$D$44,2,FALSE)</f>
        <v>1550</v>
      </c>
      <c r="H120" s="211">
        <f>F120*G120*1000</f>
        <v>0</v>
      </c>
      <c r="I120" s="42"/>
      <c r="O120" s="282">
        <f>VLOOKUP($B120,'Emissions factors'!$B$18:$D$44,3,FALSE)</f>
        <v>0.3</v>
      </c>
      <c r="P120" s="534"/>
      <c r="Q120" s="211">
        <f t="shared" si="12"/>
        <v>0</v>
      </c>
      <c r="S120" s="530"/>
      <c r="T120" s="210">
        <f>H120*S120</f>
        <v>0</v>
      </c>
      <c r="U120" s="530"/>
      <c r="V120" s="211">
        <f>H120*U120</f>
        <v>0</v>
      </c>
      <c r="X120" s="717">
        <v>0</v>
      </c>
      <c r="Y120" s="718">
        <v>0</v>
      </c>
      <c r="Z120" s="718">
        <v>0</v>
      </c>
      <c r="AA120" s="718">
        <f>H120</f>
        <v>0</v>
      </c>
      <c r="AB120" s="720">
        <f>H120</f>
        <v>0</v>
      </c>
      <c r="AC120" s="748">
        <v>0</v>
      </c>
    </row>
    <row r="121" spans="2:29" outlineLevel="1" x14ac:dyDescent="0.2">
      <c r="B121" s="512" t="s">
        <v>42</v>
      </c>
      <c r="C121" s="510"/>
      <c r="D121" s="513">
        <f t="shared" si="10"/>
        <v>0</v>
      </c>
      <c r="E121" s="514">
        <f t="shared" si="11"/>
        <v>0</v>
      </c>
      <c r="F121" s="526"/>
      <c r="G121" s="273">
        <f>VLOOKUP($B121,'Emissions factors'!$B$18:$D$44,2,FALSE)</f>
        <v>1920</v>
      </c>
      <c r="H121" s="211">
        <f>F121*G121*1000</f>
        <v>0</v>
      </c>
      <c r="I121" s="42"/>
      <c r="O121" s="282">
        <f>VLOOKUP($B121,'Emissions factors'!$B$18:$D$44,3,FALSE)</f>
        <v>0.3</v>
      </c>
      <c r="P121" s="186"/>
      <c r="Q121" s="211">
        <f t="shared" si="12"/>
        <v>0</v>
      </c>
      <c r="S121" s="187"/>
      <c r="T121" s="210">
        <f>H121*S121</f>
        <v>0</v>
      </c>
      <c r="U121" s="187"/>
      <c r="V121" s="211">
        <f>H121*U121</f>
        <v>0</v>
      </c>
      <c r="X121" s="717">
        <v>0</v>
      </c>
      <c r="Y121" s="718">
        <v>0</v>
      </c>
      <c r="Z121" s="718">
        <v>0</v>
      </c>
      <c r="AA121" s="718">
        <f>H121</f>
        <v>0</v>
      </c>
      <c r="AB121" s="720">
        <f>H121</f>
        <v>0</v>
      </c>
      <c r="AC121" s="748">
        <v>0</v>
      </c>
    </row>
    <row r="122" spans="2:29" outlineLevel="1" x14ac:dyDescent="0.2">
      <c r="B122" s="512" t="s">
        <v>739</v>
      </c>
      <c r="C122" s="510"/>
      <c r="D122" s="513">
        <f t="shared" si="10"/>
        <v>0</v>
      </c>
      <c r="E122" s="514">
        <f t="shared" si="11"/>
        <v>0</v>
      </c>
      <c r="F122" s="527"/>
      <c r="G122" s="273">
        <f>VLOOKUP($B122,'Emissions factors'!$B$18:$D$44,2,FALSE)</f>
        <v>26100</v>
      </c>
      <c r="H122" s="211">
        <f>F122*G122*1000</f>
        <v>0</v>
      </c>
      <c r="I122" s="42"/>
      <c r="O122" s="282">
        <f>VLOOKUP($B122,'Emissions factors'!$B$18:$D$44,3,FALSE)</f>
        <v>0.3</v>
      </c>
      <c r="P122" s="189"/>
      <c r="Q122" s="211">
        <f t="shared" si="12"/>
        <v>0</v>
      </c>
      <c r="S122" s="190"/>
      <c r="T122" s="210">
        <f>H122*S122</f>
        <v>0</v>
      </c>
      <c r="U122" s="190"/>
      <c r="V122" s="211">
        <f>H122*U122</f>
        <v>0</v>
      </c>
      <c r="X122" s="717">
        <v>0</v>
      </c>
      <c r="Y122" s="718">
        <v>0</v>
      </c>
      <c r="Z122" s="718">
        <v>0</v>
      </c>
      <c r="AA122" s="718">
        <f>H122</f>
        <v>0</v>
      </c>
      <c r="AB122" s="720">
        <f>H122</f>
        <v>0</v>
      </c>
      <c r="AC122" s="748">
        <v>0</v>
      </c>
    </row>
    <row r="123" spans="2:29" outlineLevel="1" x14ac:dyDescent="0.2">
      <c r="B123" s="200"/>
      <c r="C123" s="201"/>
      <c r="D123" s="263"/>
      <c r="E123" s="266"/>
      <c r="F123" s="201"/>
      <c r="G123" s="201"/>
      <c r="H123" s="226"/>
      <c r="I123" s="42"/>
      <c r="O123" s="200"/>
      <c r="P123" s="201"/>
      <c r="Q123" s="222"/>
      <c r="S123" s="200"/>
      <c r="T123" s="423"/>
      <c r="U123" s="201"/>
      <c r="V123" s="211"/>
      <c r="X123" s="717"/>
      <c r="Y123" s="718"/>
      <c r="Z123" s="718"/>
      <c r="AA123" s="718"/>
      <c r="AB123" s="720"/>
      <c r="AC123" s="749"/>
    </row>
    <row r="124" spans="2:29" outlineLevel="1" x14ac:dyDescent="0.2">
      <c r="B124" s="253" t="s">
        <v>2828</v>
      </c>
      <c r="C124" s="254"/>
      <c r="D124" s="264">
        <f>SUM(D115:D123)</f>
        <v>0</v>
      </c>
      <c r="E124" s="267">
        <f>SUM(E115:E123)</f>
        <v>0</v>
      </c>
      <c r="F124" s="254"/>
      <c r="G124" s="254"/>
      <c r="H124" s="257">
        <f>SUM(H115:H123)</f>
        <v>0</v>
      </c>
      <c r="I124" s="42"/>
      <c r="O124" s="258"/>
      <c r="P124" s="256"/>
      <c r="Q124" s="257">
        <f>SQRT(SUMSQ(Q115:Q123))</f>
        <v>0</v>
      </c>
      <c r="S124" s="258"/>
      <c r="T124" s="259">
        <f>SUM(T115:T123)</f>
        <v>0</v>
      </c>
      <c r="U124" s="256"/>
      <c r="V124" s="257">
        <f>SUM(V115:V123)</f>
        <v>0</v>
      </c>
      <c r="X124" s="724">
        <f t="shared" ref="X124:AC124" si="13">SUM(X115:X123)</f>
        <v>0</v>
      </c>
      <c r="Y124" s="725">
        <f t="shared" si="13"/>
        <v>0</v>
      </c>
      <c r="Z124" s="725">
        <f t="shared" si="13"/>
        <v>0</v>
      </c>
      <c r="AA124" s="725">
        <f t="shared" si="13"/>
        <v>0</v>
      </c>
      <c r="AB124" s="727">
        <f t="shared" si="13"/>
        <v>0</v>
      </c>
      <c r="AC124" s="750">
        <f t="shared" si="13"/>
        <v>0</v>
      </c>
    </row>
    <row r="125" spans="2:29" ht="12.75" customHeight="1" outlineLevel="1" x14ac:dyDescent="0.2">
      <c r="B125" s="321"/>
      <c r="C125" s="321"/>
      <c r="D125" s="321"/>
      <c r="E125" s="321"/>
      <c r="F125" s="321"/>
      <c r="G125" s="321"/>
      <c r="H125" s="321"/>
      <c r="O125" s="314"/>
    </row>
    <row r="126" spans="2:29" outlineLevel="1" x14ac:dyDescent="0.2">
      <c r="B126" s="195" t="s">
        <v>2957</v>
      </c>
      <c r="C126" s="196"/>
      <c r="D126" s="421"/>
      <c r="E126" s="421"/>
      <c r="F126" s="217"/>
      <c r="G126" s="217"/>
      <c r="H126" s="218"/>
      <c r="I126" s="50"/>
      <c r="O126" s="1746" t="s">
        <v>723</v>
      </c>
      <c r="P126" s="1747"/>
      <c r="Q126" s="1748"/>
      <c r="S126" s="1746" t="s">
        <v>2066</v>
      </c>
      <c r="T126" s="1747"/>
      <c r="U126" s="1747"/>
      <c r="V126" s="1748"/>
      <c r="X126" s="1755" t="s">
        <v>2073</v>
      </c>
      <c r="Y126" s="1756"/>
      <c r="Z126" s="1756"/>
      <c r="AA126" s="1756"/>
      <c r="AB126" s="1756"/>
      <c r="AC126" s="1757"/>
    </row>
    <row r="127" spans="2:29" outlineLevel="1" x14ac:dyDescent="0.2">
      <c r="B127" s="417" t="s">
        <v>2954</v>
      </c>
      <c r="C127" s="225"/>
      <c r="D127" s="424"/>
      <c r="E127" s="424"/>
      <c r="F127" s="423"/>
      <c r="G127" s="423"/>
      <c r="H127" s="464"/>
      <c r="I127" s="50"/>
      <c r="O127" s="461"/>
      <c r="P127" s="423"/>
      <c r="Q127" s="203"/>
      <c r="S127" s="461"/>
      <c r="T127" s="423"/>
      <c r="U127" s="423"/>
      <c r="V127" s="203"/>
      <c r="X127" s="737"/>
      <c r="Y127" s="738"/>
      <c r="Z127" s="738"/>
      <c r="AA127" s="738"/>
      <c r="AB127" s="790"/>
      <c r="AC127" s="740"/>
    </row>
    <row r="128" spans="2:29" outlineLevel="1" x14ac:dyDescent="0.2">
      <c r="B128" s="461"/>
      <c r="C128" s="423"/>
      <c r="D128" s="423" t="s">
        <v>56</v>
      </c>
      <c r="E128" s="423" t="s">
        <v>56</v>
      </c>
      <c r="F128" s="205" t="s">
        <v>11</v>
      </c>
      <c r="G128" s="423" t="s">
        <v>61</v>
      </c>
      <c r="H128" s="481" t="s">
        <v>61</v>
      </c>
      <c r="I128" s="50"/>
      <c r="O128" s="1634" t="s">
        <v>2605</v>
      </c>
      <c r="P128" s="423" t="s">
        <v>2110</v>
      </c>
      <c r="Q128" s="481" t="s">
        <v>61</v>
      </c>
      <c r="S128" s="461" t="s">
        <v>2065</v>
      </c>
      <c r="T128" s="424" t="s">
        <v>61</v>
      </c>
      <c r="U128" s="423" t="s">
        <v>2558</v>
      </c>
      <c r="V128" s="481" t="s">
        <v>61</v>
      </c>
      <c r="X128" s="1739" t="s">
        <v>61</v>
      </c>
      <c r="Y128" s="1740"/>
      <c r="Z128" s="1740"/>
      <c r="AA128" s="1740"/>
      <c r="AB128" s="741" t="s">
        <v>61</v>
      </c>
      <c r="AC128" s="742"/>
    </row>
    <row r="129" spans="1:29" outlineLevel="1" x14ac:dyDescent="0.2">
      <c r="B129" s="461"/>
      <c r="C129" s="423"/>
      <c r="D129" s="423" t="s">
        <v>61</v>
      </c>
      <c r="E129" s="423" t="s">
        <v>63</v>
      </c>
      <c r="F129" s="208" t="s">
        <v>2694</v>
      </c>
      <c r="G129" s="423" t="s">
        <v>2534</v>
      </c>
      <c r="H129" s="481"/>
      <c r="I129" s="50"/>
      <c r="O129" s="1634" t="s">
        <v>2109</v>
      </c>
      <c r="P129" s="423"/>
      <c r="Q129" s="481"/>
      <c r="S129" s="461"/>
      <c r="T129" s="424"/>
      <c r="U129" s="423"/>
      <c r="V129" s="481"/>
      <c r="X129" s="744" t="s">
        <v>14</v>
      </c>
      <c r="Y129" s="745" t="s">
        <v>60</v>
      </c>
      <c r="Z129" s="745" t="s">
        <v>27</v>
      </c>
      <c r="AA129" s="745" t="s">
        <v>2074</v>
      </c>
      <c r="AB129" s="746" t="s">
        <v>41</v>
      </c>
      <c r="AC129" s="747" t="s">
        <v>85</v>
      </c>
    </row>
    <row r="130" spans="1:29" outlineLevel="1" x14ac:dyDescent="0.2">
      <c r="B130" s="200" t="s">
        <v>760</v>
      </c>
      <c r="C130" s="201"/>
      <c r="D130" s="262">
        <f>H130</f>
        <v>0</v>
      </c>
      <c r="E130" s="265">
        <f>D130*12/44</f>
        <v>0</v>
      </c>
      <c r="F130" s="528"/>
      <c r="G130" s="273">
        <f>VLOOKUP($B130,'Emissions factors'!$B$47:$D$74,2,FALSE)</f>
        <v>2110</v>
      </c>
      <c r="H130" s="211">
        <f>F130*G130*1000</f>
        <v>0</v>
      </c>
      <c r="O130" s="282">
        <f>VLOOKUP($B130,'Emissions factors'!$B$47:$D$74,3,FALSE)</f>
        <v>0.3</v>
      </c>
      <c r="P130" s="183"/>
      <c r="Q130" s="211">
        <f>H130*SQRT(O130^2+P130^2)</f>
        <v>0</v>
      </c>
      <c r="S130" s="184"/>
      <c r="T130" s="210">
        <f>H130*S130</f>
        <v>0</v>
      </c>
      <c r="U130" s="184"/>
      <c r="V130" s="211">
        <f>H130*U130</f>
        <v>0</v>
      </c>
      <c r="X130" s="717">
        <v>0</v>
      </c>
      <c r="Y130" s="718">
        <v>0</v>
      </c>
      <c r="Z130" s="718">
        <v>0</v>
      </c>
      <c r="AA130" s="718">
        <f>H130</f>
        <v>0</v>
      </c>
      <c r="AB130" s="720">
        <f>H130</f>
        <v>0</v>
      </c>
      <c r="AC130" s="748">
        <v>0</v>
      </c>
    </row>
    <row r="131" spans="1:29" outlineLevel="1" x14ac:dyDescent="0.2">
      <c r="B131" s="200" t="s">
        <v>247</v>
      </c>
      <c r="C131" s="201"/>
      <c r="D131" s="262">
        <f>H131</f>
        <v>0</v>
      </c>
      <c r="E131" s="265">
        <f>D131*12/44</f>
        <v>0</v>
      </c>
      <c r="F131" s="526"/>
      <c r="G131" s="273">
        <f>VLOOKUP($B131,'Emissions factors'!$B$47:$D$74,2,FALSE)</f>
        <v>1350</v>
      </c>
      <c r="H131" s="211">
        <f>F131*G131*1000</f>
        <v>0</v>
      </c>
      <c r="O131" s="282">
        <f>VLOOKUP($B131,'Emissions factors'!$B$47:$D$74,3,FALSE)</f>
        <v>0.3</v>
      </c>
      <c r="P131" s="186"/>
      <c r="Q131" s="211">
        <f>H131*SQRT(O131^2+P131^2)</f>
        <v>0</v>
      </c>
      <c r="S131" s="187"/>
      <c r="T131" s="210">
        <f>H131*S131</f>
        <v>0</v>
      </c>
      <c r="U131" s="187"/>
      <c r="V131" s="211">
        <f>H131*U131</f>
        <v>0</v>
      </c>
      <c r="X131" s="717">
        <v>0</v>
      </c>
      <c r="Y131" s="718">
        <v>0</v>
      </c>
      <c r="Z131" s="718">
        <v>0</v>
      </c>
      <c r="AA131" s="718">
        <f>H131</f>
        <v>0</v>
      </c>
      <c r="AB131" s="720">
        <f>H131</f>
        <v>0</v>
      </c>
      <c r="AC131" s="748">
        <v>0</v>
      </c>
    </row>
    <row r="132" spans="1:29" outlineLevel="1" x14ac:dyDescent="0.2">
      <c r="B132" s="200" t="s">
        <v>248</v>
      </c>
      <c r="C132" s="201"/>
      <c r="D132" s="262">
        <f>H132</f>
        <v>0</v>
      </c>
      <c r="E132" s="265">
        <f>D132*12/44</f>
        <v>0</v>
      </c>
      <c r="F132" s="527"/>
      <c r="G132" s="273">
        <f>VLOOKUP($B132,'Emissions factors'!$B$47:$D$74,2,FALSE)</f>
        <v>3780</v>
      </c>
      <c r="H132" s="211">
        <f>F132*G132*1000</f>
        <v>0</v>
      </c>
      <c r="O132" s="282">
        <f>VLOOKUP($B132,'Emissions factors'!$B$47:$D$74,3,FALSE)</f>
        <v>0.3</v>
      </c>
      <c r="P132" s="189"/>
      <c r="Q132" s="211">
        <f>H132*SQRT(O132^2+P132^2)</f>
        <v>0</v>
      </c>
      <c r="S132" s="190"/>
      <c r="T132" s="210">
        <f>H132*S132</f>
        <v>0</v>
      </c>
      <c r="U132" s="190"/>
      <c r="V132" s="211">
        <f>H132*U132</f>
        <v>0</v>
      </c>
      <c r="X132" s="717">
        <v>0</v>
      </c>
      <c r="Y132" s="718">
        <v>0</v>
      </c>
      <c r="Z132" s="718">
        <v>0</v>
      </c>
      <c r="AA132" s="718">
        <f>H132</f>
        <v>0</v>
      </c>
      <c r="AB132" s="720">
        <f>H132</f>
        <v>0</v>
      </c>
      <c r="AC132" s="748">
        <v>0</v>
      </c>
    </row>
    <row r="133" spans="1:29" outlineLevel="1" x14ac:dyDescent="0.2">
      <c r="B133" s="200"/>
      <c r="C133" s="201"/>
      <c r="D133" s="263"/>
      <c r="E133" s="266"/>
      <c r="F133" s="201"/>
      <c r="G133" s="201"/>
      <c r="H133" s="226"/>
      <c r="I133" s="42"/>
      <c r="O133" s="200"/>
      <c r="P133" s="201"/>
      <c r="Q133" s="222"/>
      <c r="S133" s="200"/>
      <c r="T133" s="424"/>
      <c r="U133" s="201"/>
      <c r="V133" s="211"/>
      <c r="X133" s="717"/>
      <c r="Y133" s="718"/>
      <c r="Z133" s="718"/>
      <c r="AA133" s="718"/>
      <c r="AB133" s="720"/>
      <c r="AC133" s="749"/>
    </row>
    <row r="134" spans="1:29" outlineLevel="1" x14ac:dyDescent="0.2">
      <c r="B134" s="253" t="s">
        <v>2828</v>
      </c>
      <c r="C134" s="254"/>
      <c r="D134" s="264">
        <f>SUM(D130:D133)</f>
        <v>0</v>
      </c>
      <c r="E134" s="267">
        <f>SUM(E130:E133)</f>
        <v>0</v>
      </c>
      <c r="F134" s="254"/>
      <c r="G134" s="254"/>
      <c r="H134" s="257">
        <f>SUM(H130:H133)</f>
        <v>0</v>
      </c>
      <c r="I134" s="42"/>
      <c r="O134" s="258"/>
      <c r="P134" s="256"/>
      <c r="Q134" s="257">
        <f>SQRT(SUMSQ(Q130:Q133))</f>
        <v>0</v>
      </c>
      <c r="S134" s="258"/>
      <c r="T134" s="259">
        <f>SUM(T130:T133)</f>
        <v>0</v>
      </c>
      <c r="U134" s="256"/>
      <c r="V134" s="257">
        <f>SUM(V130:V133)</f>
        <v>0</v>
      </c>
      <c r="X134" s="724">
        <f t="shared" ref="X134:AC134" si="14">SUM(X129:X133)</f>
        <v>0</v>
      </c>
      <c r="Y134" s="725">
        <f t="shared" si="14"/>
        <v>0</v>
      </c>
      <c r="Z134" s="725">
        <f t="shared" si="14"/>
        <v>0</v>
      </c>
      <c r="AA134" s="725">
        <f t="shared" si="14"/>
        <v>0</v>
      </c>
      <c r="AB134" s="727">
        <f t="shared" si="14"/>
        <v>0</v>
      </c>
      <c r="AC134" s="750">
        <f t="shared" si="14"/>
        <v>0</v>
      </c>
    </row>
    <row r="135" spans="1:29" ht="13" customHeight="1" outlineLevel="1" x14ac:dyDescent="0.2">
      <c r="B135" s="321"/>
      <c r="C135" s="321"/>
      <c r="D135" s="321"/>
      <c r="E135" s="321"/>
      <c r="F135" s="321"/>
      <c r="G135" s="321"/>
      <c r="H135" s="321"/>
      <c r="J135" s="314"/>
    </row>
    <row r="136" spans="1:29" ht="13" customHeight="1" x14ac:dyDescent="0.2"/>
    <row r="137" spans="1:29" s="191" customFormat="1" ht="16" x14ac:dyDescent="0.2">
      <c r="A137" s="40"/>
      <c r="B137" s="1795" t="s">
        <v>2947</v>
      </c>
      <c r="C137" s="1795"/>
      <c r="D137" s="1795"/>
      <c r="E137" s="1795"/>
      <c r="F137" s="1795"/>
      <c r="G137" s="1795"/>
      <c r="H137" s="1795"/>
      <c r="I137" s="1795"/>
      <c r="J137" s="1795"/>
      <c r="K137" s="1795"/>
      <c r="L137" s="1795"/>
      <c r="M137" s="1795"/>
      <c r="N137" s="1795"/>
      <c r="O137" s="1795"/>
      <c r="X137" s="602"/>
      <c r="Y137" s="602"/>
      <c r="Z137" s="602"/>
      <c r="AA137" s="602"/>
      <c r="AB137" s="602"/>
      <c r="AC137" s="602"/>
    </row>
    <row r="138" spans="1:29" ht="13" customHeight="1" outlineLevel="1" x14ac:dyDescent="0.2"/>
    <row r="139" spans="1:29" ht="13" customHeight="1" outlineLevel="1" x14ac:dyDescent="0.2">
      <c r="B139" s="195" t="s">
        <v>2956</v>
      </c>
      <c r="C139" s="196"/>
      <c r="D139" s="1530"/>
      <c r="E139" s="1530"/>
      <c r="F139" s="198"/>
      <c r="G139" s="198"/>
      <c r="H139" s="199"/>
      <c r="O139" s="1746" t="s">
        <v>723</v>
      </c>
      <c r="P139" s="1747"/>
      <c r="Q139" s="1748"/>
      <c r="S139" s="1746" t="s">
        <v>2066</v>
      </c>
      <c r="T139" s="1747"/>
      <c r="U139" s="1747"/>
      <c r="V139" s="1748"/>
      <c r="X139" s="1755" t="s">
        <v>2073</v>
      </c>
      <c r="Y139" s="1756"/>
      <c r="Z139" s="1756"/>
      <c r="AA139" s="1756"/>
      <c r="AB139" s="1756"/>
      <c r="AC139" s="1760"/>
    </row>
    <row r="140" spans="1:29" ht="13" customHeight="1" outlineLevel="1" x14ac:dyDescent="0.2">
      <c r="B140" s="200"/>
      <c r="C140" s="201"/>
      <c r="D140" s="705"/>
      <c r="E140" s="705"/>
      <c r="F140" s="214"/>
      <c r="G140" s="201"/>
      <c r="H140" s="203"/>
      <c r="O140" s="1531"/>
      <c r="P140" s="1529"/>
      <c r="Q140" s="203"/>
      <c r="S140" s="1531"/>
      <c r="T140" s="1529"/>
      <c r="U140" s="1529"/>
      <c r="V140" s="203"/>
      <c r="X140" s="737"/>
      <c r="Y140" s="738"/>
      <c r="Z140" s="738"/>
      <c r="AA140" s="738"/>
      <c r="AB140" s="738"/>
      <c r="AC140" s="740"/>
    </row>
    <row r="141" spans="1:29" ht="13" customHeight="1" outlineLevel="1" x14ac:dyDescent="0.2">
      <c r="B141" s="1531"/>
      <c r="C141" s="201"/>
      <c r="D141" s="1529" t="s">
        <v>56</v>
      </c>
      <c r="E141" s="1529" t="s">
        <v>56</v>
      </c>
      <c r="F141" s="205" t="s">
        <v>87</v>
      </c>
      <c r="G141" s="1529" t="s">
        <v>61</v>
      </c>
      <c r="H141" s="711" t="s">
        <v>61</v>
      </c>
      <c r="O141" s="1634" t="s">
        <v>2605</v>
      </c>
      <c r="P141" s="1529" t="s">
        <v>2110</v>
      </c>
      <c r="Q141" s="711" t="s">
        <v>61</v>
      </c>
      <c r="S141" s="1531" t="s">
        <v>2065</v>
      </c>
      <c r="T141" s="705" t="s">
        <v>61</v>
      </c>
      <c r="U141" s="1529" t="s">
        <v>2558</v>
      </c>
      <c r="V141" s="711" t="s">
        <v>61</v>
      </c>
      <c r="X141" s="1739" t="s">
        <v>61</v>
      </c>
      <c r="Y141" s="1740"/>
      <c r="Z141" s="1740"/>
      <c r="AA141" s="1740"/>
      <c r="AB141" s="1528" t="s">
        <v>61</v>
      </c>
      <c r="AC141" s="742"/>
    </row>
    <row r="142" spans="1:29" ht="13" customHeight="1" outlineLevel="1" x14ac:dyDescent="0.2">
      <c r="B142" s="1531"/>
      <c r="C142" s="1529"/>
      <c r="D142" s="1529" t="s">
        <v>61</v>
      </c>
      <c r="E142" s="1529" t="s">
        <v>63</v>
      </c>
      <c r="F142" s="208" t="s">
        <v>2697</v>
      </c>
      <c r="G142" s="1529" t="s">
        <v>2535</v>
      </c>
      <c r="H142" s="711"/>
      <c r="O142" s="1634" t="s">
        <v>2109</v>
      </c>
      <c r="P142" s="1529"/>
      <c r="Q142" s="711"/>
      <c r="S142" s="1531"/>
      <c r="T142" s="705"/>
      <c r="U142" s="1529"/>
      <c r="V142" s="711"/>
      <c r="X142" s="1526" t="s">
        <v>14</v>
      </c>
      <c r="Y142" s="1525" t="s">
        <v>60</v>
      </c>
      <c r="Z142" s="1525" t="s">
        <v>27</v>
      </c>
      <c r="AA142" s="1525" t="s">
        <v>2074</v>
      </c>
      <c r="AB142" s="1527" t="s">
        <v>41</v>
      </c>
      <c r="AC142" s="747" t="s">
        <v>85</v>
      </c>
    </row>
    <row r="143" spans="1:29" ht="13" customHeight="1" outlineLevel="1" x14ac:dyDescent="0.2">
      <c r="B143" s="200" t="s">
        <v>3283</v>
      </c>
      <c r="C143" s="1711"/>
      <c r="D143" s="262">
        <f>H143</f>
        <v>0</v>
      </c>
      <c r="E143" s="265">
        <f>D143*12/44</f>
        <v>0</v>
      </c>
      <c r="F143" s="325"/>
      <c r="G143" s="420">
        <f>VLOOKUP($B143,'Emissions factors'!$B2342:$D2345,3,FALSE)</f>
        <v>0.86899999999999999</v>
      </c>
      <c r="H143" s="211">
        <f>F143*G143</f>
        <v>0</v>
      </c>
      <c r="O143" s="1712"/>
      <c r="P143" s="326"/>
      <c r="Q143" s="211">
        <f>H143*SQRT(O143^2+P143^2)</f>
        <v>0</v>
      </c>
      <c r="S143" s="327"/>
      <c r="T143" s="705"/>
      <c r="U143" s="327"/>
      <c r="V143" s="211">
        <f>U143*H143</f>
        <v>0</v>
      </c>
      <c r="X143" s="717"/>
      <c r="Y143" s="718"/>
      <c r="Z143" s="718"/>
      <c r="AA143" s="718"/>
      <c r="AB143" s="719">
        <f>H143</f>
        <v>0</v>
      </c>
      <c r="AC143" s="747"/>
    </row>
    <row r="144" spans="1:29" ht="13" customHeight="1" outlineLevel="1" x14ac:dyDescent="0.2">
      <c r="B144" s="200" t="s">
        <v>3282</v>
      </c>
      <c r="C144" s="201"/>
      <c r="D144" s="262">
        <f>H144</f>
        <v>0</v>
      </c>
      <c r="E144" s="265">
        <f>D144*12/44</f>
        <v>0</v>
      </c>
      <c r="F144" s="325"/>
      <c r="G144" s="420">
        <f>VLOOKUP($B144,'Emissions factors'!$B2342:$D2345,3,FALSE)</f>
        <v>83.6</v>
      </c>
      <c r="H144" s="211">
        <f>F144*G144</f>
        <v>0</v>
      </c>
      <c r="O144" s="282">
        <f>'Emissions factors'!$E$2346</f>
        <v>0.2</v>
      </c>
      <c r="P144" s="326"/>
      <c r="Q144" s="211">
        <f>H144*SQRT(O144^2+P144^2)</f>
        <v>0</v>
      </c>
      <c r="S144" s="327"/>
      <c r="T144" s="210">
        <f>S144*H144</f>
        <v>0</v>
      </c>
      <c r="U144" s="327"/>
      <c r="V144" s="211">
        <f>U144*H144</f>
        <v>0</v>
      </c>
      <c r="X144" s="717"/>
      <c r="Y144" s="718"/>
      <c r="Z144" s="718"/>
      <c r="AA144" s="718"/>
      <c r="AB144" s="719">
        <f>H144</f>
        <v>0</v>
      </c>
      <c r="AC144" s="748"/>
    </row>
    <row r="145" spans="2:29" ht="13" customHeight="1" outlineLevel="1" x14ac:dyDescent="0.2">
      <c r="B145" s="200"/>
      <c r="C145" s="201"/>
      <c r="D145" s="263"/>
      <c r="E145" s="266"/>
      <c r="F145" s="201"/>
      <c r="G145" s="201"/>
      <c r="H145" s="203"/>
      <c r="O145" s="220"/>
      <c r="P145" s="201"/>
      <c r="Q145" s="222"/>
      <c r="S145" s="200"/>
      <c r="T145" s="1529"/>
      <c r="U145" s="201"/>
      <c r="V145" s="222"/>
      <c r="X145" s="717"/>
      <c r="Y145" s="718"/>
      <c r="Z145" s="718"/>
      <c r="AA145" s="718"/>
      <c r="AB145" s="719"/>
      <c r="AC145" s="749"/>
    </row>
    <row r="146" spans="2:29" ht="13" customHeight="1" outlineLevel="1" x14ac:dyDescent="0.2">
      <c r="B146" s="253" t="s">
        <v>2828</v>
      </c>
      <c r="C146" s="254"/>
      <c r="D146" s="264">
        <f>SUM(D143:D145)</f>
        <v>0</v>
      </c>
      <c r="E146" s="267">
        <f>SUM(E144:E145)</f>
        <v>0</v>
      </c>
      <c r="F146" s="256"/>
      <c r="G146" s="256"/>
      <c r="H146" s="257">
        <f>SUM(H144:H145)</f>
        <v>0</v>
      </c>
      <c r="O146" s="253"/>
      <c r="P146" s="254"/>
      <c r="Q146" s="257">
        <f>SQRT(SUMSQ(Q143:Q145))</f>
        <v>0</v>
      </c>
      <c r="S146" s="257">
        <f t="shared" ref="S146:U146" si="15">SUM(S143:S145)</f>
        <v>0</v>
      </c>
      <c r="T146" s="257">
        <f t="shared" si="15"/>
        <v>0</v>
      </c>
      <c r="U146" s="257">
        <f t="shared" si="15"/>
        <v>0</v>
      </c>
      <c r="V146" s="257">
        <f>SUM(V143:V145)</f>
        <v>0</v>
      </c>
      <c r="X146" s="727">
        <f t="shared" ref="X146:AA146" si="16">SUM(X143:X145)</f>
        <v>0</v>
      </c>
      <c r="Y146" s="727">
        <f t="shared" si="16"/>
        <v>0</v>
      </c>
      <c r="Z146" s="727">
        <f t="shared" si="16"/>
        <v>0</v>
      </c>
      <c r="AA146" s="727">
        <f t="shared" si="16"/>
        <v>0</v>
      </c>
      <c r="AB146" s="727">
        <f>SUM(AB143:AB145)</f>
        <v>0</v>
      </c>
      <c r="AC146" s="1349">
        <f t="shared" ref="AC146" si="17">SUM(AC144:AC145)</f>
        <v>0</v>
      </c>
    </row>
    <row r="147" spans="2:29" ht="13" customHeight="1" outlineLevel="1" x14ac:dyDescent="0.2"/>
    <row r="148" spans="2:29" ht="13" customHeight="1" outlineLevel="1" x14ac:dyDescent="0.2">
      <c r="B148" s="195" t="s">
        <v>2955</v>
      </c>
      <c r="C148" s="196"/>
      <c r="D148" s="421"/>
      <c r="E148" s="421"/>
      <c r="F148" s="198"/>
      <c r="G148" s="198"/>
      <c r="H148" s="198"/>
      <c r="I148" s="198"/>
      <c r="J148" s="198"/>
      <c r="K148" s="198"/>
      <c r="L148" s="198"/>
      <c r="M148" s="199"/>
      <c r="O148" s="1746" t="s">
        <v>723</v>
      </c>
      <c r="P148" s="1747"/>
      <c r="Q148" s="1748"/>
      <c r="S148" s="1746" t="s">
        <v>2066</v>
      </c>
      <c r="T148" s="1747"/>
      <c r="U148" s="1747"/>
      <c r="V148" s="1748"/>
      <c r="X148" s="1755" t="s">
        <v>2073</v>
      </c>
      <c r="Y148" s="1756"/>
      <c r="Z148" s="1756"/>
      <c r="AA148" s="1756"/>
      <c r="AB148" s="1756"/>
      <c r="AC148" s="1760"/>
    </row>
    <row r="149" spans="2:29" ht="13" customHeight="1" outlineLevel="1" x14ac:dyDescent="0.2">
      <c r="B149" s="200"/>
      <c r="C149" s="201"/>
      <c r="D149" s="424"/>
      <c r="E149" s="424"/>
      <c r="F149" s="214"/>
      <c r="G149" s="214"/>
      <c r="H149" s="201"/>
      <c r="I149" s="201"/>
      <c r="J149" s="201"/>
      <c r="K149" s="201"/>
      <c r="L149" s="201"/>
      <c r="M149" s="203"/>
      <c r="O149" s="461"/>
      <c r="P149" s="423"/>
      <c r="Q149" s="203"/>
      <c r="S149" s="461"/>
      <c r="T149" s="423"/>
      <c r="U149" s="423"/>
      <c r="V149" s="203"/>
      <c r="X149" s="737"/>
      <c r="Y149" s="738"/>
      <c r="Z149" s="738"/>
      <c r="AA149" s="738"/>
      <c r="AB149" s="738"/>
      <c r="AC149" s="740"/>
    </row>
    <row r="150" spans="2:29" ht="13" customHeight="1" outlineLevel="1" x14ac:dyDescent="0.2">
      <c r="B150" s="1634" t="s">
        <v>3072</v>
      </c>
      <c r="C150" s="201"/>
      <c r="D150" s="423" t="s">
        <v>56</v>
      </c>
      <c r="E150" s="423" t="s">
        <v>56</v>
      </c>
      <c r="F150" s="205" t="s">
        <v>87</v>
      </c>
      <c r="G150" s="205" t="s">
        <v>2699</v>
      </c>
      <c r="H150" s="205" t="s">
        <v>2700</v>
      </c>
      <c r="I150" s="1635" t="s">
        <v>2703</v>
      </c>
      <c r="J150" s="1635" t="s">
        <v>2704</v>
      </c>
      <c r="K150" s="1358" t="s">
        <v>2707</v>
      </c>
      <c r="L150" s="1358" t="s">
        <v>2533</v>
      </c>
      <c r="M150" s="711" t="s">
        <v>61</v>
      </c>
      <c r="O150" s="1634" t="s">
        <v>2605</v>
      </c>
      <c r="P150" s="423" t="s">
        <v>2110</v>
      </c>
      <c r="Q150" s="481" t="s">
        <v>61</v>
      </c>
      <c r="S150" s="461" t="s">
        <v>2065</v>
      </c>
      <c r="T150" s="424" t="s">
        <v>61</v>
      </c>
      <c r="U150" s="423" t="s">
        <v>2558</v>
      </c>
      <c r="V150" s="481" t="s">
        <v>61</v>
      </c>
      <c r="X150" s="1739" t="s">
        <v>61</v>
      </c>
      <c r="Y150" s="1740"/>
      <c r="Z150" s="1740"/>
      <c r="AA150" s="1740"/>
      <c r="AB150" s="1348" t="s">
        <v>61</v>
      </c>
      <c r="AC150" s="742"/>
    </row>
    <row r="151" spans="2:29" ht="13" customHeight="1" outlineLevel="1" x14ac:dyDescent="0.2">
      <c r="B151" s="461"/>
      <c r="C151" s="423"/>
      <c r="D151" s="423" t="s">
        <v>61</v>
      </c>
      <c r="E151" s="423" t="s">
        <v>63</v>
      </c>
      <c r="F151" s="208" t="s">
        <v>2697</v>
      </c>
      <c r="G151" s="208" t="s">
        <v>2701</v>
      </c>
      <c r="H151" s="208" t="s">
        <v>2702</v>
      </c>
      <c r="I151" s="1635" t="s">
        <v>2535</v>
      </c>
      <c r="J151" s="1359" t="s">
        <v>2705</v>
      </c>
      <c r="K151" s="1358" t="s">
        <v>2698</v>
      </c>
      <c r="L151" s="1358" t="s">
        <v>2706</v>
      </c>
      <c r="M151" s="711"/>
      <c r="O151" s="1634" t="s">
        <v>2109</v>
      </c>
      <c r="P151" s="423"/>
      <c r="Q151" s="481"/>
      <c r="S151" s="461"/>
      <c r="T151" s="424"/>
      <c r="U151" s="423"/>
      <c r="V151" s="481"/>
      <c r="X151" s="744" t="s">
        <v>14</v>
      </c>
      <c r="Y151" s="745" t="s">
        <v>60</v>
      </c>
      <c r="Z151" s="745" t="s">
        <v>27</v>
      </c>
      <c r="AA151" s="745" t="s">
        <v>2074</v>
      </c>
      <c r="AB151" s="1347" t="s">
        <v>41</v>
      </c>
      <c r="AC151" s="747" t="s">
        <v>85</v>
      </c>
    </row>
    <row r="152" spans="2:29" ht="13" customHeight="1" outlineLevel="1" x14ac:dyDescent="0.15">
      <c r="B152" s="200" t="s">
        <v>3279</v>
      </c>
      <c r="C152" s="201"/>
      <c r="D152" s="262">
        <f>M152</f>
        <v>0</v>
      </c>
      <c r="E152" s="265">
        <f>D152*12/44</f>
        <v>0</v>
      </c>
      <c r="F152" s="325"/>
      <c r="G152" s="1344" t="s">
        <v>2437</v>
      </c>
      <c r="H152" s="1390">
        <v>0.95</v>
      </c>
      <c r="I152" s="394">
        <f>VLOOKUP($B152,'Emissions factors'!$B$2329:$E$2347,2,FALSE)</f>
        <v>0</v>
      </c>
      <c r="J152" s="394">
        <f>(1-H152)*F152*I152</f>
        <v>0</v>
      </c>
      <c r="K152" s="281">
        <f>'Emissions factors'!$C$2326</f>
        <v>0.25</v>
      </c>
      <c r="L152" s="394">
        <f>'Emissions factors'!$C$14</f>
        <v>28</v>
      </c>
      <c r="M152" s="211">
        <f>J152*K152*L152</f>
        <v>0</v>
      </c>
      <c r="O152" s="282">
        <f>VLOOKUP($B152,'Emissions factors'!$B$2329:$E$2347,4,FALSE)</f>
        <v>0</v>
      </c>
      <c r="P152" s="326"/>
      <c r="Q152" s="211">
        <f>M152*SQRT(O152^2+P152^2)</f>
        <v>0</v>
      </c>
      <c r="S152" s="327"/>
      <c r="T152" s="210">
        <f>S152*M152</f>
        <v>0</v>
      </c>
      <c r="U152" s="327"/>
      <c r="V152" s="211">
        <f>U152*M152</f>
        <v>0</v>
      </c>
      <c r="X152" s="717">
        <v>0</v>
      </c>
      <c r="Y152" s="718">
        <f>M152</f>
        <v>0</v>
      </c>
      <c r="Z152" s="718">
        <v>0</v>
      </c>
      <c r="AA152" s="718">
        <v>0</v>
      </c>
      <c r="AB152" s="719">
        <f>M152</f>
        <v>0</v>
      </c>
      <c r="AC152" s="748">
        <v>0</v>
      </c>
    </row>
    <row r="153" spans="2:29" ht="13" customHeight="1" outlineLevel="1" x14ac:dyDescent="0.2">
      <c r="B153" s="200"/>
      <c r="C153" s="201"/>
      <c r="D153" s="263"/>
      <c r="E153" s="266"/>
      <c r="F153" s="201"/>
      <c r="G153" s="201"/>
      <c r="H153" s="201"/>
      <c r="I153" s="201"/>
      <c r="J153" s="201"/>
      <c r="K153" s="201"/>
      <c r="L153" s="201"/>
      <c r="M153" s="203"/>
      <c r="O153" s="220"/>
      <c r="P153" s="201"/>
      <c r="Q153" s="222"/>
      <c r="S153" s="200"/>
      <c r="T153" s="423"/>
      <c r="U153" s="201"/>
      <c r="V153" s="222"/>
      <c r="X153" s="717"/>
      <c r="Y153" s="718"/>
      <c r="Z153" s="718"/>
      <c r="AA153" s="718"/>
      <c r="AB153" s="719"/>
      <c r="AC153" s="748"/>
    </row>
    <row r="154" spans="2:29" ht="13" customHeight="1" outlineLevel="1" x14ac:dyDescent="0.15">
      <c r="B154" s="1634" t="s">
        <v>3073</v>
      </c>
      <c r="C154" s="201"/>
      <c r="D154" s="263"/>
      <c r="E154" s="266"/>
      <c r="F154" s="205"/>
      <c r="G154" s="201"/>
      <c r="H154" s="201"/>
      <c r="I154" s="1358"/>
      <c r="J154" s="1358"/>
      <c r="K154" s="1346"/>
      <c r="L154" s="372"/>
      <c r="M154" s="711"/>
      <c r="O154" s="220"/>
      <c r="P154" s="201"/>
      <c r="Q154" s="222"/>
      <c r="S154" s="200"/>
      <c r="T154" s="1346"/>
      <c r="U154" s="201"/>
      <c r="V154" s="222"/>
      <c r="X154" s="717"/>
      <c r="Y154" s="718"/>
      <c r="Z154" s="718"/>
      <c r="AA154" s="718"/>
      <c r="AB154" s="719"/>
      <c r="AC154" s="748"/>
    </row>
    <row r="155" spans="2:29" ht="13" customHeight="1" outlineLevel="1" x14ac:dyDescent="0.15">
      <c r="B155" s="200"/>
      <c r="C155" s="201"/>
      <c r="D155" s="263"/>
      <c r="E155" s="266"/>
      <c r="F155" s="208" t="s">
        <v>2698</v>
      </c>
      <c r="G155" s="201"/>
      <c r="H155" s="201"/>
      <c r="I155" s="1358"/>
      <c r="J155" s="1358"/>
      <c r="K155" s="1346"/>
      <c r="L155" s="372"/>
      <c r="M155" s="711"/>
      <c r="O155" s="220"/>
      <c r="P155" s="201"/>
      <c r="Q155" s="222"/>
      <c r="S155" s="200"/>
      <c r="T155" s="1346"/>
      <c r="U155" s="201"/>
      <c r="V155" s="222"/>
      <c r="X155" s="717"/>
      <c r="Y155" s="718"/>
      <c r="Z155" s="718"/>
      <c r="AA155" s="718"/>
      <c r="AB155" s="719"/>
      <c r="AC155" s="748"/>
    </row>
    <row r="156" spans="2:29" ht="13" customHeight="1" outlineLevel="1" x14ac:dyDescent="0.15">
      <c r="B156" s="200" t="s">
        <v>1944</v>
      </c>
      <c r="C156" s="201"/>
      <c r="D156" s="262">
        <f>M156</f>
        <v>0</v>
      </c>
      <c r="E156" s="265">
        <f>D156*12/44</f>
        <v>0</v>
      </c>
      <c r="F156" s="325"/>
      <c r="G156" s="1344" t="s">
        <v>2438</v>
      </c>
      <c r="H156" s="1343">
        <f>IF(G156="Oui",95%,0%)</f>
        <v>0</v>
      </c>
      <c r="I156" s="394"/>
      <c r="J156" s="394">
        <f>(1-H156)*F156</f>
        <v>0</v>
      </c>
      <c r="K156" s="281">
        <f>'Emissions factors'!$C$2326</f>
        <v>0.25</v>
      </c>
      <c r="L156" s="394">
        <f>'Emissions factors'!$C$14</f>
        <v>28</v>
      </c>
      <c r="M156" s="211">
        <f>J156*K156*L156</f>
        <v>0</v>
      </c>
      <c r="O156" s="282">
        <f>VLOOKUP($B156,'Emissions factors'!$B$2329:$E$2347,4,FALSE)</f>
        <v>0.5</v>
      </c>
      <c r="P156" s="326"/>
      <c r="Q156" s="211">
        <f>M156*SQRT(O156^2+P156^2)</f>
        <v>0</v>
      </c>
      <c r="S156" s="327"/>
      <c r="T156" s="210">
        <f>S156*M156</f>
        <v>0</v>
      </c>
      <c r="U156" s="327"/>
      <c r="V156" s="211">
        <f>U156*M156</f>
        <v>0</v>
      </c>
      <c r="X156" s="717">
        <v>0</v>
      </c>
      <c r="Y156" s="718">
        <f>M156</f>
        <v>0</v>
      </c>
      <c r="Z156" s="718">
        <v>0</v>
      </c>
      <c r="AA156" s="718">
        <v>0</v>
      </c>
      <c r="AB156" s="719">
        <f>M156</f>
        <v>0</v>
      </c>
      <c r="AC156" s="748">
        <v>0</v>
      </c>
    </row>
    <row r="157" spans="2:29" ht="13" customHeight="1" outlineLevel="1" x14ac:dyDescent="0.2">
      <c r="B157" s="200"/>
      <c r="C157" s="201"/>
      <c r="D157" s="263"/>
      <c r="E157" s="266"/>
      <c r="F157" s="201"/>
      <c r="G157" s="201"/>
      <c r="H157" s="201"/>
      <c r="I157" s="201"/>
      <c r="J157" s="201"/>
      <c r="K157" s="201"/>
      <c r="L157" s="201"/>
      <c r="M157" s="203"/>
      <c r="O157" s="220"/>
      <c r="P157" s="201"/>
      <c r="Q157" s="222"/>
      <c r="S157" s="200"/>
      <c r="T157" s="1346"/>
      <c r="U157" s="201"/>
      <c r="V157" s="222"/>
      <c r="X157" s="717"/>
      <c r="Y157" s="718"/>
      <c r="Z157" s="718"/>
      <c r="AA157" s="718"/>
      <c r="AB157" s="719"/>
      <c r="AC157" s="749"/>
    </row>
    <row r="158" spans="2:29" ht="13" customHeight="1" outlineLevel="1" x14ac:dyDescent="0.2">
      <c r="B158" s="253" t="s">
        <v>2828</v>
      </c>
      <c r="C158" s="254"/>
      <c r="D158" s="264">
        <f>SUM(D152:D157)</f>
        <v>0</v>
      </c>
      <c r="E158" s="267">
        <f>SUM(E152:E157)</f>
        <v>0</v>
      </c>
      <c r="F158" s="256"/>
      <c r="G158" s="256"/>
      <c r="H158" s="256"/>
      <c r="I158" s="256"/>
      <c r="J158" s="256"/>
      <c r="K158" s="256"/>
      <c r="L158" s="256"/>
      <c r="M158" s="257">
        <f>SUM(M152:M157)</f>
        <v>0</v>
      </c>
      <c r="O158" s="253"/>
      <c r="P158" s="254"/>
      <c r="Q158" s="257">
        <f>SQRT(SUMSQ(Q152:Q157))</f>
        <v>0</v>
      </c>
      <c r="S158" s="253"/>
      <c r="T158" s="259">
        <f>SUM(T152:T157)</f>
        <v>0</v>
      </c>
      <c r="U158" s="254"/>
      <c r="V158" s="257">
        <f>SUM(V152:V157)</f>
        <v>0</v>
      </c>
      <c r="X158" s="724">
        <f t="shared" ref="X158:AC158" si="18">SUM(X152:X157)</f>
        <v>0</v>
      </c>
      <c r="Y158" s="725">
        <f t="shared" si="18"/>
        <v>0</v>
      </c>
      <c r="Z158" s="725">
        <f t="shared" si="18"/>
        <v>0</v>
      </c>
      <c r="AA158" s="725">
        <f t="shared" si="18"/>
        <v>0</v>
      </c>
      <c r="AB158" s="727">
        <f t="shared" si="18"/>
        <v>0</v>
      </c>
      <c r="AC158" s="1349">
        <f t="shared" si="18"/>
        <v>0</v>
      </c>
    </row>
    <row r="159" spans="2:29" ht="13" customHeight="1" outlineLevel="1" x14ac:dyDescent="0.2"/>
    <row r="160" spans="2:29" ht="13" customHeight="1" x14ac:dyDescent="0.2"/>
    <row r="161" spans="2:29" ht="13" customHeight="1" x14ac:dyDescent="0.2"/>
    <row r="162" spans="2:29" ht="13" customHeight="1" x14ac:dyDescent="0.2"/>
    <row r="163" spans="2:29" s="191" customFormat="1" ht="20" customHeight="1" x14ac:dyDescent="0.2">
      <c r="B163" s="1780" t="str">
        <f>+Energia!B137</f>
        <v>Panoramica delle sorgenti di emissione di CO2e</v>
      </c>
      <c r="C163" s="1780"/>
      <c r="D163" s="1780"/>
      <c r="E163" s="1780"/>
      <c r="F163" s="1780"/>
      <c r="G163" s="1780"/>
      <c r="H163" s="1780"/>
      <c r="I163" s="1780"/>
      <c r="J163" s="1780"/>
      <c r="K163" s="1780"/>
      <c r="L163" s="1780"/>
      <c r="M163" s="1780"/>
      <c r="N163" s="1780"/>
      <c r="O163" s="1780"/>
      <c r="X163" s="602"/>
      <c r="Y163" s="602"/>
      <c r="Z163" s="602"/>
      <c r="AA163" s="602"/>
      <c r="AB163" s="602"/>
      <c r="AC163" s="602"/>
    </row>
    <row r="165" spans="2:29" x14ac:dyDescent="0.2">
      <c r="B165" s="1781" t="str">
        <f>Description!C22</f>
        <v>Rifiuti di processo</v>
      </c>
      <c r="C165" s="1782"/>
      <c r="D165" s="1794" t="s">
        <v>56</v>
      </c>
      <c r="E165" s="1794"/>
      <c r="F165" s="1794"/>
      <c r="G165" s="52"/>
      <c r="H165" s="1794" t="s">
        <v>723</v>
      </c>
      <c r="I165" s="1794"/>
      <c r="J165" s="228"/>
      <c r="K165" s="1792" t="s">
        <v>2489</v>
      </c>
      <c r="L165" s="1793"/>
      <c r="M165" s="228"/>
      <c r="N165" s="194" t="s">
        <v>2491</v>
      </c>
      <c r="O165" s="194" t="s">
        <v>2492</v>
      </c>
      <c r="P165" s="229"/>
      <c r="Q165" s="1812" t="s">
        <v>2493</v>
      </c>
      <c r="R165" s="1812"/>
      <c r="S165" s="1812"/>
      <c r="T165" s="1812"/>
    </row>
    <row r="166" spans="2:29" x14ac:dyDescent="0.2">
      <c r="B166" s="1783"/>
      <c r="C166" s="1784"/>
      <c r="D166" s="342" t="s">
        <v>61</v>
      </c>
      <c r="E166" s="343" t="s">
        <v>66</v>
      </c>
      <c r="F166" s="342" t="s">
        <v>73</v>
      </c>
      <c r="G166" s="52"/>
      <c r="H166" s="342" t="s">
        <v>61</v>
      </c>
      <c r="I166" s="342" t="s">
        <v>47</v>
      </c>
      <c r="J166" s="228"/>
      <c r="K166" s="342" t="s">
        <v>2065</v>
      </c>
      <c r="L166" s="342" t="s">
        <v>2558</v>
      </c>
      <c r="M166" s="228"/>
      <c r="N166" s="230" t="s">
        <v>66</v>
      </c>
      <c r="O166" s="230" t="s">
        <v>66</v>
      </c>
      <c r="P166" s="229"/>
      <c r="Q166" s="344" t="s">
        <v>2494</v>
      </c>
      <c r="R166" s="344" t="s">
        <v>72</v>
      </c>
      <c r="S166" s="344" t="s">
        <v>72</v>
      </c>
      <c r="T166" s="344" t="s">
        <v>2495</v>
      </c>
    </row>
    <row r="167" spans="2:29" s="4" customFormat="1" x14ac:dyDescent="0.15">
      <c r="B167" s="1788" t="s">
        <v>2958</v>
      </c>
      <c r="C167" s="1789"/>
      <c r="D167" s="241">
        <f>D21</f>
        <v>0</v>
      </c>
      <c r="E167" s="242">
        <f t="shared" ref="E167:E172" si="19">D167/1000</f>
        <v>0</v>
      </c>
      <c r="F167" s="243" t="str">
        <f>IF($D$173=0,"",D167/$D$173)</f>
        <v/>
      </c>
      <c r="G167" s="51"/>
      <c r="H167" s="193">
        <f>Q21</f>
        <v>0</v>
      </c>
      <c r="I167" s="243" t="str">
        <f t="shared" ref="I167:I173" si="20">IF(D167=0,"",H167/D167)</f>
        <v/>
      </c>
      <c r="J167" s="229"/>
      <c r="K167" s="193">
        <f>T21</f>
        <v>0</v>
      </c>
      <c r="L167" s="193">
        <f>V21</f>
        <v>0</v>
      </c>
      <c r="M167" s="229"/>
      <c r="N167" s="193">
        <f t="shared" ref="N167:N172" si="21">L167/1000</f>
        <v>0</v>
      </c>
      <c r="O167" s="233">
        <f t="shared" ref="O167:O172" si="22">E167-N167</f>
        <v>0</v>
      </c>
      <c r="P167" s="229"/>
      <c r="Q167" s="245">
        <f t="shared" ref="Q167:Q173" si="23">(D167-H167)/1000</f>
        <v>0</v>
      </c>
      <c r="R167" s="245">
        <f t="shared" ref="R167:R173" si="24">E167</f>
        <v>0</v>
      </c>
      <c r="S167" s="245">
        <f t="shared" ref="S167:S173" si="25">E167</f>
        <v>0</v>
      </c>
      <c r="T167" s="245">
        <f t="shared" ref="T167:T173" si="26">(D167+H167)/1000</f>
        <v>0</v>
      </c>
      <c r="X167" s="754"/>
      <c r="Y167" s="754"/>
      <c r="Z167" s="754"/>
      <c r="AA167" s="754"/>
      <c r="AB167" s="754"/>
      <c r="AC167" s="754"/>
    </row>
    <row r="168" spans="2:29" s="4" customFormat="1" x14ac:dyDescent="0.15">
      <c r="B168" s="1788" t="s">
        <v>2959</v>
      </c>
      <c r="C168" s="1789"/>
      <c r="D168" s="241">
        <f>D33</f>
        <v>0</v>
      </c>
      <c r="E168" s="242">
        <f t="shared" si="19"/>
        <v>0</v>
      </c>
      <c r="F168" s="243" t="str">
        <f t="shared" ref="F168:F173" si="27">IF($D$173=0,"",D168/$D$173)</f>
        <v/>
      </c>
      <c r="G168" s="51"/>
      <c r="H168" s="193">
        <f>Q33</f>
        <v>0</v>
      </c>
      <c r="I168" s="243" t="str">
        <f t="shared" si="20"/>
        <v/>
      </c>
      <c r="J168" s="229"/>
      <c r="K168" s="193">
        <f>T33</f>
        <v>0</v>
      </c>
      <c r="L168" s="193">
        <f>V33</f>
        <v>0</v>
      </c>
      <c r="M168" s="229"/>
      <c r="N168" s="193">
        <f t="shared" si="21"/>
        <v>0</v>
      </c>
      <c r="O168" s="233">
        <f t="shared" si="22"/>
        <v>0</v>
      </c>
      <c r="P168" s="229"/>
      <c r="Q168" s="245">
        <f t="shared" si="23"/>
        <v>0</v>
      </c>
      <c r="R168" s="245">
        <f t="shared" si="24"/>
        <v>0</v>
      </c>
      <c r="S168" s="245">
        <f t="shared" si="25"/>
        <v>0</v>
      </c>
      <c r="T168" s="245">
        <f t="shared" si="26"/>
        <v>0</v>
      </c>
      <c r="X168" s="754"/>
      <c r="Y168" s="754"/>
      <c r="Z168" s="754"/>
      <c r="AA168" s="754"/>
      <c r="AB168" s="754"/>
      <c r="AC168" s="754"/>
    </row>
    <row r="169" spans="2:29" s="4" customFormat="1" x14ac:dyDescent="0.15">
      <c r="B169" s="1788" t="s">
        <v>2960</v>
      </c>
      <c r="C169" s="1789"/>
      <c r="D169" s="241">
        <f>D43+D54+D64+D74+D84</f>
        <v>0</v>
      </c>
      <c r="E169" s="242">
        <f t="shared" si="19"/>
        <v>0</v>
      </c>
      <c r="F169" s="243" t="str">
        <f t="shared" si="27"/>
        <v/>
      </c>
      <c r="G169" s="51"/>
      <c r="H169" s="193">
        <f>SQRT(Q43^2+Q54^2+Q64^2+Q74^2+Q84^2)</f>
        <v>0</v>
      </c>
      <c r="I169" s="243" t="str">
        <f t="shared" si="20"/>
        <v/>
      </c>
      <c r="J169" s="229"/>
      <c r="K169" s="193">
        <f>T43+T54+T64+T74+T84</f>
        <v>0</v>
      </c>
      <c r="L169" s="193">
        <f>V43+V54+V64+V74+V84</f>
        <v>0</v>
      </c>
      <c r="M169" s="229"/>
      <c r="N169" s="193">
        <f t="shared" si="21"/>
        <v>0</v>
      </c>
      <c r="O169" s="233">
        <f t="shared" si="22"/>
        <v>0</v>
      </c>
      <c r="P169" s="229"/>
      <c r="Q169" s="245">
        <f t="shared" si="23"/>
        <v>0</v>
      </c>
      <c r="R169" s="245">
        <f t="shared" si="24"/>
        <v>0</v>
      </c>
      <c r="S169" s="245">
        <f t="shared" si="25"/>
        <v>0</v>
      </c>
      <c r="T169" s="245">
        <f t="shared" si="26"/>
        <v>0</v>
      </c>
      <c r="X169" s="754"/>
      <c r="Y169" s="754"/>
      <c r="Z169" s="754"/>
      <c r="AA169" s="754"/>
      <c r="AB169" s="754"/>
      <c r="AC169" s="754"/>
    </row>
    <row r="170" spans="2:29" s="4" customFormat="1" x14ac:dyDescent="0.15">
      <c r="B170" s="1788" t="s">
        <v>3304</v>
      </c>
      <c r="C170" s="1789"/>
      <c r="D170" s="241">
        <f>D96</f>
        <v>0</v>
      </c>
      <c r="E170" s="242">
        <f t="shared" si="19"/>
        <v>0</v>
      </c>
      <c r="F170" s="243" t="str">
        <f t="shared" si="27"/>
        <v/>
      </c>
      <c r="G170" s="51"/>
      <c r="H170" s="193">
        <f>Q96</f>
        <v>0</v>
      </c>
      <c r="I170" s="243" t="str">
        <f t="shared" si="20"/>
        <v/>
      </c>
      <c r="J170" s="229"/>
      <c r="K170" s="193">
        <f>T96</f>
        <v>0</v>
      </c>
      <c r="L170" s="193">
        <f>V96</f>
        <v>0</v>
      </c>
      <c r="M170" s="229"/>
      <c r="N170" s="193">
        <f t="shared" si="21"/>
        <v>0</v>
      </c>
      <c r="O170" s="233">
        <f t="shared" si="22"/>
        <v>0</v>
      </c>
      <c r="P170" s="229"/>
      <c r="Q170" s="245">
        <f t="shared" si="23"/>
        <v>0</v>
      </c>
      <c r="R170" s="245">
        <f t="shared" si="24"/>
        <v>0</v>
      </c>
      <c r="S170" s="245">
        <f t="shared" si="25"/>
        <v>0</v>
      </c>
      <c r="T170" s="245">
        <f t="shared" si="26"/>
        <v>0</v>
      </c>
      <c r="X170" s="754"/>
      <c r="Y170" s="754"/>
      <c r="Z170" s="754"/>
      <c r="AA170" s="754"/>
      <c r="AB170" s="754"/>
      <c r="AC170" s="754"/>
    </row>
    <row r="171" spans="2:29" s="4" customFormat="1" x14ac:dyDescent="0.15">
      <c r="B171" s="1788" t="s">
        <v>2946</v>
      </c>
      <c r="C171" s="1789"/>
      <c r="D171" s="241">
        <f>D109+D124+D134</f>
        <v>0</v>
      </c>
      <c r="E171" s="242">
        <f t="shared" si="19"/>
        <v>0</v>
      </c>
      <c r="F171" s="243" t="str">
        <f t="shared" si="27"/>
        <v/>
      </c>
      <c r="G171" s="51"/>
      <c r="H171" s="193">
        <f>SQRT(Q109^2+Q124^2+Q134^2)</f>
        <v>0</v>
      </c>
      <c r="I171" s="243" t="str">
        <f t="shared" si="20"/>
        <v/>
      </c>
      <c r="J171" s="229"/>
      <c r="K171" s="193">
        <f>T109+T124+T134</f>
        <v>0</v>
      </c>
      <c r="L171" s="193">
        <f>V109+V124+V134</f>
        <v>0</v>
      </c>
      <c r="M171" s="229"/>
      <c r="N171" s="193">
        <f t="shared" si="21"/>
        <v>0</v>
      </c>
      <c r="O171" s="233">
        <f t="shared" si="22"/>
        <v>0</v>
      </c>
      <c r="P171" s="229"/>
      <c r="Q171" s="245">
        <f t="shared" si="23"/>
        <v>0</v>
      </c>
      <c r="R171" s="245">
        <f t="shared" si="24"/>
        <v>0</v>
      </c>
      <c r="S171" s="245">
        <f t="shared" si="25"/>
        <v>0</v>
      </c>
      <c r="T171" s="245">
        <f t="shared" si="26"/>
        <v>0</v>
      </c>
      <c r="X171" s="754"/>
      <c r="Y171" s="754"/>
      <c r="Z171" s="754"/>
      <c r="AA171" s="754"/>
      <c r="AB171" s="754"/>
      <c r="AC171" s="754"/>
    </row>
    <row r="172" spans="2:29" s="4" customFormat="1" x14ac:dyDescent="0.15">
      <c r="B172" s="1788" t="s">
        <v>2947</v>
      </c>
      <c r="C172" s="1789"/>
      <c r="D172" s="241">
        <f>D146+D158</f>
        <v>0</v>
      </c>
      <c r="E172" s="242">
        <f t="shared" si="19"/>
        <v>0</v>
      </c>
      <c r="F172" s="243" t="str">
        <f>IF($D$173=0,"",D172/$D$173)</f>
        <v/>
      </c>
      <c r="G172" s="51"/>
      <c r="H172" s="193">
        <f>SQRT(Q146^2+Q158^2)</f>
        <v>0</v>
      </c>
      <c r="I172" s="243" t="str">
        <f>IF(D172=0,"",H172/D172)</f>
        <v/>
      </c>
      <c r="J172" s="229"/>
      <c r="K172" s="193">
        <f>T146+T158</f>
        <v>0</v>
      </c>
      <c r="L172" s="193">
        <f>V146+V158</f>
        <v>0</v>
      </c>
      <c r="M172" s="229"/>
      <c r="N172" s="193">
        <f t="shared" si="21"/>
        <v>0</v>
      </c>
      <c r="O172" s="233">
        <f t="shared" si="22"/>
        <v>0</v>
      </c>
      <c r="P172" s="229"/>
      <c r="Q172" s="245">
        <f t="shared" si="23"/>
        <v>0</v>
      </c>
      <c r="R172" s="245">
        <f t="shared" si="24"/>
        <v>0</v>
      </c>
      <c r="S172" s="245">
        <f t="shared" si="25"/>
        <v>0</v>
      </c>
      <c r="T172" s="245">
        <f t="shared" si="26"/>
        <v>0</v>
      </c>
      <c r="X172" s="754"/>
      <c r="Y172" s="754"/>
      <c r="Z172" s="754"/>
      <c r="AA172" s="754"/>
      <c r="AB172" s="754"/>
      <c r="AC172" s="754"/>
    </row>
    <row r="173" spans="2:29" s="14" customFormat="1" ht="16" x14ac:dyDescent="0.2">
      <c r="B173" s="1790" t="s">
        <v>2828</v>
      </c>
      <c r="C173" s="1791"/>
      <c r="D173" s="246">
        <f>SUM(D167:D172)</f>
        <v>0</v>
      </c>
      <c r="E173" s="247">
        <f>SUM(E167:E172)</f>
        <v>0</v>
      </c>
      <c r="F173" s="248" t="str">
        <f t="shared" si="27"/>
        <v/>
      </c>
      <c r="G173" s="249"/>
      <c r="H173" s="246">
        <f>SQRT(SUMSQ(H167:H172))</f>
        <v>0</v>
      </c>
      <c r="I173" s="248" t="str">
        <f t="shared" si="20"/>
        <v/>
      </c>
      <c r="J173" s="229"/>
      <c r="K173" s="246">
        <f>SUM(K167:K172)</f>
        <v>0</v>
      </c>
      <c r="L173" s="246">
        <f>SUM(L167:L172)</f>
        <v>0</v>
      </c>
      <c r="M173" s="250"/>
      <c r="N173" s="246">
        <f>SUM(N167:N172)</f>
        <v>0</v>
      </c>
      <c r="O173" s="251">
        <f>SUM(O167:O172)</f>
        <v>0</v>
      </c>
      <c r="P173" s="252"/>
      <c r="Q173" s="245">
        <f t="shared" si="23"/>
        <v>0</v>
      </c>
      <c r="R173" s="245">
        <f t="shared" si="24"/>
        <v>0</v>
      </c>
      <c r="S173" s="245">
        <f t="shared" si="25"/>
        <v>0</v>
      </c>
      <c r="T173" s="245">
        <f t="shared" si="26"/>
        <v>0</v>
      </c>
      <c r="X173" s="776"/>
      <c r="Y173" s="776"/>
      <c r="Z173" s="776"/>
      <c r="AA173" s="776"/>
      <c r="AB173" s="776"/>
      <c r="AC173" s="776"/>
    </row>
    <row r="174" spans="2:29" s="4" customFormat="1" x14ac:dyDescent="0.15">
      <c r="B174" s="192"/>
      <c r="C174" s="192"/>
      <c r="D174" s="192"/>
      <c r="E174" s="192"/>
      <c r="F174" s="192"/>
      <c r="G174" s="192"/>
      <c r="H174" s="231"/>
      <c r="I174" s="231"/>
      <c r="J174" s="287" t="s">
        <v>2496</v>
      </c>
      <c r="K174" s="288" t="str">
        <f>IF(D173=0,"",K173/D173)</f>
        <v/>
      </c>
      <c r="L174" s="288" t="str">
        <f>IF(D173=0,"",L173/D173)</f>
        <v/>
      </c>
      <c r="M174" s="231"/>
      <c r="N174" s="231"/>
      <c r="O174" s="231"/>
      <c r="P174" s="232"/>
      <c r="Q174" s="232"/>
      <c r="R174" s="232"/>
      <c r="S174" s="232"/>
      <c r="T174" s="232"/>
      <c r="X174" s="754"/>
      <c r="Y174" s="754"/>
      <c r="Z174" s="754"/>
      <c r="AA174" s="754"/>
      <c r="AB174" s="754"/>
      <c r="AC174" s="754"/>
    </row>
    <row r="175" spans="2:29" s="39" customFormat="1" x14ac:dyDescent="0.2">
      <c r="J175" s="295"/>
      <c r="K175" s="295"/>
      <c r="L175" s="295"/>
      <c r="X175" s="602"/>
      <c r="Y175" s="602"/>
      <c r="Z175" s="602"/>
      <c r="AA175" s="602"/>
      <c r="AB175" s="602"/>
      <c r="AC175" s="729"/>
    </row>
    <row r="176" spans="2:29" ht="14" x14ac:dyDescent="0.2">
      <c r="B176" s="1816" t="s">
        <v>2961</v>
      </c>
      <c r="C176" s="1817"/>
      <c r="D176" s="595" t="s">
        <v>61</v>
      </c>
      <c r="E176" s="595" t="s">
        <v>66</v>
      </c>
      <c r="F176" s="39"/>
      <c r="G176" s="293"/>
      <c r="H176" s="293"/>
      <c r="I176" s="293"/>
      <c r="J176" s="295"/>
      <c r="K176" s="295"/>
      <c r="L176" s="293"/>
      <c r="M176" s="39"/>
      <c r="N176" s="39"/>
      <c r="P176" s="39"/>
      <c r="Q176" s="39"/>
      <c r="R176" s="39"/>
      <c r="AB176" s="729"/>
    </row>
    <row r="177" spans="2:51" s="39" customFormat="1" ht="13" customHeight="1" x14ac:dyDescent="0.2">
      <c r="B177" s="1818" t="s">
        <v>2962</v>
      </c>
      <c r="C177" s="1819"/>
      <c r="D177" s="596">
        <f>L21</f>
        <v>0</v>
      </c>
      <c r="E177" s="597">
        <f>D177/1000</f>
        <v>0</v>
      </c>
      <c r="F177" s="293"/>
      <c r="G177" s="295"/>
      <c r="H177" s="295"/>
      <c r="I177" s="295"/>
      <c r="J177" s="295"/>
      <c r="K177" s="295"/>
      <c r="W177" s="40"/>
      <c r="X177" s="602"/>
      <c r="Y177" s="602"/>
      <c r="Z177" s="602"/>
      <c r="AA177" s="602"/>
      <c r="AB177" s="602"/>
      <c r="AC177" s="729"/>
    </row>
    <row r="178" spans="2:51" s="39" customFormat="1" ht="13" customHeight="1" x14ac:dyDescent="0.2">
      <c r="B178" s="1818" t="s">
        <v>2963</v>
      </c>
      <c r="C178" s="1819"/>
      <c r="D178" s="596">
        <f>K33</f>
        <v>0</v>
      </c>
      <c r="E178" s="597">
        <f>D178/1000</f>
        <v>0</v>
      </c>
      <c r="F178" s="293"/>
      <c r="G178" s="295"/>
      <c r="H178" s="295"/>
      <c r="I178" s="295"/>
      <c r="J178" s="295"/>
      <c r="K178" s="295"/>
      <c r="W178" s="40"/>
      <c r="X178" s="602"/>
      <c r="Y178" s="602"/>
      <c r="Z178" s="602"/>
      <c r="AA178" s="602"/>
      <c r="AB178" s="602"/>
      <c r="AC178" s="729"/>
    </row>
    <row r="179" spans="2:51" s="39" customFormat="1" ht="13" customHeight="1" x14ac:dyDescent="0.2">
      <c r="B179" s="1818" t="s">
        <v>2964</v>
      </c>
      <c r="C179" s="1819"/>
      <c r="D179" s="596">
        <f>K54+K64+K74+K84</f>
        <v>0</v>
      </c>
      <c r="E179" s="597">
        <f>D179/1000</f>
        <v>0</v>
      </c>
      <c r="F179" s="293"/>
      <c r="G179" s="295"/>
      <c r="H179" s="295"/>
      <c r="I179" s="295"/>
      <c r="J179" s="295"/>
      <c r="K179" s="295"/>
      <c r="W179" s="191"/>
      <c r="X179" s="751"/>
      <c r="Y179" s="751"/>
      <c r="Z179" s="751"/>
      <c r="AA179" s="751"/>
      <c r="AB179" s="602"/>
      <c r="AC179" s="729"/>
    </row>
    <row r="180" spans="2:51" s="39" customFormat="1" ht="13" customHeight="1" x14ac:dyDescent="0.2">
      <c r="B180" s="1818" t="s">
        <v>2966</v>
      </c>
      <c r="C180" s="1819"/>
      <c r="D180" s="596">
        <f>K43</f>
        <v>0</v>
      </c>
      <c r="E180" s="597">
        <f>D180/1000</f>
        <v>0</v>
      </c>
      <c r="F180" s="293"/>
      <c r="G180" s="295"/>
      <c r="H180" s="295"/>
      <c r="I180" s="295"/>
      <c r="J180" s="295"/>
      <c r="K180" s="295"/>
      <c r="W180" s="40"/>
      <c r="X180" s="602"/>
      <c r="Y180" s="602"/>
      <c r="Z180" s="602"/>
      <c r="AA180" s="602"/>
      <c r="AB180" s="602"/>
      <c r="AC180" s="729"/>
    </row>
    <row r="181" spans="2:51" s="39" customFormat="1" ht="13" customHeight="1" x14ac:dyDescent="0.2">
      <c r="B181" s="1818" t="s">
        <v>2965</v>
      </c>
      <c r="C181" s="1819"/>
      <c r="D181" s="596">
        <f>K96</f>
        <v>0</v>
      </c>
      <c r="E181" s="597">
        <f>D181/1000</f>
        <v>0</v>
      </c>
      <c r="F181" s="293"/>
      <c r="G181" s="295"/>
      <c r="H181" s="295"/>
      <c r="I181" s="295"/>
      <c r="J181" s="295"/>
      <c r="K181" s="295"/>
      <c r="X181" s="729"/>
      <c r="Y181" s="729"/>
      <c r="Z181" s="729"/>
      <c r="AA181" s="729"/>
      <c r="AB181" s="602"/>
      <c r="AC181" s="729"/>
    </row>
    <row r="182" spans="2:51" s="39" customFormat="1" ht="17" customHeight="1" x14ac:dyDescent="0.2">
      <c r="B182" s="1826" t="s">
        <v>44</v>
      </c>
      <c r="C182" s="1827"/>
      <c r="D182" s="598">
        <f>SUM(D177:D181)</f>
        <v>0</v>
      </c>
      <c r="E182" s="598">
        <f>SUM(E177:E181)</f>
        <v>0</v>
      </c>
      <c r="F182" s="295"/>
      <c r="H182" s="295"/>
      <c r="I182" s="295"/>
      <c r="J182" s="295"/>
      <c r="X182" s="729"/>
      <c r="Y182" s="729"/>
      <c r="Z182" s="729"/>
      <c r="AA182" s="729"/>
      <c r="AB182" s="602"/>
      <c r="AC182" s="729"/>
    </row>
    <row r="183" spans="2:51" x14ac:dyDescent="0.2">
      <c r="H183" s="328"/>
      <c r="I183" s="49"/>
      <c r="J183" s="49"/>
    </row>
    <row r="185" spans="2:51" s="39" customFormat="1" ht="16" x14ac:dyDescent="0.2">
      <c r="B185" s="1774" t="str">
        <f>+Energia!B150</f>
        <v>Panoramica delle categorie definite nel  GHG Protocol</v>
      </c>
      <c r="C185" s="1775"/>
      <c r="D185" s="1775"/>
      <c r="E185" s="1775"/>
      <c r="F185" s="1775"/>
      <c r="G185" s="1775"/>
      <c r="H185" s="1775"/>
      <c r="I185" s="1775"/>
      <c r="J185" s="1775"/>
      <c r="K185" s="1775"/>
      <c r="L185" s="1775"/>
      <c r="M185" s="1775"/>
      <c r="N185" s="1775"/>
      <c r="O185" s="1776"/>
      <c r="W185" s="1162"/>
      <c r="AB185" s="1162"/>
      <c r="AF185" s="1162"/>
      <c r="AK185" s="729"/>
      <c r="AL185" s="729"/>
      <c r="AM185" s="729"/>
      <c r="AN185" s="729"/>
      <c r="AO185" s="729"/>
      <c r="AP185" s="729"/>
      <c r="AQ185" s="729"/>
      <c r="AR185" s="729"/>
      <c r="AS185" s="729"/>
      <c r="AT185" s="729"/>
      <c r="AU185" s="729"/>
      <c r="AV185" s="729"/>
    </row>
    <row r="186" spans="2:51" s="39" customFormat="1" ht="12" outlineLevel="1" x14ac:dyDescent="0.2">
      <c r="W186" s="1162"/>
      <c r="AB186" s="1162"/>
      <c r="AF186" s="1162"/>
      <c r="AK186" s="729"/>
      <c r="AL186" s="729"/>
      <c r="AM186" s="729"/>
      <c r="AN186" s="729"/>
      <c r="AO186" s="729"/>
      <c r="AP186" s="729"/>
      <c r="AQ186" s="729"/>
      <c r="AR186" s="729"/>
      <c r="AS186" s="729"/>
      <c r="AT186" s="729"/>
      <c r="AU186" s="729"/>
      <c r="AV186" s="729"/>
    </row>
    <row r="187" spans="2:51" s="39" customFormat="1" ht="28" outlineLevel="1" x14ac:dyDescent="0.2">
      <c r="B187" s="118"/>
      <c r="C187" s="118"/>
      <c r="D187" s="118"/>
      <c r="E187" s="1777" t="s">
        <v>2498</v>
      </c>
      <c r="F187" s="1779"/>
      <c r="G187" s="1779"/>
      <c r="H187" s="1779"/>
      <c r="I187" s="1779"/>
      <c r="J187" s="1779"/>
      <c r="K187" s="1779"/>
      <c r="L187" s="1779"/>
      <c r="M187" s="1779"/>
      <c r="N187" s="1778"/>
      <c r="O187" s="1249" t="s">
        <v>2517</v>
      </c>
      <c r="W187" s="1162"/>
      <c r="AB187" s="1162"/>
      <c r="AF187" s="1162"/>
      <c r="AK187" s="729"/>
      <c r="AL187" s="729"/>
      <c r="AM187" s="729"/>
      <c r="AN187" s="729"/>
      <c r="AO187" s="729"/>
      <c r="AP187" s="729"/>
      <c r="AQ187" s="729"/>
      <c r="AR187" s="729"/>
      <c r="AS187" s="729"/>
      <c r="AT187" s="729"/>
      <c r="AU187" s="729"/>
      <c r="AV187" s="729"/>
    </row>
    <row r="188" spans="2:51" s="39" customFormat="1" ht="28" outlineLevel="1" x14ac:dyDescent="0.2">
      <c r="B188" s="1777" t="str">
        <f>+Energia!B153</f>
        <v>Sorgenti di emissione</v>
      </c>
      <c r="C188" s="1778"/>
      <c r="D188" s="1251" t="s">
        <v>2500</v>
      </c>
      <c r="E188" s="1250" t="s">
        <v>666</v>
      </c>
      <c r="F188" s="1250" t="s">
        <v>667</v>
      </c>
      <c r="G188" s="1250" t="s">
        <v>668</v>
      </c>
      <c r="H188" s="1250" t="s">
        <v>670</v>
      </c>
      <c r="I188" s="1250" t="s">
        <v>671</v>
      </c>
      <c r="J188" s="1250" t="s">
        <v>672</v>
      </c>
      <c r="K188" s="1250" t="s">
        <v>2584</v>
      </c>
      <c r="L188" s="1251" t="s">
        <v>69</v>
      </c>
      <c r="M188" s="1250" t="s">
        <v>669</v>
      </c>
      <c r="N188" s="1250" t="s">
        <v>2586</v>
      </c>
      <c r="O188" s="1251" t="s">
        <v>69</v>
      </c>
      <c r="Z188" s="1162"/>
      <c r="AE188" s="1162"/>
      <c r="AI188" s="1162"/>
      <c r="AN188" s="729"/>
      <c r="AO188" s="729"/>
      <c r="AP188" s="729"/>
      <c r="AQ188" s="729"/>
      <c r="AR188" s="729"/>
      <c r="AS188" s="729"/>
      <c r="AT188" s="729"/>
      <c r="AU188" s="729"/>
      <c r="AV188" s="729"/>
      <c r="AW188" s="729"/>
      <c r="AX188" s="729"/>
      <c r="AY188" s="729"/>
    </row>
    <row r="189" spans="2:51" s="39" customFormat="1" ht="14" outlineLevel="1" x14ac:dyDescent="0.2">
      <c r="B189" s="1749" t="str">
        <f>+Energia!B154</f>
        <v xml:space="preserve">Emissioni dirette da sorgenti di combustione stazionarie </v>
      </c>
      <c r="C189" s="1749"/>
      <c r="D189" s="1245" t="s">
        <v>99</v>
      </c>
      <c r="E189" s="1239"/>
      <c r="F189" s="1239"/>
      <c r="G189" s="1239"/>
      <c r="H189" s="1239"/>
      <c r="I189" s="1239"/>
      <c r="J189" s="1239"/>
      <c r="K189" s="1239"/>
      <c r="L189" s="1248"/>
      <c r="M189" s="1237"/>
      <c r="N189" s="1242"/>
      <c r="O189" s="1241"/>
      <c r="Z189" s="1162"/>
      <c r="AE189" s="1162"/>
      <c r="AI189" s="1162"/>
      <c r="AN189" s="729"/>
      <c r="AO189" s="729"/>
      <c r="AP189" s="729"/>
      <c r="AQ189" s="729"/>
      <c r="AR189" s="729"/>
      <c r="AS189" s="729"/>
      <c r="AT189" s="729"/>
      <c r="AU189" s="729"/>
      <c r="AV189" s="729"/>
      <c r="AW189" s="729"/>
      <c r="AX189" s="729"/>
      <c r="AY189" s="729"/>
    </row>
    <row r="190" spans="2:51" s="39" customFormat="1" ht="14" outlineLevel="1" x14ac:dyDescent="0.2">
      <c r="B190" s="1749" t="str">
        <f>+Energia!B155</f>
        <v>Emissioni dirette da sorgenti di combustione mobili</v>
      </c>
      <c r="C190" s="1749"/>
      <c r="D190" s="1246" t="s">
        <v>100</v>
      </c>
      <c r="E190" s="1239"/>
      <c r="F190" s="1239"/>
      <c r="G190" s="1239"/>
      <c r="H190" s="1239"/>
      <c r="I190" s="1239"/>
      <c r="J190" s="1239"/>
      <c r="K190" s="1239"/>
      <c r="L190" s="1248"/>
      <c r="M190" s="1237"/>
      <c r="N190" s="1242"/>
      <c r="O190" s="1241"/>
      <c r="Z190" s="1162"/>
      <c r="AE190" s="1162"/>
      <c r="AI190" s="1162"/>
      <c r="AN190" s="729"/>
      <c r="AO190" s="729"/>
      <c r="AP190" s="729"/>
      <c r="AQ190" s="729"/>
      <c r="AR190" s="729"/>
      <c r="AS190" s="729"/>
      <c r="AT190" s="729"/>
      <c r="AU190" s="729"/>
      <c r="AV190" s="729"/>
      <c r="AW190" s="729"/>
      <c r="AX190" s="729"/>
      <c r="AY190" s="729"/>
    </row>
    <row r="191" spans="2:51" s="39" customFormat="1" ht="14" outlineLevel="1" x14ac:dyDescent="0.2">
      <c r="B191" s="1749" t="str">
        <f>+Energia!B156</f>
        <v>Emissioni dirette da  processi</v>
      </c>
      <c r="C191" s="1749"/>
      <c r="D191" s="1246" t="s">
        <v>101</v>
      </c>
      <c r="E191" s="1239"/>
      <c r="F191" s="1239"/>
      <c r="G191" s="1239"/>
      <c r="H191" s="1239"/>
      <c r="I191" s="1239"/>
      <c r="J191" s="1239"/>
      <c r="K191" s="1239"/>
      <c r="L191" s="1248"/>
      <c r="M191" s="1237"/>
      <c r="N191" s="1242"/>
      <c r="O191" s="1241"/>
      <c r="Z191" s="1162"/>
      <c r="AE191" s="1162"/>
      <c r="AI191" s="1162"/>
      <c r="AN191" s="729"/>
      <c r="AO191" s="729"/>
      <c r="AP191" s="729"/>
      <c r="AQ191" s="729"/>
      <c r="AR191" s="729"/>
      <c r="AS191" s="729"/>
      <c r="AT191" s="729"/>
      <c r="AU191" s="729"/>
      <c r="AV191" s="729"/>
      <c r="AW191" s="729"/>
      <c r="AX191" s="729"/>
      <c r="AY191" s="729"/>
    </row>
    <row r="192" spans="2:51" s="39" customFormat="1" ht="14" outlineLevel="1" x14ac:dyDescent="0.2">
      <c r="B192" s="1749" t="str">
        <f>+Energia!B157</f>
        <v>Emissioni dirette da  fonti fugitive</v>
      </c>
      <c r="C192" s="1749"/>
      <c r="D192" s="1246" t="s">
        <v>102</v>
      </c>
      <c r="E192" s="1239"/>
      <c r="F192" s="1239"/>
      <c r="G192" s="1239"/>
      <c r="H192" s="1239"/>
      <c r="I192" s="1239"/>
      <c r="J192" s="1239"/>
      <c r="K192" s="1239"/>
      <c r="L192" s="1248"/>
      <c r="M192" s="1237"/>
      <c r="N192" s="1242"/>
      <c r="O192" s="1241"/>
      <c r="Z192" s="1162"/>
      <c r="AE192" s="1162"/>
      <c r="AI192" s="1162"/>
      <c r="AN192" s="729"/>
      <c r="AO192" s="729"/>
      <c r="AP192" s="729"/>
      <c r="AQ192" s="729"/>
      <c r="AR192" s="729"/>
      <c r="AS192" s="729"/>
      <c r="AT192" s="729"/>
      <c r="AU192" s="729"/>
      <c r="AV192" s="729"/>
      <c r="AW192" s="729"/>
      <c r="AX192" s="729"/>
      <c r="AY192" s="729"/>
    </row>
    <row r="193" spans="2:51" s="39" customFormat="1" outlineLevel="1" x14ac:dyDescent="0.2">
      <c r="B193" s="1766" t="s">
        <v>98</v>
      </c>
      <c r="C193" s="1767"/>
      <c r="D193" s="1768"/>
      <c r="E193" s="1236">
        <f t="shared" ref="E193:O193" si="28">SUM(E189:E192)</f>
        <v>0</v>
      </c>
      <c r="F193" s="1236">
        <f t="shared" si="28"/>
        <v>0</v>
      </c>
      <c r="G193" s="1236">
        <f t="shared" si="28"/>
        <v>0</v>
      </c>
      <c r="H193" s="1236">
        <f t="shared" si="28"/>
        <v>0</v>
      </c>
      <c r="I193" s="1236">
        <f t="shared" si="28"/>
        <v>0</v>
      </c>
      <c r="J193" s="1236">
        <f t="shared" si="28"/>
        <v>0</v>
      </c>
      <c r="K193" s="1236">
        <f t="shared" si="28"/>
        <v>0</v>
      </c>
      <c r="L193" s="1236">
        <f t="shared" si="28"/>
        <v>0</v>
      </c>
      <c r="M193" s="1247">
        <f t="shared" si="28"/>
        <v>0</v>
      </c>
      <c r="N193" s="1243">
        <f>SQRT(SUMSQ(N189:N192))</f>
        <v>0</v>
      </c>
      <c r="O193" s="1244">
        <f t="shared" si="28"/>
        <v>0</v>
      </c>
      <c r="Z193" s="1162"/>
      <c r="AE193" s="1162"/>
      <c r="AI193" s="1162"/>
      <c r="AN193" s="729"/>
      <c r="AO193" s="729"/>
      <c r="AP193" s="729"/>
      <c r="AQ193" s="729"/>
      <c r="AR193" s="729"/>
      <c r="AS193" s="729"/>
      <c r="AT193" s="729"/>
      <c r="AU193" s="729"/>
      <c r="AV193" s="729"/>
      <c r="AW193" s="729"/>
      <c r="AX193" s="729"/>
      <c r="AY193" s="729"/>
    </row>
    <row r="194" spans="2:51" s="39" customFormat="1" ht="14" outlineLevel="1" x14ac:dyDescent="0.2">
      <c r="B194" s="1749" t="str">
        <f>+Energia!B159</f>
        <v xml:space="preserve">Emissioni indirette da consumo di elettricità </v>
      </c>
      <c r="C194" s="1749"/>
      <c r="D194" s="1246" t="s">
        <v>103</v>
      </c>
      <c r="E194" s="1239"/>
      <c r="F194" s="1239"/>
      <c r="G194" s="1239"/>
      <c r="H194" s="1239"/>
      <c r="I194" s="1239"/>
      <c r="J194" s="1239"/>
      <c r="K194" s="1239"/>
      <c r="L194" s="1248"/>
      <c r="M194" s="1237"/>
      <c r="N194" s="1242"/>
      <c r="O194" s="1240"/>
      <c r="Z194" s="1162"/>
      <c r="AE194" s="1162"/>
      <c r="AI194" s="1162"/>
      <c r="AN194" s="729"/>
      <c r="AO194" s="729"/>
      <c r="AP194" s="729"/>
      <c r="AQ194" s="729"/>
      <c r="AR194" s="729"/>
      <c r="AS194" s="729"/>
      <c r="AT194" s="729"/>
      <c r="AU194" s="729"/>
      <c r="AV194" s="729"/>
      <c r="AW194" s="729"/>
      <c r="AX194" s="729"/>
      <c r="AY194" s="729"/>
    </row>
    <row r="195" spans="2:51" s="39" customFormat="1" ht="12.75" customHeight="1" outlineLevel="1" x14ac:dyDescent="0.2">
      <c r="B195" s="1749" t="str">
        <f>+Energia!B160</f>
        <v xml:space="preserve">Emissioni indirette da consumo di vapore, calore o raffrescamento </v>
      </c>
      <c r="C195" s="1749"/>
      <c r="D195" s="1246" t="s">
        <v>104</v>
      </c>
      <c r="E195" s="1239"/>
      <c r="F195" s="1239"/>
      <c r="G195" s="1239"/>
      <c r="H195" s="1239"/>
      <c r="I195" s="1239"/>
      <c r="J195" s="1239"/>
      <c r="K195" s="1239"/>
      <c r="L195" s="1248"/>
      <c r="M195" s="1237"/>
      <c r="N195" s="1242"/>
      <c r="O195" s="1240"/>
      <c r="Z195" s="1162"/>
      <c r="AE195" s="1162"/>
      <c r="AI195" s="1162"/>
      <c r="AN195" s="729"/>
      <c r="AO195" s="729"/>
      <c r="AP195" s="729"/>
      <c r="AQ195" s="729"/>
      <c r="AR195" s="729"/>
      <c r="AS195" s="729"/>
      <c r="AT195" s="729"/>
      <c r="AU195" s="729"/>
      <c r="AV195" s="729"/>
      <c r="AW195" s="729"/>
      <c r="AX195" s="729"/>
      <c r="AY195" s="729"/>
    </row>
    <row r="196" spans="2:51" s="39" customFormat="1" outlineLevel="1" x14ac:dyDescent="0.2">
      <c r="B196" s="1766" t="s">
        <v>97</v>
      </c>
      <c r="C196" s="1767"/>
      <c r="D196" s="1768"/>
      <c r="E196" s="1236">
        <f t="shared" ref="E196:L196" si="29">SUM(E194:E195)</f>
        <v>0</v>
      </c>
      <c r="F196" s="1236">
        <f t="shared" si="29"/>
        <v>0</v>
      </c>
      <c r="G196" s="1236">
        <f t="shared" si="29"/>
        <v>0</v>
      </c>
      <c r="H196" s="1236">
        <f t="shared" si="29"/>
        <v>0</v>
      </c>
      <c r="I196" s="1236">
        <f t="shared" si="29"/>
        <v>0</v>
      </c>
      <c r="J196" s="1236">
        <f t="shared" si="29"/>
        <v>0</v>
      </c>
      <c r="K196" s="1236">
        <f t="shared" si="29"/>
        <v>0</v>
      </c>
      <c r="L196" s="1236">
        <f t="shared" si="29"/>
        <v>0</v>
      </c>
      <c r="M196" s="1247">
        <f>SUM(M194:M195)</f>
        <v>0</v>
      </c>
      <c r="N196" s="1243">
        <f>SQRT(SUMSQ(N194:N195))</f>
        <v>0</v>
      </c>
      <c r="O196" s="1244">
        <f>SUM(O194:O195)</f>
        <v>0</v>
      </c>
      <c r="Z196" s="1162"/>
      <c r="AE196" s="1162"/>
      <c r="AI196" s="1162"/>
      <c r="AN196" s="729"/>
      <c r="AO196" s="729"/>
      <c r="AP196" s="729"/>
      <c r="AQ196" s="729"/>
      <c r="AR196" s="729"/>
      <c r="AS196" s="729"/>
      <c r="AT196" s="729"/>
      <c r="AU196" s="729"/>
      <c r="AV196" s="729"/>
      <c r="AW196" s="729"/>
      <c r="AX196" s="729"/>
      <c r="AY196" s="729"/>
    </row>
    <row r="197" spans="2:51" s="39" customFormat="1" outlineLevel="1" x14ac:dyDescent="0.2">
      <c r="B197" s="1771" t="s">
        <v>2527</v>
      </c>
      <c r="C197" s="1772"/>
      <c r="D197" s="1772"/>
      <c r="E197" s="1772"/>
      <c r="F197" s="1772"/>
      <c r="G197" s="1772"/>
      <c r="H197" s="1772"/>
      <c r="I197" s="1772"/>
      <c r="J197" s="1772"/>
      <c r="K197" s="1772"/>
      <c r="L197" s="1772"/>
      <c r="M197" s="1772"/>
      <c r="N197" s="1772"/>
      <c r="O197" s="1773"/>
      <c r="Z197" s="1162"/>
      <c r="AE197" s="1162"/>
      <c r="AI197" s="1162"/>
      <c r="AN197" s="729"/>
      <c r="AO197" s="729"/>
      <c r="AP197" s="729"/>
      <c r="AQ197" s="729"/>
      <c r="AR197" s="729"/>
      <c r="AS197" s="729"/>
      <c r="AT197" s="729"/>
      <c r="AU197" s="729"/>
      <c r="AV197" s="729"/>
      <c r="AW197" s="729"/>
      <c r="AX197" s="729"/>
      <c r="AY197" s="729"/>
    </row>
    <row r="198" spans="2:51" s="39" customFormat="1" ht="14" outlineLevel="1" x14ac:dyDescent="0.2">
      <c r="B198" s="1749" t="str">
        <f>+Energia!B163</f>
        <v xml:space="preserve">Beni o servizi acquistati </v>
      </c>
      <c r="C198" s="1749"/>
      <c r="D198" s="1246" t="s">
        <v>106</v>
      </c>
      <c r="E198" s="1239"/>
      <c r="F198" s="1239"/>
      <c r="G198" s="1239"/>
      <c r="H198" s="1239"/>
      <c r="I198" s="1239"/>
      <c r="J198" s="1239"/>
      <c r="K198" s="1239"/>
      <c r="L198" s="1248"/>
      <c r="M198" s="1237"/>
      <c r="N198" s="1242"/>
      <c r="O198" s="1240"/>
      <c r="Z198" s="1162"/>
      <c r="AE198" s="1162"/>
      <c r="AI198" s="1162"/>
      <c r="AN198" s="729"/>
      <c r="AO198" s="729"/>
      <c r="AP198" s="729"/>
      <c r="AQ198" s="729"/>
      <c r="AR198" s="729"/>
      <c r="AS198" s="729"/>
      <c r="AT198" s="729"/>
      <c r="AU198" s="729"/>
      <c r="AV198" s="729"/>
      <c r="AW198" s="729"/>
      <c r="AX198" s="729"/>
      <c r="AY198" s="729"/>
    </row>
    <row r="199" spans="2:51" s="39" customFormat="1" ht="14" outlineLevel="1" x14ac:dyDescent="0.2">
      <c r="B199" s="1749" t="str">
        <f>+Energia!B164</f>
        <v xml:space="preserve">Beni di consumo </v>
      </c>
      <c r="C199" s="1749"/>
      <c r="D199" s="1246" t="s">
        <v>107</v>
      </c>
      <c r="E199" s="1239"/>
      <c r="F199" s="1239"/>
      <c r="G199" s="1239"/>
      <c r="H199" s="1239"/>
      <c r="I199" s="1239"/>
      <c r="J199" s="1239"/>
      <c r="K199" s="1239"/>
      <c r="L199" s="1248"/>
      <c r="M199" s="1237"/>
      <c r="N199" s="1242"/>
      <c r="O199" s="1240"/>
      <c r="Z199" s="1162"/>
      <c r="AE199" s="1162"/>
      <c r="AI199" s="1162"/>
      <c r="AN199" s="729"/>
      <c r="AO199" s="729"/>
      <c r="AP199" s="729"/>
      <c r="AQ199" s="729"/>
      <c r="AR199" s="729"/>
      <c r="AS199" s="729"/>
      <c r="AT199" s="729"/>
      <c r="AU199" s="729"/>
      <c r="AV199" s="729"/>
      <c r="AW199" s="729"/>
      <c r="AX199" s="729"/>
      <c r="AY199" s="729"/>
    </row>
    <row r="200" spans="2:51" s="39" customFormat="1" ht="14" outlineLevel="1" x14ac:dyDescent="0.2">
      <c r="B200" s="1749" t="str">
        <f>+Energia!B165</f>
        <v xml:space="preserve">Emissioni dovute a combustibili e energia (non incluse nello scope 1 e 2) </v>
      </c>
      <c r="C200" s="1749"/>
      <c r="D200" s="1246" t="s">
        <v>108</v>
      </c>
      <c r="E200" s="1239"/>
      <c r="F200" s="1239"/>
      <c r="G200" s="1239"/>
      <c r="H200" s="1239"/>
      <c r="I200" s="1239"/>
      <c r="J200" s="1239"/>
      <c r="K200" s="1239"/>
      <c r="L200" s="1248"/>
      <c r="M200" s="1237"/>
      <c r="N200" s="1242"/>
      <c r="O200" s="1240"/>
      <c r="Z200" s="1162"/>
      <c r="AE200" s="1162"/>
      <c r="AI200" s="1162"/>
      <c r="AN200" s="729"/>
      <c r="AO200" s="729"/>
      <c r="AP200" s="729"/>
      <c r="AQ200" s="729"/>
      <c r="AR200" s="729"/>
      <c r="AS200" s="729"/>
      <c r="AT200" s="729"/>
      <c r="AU200" s="729"/>
      <c r="AV200" s="729"/>
      <c r="AW200" s="729"/>
      <c r="AX200" s="729"/>
      <c r="AY200" s="729"/>
    </row>
    <row r="201" spans="2:51" s="39" customFormat="1" ht="14" outlineLevel="1" x14ac:dyDescent="0.2">
      <c r="B201" s="1749" t="str">
        <f>+Energia!B166</f>
        <v>Trasporto e distribuzione premanifattura</v>
      </c>
      <c r="C201" s="1749"/>
      <c r="D201" s="1246" t="s">
        <v>109</v>
      </c>
      <c r="E201" s="1239"/>
      <c r="F201" s="1239"/>
      <c r="G201" s="1239"/>
      <c r="H201" s="1239"/>
      <c r="I201" s="1239"/>
      <c r="J201" s="1239"/>
      <c r="K201" s="1239"/>
      <c r="L201" s="1248"/>
      <c r="M201" s="1237"/>
      <c r="N201" s="1242"/>
      <c r="O201" s="1240"/>
      <c r="Z201" s="1162"/>
      <c r="AE201" s="1162"/>
      <c r="AI201" s="1162"/>
      <c r="AN201" s="729"/>
      <c r="AO201" s="729"/>
      <c r="AP201" s="729"/>
      <c r="AQ201" s="729"/>
      <c r="AR201" s="729"/>
      <c r="AS201" s="729"/>
      <c r="AT201" s="729"/>
      <c r="AU201" s="729"/>
      <c r="AV201" s="729"/>
      <c r="AW201" s="729"/>
      <c r="AX201" s="729"/>
      <c r="AY201" s="729"/>
    </row>
    <row r="202" spans="2:51" s="39" customFormat="1" ht="14" outlineLevel="1" x14ac:dyDescent="0.2">
      <c r="B202" s="1749" t="str">
        <f>+Energia!B167</f>
        <v>Rifiuti prodotti</v>
      </c>
      <c r="C202" s="1749"/>
      <c r="D202" s="1246" t="s">
        <v>110</v>
      </c>
      <c r="E202" s="1239">
        <f>X21+X33+X43+X54+X64+X74+X84+X96+X124+X134+X158+X109+X146</f>
        <v>0</v>
      </c>
      <c r="F202" s="1239">
        <f>Y21+Y33+Y43+Y54+Y64+Y74+Y84+Y96+Y124+Y134+Y158+Y109+Y146</f>
        <v>0</v>
      </c>
      <c r="G202" s="1239">
        <f>Z21+Z33+Z43+Z54+Z64+Z74+Z84+Z96+Z124+Z134+Z158+Z109+Z146</f>
        <v>0</v>
      </c>
      <c r="H202" s="1239">
        <f>SUMPRODUCT((LEFT($B$120:$B$123,3)&lt;&gt;"Per")*(LEFT($B$120:$B$123,3)&lt;&gt;"SF6")*(AA$120:AA$123))</f>
        <v>0</v>
      </c>
      <c r="I202" s="1239">
        <f>SUMPRODUCT((LEFT($B$120:$B$123,3)="Per")*(AA$120:AA$123))</f>
        <v>0</v>
      </c>
      <c r="J202" s="1239">
        <f>SUMPRODUCT((LEFT($B$120:$B$123,3)="SF6")*(AA$120:AA$123))</f>
        <v>0</v>
      </c>
      <c r="K202" s="1239">
        <f>AA134</f>
        <v>0</v>
      </c>
      <c r="L202" s="1248">
        <f>AB21+AB33+AB43+AB54+AB64+AB74+AB84+AB96+AB124+AB134+AB158+AB109+AB146</f>
        <v>0</v>
      </c>
      <c r="M202" s="1237">
        <f>AC21+AC33+AC43+AC54+AC64+AC74+AC84+AC96+AC124+AC134+AC158+AC109+AC146</f>
        <v>0</v>
      </c>
      <c r="N202" s="1242">
        <f>SQRT(Q21^2+Q33^2+Q43^2+Q54^2+Q64^2+Q74^2+Q84^2+Q96^2+Q109^2+Q124^2+Q134^2+Q158^2+Q146^2)</f>
        <v>0</v>
      </c>
      <c r="O202" s="1240">
        <f>L21+K33+K43+K54+K64+K74+K84+K96</f>
        <v>0</v>
      </c>
      <c r="Z202" s="1162"/>
      <c r="AE202" s="1162"/>
      <c r="AI202" s="1162"/>
      <c r="AN202" s="729"/>
      <c r="AO202" s="729"/>
      <c r="AP202" s="729"/>
      <c r="AQ202" s="729"/>
      <c r="AR202" s="729"/>
      <c r="AS202" s="729"/>
      <c r="AT202" s="729"/>
      <c r="AU202" s="729"/>
      <c r="AV202" s="729"/>
      <c r="AW202" s="729"/>
      <c r="AX202" s="729"/>
      <c r="AY202" s="729"/>
    </row>
    <row r="203" spans="2:51" s="39" customFormat="1" ht="14" outlineLevel="1" x14ac:dyDescent="0.2">
      <c r="B203" s="1749" t="str">
        <f>+Energia!B168</f>
        <v>Viaggi di lavoro</v>
      </c>
      <c r="C203" s="1749"/>
      <c r="D203" s="1246" t="s">
        <v>111</v>
      </c>
      <c r="E203" s="1239"/>
      <c r="F203" s="1239"/>
      <c r="G203" s="1239"/>
      <c r="H203" s="1239"/>
      <c r="I203" s="1239"/>
      <c r="J203" s="1239"/>
      <c r="K203" s="1239"/>
      <c r="L203" s="1248"/>
      <c r="M203" s="1237"/>
      <c r="N203" s="1242"/>
      <c r="O203" s="1240"/>
      <c r="Z203" s="1162"/>
      <c r="AE203" s="1162"/>
      <c r="AI203" s="1162"/>
      <c r="AN203" s="729"/>
      <c r="AO203" s="729"/>
      <c r="AP203" s="729"/>
      <c r="AQ203" s="729"/>
      <c r="AR203" s="729"/>
      <c r="AS203" s="729"/>
      <c r="AT203" s="729"/>
      <c r="AU203" s="729"/>
      <c r="AV203" s="729"/>
      <c r="AW203" s="729"/>
      <c r="AX203" s="729"/>
      <c r="AY203" s="729"/>
    </row>
    <row r="204" spans="2:51" s="39" customFormat="1" ht="14" outlineLevel="1" x14ac:dyDescent="0.2">
      <c r="B204" s="1749" t="str">
        <f>+Energia!B169</f>
        <v>Impiegati pendolari</v>
      </c>
      <c r="C204" s="1749"/>
      <c r="D204" s="1246" t="s">
        <v>112</v>
      </c>
      <c r="E204" s="1239"/>
      <c r="F204" s="1239"/>
      <c r="G204" s="1239"/>
      <c r="H204" s="1239"/>
      <c r="I204" s="1239"/>
      <c r="J204" s="1239"/>
      <c r="K204" s="1239"/>
      <c r="L204" s="1248"/>
      <c r="M204" s="1237"/>
      <c r="N204" s="1242"/>
      <c r="O204" s="1240"/>
      <c r="Z204" s="1162"/>
      <c r="AE204" s="1162"/>
      <c r="AI204" s="1162"/>
      <c r="AN204" s="729"/>
      <c r="AO204" s="729"/>
      <c r="AP204" s="729"/>
      <c r="AQ204" s="729"/>
      <c r="AR204" s="729"/>
      <c r="AS204" s="729"/>
      <c r="AT204" s="729"/>
      <c r="AU204" s="729"/>
      <c r="AV204" s="729"/>
      <c r="AW204" s="729"/>
      <c r="AX204" s="729"/>
      <c r="AY204" s="729"/>
    </row>
    <row r="205" spans="2:51" s="39" customFormat="1" ht="14" outlineLevel="1" x14ac:dyDescent="0.2">
      <c r="B205" s="1749" t="str">
        <f>+Energia!B170</f>
        <v>Upstream leased assets</v>
      </c>
      <c r="C205" s="1749"/>
      <c r="D205" s="1246" t="s">
        <v>113</v>
      </c>
      <c r="E205" s="1239"/>
      <c r="F205" s="1239"/>
      <c r="G205" s="1239"/>
      <c r="H205" s="1239"/>
      <c r="I205" s="1239"/>
      <c r="J205" s="1239"/>
      <c r="K205" s="1239"/>
      <c r="L205" s="1248"/>
      <c r="M205" s="1237"/>
      <c r="N205" s="1242"/>
      <c r="O205" s="1240"/>
      <c r="Z205" s="1162"/>
      <c r="AE205" s="1162"/>
      <c r="AI205" s="1162"/>
      <c r="AN205" s="729"/>
      <c r="AO205" s="729"/>
      <c r="AP205" s="729"/>
      <c r="AQ205" s="729"/>
      <c r="AR205" s="729"/>
      <c r="AS205" s="729"/>
      <c r="AT205" s="729"/>
      <c r="AU205" s="729"/>
      <c r="AV205" s="729"/>
      <c r="AW205" s="729"/>
      <c r="AX205" s="729"/>
      <c r="AY205" s="729"/>
    </row>
    <row r="206" spans="2:51" s="39" customFormat="1" outlineLevel="1" x14ac:dyDescent="0.2">
      <c r="B206" s="1749" t="str">
        <f>+Energia!B171</f>
        <v>Altre emissioni indirette premanifattura</v>
      </c>
      <c r="C206" s="1749"/>
      <c r="D206" s="1238"/>
      <c r="E206" s="1239"/>
      <c r="F206" s="1239"/>
      <c r="G206" s="1239"/>
      <c r="H206" s="1239"/>
      <c r="I206" s="1239"/>
      <c r="J206" s="1239"/>
      <c r="K206" s="1239"/>
      <c r="L206" s="1248"/>
      <c r="M206" s="1237"/>
      <c r="N206" s="1242"/>
      <c r="O206" s="1240"/>
      <c r="Z206" s="1162"/>
      <c r="AE206" s="1162"/>
      <c r="AI206" s="1162"/>
      <c r="AN206" s="729"/>
      <c r="AO206" s="729"/>
      <c r="AP206" s="729"/>
      <c r="AQ206" s="729"/>
      <c r="AR206" s="729"/>
      <c r="AS206" s="729"/>
      <c r="AT206" s="729"/>
      <c r="AU206" s="729"/>
      <c r="AV206" s="729"/>
      <c r="AW206" s="729"/>
      <c r="AX206" s="729"/>
      <c r="AY206" s="729"/>
    </row>
    <row r="207" spans="2:51" s="39" customFormat="1" outlineLevel="1" x14ac:dyDescent="0.2">
      <c r="B207" s="1771" t="s">
        <v>2744</v>
      </c>
      <c r="C207" s="1772"/>
      <c r="D207" s="1772"/>
      <c r="E207" s="1772"/>
      <c r="F207" s="1772"/>
      <c r="G207" s="1772"/>
      <c r="H207" s="1772"/>
      <c r="I207" s="1772"/>
      <c r="J207" s="1772"/>
      <c r="K207" s="1772"/>
      <c r="L207" s="1772"/>
      <c r="M207" s="1772"/>
      <c r="N207" s="1772"/>
      <c r="O207" s="1773"/>
      <c r="Z207" s="1162"/>
      <c r="AE207" s="1162"/>
      <c r="AI207" s="1162"/>
      <c r="AN207" s="729"/>
      <c r="AO207" s="729"/>
      <c r="AP207" s="729"/>
      <c r="AQ207" s="729"/>
      <c r="AR207" s="729"/>
      <c r="AS207" s="729"/>
      <c r="AT207" s="729"/>
      <c r="AU207" s="729"/>
      <c r="AV207" s="729"/>
      <c r="AW207" s="729"/>
      <c r="AX207" s="729"/>
      <c r="AY207" s="729"/>
    </row>
    <row r="208" spans="2:51" s="39" customFormat="1" ht="14" outlineLevel="1" x14ac:dyDescent="0.2">
      <c r="B208" s="1749" t="str">
        <f>+Energia!B173</f>
        <v>Trasporto di merci e distribuzione in fase d’uso e fine vita</v>
      </c>
      <c r="C208" s="1749"/>
      <c r="D208" s="1246" t="s">
        <v>114</v>
      </c>
      <c r="E208" s="1239"/>
      <c r="F208" s="1239"/>
      <c r="G208" s="1239"/>
      <c r="H208" s="1239"/>
      <c r="I208" s="1239"/>
      <c r="J208" s="1239"/>
      <c r="K208" s="1239"/>
      <c r="L208" s="1248"/>
      <c r="M208" s="1237"/>
      <c r="N208" s="1242"/>
      <c r="O208" s="1240"/>
      <c r="Z208" s="1162"/>
      <c r="AE208" s="1162"/>
      <c r="AI208" s="1162"/>
      <c r="AN208" s="729"/>
      <c r="AO208" s="729"/>
      <c r="AP208" s="729"/>
      <c r="AQ208" s="729"/>
      <c r="AR208" s="729"/>
      <c r="AS208" s="729"/>
      <c r="AT208" s="729"/>
      <c r="AU208" s="729"/>
      <c r="AV208" s="729"/>
      <c r="AW208" s="729"/>
      <c r="AX208" s="729"/>
      <c r="AY208" s="729"/>
    </row>
    <row r="209" spans="2:51" s="39" customFormat="1" ht="14" outlineLevel="1" x14ac:dyDescent="0.2">
      <c r="B209" s="1749" t="str">
        <f>+Energia!B174</f>
        <v>Lavorazioni dei prodotti venduti</v>
      </c>
      <c r="C209" s="1749"/>
      <c r="D209" s="1246" t="s">
        <v>115</v>
      </c>
      <c r="E209" s="1239"/>
      <c r="F209" s="1239"/>
      <c r="G209" s="1239"/>
      <c r="H209" s="1239"/>
      <c r="I209" s="1239"/>
      <c r="J209" s="1239"/>
      <c r="K209" s="1239"/>
      <c r="L209" s="1248"/>
      <c r="M209" s="1237"/>
      <c r="N209" s="1242"/>
      <c r="O209" s="1240"/>
      <c r="Z209" s="1162"/>
      <c r="AE209" s="1162"/>
      <c r="AI209" s="1162"/>
      <c r="AN209" s="729"/>
      <c r="AO209" s="729"/>
      <c r="AP209" s="729"/>
      <c r="AQ209" s="729"/>
      <c r="AR209" s="729"/>
      <c r="AS209" s="729"/>
      <c r="AT209" s="729"/>
      <c r="AU209" s="729"/>
      <c r="AV209" s="729"/>
      <c r="AW209" s="729"/>
      <c r="AX209" s="729"/>
      <c r="AY209" s="729"/>
    </row>
    <row r="210" spans="2:51" s="39" customFormat="1" ht="14" outlineLevel="1" x14ac:dyDescent="0.2">
      <c r="B210" s="1749" t="str">
        <f>+Energia!B175</f>
        <v xml:space="preserve">Uso dei prodotto venduti  </v>
      </c>
      <c r="C210" s="1749"/>
      <c r="D210" s="1246" t="s">
        <v>116</v>
      </c>
      <c r="E210" s="1239"/>
      <c r="F210" s="1239"/>
      <c r="G210" s="1239"/>
      <c r="H210" s="1239"/>
      <c r="I210" s="1239"/>
      <c r="J210" s="1239"/>
      <c r="K210" s="1239"/>
      <c r="L210" s="1248"/>
      <c r="M210" s="1237"/>
      <c r="N210" s="1242"/>
      <c r="O210" s="1240"/>
      <c r="Z210" s="1162"/>
      <c r="AE210" s="1162"/>
      <c r="AI210" s="1162"/>
      <c r="AN210" s="729"/>
      <c r="AO210" s="729"/>
      <c r="AP210" s="729"/>
      <c r="AQ210" s="729"/>
      <c r="AR210" s="729"/>
      <c r="AS210" s="729"/>
      <c r="AT210" s="729"/>
      <c r="AU210" s="729"/>
      <c r="AV210" s="729"/>
      <c r="AW210" s="729"/>
      <c r="AX210" s="729"/>
      <c r="AY210" s="729"/>
    </row>
    <row r="211" spans="2:51" s="39" customFormat="1" ht="14" outlineLevel="1" x14ac:dyDescent="0.2">
      <c r="B211" s="1749" t="str">
        <f>+Energia!B176</f>
        <v>Fine vita dei prodotti venduti</v>
      </c>
      <c r="C211" s="1749"/>
      <c r="D211" s="1246" t="s">
        <v>117</v>
      </c>
      <c r="E211" s="1239"/>
      <c r="F211" s="1239"/>
      <c r="G211" s="1239"/>
      <c r="H211" s="1239"/>
      <c r="I211" s="1239"/>
      <c r="J211" s="1239"/>
      <c r="K211" s="1239"/>
      <c r="L211" s="1248"/>
      <c r="M211" s="1237"/>
      <c r="N211" s="1242"/>
      <c r="O211" s="1240"/>
      <c r="Z211" s="1162"/>
      <c r="AE211" s="1162"/>
      <c r="AI211" s="1162"/>
      <c r="AN211" s="729"/>
      <c r="AO211" s="729"/>
      <c r="AP211" s="729"/>
      <c r="AQ211" s="729"/>
      <c r="AR211" s="729"/>
      <c r="AS211" s="729"/>
      <c r="AT211" s="729"/>
      <c r="AU211" s="729"/>
      <c r="AV211" s="729"/>
      <c r="AW211" s="729"/>
      <c r="AX211" s="729"/>
      <c r="AY211" s="729"/>
    </row>
    <row r="212" spans="2:51" s="39" customFormat="1" ht="14" outlineLevel="1" x14ac:dyDescent="0.2">
      <c r="B212" s="1749" t="str">
        <f>+Energia!B177</f>
        <v>Downstream leased assets</v>
      </c>
      <c r="C212" s="1749"/>
      <c r="D212" s="1246" t="s">
        <v>118</v>
      </c>
      <c r="E212" s="1239"/>
      <c r="F212" s="1239"/>
      <c r="G212" s="1239"/>
      <c r="H212" s="1239"/>
      <c r="I212" s="1239"/>
      <c r="J212" s="1239"/>
      <c r="K212" s="1239"/>
      <c r="L212" s="1248"/>
      <c r="M212" s="1237"/>
      <c r="N212" s="1242"/>
      <c r="O212" s="1240"/>
      <c r="Z212" s="1162"/>
      <c r="AE212" s="1162"/>
      <c r="AI212" s="1162"/>
      <c r="AN212" s="729"/>
      <c r="AO212" s="729"/>
      <c r="AP212" s="729"/>
      <c r="AQ212" s="729"/>
      <c r="AR212" s="729"/>
      <c r="AS212" s="729"/>
      <c r="AT212" s="729"/>
      <c r="AU212" s="729"/>
      <c r="AV212" s="729"/>
      <c r="AW212" s="729"/>
      <c r="AX212" s="729"/>
      <c r="AY212" s="729"/>
    </row>
    <row r="213" spans="2:51" s="39" customFormat="1" ht="14" outlineLevel="1" x14ac:dyDescent="0.2">
      <c r="B213" s="1749" t="str">
        <f>+Energia!B178</f>
        <v>Franchises</v>
      </c>
      <c r="C213" s="1749"/>
      <c r="D213" s="1246" t="s">
        <v>119</v>
      </c>
      <c r="E213" s="1239"/>
      <c r="F213" s="1239"/>
      <c r="G213" s="1239"/>
      <c r="H213" s="1239"/>
      <c r="I213" s="1239"/>
      <c r="J213" s="1239"/>
      <c r="K213" s="1239"/>
      <c r="L213" s="1248"/>
      <c r="M213" s="1237"/>
      <c r="N213" s="1242"/>
      <c r="O213" s="1240"/>
      <c r="Z213" s="1162"/>
      <c r="AE213" s="1162"/>
      <c r="AI213" s="1162"/>
      <c r="AN213" s="729"/>
      <c r="AO213" s="729"/>
      <c r="AP213" s="729"/>
      <c r="AQ213" s="729"/>
      <c r="AR213" s="729"/>
      <c r="AS213" s="729"/>
      <c r="AT213" s="729"/>
      <c r="AU213" s="729"/>
      <c r="AV213" s="729"/>
      <c r="AW213" s="729"/>
      <c r="AX213" s="729"/>
      <c r="AY213" s="729"/>
    </row>
    <row r="214" spans="2:51" s="39" customFormat="1" ht="14" outlineLevel="1" x14ac:dyDescent="0.2">
      <c r="B214" s="1749" t="str">
        <f>+Energia!B179</f>
        <v>Investimenti</v>
      </c>
      <c r="C214" s="1749"/>
      <c r="D214" s="1246" t="s">
        <v>120</v>
      </c>
      <c r="E214" s="1239"/>
      <c r="F214" s="1239"/>
      <c r="G214" s="1239"/>
      <c r="H214" s="1239"/>
      <c r="I214" s="1239"/>
      <c r="J214" s="1239"/>
      <c r="K214" s="1239"/>
      <c r="L214" s="1248"/>
      <c r="M214" s="1237"/>
      <c r="N214" s="1242"/>
      <c r="O214" s="1240"/>
      <c r="Z214" s="1162"/>
      <c r="AE214" s="1162"/>
      <c r="AI214" s="1162"/>
      <c r="AN214" s="729"/>
      <c r="AO214" s="729"/>
      <c r="AP214" s="729"/>
      <c r="AQ214" s="729"/>
      <c r="AR214" s="729"/>
      <c r="AS214" s="729"/>
      <c r="AT214" s="729"/>
      <c r="AU214" s="729"/>
      <c r="AV214" s="729"/>
      <c r="AW214" s="729"/>
      <c r="AX214" s="729"/>
      <c r="AY214" s="729"/>
    </row>
    <row r="215" spans="2:51" s="39" customFormat="1" outlineLevel="1" x14ac:dyDescent="0.2">
      <c r="B215" s="1749" t="str">
        <f>+Energia!B180</f>
        <v xml:space="preserve">Altre emissioni indirette in fase d'uso e fine vita </v>
      </c>
      <c r="C215" s="1749"/>
      <c r="D215" s="1238"/>
      <c r="E215" s="1239"/>
      <c r="F215" s="1239"/>
      <c r="G215" s="1239"/>
      <c r="H215" s="1239"/>
      <c r="I215" s="1239"/>
      <c r="J215" s="1239"/>
      <c r="K215" s="1239"/>
      <c r="L215" s="1248"/>
      <c r="M215" s="1237"/>
      <c r="N215" s="1242"/>
      <c r="O215" s="1240"/>
      <c r="Z215" s="1162"/>
      <c r="AE215" s="1162"/>
      <c r="AI215" s="1162"/>
      <c r="AN215" s="729"/>
      <c r="AO215" s="729"/>
      <c r="AP215" s="729"/>
      <c r="AQ215" s="729"/>
      <c r="AR215" s="729"/>
      <c r="AS215" s="729"/>
      <c r="AT215" s="729"/>
      <c r="AU215" s="729"/>
      <c r="AV215" s="729"/>
      <c r="AW215" s="729"/>
      <c r="AX215" s="729"/>
      <c r="AY215" s="729"/>
    </row>
    <row r="216" spans="2:51" s="39" customFormat="1" outlineLevel="1" x14ac:dyDescent="0.2">
      <c r="B216" s="1766" t="s">
        <v>96</v>
      </c>
      <c r="C216" s="1767"/>
      <c r="D216" s="1768"/>
      <c r="E216" s="1236">
        <f t="shared" ref="E216:O216" si="30">SUM(E198:E215)</f>
        <v>0</v>
      </c>
      <c r="F216" s="1236">
        <f t="shared" si="30"/>
        <v>0</v>
      </c>
      <c r="G216" s="1236">
        <f t="shared" si="30"/>
        <v>0</v>
      </c>
      <c r="H216" s="1236">
        <f t="shared" si="30"/>
        <v>0</v>
      </c>
      <c r="I216" s="1236">
        <f t="shared" si="30"/>
        <v>0</v>
      </c>
      <c r="J216" s="1236">
        <f t="shared" si="30"/>
        <v>0</v>
      </c>
      <c r="K216" s="1236">
        <f t="shared" si="30"/>
        <v>0</v>
      </c>
      <c r="L216" s="1236">
        <f t="shared" si="30"/>
        <v>0</v>
      </c>
      <c r="M216" s="1247">
        <f t="shared" si="30"/>
        <v>0</v>
      </c>
      <c r="N216" s="1243">
        <f>SQRT(SUMSQ(N198:N215))</f>
        <v>0</v>
      </c>
      <c r="O216" s="1244">
        <f t="shared" si="30"/>
        <v>0</v>
      </c>
      <c r="Z216" s="1162"/>
      <c r="AE216" s="1162"/>
      <c r="AI216" s="1162"/>
      <c r="AN216" s="729"/>
      <c r="AO216" s="729"/>
      <c r="AP216" s="729"/>
      <c r="AQ216" s="729"/>
      <c r="AR216" s="729"/>
      <c r="AS216" s="729"/>
      <c r="AT216" s="729"/>
      <c r="AU216" s="729"/>
      <c r="AV216" s="729"/>
      <c r="AW216" s="729"/>
      <c r="AX216" s="729"/>
      <c r="AY216" s="729"/>
    </row>
    <row r="217" spans="2:51" s="39" customFormat="1" ht="12" outlineLevel="1" x14ac:dyDescent="0.2">
      <c r="W217" s="1162"/>
      <c r="AB217" s="1162"/>
      <c r="AF217" s="1162"/>
      <c r="AK217" s="729"/>
      <c r="AL217" s="729"/>
      <c r="AM217" s="729"/>
      <c r="AN217" s="729"/>
      <c r="AO217" s="729"/>
      <c r="AP217" s="729"/>
      <c r="AQ217" s="729"/>
      <c r="AR217" s="729"/>
      <c r="AS217" s="729"/>
      <c r="AT217" s="729"/>
      <c r="AU217" s="729"/>
      <c r="AV217" s="729"/>
    </row>
    <row r="219" spans="2:51" s="39" customFormat="1" ht="15.75" customHeight="1" x14ac:dyDescent="0.2">
      <c r="B219" s="1741" t="str">
        <f>+Energia!B184</f>
        <v xml:space="preserve">Panoramica delle categorie definite nella  ISO/TR 14069:2013 </v>
      </c>
      <c r="C219" s="1742"/>
      <c r="D219" s="1742"/>
      <c r="E219" s="1742"/>
      <c r="F219" s="1742"/>
      <c r="G219" s="1742"/>
      <c r="H219" s="1742"/>
      <c r="I219" s="1742"/>
      <c r="J219" s="1742"/>
      <c r="K219" s="1742"/>
      <c r="L219" s="1742"/>
      <c r="M219" s="1742"/>
      <c r="N219" s="1742"/>
      <c r="O219" s="1743"/>
      <c r="W219" s="1162"/>
      <c r="AB219" s="1162"/>
      <c r="AF219" s="1162"/>
      <c r="AK219" s="729"/>
      <c r="AL219" s="729"/>
      <c r="AM219" s="729"/>
      <c r="AN219" s="729"/>
      <c r="AO219" s="729"/>
      <c r="AP219" s="729"/>
      <c r="AQ219" s="729"/>
      <c r="AR219" s="729"/>
      <c r="AS219" s="729"/>
      <c r="AT219" s="729"/>
      <c r="AU219" s="729"/>
      <c r="AV219" s="729"/>
    </row>
    <row r="220" spans="2:51" s="39" customFormat="1" ht="12" outlineLevel="1" x14ac:dyDescent="0.2">
      <c r="Q220" s="1317"/>
      <c r="R220" s="1317"/>
      <c r="W220" s="1162"/>
      <c r="AB220" s="1162"/>
      <c r="AF220" s="1162"/>
      <c r="AK220" s="729"/>
      <c r="AL220" s="729"/>
      <c r="AM220" s="729"/>
      <c r="AN220" s="729"/>
      <c r="AO220" s="729"/>
      <c r="AP220" s="729"/>
      <c r="AQ220" s="729"/>
      <c r="AR220" s="729"/>
      <c r="AS220" s="729"/>
      <c r="AT220" s="729"/>
      <c r="AU220" s="729"/>
      <c r="AV220" s="729"/>
    </row>
    <row r="221" spans="2:51" s="39" customFormat="1" ht="28" outlineLevel="1" x14ac:dyDescent="0.2">
      <c r="B221" s="118"/>
      <c r="C221" s="118"/>
      <c r="D221" s="118"/>
      <c r="E221" s="1735" t="s">
        <v>2498</v>
      </c>
      <c r="F221" s="1737"/>
      <c r="G221" s="1737"/>
      <c r="H221" s="1737"/>
      <c r="I221" s="1737"/>
      <c r="J221" s="1737"/>
      <c r="K221" s="1737"/>
      <c r="L221" s="1737"/>
      <c r="M221" s="1736"/>
      <c r="N221" s="1433" t="s">
        <v>2743</v>
      </c>
      <c r="O221" s="1430" t="s">
        <v>2517</v>
      </c>
      <c r="Q221" s="1317"/>
      <c r="R221" s="1317"/>
      <c r="W221" s="1162"/>
      <c r="AB221" s="1162"/>
      <c r="AF221" s="1162"/>
      <c r="AK221" s="729"/>
      <c r="AL221" s="729"/>
      <c r="AM221" s="729"/>
      <c r="AN221" s="729"/>
      <c r="AO221" s="729"/>
      <c r="AP221" s="729"/>
      <c r="AQ221" s="729"/>
      <c r="AR221" s="729"/>
      <c r="AS221" s="729"/>
      <c r="AT221" s="729"/>
      <c r="AU221" s="729"/>
      <c r="AV221" s="729"/>
    </row>
    <row r="222" spans="2:51" s="39" customFormat="1" ht="42" outlineLevel="1" x14ac:dyDescent="0.2">
      <c r="B222" s="1735" t="str">
        <f>+Energia!B187</f>
        <v>Sorgenti di emissione</v>
      </c>
      <c r="C222" s="1736"/>
      <c r="D222" s="1432" t="s">
        <v>2500</v>
      </c>
      <c r="E222" s="1431" t="s">
        <v>666</v>
      </c>
      <c r="F222" s="1431" t="s">
        <v>667</v>
      </c>
      <c r="G222" s="1431" t="s">
        <v>668</v>
      </c>
      <c r="H222" s="1431" t="s">
        <v>2582</v>
      </c>
      <c r="I222" s="1431" t="s">
        <v>2584</v>
      </c>
      <c r="J222" s="1432" t="s">
        <v>69</v>
      </c>
      <c r="K222" s="1431" t="s">
        <v>673</v>
      </c>
      <c r="L222" s="1431" t="s">
        <v>2588</v>
      </c>
      <c r="M222" s="1431" t="s">
        <v>2586</v>
      </c>
      <c r="N222" s="1434" t="s">
        <v>669</v>
      </c>
      <c r="O222" s="1436" t="s">
        <v>69</v>
      </c>
      <c r="Q222" s="1317"/>
      <c r="R222" s="1317"/>
      <c r="W222" s="1162"/>
      <c r="AB222" s="1162"/>
      <c r="AF222" s="1162"/>
      <c r="AK222" s="729"/>
      <c r="AL222" s="729"/>
      <c r="AM222" s="729"/>
      <c r="AN222" s="729"/>
      <c r="AO222" s="729"/>
      <c r="AP222" s="729"/>
      <c r="AQ222" s="729"/>
      <c r="AR222" s="729"/>
      <c r="AS222" s="729"/>
      <c r="AT222" s="729"/>
      <c r="AU222" s="729"/>
      <c r="AV222" s="729"/>
    </row>
    <row r="223" spans="2:51" s="39" customFormat="1" ht="12.75" customHeight="1" outlineLevel="1" x14ac:dyDescent="0.2">
      <c r="B223" s="1733" t="str">
        <f>+Energia!B188</f>
        <v xml:space="preserve">Emissioni dirette da sorgenti di combustione stazionarie </v>
      </c>
      <c r="C223" s="1734"/>
      <c r="D223" s="1435">
        <v>1</v>
      </c>
      <c r="E223" s="1441"/>
      <c r="F223" s="1441"/>
      <c r="G223" s="1441"/>
      <c r="H223" s="1441"/>
      <c r="I223" s="1441"/>
      <c r="J223" s="1442"/>
      <c r="K223" s="1443"/>
      <c r="L223" s="1443"/>
      <c r="M223" s="1444"/>
      <c r="N223" s="1445"/>
      <c r="O223" s="1730" t="s">
        <v>2518</v>
      </c>
      <c r="Q223" s="1317"/>
      <c r="R223" s="1317"/>
      <c r="W223" s="1162"/>
      <c r="AB223" s="1162"/>
      <c r="AF223" s="1162"/>
      <c r="AK223" s="729"/>
      <c r="AL223" s="729"/>
      <c r="AM223" s="729"/>
      <c r="AN223" s="729"/>
      <c r="AO223" s="729"/>
      <c r="AP223" s="729"/>
      <c r="AQ223" s="729"/>
      <c r="AR223" s="729"/>
      <c r="AS223" s="729"/>
      <c r="AT223" s="729"/>
      <c r="AU223" s="729"/>
      <c r="AV223" s="729"/>
    </row>
    <row r="224" spans="2:51" s="39" customFormat="1" outlineLevel="1" x14ac:dyDescent="0.2">
      <c r="B224" s="1733" t="str">
        <f>+Energia!B189</f>
        <v>Emissioni dirette da sorgenti di combustione mobili</v>
      </c>
      <c r="C224" s="1734"/>
      <c r="D224" s="1435">
        <v>2</v>
      </c>
      <c r="E224" s="1441"/>
      <c r="F224" s="1441"/>
      <c r="G224" s="1441"/>
      <c r="H224" s="1441"/>
      <c r="I224" s="1441"/>
      <c r="J224" s="1442"/>
      <c r="K224" s="1443"/>
      <c r="L224" s="1443"/>
      <c r="M224" s="1444"/>
      <c r="N224" s="1445"/>
      <c r="O224" s="1731"/>
      <c r="Q224" s="1317"/>
      <c r="R224" s="1317"/>
      <c r="W224" s="1162"/>
      <c r="AB224" s="1162"/>
      <c r="AF224" s="1162"/>
      <c r="AK224" s="729"/>
      <c r="AL224" s="729"/>
      <c r="AM224" s="729"/>
      <c r="AN224" s="729"/>
      <c r="AO224" s="729"/>
      <c r="AP224" s="729"/>
      <c r="AQ224" s="729"/>
      <c r="AR224" s="729"/>
      <c r="AS224" s="729"/>
      <c r="AT224" s="729"/>
      <c r="AU224" s="729"/>
      <c r="AV224" s="729"/>
    </row>
    <row r="225" spans="2:48" s="39" customFormat="1" outlineLevel="1" x14ac:dyDescent="0.2">
      <c r="B225" s="1733" t="str">
        <f>+Energia!B190</f>
        <v>Emissioni dirette da  processi</v>
      </c>
      <c r="C225" s="1734"/>
      <c r="D225" s="1435">
        <v>3</v>
      </c>
      <c r="E225" s="1441"/>
      <c r="F225" s="1441"/>
      <c r="G225" s="1441"/>
      <c r="H225" s="1441"/>
      <c r="I225" s="1441"/>
      <c r="J225" s="1442"/>
      <c r="K225" s="1443"/>
      <c r="L225" s="1443"/>
      <c r="M225" s="1444"/>
      <c r="N225" s="1445"/>
      <c r="O225" s="1731"/>
      <c r="Q225" s="1317"/>
      <c r="R225" s="1317"/>
      <c r="W225" s="1162"/>
      <c r="AB225" s="1162"/>
      <c r="AF225" s="1162"/>
      <c r="AK225" s="729"/>
      <c r="AL225" s="729"/>
      <c r="AM225" s="729"/>
      <c r="AN225" s="729"/>
      <c r="AO225" s="729"/>
      <c r="AP225" s="729"/>
      <c r="AQ225" s="729"/>
      <c r="AR225" s="729"/>
      <c r="AS225" s="729"/>
      <c r="AT225" s="729"/>
      <c r="AU225" s="729"/>
      <c r="AV225" s="729"/>
    </row>
    <row r="226" spans="2:48" s="39" customFormat="1" outlineLevel="1" x14ac:dyDescent="0.2">
      <c r="B226" s="1733" t="str">
        <f>+Energia!B191</f>
        <v>Emissioni dirette da  fonti fugitive</v>
      </c>
      <c r="C226" s="1734"/>
      <c r="D226" s="1435">
        <v>4</v>
      </c>
      <c r="E226" s="1441"/>
      <c r="F226" s="1441"/>
      <c r="G226" s="1441"/>
      <c r="H226" s="1441"/>
      <c r="I226" s="1441"/>
      <c r="J226" s="1442"/>
      <c r="K226" s="1443"/>
      <c r="L226" s="1443"/>
      <c r="M226" s="1444"/>
      <c r="N226" s="1445"/>
      <c r="O226" s="1731"/>
      <c r="Q226" s="1317"/>
      <c r="R226" s="1317"/>
      <c r="W226" s="1162"/>
      <c r="AB226" s="1162"/>
      <c r="AF226" s="1162"/>
      <c r="AK226" s="729"/>
      <c r="AL226" s="729"/>
      <c r="AM226" s="729"/>
      <c r="AN226" s="729"/>
      <c r="AO226" s="729"/>
      <c r="AP226" s="729"/>
      <c r="AQ226" s="729"/>
      <c r="AR226" s="729"/>
      <c r="AS226" s="729"/>
      <c r="AT226" s="729"/>
      <c r="AU226" s="729"/>
      <c r="AV226" s="729"/>
    </row>
    <row r="227" spans="2:48" s="39" customFormat="1" outlineLevel="1" x14ac:dyDescent="0.2">
      <c r="B227" s="1733" t="str">
        <f>+Energia!B192</f>
        <v>Emissioni dirette da LULUCF</v>
      </c>
      <c r="C227" s="1734"/>
      <c r="D227" s="1435">
        <v>5</v>
      </c>
      <c r="E227" s="1441"/>
      <c r="F227" s="1441"/>
      <c r="G227" s="1441"/>
      <c r="H227" s="1441"/>
      <c r="I227" s="1441"/>
      <c r="J227" s="1442"/>
      <c r="K227" s="1443"/>
      <c r="L227" s="1443"/>
      <c r="M227" s="1444"/>
      <c r="N227" s="1446"/>
      <c r="O227" s="1731"/>
      <c r="Q227" s="1317"/>
      <c r="R227" s="1317"/>
      <c r="W227" s="1162"/>
      <c r="AB227" s="1162"/>
      <c r="AF227" s="1162"/>
      <c r="AK227" s="729"/>
      <c r="AL227" s="729"/>
      <c r="AM227" s="729"/>
      <c r="AN227" s="729"/>
      <c r="AO227" s="729"/>
      <c r="AP227" s="729"/>
      <c r="AQ227" s="729"/>
      <c r="AR227" s="729"/>
      <c r="AS227" s="729"/>
      <c r="AT227" s="729"/>
      <c r="AU227" s="729"/>
      <c r="AV227" s="729"/>
    </row>
    <row r="228" spans="2:48" s="39" customFormat="1" outlineLevel="1" x14ac:dyDescent="0.2">
      <c r="B228" s="1738" t="s">
        <v>98</v>
      </c>
      <c r="C228" s="1738"/>
      <c r="D228" s="1738"/>
      <c r="E228" s="1447">
        <f>SUM(E223:E227)</f>
        <v>0</v>
      </c>
      <c r="F228" s="1447">
        <f t="shared" ref="F228:N228" si="31">SUM(F223:F227)</f>
        <v>0</v>
      </c>
      <c r="G228" s="1447">
        <f t="shared" si="31"/>
        <v>0</v>
      </c>
      <c r="H228" s="1447">
        <f t="shared" si="31"/>
        <v>0</v>
      </c>
      <c r="I228" s="1447">
        <f t="shared" si="31"/>
        <v>0</v>
      </c>
      <c r="J228" s="1447">
        <f t="shared" si="31"/>
        <v>0</v>
      </c>
      <c r="K228" s="1448">
        <f t="shared" si="31"/>
        <v>0</v>
      </c>
      <c r="L228" s="1448">
        <f t="shared" si="31"/>
        <v>0</v>
      </c>
      <c r="M228" s="1449">
        <f>SQRT(SUMSQ(M223:M227))</f>
        <v>0</v>
      </c>
      <c r="N228" s="1450">
        <f t="shared" si="31"/>
        <v>0</v>
      </c>
      <c r="O228" s="1732"/>
      <c r="Q228" s="1317"/>
      <c r="R228" s="1317"/>
      <c r="W228" s="1162"/>
      <c r="AB228" s="1162"/>
      <c r="AF228" s="1162"/>
      <c r="AK228" s="729"/>
      <c r="AL228" s="729"/>
      <c r="AM228" s="729"/>
      <c r="AN228" s="729"/>
      <c r="AO228" s="729"/>
      <c r="AP228" s="729"/>
      <c r="AQ228" s="729"/>
      <c r="AR228" s="729"/>
      <c r="AS228" s="729"/>
      <c r="AT228" s="729"/>
      <c r="AU228" s="729"/>
      <c r="AV228" s="729"/>
    </row>
    <row r="229" spans="2:48" s="39" customFormat="1" outlineLevel="1" x14ac:dyDescent="0.2">
      <c r="B229" s="1733" t="str">
        <f>+Energia!B194</f>
        <v xml:space="preserve">Emissioni indirette da consumo di elettricità </v>
      </c>
      <c r="C229" s="1734"/>
      <c r="D229" s="1435">
        <v>6</v>
      </c>
      <c r="E229" s="1441"/>
      <c r="F229" s="1441"/>
      <c r="G229" s="1441"/>
      <c r="H229" s="1441"/>
      <c r="I229" s="1441"/>
      <c r="J229" s="1442"/>
      <c r="K229" s="1443"/>
      <c r="L229" s="1443"/>
      <c r="M229" s="1444"/>
      <c r="N229" s="1445"/>
      <c r="O229" s="1451"/>
      <c r="Q229" s="1317"/>
      <c r="R229" s="1317"/>
      <c r="W229" s="1162"/>
      <c r="AB229" s="1162"/>
      <c r="AF229" s="1162"/>
      <c r="AK229" s="729"/>
      <c r="AL229" s="729"/>
      <c r="AM229" s="729"/>
      <c r="AN229" s="729"/>
      <c r="AO229" s="729"/>
      <c r="AP229" s="729"/>
      <c r="AQ229" s="729"/>
      <c r="AR229" s="729"/>
      <c r="AS229" s="729"/>
      <c r="AT229" s="729"/>
      <c r="AU229" s="729"/>
      <c r="AV229" s="729"/>
    </row>
    <row r="230" spans="2:48" s="39" customFormat="1" outlineLevel="1" x14ac:dyDescent="0.2">
      <c r="B230" s="1733" t="str">
        <f>+Energia!B195</f>
        <v xml:space="preserve">Emissioni indirette da consumi di energia di rete (senza l'eletricita) </v>
      </c>
      <c r="C230" s="1734"/>
      <c r="D230" s="1435">
        <v>7</v>
      </c>
      <c r="E230" s="1441"/>
      <c r="F230" s="1441"/>
      <c r="G230" s="1441"/>
      <c r="H230" s="1441"/>
      <c r="I230" s="1441"/>
      <c r="J230" s="1442"/>
      <c r="K230" s="1443"/>
      <c r="L230" s="1443"/>
      <c r="M230" s="1444"/>
      <c r="N230" s="1445"/>
      <c r="O230" s="1445"/>
      <c r="Q230" s="1317"/>
      <c r="R230" s="1317"/>
      <c r="W230" s="1162"/>
      <c r="AB230" s="1162"/>
      <c r="AF230" s="1162"/>
      <c r="AK230" s="729"/>
      <c r="AL230" s="729"/>
      <c r="AM230" s="729"/>
      <c r="AN230" s="729"/>
      <c r="AO230" s="729"/>
      <c r="AP230" s="729"/>
      <c r="AQ230" s="729"/>
      <c r="AR230" s="729"/>
      <c r="AS230" s="729"/>
      <c r="AT230" s="729"/>
      <c r="AU230" s="729"/>
      <c r="AV230" s="729"/>
    </row>
    <row r="231" spans="2:48" s="39" customFormat="1" outlineLevel="1" x14ac:dyDescent="0.2">
      <c r="B231" s="1738" t="s">
        <v>97</v>
      </c>
      <c r="C231" s="1738"/>
      <c r="D231" s="1738"/>
      <c r="E231" s="1447">
        <f>SUM(E229:E230)</f>
        <v>0</v>
      </c>
      <c r="F231" s="1447">
        <f t="shared" ref="F231:O231" si="32">SUM(F229:F230)</f>
        <v>0</v>
      </c>
      <c r="G231" s="1447">
        <f t="shared" si="32"/>
        <v>0</v>
      </c>
      <c r="H231" s="1447">
        <f t="shared" si="32"/>
        <v>0</v>
      </c>
      <c r="I231" s="1447">
        <f t="shared" si="32"/>
        <v>0</v>
      </c>
      <c r="J231" s="1447">
        <f t="shared" si="32"/>
        <v>0</v>
      </c>
      <c r="K231" s="1448">
        <f t="shared" si="32"/>
        <v>0</v>
      </c>
      <c r="L231" s="1448">
        <f t="shared" si="32"/>
        <v>0</v>
      </c>
      <c r="M231" s="1449">
        <f>SQRT(SUMSQ(M229:M230))</f>
        <v>0</v>
      </c>
      <c r="N231" s="1450">
        <f t="shared" si="32"/>
        <v>0</v>
      </c>
      <c r="O231" s="1450">
        <f t="shared" si="32"/>
        <v>0</v>
      </c>
      <c r="Q231" s="1317"/>
      <c r="R231" s="1317"/>
      <c r="W231" s="1162"/>
      <c r="AB231" s="1162"/>
      <c r="AF231" s="1162"/>
      <c r="AK231" s="729"/>
      <c r="AL231" s="729"/>
      <c r="AM231" s="729"/>
      <c r="AN231" s="729"/>
      <c r="AO231" s="729"/>
      <c r="AP231" s="729"/>
      <c r="AQ231" s="729"/>
      <c r="AR231" s="729"/>
      <c r="AS231" s="729"/>
      <c r="AT231" s="729"/>
      <c r="AU231" s="729"/>
      <c r="AV231" s="729"/>
    </row>
    <row r="232" spans="2:48" s="39" customFormat="1" outlineLevel="1" x14ac:dyDescent="0.2">
      <c r="B232" s="1733" t="str">
        <f>+Energia!B197</f>
        <v>Emissioni dovute all'energia non coperte dalle sorgenti da 1 a 7</v>
      </c>
      <c r="C232" s="1734"/>
      <c r="D232" s="1435">
        <v>8</v>
      </c>
      <c r="E232" s="1441"/>
      <c r="F232" s="1441"/>
      <c r="G232" s="1441"/>
      <c r="H232" s="1441"/>
      <c r="I232" s="1441"/>
      <c r="J232" s="1442"/>
      <c r="K232" s="1443"/>
      <c r="L232" s="1443"/>
      <c r="M232" s="1444"/>
      <c r="N232" s="1445"/>
      <c r="O232" s="1445"/>
      <c r="Q232" s="1317"/>
      <c r="R232" s="1317"/>
      <c r="W232" s="1162"/>
      <c r="AB232" s="1162"/>
      <c r="AF232" s="1162"/>
      <c r="AK232" s="729"/>
      <c r="AL232" s="729"/>
      <c r="AM232" s="729"/>
      <c r="AN232" s="729"/>
      <c r="AO232" s="729"/>
      <c r="AP232" s="729"/>
      <c r="AQ232" s="729"/>
      <c r="AR232" s="729"/>
      <c r="AS232" s="729"/>
      <c r="AT232" s="729"/>
      <c r="AU232" s="729"/>
      <c r="AV232" s="729"/>
    </row>
    <row r="233" spans="2:48" s="39" customFormat="1" outlineLevel="1" x14ac:dyDescent="0.2">
      <c r="B233" s="1733" t="str">
        <f>+Energia!B198</f>
        <v>Beni acquistati</v>
      </c>
      <c r="C233" s="1734"/>
      <c r="D233" s="1435">
        <v>9</v>
      </c>
      <c r="E233" s="1441"/>
      <c r="F233" s="1441"/>
      <c r="G233" s="1441"/>
      <c r="H233" s="1441"/>
      <c r="I233" s="1441"/>
      <c r="J233" s="1442"/>
      <c r="K233" s="1443"/>
      <c r="L233" s="1443"/>
      <c r="M233" s="1444"/>
      <c r="N233" s="1445"/>
      <c r="O233" s="1445"/>
      <c r="Q233" s="1317"/>
      <c r="R233" s="1317"/>
      <c r="W233" s="1162"/>
      <c r="AB233" s="1162"/>
      <c r="AF233" s="1162"/>
      <c r="AK233" s="729"/>
      <c r="AL233" s="729"/>
      <c r="AM233" s="729"/>
      <c r="AN233" s="729"/>
      <c r="AO233" s="729"/>
      <c r="AP233" s="729"/>
      <c r="AQ233" s="729"/>
      <c r="AR233" s="729"/>
      <c r="AS233" s="729"/>
      <c r="AT233" s="729"/>
      <c r="AU233" s="729"/>
      <c r="AV233" s="729"/>
    </row>
    <row r="234" spans="2:48" s="39" customFormat="1" outlineLevel="1" x14ac:dyDescent="0.2">
      <c r="B234" s="1733" t="str">
        <f>+Energia!B199</f>
        <v>Beni di consumo</v>
      </c>
      <c r="C234" s="1734"/>
      <c r="D234" s="1435">
        <v>10</v>
      </c>
      <c r="E234" s="1441"/>
      <c r="F234" s="1441"/>
      <c r="G234" s="1441"/>
      <c r="H234" s="1441"/>
      <c r="I234" s="1441"/>
      <c r="J234" s="1442"/>
      <c r="K234" s="1443"/>
      <c r="L234" s="1443"/>
      <c r="M234" s="1444"/>
      <c r="N234" s="1445"/>
      <c r="O234" s="1445"/>
      <c r="Q234" s="1317"/>
      <c r="R234" s="1317"/>
      <c r="W234" s="1162"/>
      <c r="AB234" s="1162"/>
      <c r="AF234" s="1162"/>
      <c r="AK234" s="729"/>
      <c r="AL234" s="729"/>
      <c r="AM234" s="729"/>
      <c r="AN234" s="729"/>
      <c r="AO234" s="729"/>
      <c r="AP234" s="729"/>
      <c r="AQ234" s="729"/>
      <c r="AR234" s="729"/>
      <c r="AS234" s="729"/>
      <c r="AT234" s="729"/>
      <c r="AU234" s="729"/>
      <c r="AV234" s="729"/>
    </row>
    <row r="235" spans="2:48" s="39" customFormat="1" outlineLevel="1" x14ac:dyDescent="0.2">
      <c r="B235" s="1733" t="str">
        <f>+Energia!B200</f>
        <v xml:space="preserve">Rifiuti prodotti </v>
      </c>
      <c r="C235" s="1734"/>
      <c r="D235" s="1435">
        <v>11</v>
      </c>
      <c r="E235" s="1441">
        <f>X21+X33+X43+X54+X64+X74+X84+X96+X124+X134+X158+X109+X146</f>
        <v>0</v>
      </c>
      <c r="F235" s="1441">
        <f>Y21+Y33+Y43+Y54+Y64+Y74+Y84+Y96+Y124+Y134+Y158+Y109+Y146</f>
        <v>0</v>
      </c>
      <c r="G235" s="1441">
        <f>Z21+Z33+Z43+Z54+Z64+Z74+Z84+Z96+Z124+Z134+Z158+Z109+Z146</f>
        <v>0</v>
      </c>
      <c r="H235" s="1441">
        <f>AA21+AA33+AA43+AA54+AA64+AA74+AA84+AA96+AA124+AA158+AA109+AA146</f>
        <v>0</v>
      </c>
      <c r="I235" s="1441">
        <f>AA134</f>
        <v>0</v>
      </c>
      <c r="J235" s="1442">
        <f>AB21+AB33+AB43+AB54+AB64+AB74+AB84+AB96+AB124+AB134+AB158+AB109+AB146</f>
        <v>0</v>
      </c>
      <c r="K235" s="1443">
        <v>0</v>
      </c>
      <c r="L235" s="1443">
        <f>AC21+AC33+AC43+AC54+AC64+AC74+AC84+AC96+AC124+AC134+AC158+AC109+AC146</f>
        <v>0</v>
      </c>
      <c r="M235" s="1444">
        <f>SQRT(Q21^2+Q33^2+Q43^2+Q54^2+Q64^2+Q74^2+Q84^2+Q96^2+Q109^2+Q124^2+Q134^2+Q158^2+Q146^2)</f>
        <v>0</v>
      </c>
      <c r="N235" s="1445">
        <v>0</v>
      </c>
      <c r="O235" s="1445">
        <f>L21+K33+K43+K54+K64+K74+K84+K96</f>
        <v>0</v>
      </c>
      <c r="Q235" s="1317"/>
      <c r="R235" s="1317"/>
      <c r="W235" s="1162"/>
      <c r="AB235" s="1162"/>
      <c r="AF235" s="1162"/>
      <c r="AK235" s="729"/>
      <c r="AL235" s="729"/>
      <c r="AM235" s="729"/>
      <c r="AN235" s="729"/>
      <c r="AO235" s="729"/>
      <c r="AP235" s="729"/>
      <c r="AQ235" s="729"/>
      <c r="AR235" s="729"/>
      <c r="AS235" s="729"/>
      <c r="AT235" s="729"/>
      <c r="AU235" s="729"/>
      <c r="AV235" s="729"/>
    </row>
    <row r="236" spans="2:48" s="39" customFormat="1" outlineLevel="1" x14ac:dyDescent="0.2">
      <c r="B236" s="1733" t="str">
        <f>+Energia!B201</f>
        <v>Trasporto e distribuzione premanifattura</v>
      </c>
      <c r="C236" s="1734"/>
      <c r="D236" s="1435">
        <v>12</v>
      </c>
      <c r="E236" s="1441"/>
      <c r="F236" s="1441"/>
      <c r="G236" s="1441"/>
      <c r="H236" s="1441"/>
      <c r="I236" s="1441"/>
      <c r="J236" s="1442"/>
      <c r="K236" s="1443"/>
      <c r="L236" s="1443"/>
      <c r="M236" s="1444"/>
      <c r="N236" s="1445"/>
      <c r="O236" s="1445"/>
      <c r="Q236" s="1317"/>
      <c r="R236" s="1317"/>
      <c r="W236" s="1162"/>
      <c r="AB236" s="1162"/>
      <c r="AF236" s="1162"/>
      <c r="AK236" s="729"/>
      <c r="AL236" s="729"/>
      <c r="AM236" s="729"/>
      <c r="AN236" s="729"/>
      <c r="AO236" s="729"/>
      <c r="AP236" s="729"/>
      <c r="AQ236" s="729"/>
      <c r="AR236" s="729"/>
      <c r="AS236" s="729"/>
      <c r="AT236" s="729"/>
      <c r="AU236" s="729"/>
      <c r="AV236" s="729"/>
    </row>
    <row r="237" spans="2:48" s="39" customFormat="1" outlineLevel="1" x14ac:dyDescent="0.2">
      <c r="B237" s="1733" t="str">
        <f>+Energia!B202</f>
        <v>Viaggi di lavoro</v>
      </c>
      <c r="C237" s="1734"/>
      <c r="D237" s="1435">
        <v>13</v>
      </c>
      <c r="E237" s="1441"/>
      <c r="F237" s="1441"/>
      <c r="G237" s="1441"/>
      <c r="H237" s="1441"/>
      <c r="I237" s="1441"/>
      <c r="J237" s="1442"/>
      <c r="K237" s="1443"/>
      <c r="L237" s="1443"/>
      <c r="M237" s="1444"/>
      <c r="N237" s="1445"/>
      <c r="O237" s="1445"/>
      <c r="Q237" s="1317"/>
      <c r="R237" s="1317"/>
      <c r="W237" s="1162"/>
      <c r="AB237" s="1162"/>
      <c r="AF237" s="1162"/>
      <c r="AK237" s="729"/>
      <c r="AL237" s="729"/>
      <c r="AM237" s="729"/>
      <c r="AN237" s="729"/>
      <c r="AO237" s="729"/>
      <c r="AP237" s="729"/>
      <c r="AQ237" s="729"/>
      <c r="AR237" s="729"/>
      <c r="AS237" s="729"/>
      <c r="AT237" s="729"/>
      <c r="AU237" s="729"/>
      <c r="AV237" s="729"/>
    </row>
    <row r="238" spans="2:48" s="39" customFormat="1" outlineLevel="1" x14ac:dyDescent="0.2">
      <c r="B238" s="1733" t="str">
        <f>+Energia!B203</f>
        <v>Upstream leased assets</v>
      </c>
      <c r="C238" s="1734"/>
      <c r="D238" s="1435">
        <v>14</v>
      </c>
      <c r="E238" s="1441"/>
      <c r="F238" s="1441"/>
      <c r="G238" s="1441"/>
      <c r="H238" s="1441"/>
      <c r="I238" s="1441"/>
      <c r="J238" s="1442"/>
      <c r="K238" s="1443"/>
      <c r="L238" s="1443"/>
      <c r="M238" s="1444"/>
      <c r="N238" s="1445"/>
      <c r="O238" s="1445"/>
      <c r="Q238" s="1317"/>
      <c r="R238" s="1317"/>
      <c r="W238" s="1162"/>
      <c r="AB238" s="1162"/>
      <c r="AF238" s="1162"/>
      <c r="AK238" s="729"/>
      <c r="AL238" s="729"/>
      <c r="AM238" s="729"/>
      <c r="AN238" s="729"/>
      <c r="AO238" s="729"/>
      <c r="AP238" s="729"/>
      <c r="AQ238" s="729"/>
      <c r="AR238" s="729"/>
      <c r="AS238" s="729"/>
      <c r="AT238" s="729"/>
      <c r="AU238" s="729"/>
      <c r="AV238" s="729"/>
    </row>
    <row r="239" spans="2:48" s="39" customFormat="1" outlineLevel="1" x14ac:dyDescent="0.2">
      <c r="B239" s="1733" t="str">
        <f>+Energia!B204</f>
        <v>Investimenti</v>
      </c>
      <c r="C239" s="1734"/>
      <c r="D239" s="1435">
        <v>15</v>
      </c>
      <c r="E239" s="1441"/>
      <c r="F239" s="1441"/>
      <c r="G239" s="1441"/>
      <c r="H239" s="1441"/>
      <c r="I239" s="1441"/>
      <c r="J239" s="1442"/>
      <c r="K239" s="1443"/>
      <c r="L239" s="1443"/>
      <c r="M239" s="1444"/>
      <c r="N239" s="1445"/>
      <c r="O239" s="1445"/>
      <c r="Q239" s="1317"/>
      <c r="R239" s="1317"/>
      <c r="W239" s="1162"/>
      <c r="AB239" s="1162"/>
      <c r="AF239" s="1162"/>
      <c r="AK239" s="729"/>
      <c r="AL239" s="729"/>
      <c r="AM239" s="729"/>
      <c r="AN239" s="729"/>
      <c r="AO239" s="729"/>
      <c r="AP239" s="729"/>
      <c r="AQ239" s="729"/>
      <c r="AR239" s="729"/>
      <c r="AS239" s="729"/>
      <c r="AT239" s="729"/>
      <c r="AU239" s="729"/>
      <c r="AV239" s="729"/>
    </row>
    <row r="240" spans="2:48" s="39" customFormat="1" outlineLevel="1" x14ac:dyDescent="0.2">
      <c r="B240" s="1733" t="str">
        <f>+Energia!B205</f>
        <v xml:space="preserve">Trasporto di clienti e visitatori </v>
      </c>
      <c r="C240" s="1734"/>
      <c r="D240" s="1435">
        <v>16</v>
      </c>
      <c r="E240" s="1441"/>
      <c r="F240" s="1441"/>
      <c r="G240" s="1441"/>
      <c r="H240" s="1441"/>
      <c r="I240" s="1441"/>
      <c r="J240" s="1442"/>
      <c r="K240" s="1443"/>
      <c r="L240" s="1443"/>
      <c r="M240" s="1444"/>
      <c r="N240" s="1445"/>
      <c r="O240" s="1445"/>
      <c r="Q240" s="1317"/>
      <c r="R240" s="1317"/>
      <c r="W240" s="1162"/>
      <c r="AB240" s="1162"/>
      <c r="AF240" s="1162"/>
      <c r="AK240" s="729"/>
      <c r="AL240" s="729"/>
      <c r="AM240" s="729"/>
      <c r="AN240" s="729"/>
      <c r="AO240" s="729"/>
      <c r="AP240" s="729"/>
      <c r="AQ240" s="729"/>
      <c r="AR240" s="729"/>
      <c r="AS240" s="729"/>
      <c r="AT240" s="729"/>
      <c r="AU240" s="729"/>
      <c r="AV240" s="729"/>
    </row>
    <row r="241" spans="2:48" s="39" customFormat="1" outlineLevel="1" x14ac:dyDescent="0.2">
      <c r="B241" s="1733" t="str">
        <f>+Energia!B206</f>
        <v>Trasporto di merci e distribuzione in fase d’uso e fine vita</v>
      </c>
      <c r="C241" s="1734"/>
      <c r="D241" s="1435">
        <v>17</v>
      </c>
      <c r="E241" s="1441"/>
      <c r="F241" s="1441"/>
      <c r="G241" s="1441"/>
      <c r="H241" s="1441"/>
      <c r="I241" s="1441"/>
      <c r="J241" s="1442"/>
      <c r="K241" s="1443"/>
      <c r="L241" s="1443"/>
      <c r="M241" s="1444"/>
      <c r="N241" s="1445"/>
      <c r="O241" s="1445"/>
      <c r="Q241" s="1317"/>
      <c r="R241" s="1317"/>
      <c r="W241" s="1162"/>
      <c r="AB241" s="1162"/>
      <c r="AF241" s="1162"/>
      <c r="AK241" s="729"/>
      <c r="AL241" s="729"/>
      <c r="AM241" s="729"/>
      <c r="AN241" s="729"/>
      <c r="AO241" s="729"/>
      <c r="AP241" s="729"/>
      <c r="AQ241" s="729"/>
      <c r="AR241" s="729"/>
      <c r="AS241" s="729"/>
      <c r="AT241" s="729"/>
      <c r="AU241" s="729"/>
      <c r="AV241" s="729"/>
    </row>
    <row r="242" spans="2:48" s="39" customFormat="1" outlineLevel="1" x14ac:dyDescent="0.2">
      <c r="B242" s="1733" t="str">
        <f>+Energia!B207</f>
        <v xml:space="preserve">Uso dei prodotto venduti  </v>
      </c>
      <c r="C242" s="1734"/>
      <c r="D242" s="1435">
        <v>18</v>
      </c>
      <c r="E242" s="1441"/>
      <c r="F242" s="1441"/>
      <c r="G242" s="1441"/>
      <c r="H242" s="1441"/>
      <c r="I242" s="1441"/>
      <c r="J242" s="1442"/>
      <c r="K242" s="1443"/>
      <c r="L242" s="1443"/>
      <c r="M242" s="1444"/>
      <c r="N242" s="1445"/>
      <c r="O242" s="1445"/>
      <c r="Q242" s="1317"/>
      <c r="R242" s="1317"/>
      <c r="W242" s="1162"/>
      <c r="AB242" s="1162"/>
      <c r="AF242" s="1162"/>
      <c r="AK242" s="729"/>
      <c r="AL242" s="729"/>
      <c r="AM242" s="729"/>
      <c r="AN242" s="729"/>
      <c r="AO242" s="729"/>
      <c r="AP242" s="729"/>
      <c r="AQ242" s="729"/>
      <c r="AR242" s="729"/>
      <c r="AS242" s="729"/>
      <c r="AT242" s="729"/>
      <c r="AU242" s="729"/>
      <c r="AV242" s="729"/>
    </row>
    <row r="243" spans="2:48" s="39" customFormat="1" outlineLevel="1" x14ac:dyDescent="0.2">
      <c r="B243" s="1733" t="str">
        <f>+Energia!B208</f>
        <v>Fine vita dei prodotti venduti</v>
      </c>
      <c r="C243" s="1734"/>
      <c r="D243" s="1435">
        <v>19</v>
      </c>
      <c r="E243" s="1441"/>
      <c r="F243" s="1441"/>
      <c r="G243" s="1441"/>
      <c r="H243" s="1441"/>
      <c r="I243" s="1441"/>
      <c r="J243" s="1442"/>
      <c r="K243" s="1443"/>
      <c r="L243" s="1443"/>
      <c r="M243" s="1444"/>
      <c r="N243" s="1445"/>
      <c r="O243" s="1445"/>
      <c r="Q243" s="1317"/>
      <c r="R243" s="1317"/>
      <c r="W243" s="1162"/>
      <c r="AB243" s="1162"/>
      <c r="AF243" s="1162"/>
      <c r="AK243" s="729"/>
      <c r="AL243" s="729"/>
      <c r="AM243" s="729"/>
      <c r="AN243" s="729"/>
      <c r="AO243" s="729"/>
      <c r="AP243" s="729"/>
      <c r="AQ243" s="729"/>
      <c r="AR243" s="729"/>
      <c r="AS243" s="729"/>
      <c r="AT243" s="729"/>
      <c r="AU243" s="729"/>
      <c r="AV243" s="729"/>
    </row>
    <row r="244" spans="2:48" s="39" customFormat="1" outlineLevel="1" x14ac:dyDescent="0.2">
      <c r="B244" s="1733" t="str">
        <f>+Energia!B209</f>
        <v xml:space="preserve">Downstream franchises </v>
      </c>
      <c r="C244" s="1734"/>
      <c r="D244" s="1435">
        <v>20</v>
      </c>
      <c r="E244" s="1441"/>
      <c r="F244" s="1441"/>
      <c r="G244" s="1441"/>
      <c r="H244" s="1441"/>
      <c r="I244" s="1441"/>
      <c r="J244" s="1442"/>
      <c r="K244" s="1443"/>
      <c r="L244" s="1443"/>
      <c r="M244" s="1444"/>
      <c r="N244" s="1445"/>
      <c r="O244" s="1445"/>
      <c r="Q244" s="1317"/>
      <c r="R244" s="1317"/>
      <c r="W244" s="1162"/>
      <c r="AB244" s="1162"/>
      <c r="AF244" s="1162"/>
      <c r="AK244" s="729"/>
      <c r="AL244" s="729"/>
      <c r="AM244" s="729"/>
      <c r="AN244" s="729"/>
      <c r="AO244" s="729"/>
      <c r="AP244" s="729"/>
      <c r="AQ244" s="729"/>
      <c r="AR244" s="729"/>
      <c r="AS244" s="729"/>
      <c r="AT244" s="729"/>
      <c r="AU244" s="729"/>
      <c r="AV244" s="729"/>
    </row>
    <row r="245" spans="2:48" s="39" customFormat="1" outlineLevel="1" x14ac:dyDescent="0.2">
      <c r="B245" s="1733" t="str">
        <f>+Energia!B210</f>
        <v>Downstream leased assets</v>
      </c>
      <c r="C245" s="1734"/>
      <c r="D245" s="1435">
        <v>21</v>
      </c>
      <c r="E245" s="1441"/>
      <c r="F245" s="1441"/>
      <c r="G245" s="1441"/>
      <c r="H245" s="1441"/>
      <c r="I245" s="1441"/>
      <c r="J245" s="1442"/>
      <c r="K245" s="1443"/>
      <c r="L245" s="1443"/>
      <c r="M245" s="1444"/>
      <c r="N245" s="1445"/>
      <c r="O245" s="1445"/>
      <c r="Q245" s="1317"/>
      <c r="R245" s="1317"/>
      <c r="W245" s="1162"/>
      <c r="AB245" s="1162"/>
      <c r="AF245" s="1162"/>
      <c r="AK245" s="729"/>
      <c r="AL245" s="729"/>
      <c r="AM245" s="729"/>
      <c r="AN245" s="729"/>
      <c r="AO245" s="729"/>
      <c r="AP245" s="729"/>
      <c r="AQ245" s="729"/>
      <c r="AR245" s="729"/>
      <c r="AS245" s="729"/>
      <c r="AT245" s="729"/>
      <c r="AU245" s="729"/>
      <c r="AV245" s="729"/>
    </row>
    <row r="246" spans="2:48" s="39" customFormat="1" outlineLevel="1" x14ac:dyDescent="0.2">
      <c r="B246" s="1733" t="str">
        <f>+Energia!B211</f>
        <v>Impiegati pendolari</v>
      </c>
      <c r="C246" s="1734"/>
      <c r="D246" s="1435">
        <v>22</v>
      </c>
      <c r="E246" s="1441"/>
      <c r="F246" s="1441"/>
      <c r="G246" s="1441"/>
      <c r="H246" s="1441"/>
      <c r="I246" s="1441"/>
      <c r="J246" s="1442"/>
      <c r="K246" s="1443"/>
      <c r="L246" s="1443"/>
      <c r="M246" s="1444"/>
      <c r="N246" s="1445"/>
      <c r="O246" s="1445"/>
      <c r="Q246" s="1317"/>
      <c r="R246" s="1317"/>
      <c r="W246" s="1162"/>
      <c r="AB246" s="1162"/>
      <c r="AF246" s="1162"/>
      <c r="AK246" s="729"/>
      <c r="AL246" s="729"/>
      <c r="AM246" s="729"/>
      <c r="AN246" s="729"/>
      <c r="AO246" s="729"/>
      <c r="AP246" s="729"/>
      <c r="AQ246" s="729"/>
      <c r="AR246" s="729"/>
      <c r="AS246" s="729"/>
      <c r="AT246" s="729"/>
      <c r="AU246" s="729"/>
      <c r="AV246" s="729"/>
    </row>
    <row r="247" spans="2:48" s="39" customFormat="1" outlineLevel="1" x14ac:dyDescent="0.2">
      <c r="B247" s="1733" t="str">
        <f>+Energia!B212</f>
        <v xml:space="preserve">Altre emissioni indirette </v>
      </c>
      <c r="C247" s="1734"/>
      <c r="D247" s="1435">
        <v>23</v>
      </c>
      <c r="E247" s="1441"/>
      <c r="F247" s="1441"/>
      <c r="G247" s="1441"/>
      <c r="H247" s="1441"/>
      <c r="I247" s="1441"/>
      <c r="J247" s="1442"/>
      <c r="K247" s="1443"/>
      <c r="L247" s="1443"/>
      <c r="M247" s="1444"/>
      <c r="N247" s="1445"/>
      <c r="O247" s="1445"/>
      <c r="Q247" s="1317"/>
      <c r="R247" s="1317"/>
      <c r="W247" s="1162"/>
      <c r="AB247" s="1162"/>
      <c r="AF247" s="1162"/>
      <c r="AK247" s="729"/>
      <c r="AL247" s="729"/>
      <c r="AM247" s="729"/>
      <c r="AN247" s="729"/>
      <c r="AO247" s="729"/>
      <c r="AP247" s="729"/>
      <c r="AQ247" s="729"/>
      <c r="AR247" s="729"/>
      <c r="AS247" s="729"/>
      <c r="AT247" s="729"/>
      <c r="AU247" s="729"/>
      <c r="AV247" s="729"/>
    </row>
    <row r="248" spans="2:48" s="39" customFormat="1" outlineLevel="1" x14ac:dyDescent="0.2">
      <c r="B248" s="1738" t="s">
        <v>96</v>
      </c>
      <c r="C248" s="1738"/>
      <c r="D248" s="1738"/>
      <c r="E248" s="1447">
        <f>SUM(E232:E247)</f>
        <v>0</v>
      </c>
      <c r="F248" s="1447">
        <f t="shared" ref="F248:O248" si="33">SUM(F232:F247)</f>
        <v>0</v>
      </c>
      <c r="G248" s="1447">
        <f t="shared" si="33"/>
        <v>0</v>
      </c>
      <c r="H248" s="1447">
        <f t="shared" si="33"/>
        <v>0</v>
      </c>
      <c r="I248" s="1447">
        <f t="shared" si="33"/>
        <v>0</v>
      </c>
      <c r="J248" s="1447">
        <f t="shared" si="33"/>
        <v>0</v>
      </c>
      <c r="K248" s="1448">
        <f t="shared" si="33"/>
        <v>0</v>
      </c>
      <c r="L248" s="1448">
        <f t="shared" si="33"/>
        <v>0</v>
      </c>
      <c r="M248" s="1449">
        <f>SQRT(SUMSQ(M232:M247))</f>
        <v>0</v>
      </c>
      <c r="N248" s="1450">
        <f t="shared" si="33"/>
        <v>0</v>
      </c>
      <c r="O248" s="1450">
        <f t="shared" si="33"/>
        <v>0</v>
      </c>
      <c r="Q248" s="1317"/>
      <c r="R248" s="1317"/>
      <c r="W248" s="1162"/>
      <c r="AB248" s="1162"/>
      <c r="AF248" s="1162"/>
      <c r="AK248" s="729"/>
      <c r="AL248" s="729"/>
      <c r="AM248" s="729"/>
      <c r="AN248" s="729"/>
      <c r="AO248" s="729"/>
      <c r="AP248" s="729"/>
      <c r="AQ248" s="729"/>
      <c r="AR248" s="729"/>
      <c r="AS248" s="729"/>
      <c r="AT248" s="729"/>
      <c r="AU248" s="729"/>
      <c r="AV248" s="729"/>
    </row>
    <row r="249" spans="2:48" s="39" customFormat="1" ht="12" outlineLevel="1" x14ac:dyDescent="0.2">
      <c r="Q249" s="1317"/>
      <c r="R249" s="1317"/>
      <c r="W249" s="1162"/>
      <c r="AB249" s="1162"/>
      <c r="AF249" s="1162"/>
      <c r="AK249" s="729"/>
      <c r="AL249" s="729"/>
      <c r="AM249" s="729"/>
      <c r="AN249" s="729"/>
      <c r="AO249" s="729"/>
      <c r="AP249" s="729"/>
      <c r="AQ249" s="729"/>
      <c r="AR249" s="729"/>
      <c r="AS249" s="729"/>
      <c r="AT249" s="729"/>
      <c r="AU249" s="729"/>
      <c r="AV249" s="729"/>
    </row>
    <row r="251" spans="2:48" ht="17" x14ac:dyDescent="0.2">
      <c r="B251" s="1649" t="s">
        <v>2768</v>
      </c>
    </row>
    <row r="252" spans="2:48" ht="17" x14ac:dyDescent="0.2">
      <c r="B252" s="1649" t="s">
        <v>2769</v>
      </c>
    </row>
    <row r="253" spans="2:48" ht="17" x14ac:dyDescent="0.2">
      <c r="B253" s="1650" t="s">
        <v>2770</v>
      </c>
    </row>
    <row r="254" spans="2:48" ht="16" x14ac:dyDescent="0.2">
      <c r="B254" s="1651" t="s">
        <v>2771</v>
      </c>
    </row>
    <row r="255" spans="2:48" ht="17" x14ac:dyDescent="0.2">
      <c r="B255" s="1649" t="s">
        <v>2772</v>
      </c>
    </row>
  </sheetData>
  <mergeCells count="149">
    <mergeCell ref="X87:AC87"/>
    <mergeCell ref="X48:AA48"/>
    <mergeCell ref="X36:AC36"/>
    <mergeCell ref="X58:AA58"/>
    <mergeCell ref="S46:V46"/>
    <mergeCell ref="O56:Q56"/>
    <mergeCell ref="O66:Q66"/>
    <mergeCell ref="X12:AC12"/>
    <mergeCell ref="B99:O99"/>
    <mergeCell ref="X56:AC56"/>
    <mergeCell ref="X66:AC66"/>
    <mergeCell ref="X76:AC76"/>
    <mergeCell ref="X89:AA89"/>
    <mergeCell ref="X78:AA78"/>
    <mergeCell ref="X68:AA68"/>
    <mergeCell ref="X38:AA38"/>
    <mergeCell ref="X26:AA26"/>
    <mergeCell ref="X14:AA14"/>
    <mergeCell ref="X46:AC46"/>
    <mergeCell ref="S24:V24"/>
    <mergeCell ref="S12:V12"/>
    <mergeCell ref="O24:Q24"/>
    <mergeCell ref="S87:V87"/>
    <mergeCell ref="O36:Q36"/>
    <mergeCell ref="X24:AC24"/>
    <mergeCell ref="D4:E4"/>
    <mergeCell ref="F4:G4"/>
    <mergeCell ref="H4:I4"/>
    <mergeCell ref="D5:E5"/>
    <mergeCell ref="J4:K4"/>
    <mergeCell ref="L4:M4"/>
    <mergeCell ref="B10:O10"/>
    <mergeCell ref="H5:I5"/>
    <mergeCell ref="B7:C7"/>
    <mergeCell ref="B8:C8"/>
    <mergeCell ref="D7:F7"/>
    <mergeCell ref="D8:F8"/>
    <mergeCell ref="F5:G5"/>
    <mergeCell ref="X103:AA103"/>
    <mergeCell ref="S101:V101"/>
    <mergeCell ref="S148:V148"/>
    <mergeCell ref="S126:V126"/>
    <mergeCell ref="B163:O163"/>
    <mergeCell ref="K165:L165"/>
    <mergeCell ref="X111:AC111"/>
    <mergeCell ref="X126:AC126"/>
    <mergeCell ref="X148:AC148"/>
    <mergeCell ref="X150:AA150"/>
    <mergeCell ref="X128:AA128"/>
    <mergeCell ref="X113:AA113"/>
    <mergeCell ref="O101:Q101"/>
    <mergeCell ref="S111:V111"/>
    <mergeCell ref="O111:Q111"/>
    <mergeCell ref="X101:AC101"/>
    <mergeCell ref="X139:AC139"/>
    <mergeCell ref="X141:AA141"/>
    <mergeCell ref="D165:F165"/>
    <mergeCell ref="H165:I165"/>
    <mergeCell ref="B2:O2"/>
    <mergeCell ref="O12:Q12"/>
    <mergeCell ref="O46:Q46"/>
    <mergeCell ref="Q165:T165"/>
    <mergeCell ref="O126:Q126"/>
    <mergeCell ref="O148:Q148"/>
    <mergeCell ref="B137:O137"/>
    <mergeCell ref="B165:C166"/>
    <mergeCell ref="B173:C173"/>
    <mergeCell ref="S76:V76"/>
    <mergeCell ref="O76:Q76"/>
    <mergeCell ref="S66:V66"/>
    <mergeCell ref="B167:C167"/>
    <mergeCell ref="B168:C168"/>
    <mergeCell ref="B169:C169"/>
    <mergeCell ref="B170:C170"/>
    <mergeCell ref="S56:V56"/>
    <mergeCell ref="O87:Q87"/>
    <mergeCell ref="O139:Q139"/>
    <mergeCell ref="S139:V139"/>
    <mergeCell ref="B171:C171"/>
    <mergeCell ref="B172:C172"/>
    <mergeCell ref="S36:V36"/>
    <mergeCell ref="B201:C201"/>
    <mergeCell ref="B202:C202"/>
    <mergeCell ref="B203:C203"/>
    <mergeCell ref="B185:O185"/>
    <mergeCell ref="B192:C192"/>
    <mergeCell ref="B193:D193"/>
    <mergeCell ref="B194:C194"/>
    <mergeCell ref="B188:C188"/>
    <mergeCell ref="E187:N187"/>
    <mergeCell ref="B191:C191"/>
    <mergeCell ref="B189:C189"/>
    <mergeCell ref="B190:C190"/>
    <mergeCell ref="B198:C198"/>
    <mergeCell ref="B199:C199"/>
    <mergeCell ref="B200:C200"/>
    <mergeCell ref="B180:C180"/>
    <mergeCell ref="B181:C181"/>
    <mergeCell ref="B178:C178"/>
    <mergeCell ref="B176:C176"/>
    <mergeCell ref="B177:C177"/>
    <mergeCell ref="B179:C179"/>
    <mergeCell ref="B195:C195"/>
    <mergeCell ref="B196:D196"/>
    <mergeCell ref="B197:O197"/>
    <mergeCell ref="B182:C182"/>
    <mergeCell ref="B213:C213"/>
    <mergeCell ref="B214:C214"/>
    <mergeCell ref="B215:C215"/>
    <mergeCell ref="B216:D216"/>
    <mergeCell ref="B204:C204"/>
    <mergeCell ref="B205:C205"/>
    <mergeCell ref="B206:C206"/>
    <mergeCell ref="B207:O207"/>
    <mergeCell ref="B208:C208"/>
    <mergeCell ref="B209:C209"/>
    <mergeCell ref="B210:C210"/>
    <mergeCell ref="B211:C211"/>
    <mergeCell ref="B212:C212"/>
    <mergeCell ref="B219:O219"/>
    <mergeCell ref="E221:M221"/>
    <mergeCell ref="B222:C222"/>
    <mergeCell ref="B223:C223"/>
    <mergeCell ref="O223:O228"/>
    <mergeCell ref="B224:C224"/>
    <mergeCell ref="B225:C225"/>
    <mergeCell ref="B226:C226"/>
    <mergeCell ref="B227:C227"/>
    <mergeCell ref="B228:D228"/>
    <mergeCell ref="B229:C229"/>
    <mergeCell ref="B230:C230"/>
    <mergeCell ref="B231:D231"/>
    <mergeCell ref="B232:C232"/>
    <mergeCell ref="B233:C233"/>
    <mergeCell ref="B234:C234"/>
    <mergeCell ref="B235:C235"/>
    <mergeCell ref="B236:C236"/>
    <mergeCell ref="B245:C245"/>
    <mergeCell ref="B237:C237"/>
    <mergeCell ref="B247:C247"/>
    <mergeCell ref="B248:D248"/>
    <mergeCell ref="B238:C238"/>
    <mergeCell ref="B239:C239"/>
    <mergeCell ref="B240:C240"/>
    <mergeCell ref="B241:C241"/>
    <mergeCell ref="B242:C242"/>
    <mergeCell ref="B243:C243"/>
    <mergeCell ref="B244:C244"/>
    <mergeCell ref="B246:C246"/>
  </mergeCells>
  <phoneticPr fontId="9" type="noConversion"/>
  <dataValidations count="17">
    <dataValidation type="list" allowBlank="1" showInputMessage="1" showErrorMessage="1" sqref="B130:B132" xr:uid="{00000000-0002-0000-0700-000000000000}">
      <formula1>halocarbure_hors_kyoto</formula1>
    </dataValidation>
    <dataValidation type="list" allowBlank="1" showInputMessage="1" showErrorMessage="1" sqref="B16:B19" xr:uid="{00000000-0002-0000-0700-000001000000}">
      <formula1>decharge</formula1>
    </dataValidation>
    <dataValidation type="list" allowBlank="1" showInputMessage="1" showErrorMessage="1" sqref="B28:B31" xr:uid="{00000000-0002-0000-0700-000002000000}">
      <formula1>incineration</formula1>
    </dataValidation>
    <dataValidation type="list" allowBlank="1" showInputMessage="1" showErrorMessage="1" sqref="B91:B94" xr:uid="{00000000-0002-0000-0700-000003000000}">
      <formula1>mix_francais</formula1>
    </dataValidation>
    <dataValidation type="list" allowBlank="1" showInputMessage="1" showErrorMessage="1" sqref="B105:B107" xr:uid="{00000000-0002-0000-0700-000004000000}">
      <formula1>DIS</formula1>
    </dataValidation>
    <dataValidation type="list" allowBlank="1" showInputMessage="1" showErrorMessage="1" sqref="B120:B122" xr:uid="{00000000-0002-0000-0700-000005000000}">
      <formula1>halocarbure_kyoto</formula1>
    </dataValidation>
    <dataValidation type="list" allowBlank="1" showInputMessage="1" showErrorMessage="1" sqref="H16:H19" xr:uid="{00000000-0002-0000-0700-000006000000}">
      <formula1>valo_CET</formula1>
    </dataValidation>
    <dataValidation type="list" allowBlank="1" showInputMessage="1" showErrorMessage="1" sqref="G28:G31" xr:uid="{00000000-0002-0000-0700-000007000000}">
      <formula1>valo_incineration</formula1>
    </dataValidation>
    <dataValidation type="list" allowBlank="1" showInputMessage="1" showErrorMessage="1" sqref="B50:B52" xr:uid="{00000000-0002-0000-0700-000008000000}">
      <formula1>metaux</formula1>
    </dataValidation>
    <dataValidation type="list" allowBlank="1" showInputMessage="1" showErrorMessage="1" sqref="B60:B62" xr:uid="{00000000-0002-0000-0700-000009000000}">
      <formula1>plastiques</formula1>
    </dataValidation>
    <dataValidation type="list" allowBlank="1" showInputMessage="1" showErrorMessage="1" sqref="B70:B72" xr:uid="{00000000-0002-0000-0700-00000A000000}">
      <formula1>verres</formula1>
    </dataValidation>
    <dataValidation type="list" allowBlank="1" showInputMessage="1" showErrorMessage="1" sqref="B80:B82" xr:uid="{00000000-0002-0000-0700-00000B000000}">
      <formula1>papier</formula1>
    </dataValidation>
    <dataValidation type="list" allowBlank="1" showInputMessage="1" showErrorMessage="1" sqref="G40:G41" xr:uid="{00000000-0002-0000-0700-00000C000000}">
      <formula1>biologique</formula1>
    </dataValidation>
    <dataValidation allowBlank="1" showInputMessage="1" showErrorMessage="1" sqref="C16:C19 C28:C31 C40:C41 C50:C52 C60:C62 C70:C72 C91:C94 C105:C107 C120:C122 C130:C132" xr:uid="{00000000-0002-0000-0700-00000D000000}"/>
    <dataValidation type="list" allowBlank="1" showInputMessage="1" showErrorMessage="1" sqref="B152 B156" xr:uid="{00000000-0002-0000-0700-00000E000000}">
      <formula1>eaux_usees</formula1>
    </dataValidation>
    <dataValidation type="list" allowBlank="1" showInputMessage="1" showErrorMessage="1" sqref="D8" xr:uid="{00000000-0002-0000-0700-00000F000000}">
      <formula1>Liste_dechets2</formula1>
    </dataValidation>
    <dataValidation type="list" allowBlank="1" showInputMessage="1" showErrorMessage="1" sqref="D7" xr:uid="{00000000-0002-0000-0700-000010000000}">
      <formula1>Liste_dechets</formula1>
    </dataValidation>
  </dataValidations>
  <hyperlinks>
    <hyperlink ref="D4" location="dechets_haut" display="déchets banals" xr:uid="{00000000-0004-0000-0700-000000000000}"/>
    <hyperlink ref="F4" location="dechets_non_banals" display="déchets non banals" xr:uid="{00000000-0004-0000-0700-000001000000}"/>
    <hyperlink ref="H4" location="dechets_eaux" display="eaux usées" xr:uid="{00000000-0004-0000-0700-000002000000}"/>
    <hyperlink ref="D5" location="dechets_recap" display="total" xr:uid="{00000000-0004-0000-0700-000003000000}"/>
    <hyperlink ref="F5" location="dechetsdirects_GHGProtocol" display="GHG Protocol" xr:uid="{00000000-0004-0000-0700-000004000000}"/>
    <hyperlink ref="H5:I5" location="dechetsdirects_ISO14069" display="ISO 14069" xr:uid="{00000000-0004-0000-0700-000005000000}"/>
    <hyperlink ref="B254" r:id="rId1" xr:uid="{00000000-0004-0000-0700-000006000000}"/>
    <hyperlink ref="B253" r:id="rId2" xr:uid="{00000000-0004-0000-0700-000007000000}"/>
  </hyperlinks>
  <pageMargins left="0.78740157499999996" right="0.78740157499999996" top="0.984251969" bottom="0.984251969" header="0.4921259845" footer="0.4921259845"/>
  <pageSetup paperSize="9" orientation="landscape" horizontalDpi="4294967292" verticalDpi="4294967292"/>
  <headerFooter alignWithMargins="0">
    <oddFooter>&amp;LCalcul des émissions de gaz à effet de serre&amp;RRubrique &amp;A, page &amp;P, édité le &amp;D</oddFooter>
  </headerFooter>
  <rowBreaks count="4" manualBreakCount="4">
    <brk id="23" min="1" max="7" man="1"/>
    <brk id="45" min="1" max="7" man="1"/>
    <brk id="86" min="1" max="7" man="1"/>
    <brk id="166" min="1" max="7" man="1"/>
  </rowBreaks>
  <ignoredErrors>
    <ignoredError sqref="D212:D214" twoDigitTextYear="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11000000}">
          <x14:formula1>
            <xm:f>'Emissions factors'!$B$2342:$B$2346</xm:f>
          </x14:formula1>
          <xm:sqref>B143:B144</xm:sqref>
        </x14:dataValidation>
      </x14:dataValidations>
    </ex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theme="5"/>
    <outlinePr summaryBelow="0"/>
  </sheetPr>
  <dimension ref="A1:BQ341"/>
  <sheetViews>
    <sheetView showGridLines="0" workbookViewId="0">
      <pane xSplit="3" ySplit="8" topLeftCell="D250" activePane="bottomRight" state="frozenSplit"/>
      <selection activeCell="E9" sqref="E9"/>
      <selection pane="topRight" activeCell="E9" sqref="E9"/>
      <selection pane="bottomLeft" activeCell="A10" sqref="A10"/>
      <selection pane="bottomRight" activeCell="F72" sqref="F72"/>
    </sheetView>
  </sheetViews>
  <sheetFormatPr baseColWidth="10" defaultColWidth="10.83203125" defaultRowHeight="13" outlineLevelRow="2" x14ac:dyDescent="0.2"/>
  <cols>
    <col min="1" max="1" width="2.6640625" style="40" customWidth="1"/>
    <col min="2" max="2" width="52.6640625" style="40" customWidth="1"/>
    <col min="3" max="3" width="2.5" style="40" customWidth="1"/>
    <col min="4" max="5" width="12.33203125" style="40" customWidth="1"/>
    <col min="6" max="6" width="15" style="40" bestFit="1" customWidth="1"/>
    <col min="7" max="7" width="12.33203125" style="40" customWidth="1"/>
    <col min="8" max="8" width="14.5" style="40" bestFit="1" customWidth="1"/>
    <col min="9" max="11" width="15" style="40" bestFit="1" customWidth="1"/>
    <col min="12" max="41" width="12.33203125" style="40" customWidth="1"/>
    <col min="42" max="55" width="12.33203125" style="602" customWidth="1"/>
    <col min="56" max="67" width="12.33203125" style="40" customWidth="1"/>
    <col min="68" max="16384" width="10.83203125" style="40"/>
  </cols>
  <sheetData>
    <row r="1" spans="2:67" s="39" customFormat="1" ht="12" x14ac:dyDescent="0.2">
      <c r="AP1" s="729"/>
      <c r="AQ1" s="729"/>
      <c r="AR1" s="729"/>
      <c r="AS1" s="729"/>
      <c r="AT1" s="729"/>
      <c r="AU1" s="729"/>
      <c r="AV1" s="729"/>
      <c r="AW1" s="729"/>
      <c r="AX1" s="729"/>
      <c r="AY1" s="729"/>
      <c r="AZ1" s="729"/>
      <c r="BA1" s="729"/>
      <c r="BB1" s="729"/>
      <c r="BC1" s="729"/>
    </row>
    <row r="2" spans="2:67" s="39" customFormat="1" ht="30" customHeight="1" x14ac:dyDescent="0.2">
      <c r="B2" s="1726" t="str">
        <f>Description!C23</f>
        <v>Beni di durevoli</v>
      </c>
      <c r="C2" s="1726"/>
      <c r="D2" s="1726"/>
      <c r="E2" s="1726"/>
      <c r="F2" s="1726"/>
      <c r="G2" s="1726"/>
      <c r="H2" s="1726"/>
      <c r="I2" s="1726"/>
      <c r="J2" s="1726"/>
      <c r="K2" s="1726"/>
      <c r="L2" s="1726"/>
      <c r="M2" s="1726"/>
      <c r="N2" s="1726"/>
      <c r="O2" s="1726"/>
      <c r="AP2" s="729"/>
      <c r="AQ2" s="729"/>
      <c r="AR2" s="729"/>
      <c r="AS2" s="729"/>
      <c r="AT2" s="729"/>
      <c r="AU2" s="729"/>
      <c r="AV2" s="729"/>
      <c r="AW2" s="729"/>
      <c r="AX2" s="729"/>
      <c r="AY2" s="729"/>
      <c r="AZ2" s="729"/>
      <c r="BA2" s="729"/>
      <c r="BB2" s="729"/>
      <c r="BC2" s="729"/>
    </row>
    <row r="4" spans="2:67" ht="14" x14ac:dyDescent="0.2">
      <c r="B4" s="119" t="s">
        <v>2531</v>
      </c>
      <c r="C4" s="120"/>
      <c r="D4" s="1797" t="s">
        <v>2708</v>
      </c>
      <c r="E4" s="1797"/>
      <c r="F4" s="1797" t="s">
        <v>2709</v>
      </c>
      <c r="G4" s="1797"/>
      <c r="H4" s="1797" t="s">
        <v>2710</v>
      </c>
      <c r="I4" s="1797"/>
      <c r="J4" s="1797" t="s">
        <v>2711</v>
      </c>
      <c r="K4" s="1797"/>
      <c r="L4" s="104"/>
      <c r="M4" s="104"/>
      <c r="N4" s="104"/>
      <c r="O4" s="105"/>
    </row>
    <row r="5" spans="2:67" ht="14" x14ac:dyDescent="0.2">
      <c r="B5" s="106" t="s">
        <v>71</v>
      </c>
      <c r="C5" s="107"/>
      <c r="D5" s="1798" t="s">
        <v>44</v>
      </c>
      <c r="E5" s="1798"/>
      <c r="F5" s="1798" t="s">
        <v>121</v>
      </c>
      <c r="G5" s="1798"/>
      <c r="H5" s="1798" t="s">
        <v>132</v>
      </c>
      <c r="I5" s="1798"/>
      <c r="J5" s="108"/>
      <c r="K5" s="108"/>
      <c r="L5" s="108"/>
      <c r="M5" s="108"/>
      <c r="N5" s="108"/>
      <c r="O5" s="109"/>
    </row>
    <row r="7" spans="2:67" ht="28.5" customHeight="1" x14ac:dyDescent="0.2">
      <c r="B7" s="1837" t="s">
        <v>2663</v>
      </c>
      <c r="C7" s="1837"/>
      <c r="D7" s="1256" t="s">
        <v>2437</v>
      </c>
    </row>
    <row r="9" spans="2:67" ht="16" x14ac:dyDescent="0.2">
      <c r="B9" s="1795" t="s">
        <v>3055</v>
      </c>
      <c r="C9" s="1795"/>
      <c r="D9" s="1795"/>
      <c r="E9" s="1795"/>
      <c r="F9" s="1795"/>
      <c r="G9" s="1795"/>
      <c r="H9" s="1795"/>
      <c r="I9" s="1795"/>
      <c r="J9" s="1795"/>
      <c r="K9" s="1795"/>
      <c r="L9" s="1795"/>
      <c r="M9" s="1795"/>
      <c r="N9" s="1795"/>
      <c r="O9" s="1795"/>
    </row>
    <row r="10" spans="2:67" outlineLevel="1" x14ac:dyDescent="0.2"/>
    <row r="11" spans="2:67" outlineLevel="1" x14ac:dyDescent="0.2">
      <c r="B11" s="195" t="s">
        <v>3056</v>
      </c>
      <c r="C11" s="196"/>
      <c r="D11" s="500"/>
      <c r="E11" s="500"/>
      <c r="F11" s="198"/>
      <c r="G11" s="198"/>
      <c r="H11" s="198"/>
      <c r="I11" s="198"/>
      <c r="J11" s="199"/>
      <c r="Y11" s="1746" t="s">
        <v>723</v>
      </c>
      <c r="Z11" s="1747"/>
      <c r="AA11" s="1748"/>
      <c r="AF11" s="1746" t="s">
        <v>2066</v>
      </c>
      <c r="AG11" s="1747"/>
      <c r="AH11" s="1747"/>
      <c r="AI11" s="1748"/>
      <c r="AP11" s="40"/>
      <c r="AQ11" s="1755" t="s">
        <v>2073</v>
      </c>
      <c r="AR11" s="1756"/>
      <c r="AS11" s="1756"/>
      <c r="AT11" s="1756"/>
      <c r="AU11" s="1756"/>
      <c r="AV11" s="1757"/>
      <c r="BD11" s="1843" t="s">
        <v>2719</v>
      </c>
      <c r="BE11" s="1844"/>
      <c r="BF11" s="1844"/>
      <c r="BG11" s="1844"/>
      <c r="BH11" s="1844"/>
      <c r="BI11" s="1844"/>
      <c r="BJ11" s="1845"/>
      <c r="BK11" s="602"/>
      <c r="BL11" s="602"/>
      <c r="BM11" s="602"/>
      <c r="BN11" s="602"/>
      <c r="BO11" s="602"/>
    </row>
    <row r="12" spans="2:67" outlineLevel="1" x14ac:dyDescent="0.2">
      <c r="B12" s="417"/>
      <c r="C12" s="225"/>
      <c r="D12" s="503"/>
      <c r="E12" s="503"/>
      <c r="F12" s="201"/>
      <c r="G12" s="201"/>
      <c r="H12" s="201"/>
      <c r="I12" s="201"/>
      <c r="J12" s="203"/>
      <c r="Y12" s="507"/>
      <c r="Z12" s="504"/>
      <c r="AA12" s="203"/>
      <c r="AF12" s="507"/>
      <c r="AG12" s="504"/>
      <c r="AH12" s="504"/>
      <c r="AI12" s="203"/>
      <c r="AP12" s="40"/>
      <c r="AQ12" s="778"/>
      <c r="AR12" s="779"/>
      <c r="AS12" s="779"/>
      <c r="AT12" s="779"/>
      <c r="AU12" s="741"/>
      <c r="AV12" s="780"/>
      <c r="BD12" s="1270"/>
      <c r="BE12" s="1271"/>
      <c r="BF12" s="1271"/>
      <c r="BG12" s="1271"/>
      <c r="BH12" s="1272"/>
      <c r="BI12" s="1273"/>
      <c r="BJ12" s="1273"/>
      <c r="BK12" s="602"/>
      <c r="BL12" s="602"/>
      <c r="BM12" s="602"/>
      <c r="BN12" s="602"/>
      <c r="BO12" s="602"/>
    </row>
    <row r="13" spans="2:67" outlineLevel="1" x14ac:dyDescent="0.2">
      <c r="B13" s="200"/>
      <c r="C13" s="201"/>
      <c r="D13" s="504" t="s">
        <v>56</v>
      </c>
      <c r="E13" s="504" t="s">
        <v>56</v>
      </c>
      <c r="F13" s="205" t="s">
        <v>3077</v>
      </c>
      <c r="G13" s="205" t="s">
        <v>2217</v>
      </c>
      <c r="H13" s="504" t="s">
        <v>61</v>
      </c>
      <c r="I13" s="205" t="s">
        <v>2715</v>
      </c>
      <c r="J13" s="509" t="s">
        <v>61</v>
      </c>
      <c r="Y13" s="1638" t="s">
        <v>2605</v>
      </c>
      <c r="Z13" s="504" t="s">
        <v>2110</v>
      </c>
      <c r="AA13" s="509" t="s">
        <v>61</v>
      </c>
      <c r="AF13" s="507" t="s">
        <v>2065</v>
      </c>
      <c r="AG13" s="503" t="s">
        <v>61</v>
      </c>
      <c r="AH13" s="504" t="s">
        <v>2558</v>
      </c>
      <c r="AI13" s="509" t="s">
        <v>61</v>
      </c>
      <c r="AP13" s="40"/>
      <c r="AQ13" s="1739" t="s">
        <v>61</v>
      </c>
      <c r="AR13" s="1740"/>
      <c r="AS13" s="1740"/>
      <c r="AT13" s="1740"/>
      <c r="AU13" s="741" t="s">
        <v>61</v>
      </c>
      <c r="AV13" s="742"/>
      <c r="BD13" s="1846" t="s">
        <v>61</v>
      </c>
      <c r="BE13" s="1847"/>
      <c r="BF13" s="1847"/>
      <c r="BG13" s="1847"/>
      <c r="BH13" s="1272" t="s">
        <v>61</v>
      </c>
      <c r="BI13" s="1274"/>
      <c r="BJ13" s="1278" t="s">
        <v>723</v>
      </c>
      <c r="BK13" s="602"/>
      <c r="BL13" s="602"/>
      <c r="BM13" s="602"/>
      <c r="BN13" s="602"/>
      <c r="BO13" s="602"/>
    </row>
    <row r="14" spans="2:67" outlineLevel="1" x14ac:dyDescent="0.2">
      <c r="B14" s="507"/>
      <c r="C14" s="504"/>
      <c r="D14" s="504" t="s">
        <v>61</v>
      </c>
      <c r="E14" s="504" t="s">
        <v>63</v>
      </c>
      <c r="F14" s="208" t="s">
        <v>3078</v>
      </c>
      <c r="G14" s="208" t="s">
        <v>2714</v>
      </c>
      <c r="H14" s="504" t="s">
        <v>2543</v>
      </c>
      <c r="I14" s="208" t="s">
        <v>2716</v>
      </c>
      <c r="J14" s="509"/>
      <c r="Y14" s="1638" t="s">
        <v>2063</v>
      </c>
      <c r="Z14" s="504"/>
      <c r="AA14" s="509"/>
      <c r="AF14" s="507"/>
      <c r="AG14" s="503"/>
      <c r="AH14" s="504"/>
      <c r="AI14" s="509"/>
      <c r="AP14" s="40"/>
      <c r="AQ14" s="744" t="s">
        <v>14</v>
      </c>
      <c r="AR14" s="745" t="s">
        <v>60</v>
      </c>
      <c r="AS14" s="745" t="s">
        <v>27</v>
      </c>
      <c r="AT14" s="745" t="s">
        <v>2074</v>
      </c>
      <c r="AU14" s="746" t="s">
        <v>41</v>
      </c>
      <c r="AV14" s="747" t="s">
        <v>85</v>
      </c>
      <c r="BD14" s="1275" t="s">
        <v>14</v>
      </c>
      <c r="BE14" s="1276" t="s">
        <v>60</v>
      </c>
      <c r="BF14" s="1276" t="s">
        <v>27</v>
      </c>
      <c r="BG14" s="1276" t="s">
        <v>2074</v>
      </c>
      <c r="BH14" s="1277" t="s">
        <v>41</v>
      </c>
      <c r="BI14" s="1278" t="s">
        <v>85</v>
      </c>
      <c r="BJ14" s="1278" t="s">
        <v>61</v>
      </c>
      <c r="BK14" s="602"/>
      <c r="BL14" s="602"/>
      <c r="BM14" s="602"/>
      <c r="BN14" s="602"/>
      <c r="BO14" s="602"/>
    </row>
    <row r="15" spans="2:67" outlineLevel="1" x14ac:dyDescent="0.2">
      <c r="B15" s="200" t="s">
        <v>1981</v>
      </c>
      <c r="C15" s="234"/>
      <c r="D15" s="262">
        <f>J15</f>
        <v>0</v>
      </c>
      <c r="E15" s="265">
        <f>D15*12/44</f>
        <v>0</v>
      </c>
      <c r="F15" s="523" t="s">
        <v>2438</v>
      </c>
      <c r="G15" s="182"/>
      <c r="H15" s="276">
        <f>VLOOKUP($B15,'Emissions factors'!$B$2354:$D$2373,2,FALSE)</f>
        <v>825</v>
      </c>
      <c r="I15" s="182">
        <v>33</v>
      </c>
      <c r="J15" s="211">
        <f>IF(I15=0,0,G15*H15/I15)</f>
        <v>0</v>
      </c>
      <c r="Y15" s="282">
        <f>VLOOKUP($B15,'Emissions factors'!$B$2354:$D$2373,3,FALSE)</f>
        <v>0.5</v>
      </c>
      <c r="Z15" s="183"/>
      <c r="AA15" s="211">
        <f>J15*SQRT(Y15^2+Z15^2)</f>
        <v>0</v>
      </c>
      <c r="AF15" s="184"/>
      <c r="AG15" s="210">
        <f>AF15*J15</f>
        <v>0</v>
      </c>
      <c r="AH15" s="184"/>
      <c r="AI15" s="211">
        <f>AH15*J15</f>
        <v>0</v>
      </c>
      <c r="AP15" s="40"/>
      <c r="AQ15" s="717"/>
      <c r="AR15" s="718"/>
      <c r="AS15" s="718"/>
      <c r="AT15" s="718"/>
      <c r="AU15" s="720">
        <f>J15</f>
        <v>0</v>
      </c>
      <c r="AV15" s="748"/>
      <c r="BD15" s="1279" t="str">
        <f t="shared" ref="BD15:BI19" si="0">IF($F15="Yes",IF(AQ15="","",AQ15*$I15),"")</f>
        <v/>
      </c>
      <c r="BE15" s="1280" t="str">
        <f t="shared" si="0"/>
        <v/>
      </c>
      <c r="BF15" s="1280" t="str">
        <f t="shared" si="0"/>
        <v/>
      </c>
      <c r="BG15" s="1280" t="str">
        <f t="shared" si="0"/>
        <v/>
      </c>
      <c r="BH15" s="1281" t="str">
        <f t="shared" si="0"/>
        <v/>
      </c>
      <c r="BI15" s="1282" t="str">
        <f t="shared" si="0"/>
        <v/>
      </c>
      <c r="BJ15" s="1282" t="str">
        <f>IF($F15="Yes",IF(AA15="","",AA15*$I15),"")</f>
        <v/>
      </c>
      <c r="BK15" s="602"/>
      <c r="BL15" s="602"/>
      <c r="BM15" s="602"/>
      <c r="BN15" s="602"/>
      <c r="BO15" s="602"/>
    </row>
    <row r="16" spans="2:67" outlineLevel="1" x14ac:dyDescent="0.2">
      <c r="B16" s="200" t="s">
        <v>2748</v>
      </c>
      <c r="C16" s="234"/>
      <c r="D16" s="262">
        <f>J16</f>
        <v>0</v>
      </c>
      <c r="E16" s="265">
        <f>D16*12/44</f>
        <v>0</v>
      </c>
      <c r="F16" s="524"/>
      <c r="G16" s="185"/>
      <c r="H16" s="276">
        <f>VLOOKUP($B16,'Emissions factors'!$B$2354:$D$2373,2,FALSE)</f>
        <v>169</v>
      </c>
      <c r="I16" s="185"/>
      <c r="J16" s="211">
        <f>IF(I16=0,0,G16*H16/I16)</f>
        <v>0</v>
      </c>
      <c r="U16" s="314"/>
      <c r="Y16" s="282">
        <f>VLOOKUP($B16,'Emissions factors'!$B$2354:$D$2373,3,FALSE)</f>
        <v>0.5</v>
      </c>
      <c r="Z16" s="186"/>
      <c r="AA16" s="211">
        <f>J16*SQRT(Y16^2+Z16^2)</f>
        <v>0</v>
      </c>
      <c r="AF16" s="187"/>
      <c r="AG16" s="210">
        <f>AF16*J16</f>
        <v>0</v>
      </c>
      <c r="AH16" s="187"/>
      <c r="AI16" s="211">
        <f>AH16*J16</f>
        <v>0</v>
      </c>
      <c r="AP16" s="40"/>
      <c r="AQ16" s="717"/>
      <c r="AR16" s="718"/>
      <c r="AS16" s="718"/>
      <c r="AT16" s="718"/>
      <c r="AU16" s="720">
        <f>J16</f>
        <v>0</v>
      </c>
      <c r="AV16" s="748"/>
      <c r="BD16" s="1279" t="str">
        <f t="shared" si="0"/>
        <v/>
      </c>
      <c r="BE16" s="1280" t="str">
        <f t="shared" si="0"/>
        <v/>
      </c>
      <c r="BF16" s="1280" t="str">
        <f t="shared" si="0"/>
        <v/>
      </c>
      <c r="BG16" s="1280" t="str">
        <f t="shared" si="0"/>
        <v/>
      </c>
      <c r="BH16" s="1281" t="str">
        <f t="shared" si="0"/>
        <v/>
      </c>
      <c r="BI16" s="1282" t="str">
        <f t="shared" si="0"/>
        <v/>
      </c>
      <c r="BJ16" s="1282" t="str">
        <f>IF($F16="Yes",IF(AA16="","",AA16*$I16),"")</f>
        <v/>
      </c>
      <c r="BK16" s="602"/>
      <c r="BL16" s="602"/>
      <c r="BM16" s="602"/>
      <c r="BN16" s="602"/>
      <c r="BO16" s="602"/>
    </row>
    <row r="17" spans="1:69" outlineLevel="1" x14ac:dyDescent="0.2">
      <c r="B17" s="200" t="s">
        <v>1987</v>
      </c>
      <c r="C17" s="234"/>
      <c r="D17" s="262">
        <f>J17</f>
        <v>0</v>
      </c>
      <c r="E17" s="265">
        <f>D17*12/44</f>
        <v>0</v>
      </c>
      <c r="F17" s="524"/>
      <c r="G17" s="185"/>
      <c r="H17" s="276">
        <f>VLOOKUP($B17,'Emissions factors'!$B$2354:$D$2373,2,FALSE)</f>
        <v>656</v>
      </c>
      <c r="I17" s="185"/>
      <c r="J17" s="211">
        <f>IF(I17=0,0,G17*H17/I17)</f>
        <v>0</v>
      </c>
      <c r="Y17" s="282">
        <f>VLOOKUP($B17,'Emissions factors'!$B$2354:$D$2373,3,FALSE)</f>
        <v>0.5</v>
      </c>
      <c r="Z17" s="186"/>
      <c r="AA17" s="211">
        <f>J17*SQRT(Y17^2+Z17^2)</f>
        <v>0</v>
      </c>
      <c r="AF17" s="187"/>
      <c r="AG17" s="210">
        <f>AF17*J17</f>
        <v>0</v>
      </c>
      <c r="AH17" s="187"/>
      <c r="AI17" s="211">
        <f>AH17*J17</f>
        <v>0</v>
      </c>
      <c r="AP17" s="40"/>
      <c r="AQ17" s="717"/>
      <c r="AR17" s="718"/>
      <c r="AS17" s="718"/>
      <c r="AT17" s="718"/>
      <c r="AU17" s="720">
        <f>J17</f>
        <v>0</v>
      </c>
      <c r="AV17" s="748"/>
      <c r="BD17" s="1279" t="str">
        <f t="shared" si="0"/>
        <v/>
      </c>
      <c r="BE17" s="1280" t="str">
        <f t="shared" si="0"/>
        <v/>
      </c>
      <c r="BF17" s="1280" t="str">
        <f t="shared" si="0"/>
        <v/>
      </c>
      <c r="BG17" s="1280" t="str">
        <f t="shared" si="0"/>
        <v/>
      </c>
      <c r="BH17" s="1281" t="str">
        <f t="shared" si="0"/>
        <v/>
      </c>
      <c r="BI17" s="1282" t="str">
        <f t="shared" si="0"/>
        <v/>
      </c>
      <c r="BJ17" s="1282" t="str">
        <f>IF($F17="Yes",IF(AA17="","",AA17*$I17),"")</f>
        <v/>
      </c>
      <c r="BK17" s="602"/>
      <c r="BL17" s="602"/>
      <c r="BM17" s="602"/>
      <c r="BN17" s="602"/>
      <c r="BO17" s="602"/>
    </row>
    <row r="18" spans="1:69" outlineLevel="1" x14ac:dyDescent="0.2">
      <c r="B18" s="200" t="s">
        <v>1983</v>
      </c>
      <c r="C18" s="234"/>
      <c r="D18" s="262">
        <f>J18</f>
        <v>0</v>
      </c>
      <c r="E18" s="265">
        <f>D18*12/44</f>
        <v>0</v>
      </c>
      <c r="F18" s="525"/>
      <c r="G18" s="188"/>
      <c r="H18" s="276">
        <f>VLOOKUP($B18,'Emissions factors'!$B$2354:$D$2373,2,FALSE)</f>
        <v>469</v>
      </c>
      <c r="I18" s="188"/>
      <c r="J18" s="211">
        <f>IF(I18=0,0,G18*H18/I18)</f>
        <v>0</v>
      </c>
      <c r="Y18" s="282">
        <f>VLOOKUP($B18,'Emissions factors'!$B$2354:$D$2373,3,FALSE)</f>
        <v>0.5</v>
      </c>
      <c r="Z18" s="189"/>
      <c r="AA18" s="211">
        <f>J18*SQRT(Y18^2+Z18^2)</f>
        <v>0</v>
      </c>
      <c r="AF18" s="190"/>
      <c r="AG18" s="210">
        <f>AF18*J18</f>
        <v>0</v>
      </c>
      <c r="AH18" s="190"/>
      <c r="AI18" s="211">
        <f>AH18*J18</f>
        <v>0</v>
      </c>
      <c r="AP18" s="40"/>
      <c r="AQ18" s="717"/>
      <c r="AR18" s="718"/>
      <c r="AS18" s="718"/>
      <c r="AT18" s="718"/>
      <c r="AU18" s="720">
        <f>J18</f>
        <v>0</v>
      </c>
      <c r="AV18" s="748"/>
      <c r="BD18" s="1279" t="str">
        <f t="shared" si="0"/>
        <v/>
      </c>
      <c r="BE18" s="1280" t="str">
        <f t="shared" si="0"/>
        <v/>
      </c>
      <c r="BF18" s="1280" t="str">
        <f t="shared" si="0"/>
        <v/>
      </c>
      <c r="BG18" s="1280" t="str">
        <f t="shared" si="0"/>
        <v/>
      </c>
      <c r="BH18" s="1281" t="str">
        <f t="shared" si="0"/>
        <v/>
      </c>
      <c r="BI18" s="1282" t="str">
        <f t="shared" si="0"/>
        <v/>
      </c>
      <c r="BJ18" s="1282" t="str">
        <f>IF($F18="Yes",IF(AA18="","",AA18*$I18),"")</f>
        <v/>
      </c>
      <c r="BK18" s="602"/>
      <c r="BL18" s="602"/>
      <c r="BM18" s="602"/>
      <c r="BN18" s="602"/>
      <c r="BO18" s="602"/>
    </row>
    <row r="19" spans="1:69" outlineLevel="1" x14ac:dyDescent="0.2">
      <c r="B19" s="213"/>
      <c r="C19" s="201"/>
      <c r="D19" s="263"/>
      <c r="E19" s="266"/>
      <c r="F19" s="201"/>
      <c r="G19" s="201"/>
      <c r="H19" s="201"/>
      <c r="I19" s="201"/>
      <c r="J19" s="203"/>
      <c r="Y19" s="220"/>
      <c r="Z19" s="201"/>
      <c r="AA19" s="222"/>
      <c r="AF19" s="200"/>
      <c r="AG19" s="504"/>
      <c r="AH19" s="201"/>
      <c r="AI19" s="222"/>
      <c r="AP19" s="40"/>
      <c r="AQ19" s="717"/>
      <c r="AR19" s="718"/>
      <c r="AS19" s="718"/>
      <c r="AT19" s="718"/>
      <c r="AU19" s="720"/>
      <c r="AV19" s="749"/>
      <c r="BD19" s="1279" t="str">
        <f t="shared" si="0"/>
        <v/>
      </c>
      <c r="BE19" s="1280" t="str">
        <f t="shared" si="0"/>
        <v/>
      </c>
      <c r="BF19" s="1280" t="str">
        <f t="shared" si="0"/>
        <v/>
      </c>
      <c r="BG19" s="1280" t="str">
        <f t="shared" si="0"/>
        <v/>
      </c>
      <c r="BH19" s="1281" t="str">
        <f t="shared" si="0"/>
        <v/>
      </c>
      <c r="BI19" s="1283" t="str">
        <f t="shared" si="0"/>
        <v/>
      </c>
      <c r="BJ19" s="1282" t="str">
        <f>IF($F19="Yes",IF(AA19="","",AA19*$I19),"")</f>
        <v/>
      </c>
      <c r="BK19" s="602"/>
      <c r="BL19" s="602"/>
      <c r="BM19" s="602"/>
      <c r="BN19" s="602"/>
      <c r="BO19" s="602"/>
    </row>
    <row r="20" spans="1:69" outlineLevel="1" x14ac:dyDescent="0.2">
      <c r="B20" s="253" t="s">
        <v>2828</v>
      </c>
      <c r="C20" s="254"/>
      <c r="D20" s="264">
        <f>SUM(D15:D19)</f>
        <v>0</v>
      </c>
      <c r="E20" s="267">
        <f>SUM(E15:E19)</f>
        <v>0</v>
      </c>
      <c r="F20" s="256"/>
      <c r="G20" s="256"/>
      <c r="H20" s="256"/>
      <c r="I20" s="256"/>
      <c r="J20" s="257">
        <f>SUM(J15:J19)</f>
        <v>0</v>
      </c>
      <c r="Y20" s="258"/>
      <c r="Z20" s="256"/>
      <c r="AA20" s="257">
        <f>SQRT(SUMSQ(AA15:AA19))</f>
        <v>0</v>
      </c>
      <c r="AF20" s="258"/>
      <c r="AG20" s="259">
        <f>SUM(AG15:AG19)</f>
        <v>0</v>
      </c>
      <c r="AH20" s="256"/>
      <c r="AI20" s="257">
        <f>SUM(AI15:AI19)</f>
        <v>0</v>
      </c>
      <c r="AP20" s="40"/>
      <c r="AQ20" s="724">
        <f t="shared" ref="AQ20:AV20" si="1">SUM(AQ15:AQ19)</f>
        <v>0</v>
      </c>
      <c r="AR20" s="725">
        <f t="shared" si="1"/>
        <v>0</v>
      </c>
      <c r="AS20" s="725">
        <f t="shared" si="1"/>
        <v>0</v>
      </c>
      <c r="AT20" s="725">
        <f t="shared" si="1"/>
        <v>0</v>
      </c>
      <c r="AU20" s="727">
        <f t="shared" si="1"/>
        <v>0</v>
      </c>
      <c r="AV20" s="750">
        <f t="shared" si="1"/>
        <v>0</v>
      </c>
      <c r="BD20" s="1284">
        <f>SUM(BD15:BD19)</f>
        <v>0</v>
      </c>
      <c r="BE20" s="1285">
        <f t="shared" ref="BE20:BJ20" si="2">SUM(BE15:BE19)</f>
        <v>0</v>
      </c>
      <c r="BF20" s="1285">
        <f t="shared" si="2"/>
        <v>0</v>
      </c>
      <c r="BG20" s="1285">
        <f t="shared" si="2"/>
        <v>0</v>
      </c>
      <c r="BH20" s="1286">
        <f t="shared" si="2"/>
        <v>0</v>
      </c>
      <c r="BI20" s="1287">
        <f t="shared" si="2"/>
        <v>0</v>
      </c>
      <c r="BJ20" s="1287">
        <f t="shared" si="2"/>
        <v>0</v>
      </c>
      <c r="BK20" s="602"/>
      <c r="BL20" s="602"/>
      <c r="BM20" s="602"/>
      <c r="BN20" s="602"/>
      <c r="BO20" s="602"/>
    </row>
    <row r="21" spans="1:69" outlineLevel="1" x14ac:dyDescent="0.2">
      <c r="AP21" s="40"/>
      <c r="BD21" s="602"/>
      <c r="BE21" s="602"/>
      <c r="BF21" s="602"/>
      <c r="BG21" s="602"/>
      <c r="BH21" s="602"/>
      <c r="BI21" s="602"/>
      <c r="BJ21" s="602"/>
      <c r="BK21" s="602"/>
      <c r="BL21" s="602"/>
      <c r="BM21" s="602"/>
      <c r="BN21" s="602"/>
      <c r="BO21" s="602"/>
    </row>
    <row r="22" spans="1:69" outlineLevel="2" x14ac:dyDescent="0.2">
      <c r="B22" s="195" t="s">
        <v>3075</v>
      </c>
      <c r="C22" s="196"/>
      <c r="D22" s="500"/>
      <c r="E22" s="500"/>
      <c r="F22" s="198"/>
      <c r="G22" s="198"/>
      <c r="H22" s="198"/>
      <c r="I22" s="198"/>
      <c r="J22" s="198"/>
      <c r="K22" s="198"/>
      <c r="L22" s="198"/>
      <c r="M22" s="198"/>
      <c r="N22" s="198"/>
      <c r="O22" s="198"/>
      <c r="P22" s="198"/>
      <c r="Q22" s="198"/>
      <c r="R22" s="198"/>
      <c r="S22" s="198"/>
      <c r="T22" s="198"/>
      <c r="U22" s="198"/>
      <c r="V22" s="198"/>
      <c r="W22" s="199"/>
      <c r="X22" s="42"/>
      <c r="Y22" s="1746" t="s">
        <v>723</v>
      </c>
      <c r="Z22" s="1747"/>
      <c r="AA22" s="1747"/>
      <c r="AB22" s="1747"/>
      <c r="AC22" s="1747"/>
      <c r="AD22" s="1748"/>
      <c r="AE22" s="42"/>
      <c r="AF22" s="1746" t="s">
        <v>2066</v>
      </c>
      <c r="AG22" s="1747"/>
      <c r="AH22" s="1747"/>
      <c r="AI22" s="1747"/>
      <c r="AJ22" s="1747"/>
      <c r="AK22" s="1747"/>
      <c r="AL22" s="1747"/>
      <c r="AM22" s="1747"/>
      <c r="AN22" s="1747"/>
      <c r="AO22" s="1748"/>
      <c r="AP22" s="40"/>
      <c r="AQ22" s="1755" t="s">
        <v>2073</v>
      </c>
      <c r="AR22" s="1756"/>
      <c r="AS22" s="1756"/>
      <c r="AT22" s="1756"/>
      <c r="AU22" s="1756"/>
      <c r="AV22" s="1756"/>
      <c r="AW22" s="1756"/>
      <c r="AX22" s="1756"/>
      <c r="AY22" s="1756"/>
      <c r="AZ22" s="1756"/>
      <c r="BA22" s="1756"/>
      <c r="BB22" s="1757"/>
      <c r="BD22" s="1843" t="s">
        <v>2073</v>
      </c>
      <c r="BE22" s="1844"/>
      <c r="BF22" s="1844"/>
      <c r="BG22" s="1844"/>
      <c r="BH22" s="1844"/>
      <c r="BI22" s="1844"/>
      <c r="BJ22" s="1844"/>
      <c r="BK22" s="1844"/>
      <c r="BL22" s="1844"/>
      <c r="BM22" s="1844"/>
      <c r="BN22" s="1844"/>
      <c r="BO22" s="1844"/>
      <c r="BP22" s="1844"/>
      <c r="BQ22" s="1845"/>
    </row>
    <row r="23" spans="1:69" s="32" customFormat="1" outlineLevel="2" x14ac:dyDescent="0.2">
      <c r="A23" s="40"/>
      <c r="B23" s="417"/>
      <c r="C23" s="225"/>
      <c r="D23" s="503"/>
      <c r="E23" s="503"/>
      <c r="F23" s="214"/>
      <c r="G23" s="214"/>
      <c r="H23" s="214"/>
      <c r="I23" s="201"/>
      <c r="J23" s="201"/>
      <c r="K23" s="214"/>
      <c r="L23" s="201"/>
      <c r="M23" s="201"/>
      <c r="N23" s="214"/>
      <c r="O23" s="201"/>
      <c r="P23" s="201"/>
      <c r="Q23" s="214"/>
      <c r="R23" s="201"/>
      <c r="S23" s="201"/>
      <c r="T23" s="214"/>
      <c r="U23" s="201"/>
      <c r="V23" s="201"/>
      <c r="W23" s="508" t="s">
        <v>2639</v>
      </c>
      <c r="X23" s="50"/>
      <c r="Y23" s="216"/>
      <c r="Z23" s="217"/>
      <c r="AA23" s="503"/>
      <c r="AB23" s="503"/>
      <c r="AC23" s="503"/>
      <c r="AD23" s="508" t="s">
        <v>2639</v>
      </c>
      <c r="AE23" s="42"/>
      <c r="AF23" s="216"/>
      <c r="AG23" s="503"/>
      <c r="AH23" s="503"/>
      <c r="AI23" s="503"/>
      <c r="AJ23" s="504" t="s">
        <v>2639</v>
      </c>
      <c r="AK23" s="217"/>
      <c r="AL23" s="503"/>
      <c r="AM23" s="503"/>
      <c r="AN23" s="503"/>
      <c r="AO23" s="508" t="s">
        <v>2639</v>
      </c>
      <c r="AQ23" s="1758" t="s">
        <v>61</v>
      </c>
      <c r="AR23" s="1759"/>
      <c r="AS23" s="1759"/>
      <c r="AT23" s="1759"/>
      <c r="AU23" s="1759"/>
      <c r="AV23" s="1759"/>
      <c r="AW23" s="1759"/>
      <c r="AX23" s="1759"/>
      <c r="AY23" s="1759" t="s">
        <v>61</v>
      </c>
      <c r="AZ23" s="1760"/>
      <c r="BA23" s="730"/>
      <c r="BB23" s="731"/>
      <c r="BC23" s="743"/>
      <c r="BD23" s="1848" t="s">
        <v>61</v>
      </c>
      <c r="BE23" s="1849"/>
      <c r="BF23" s="1849"/>
      <c r="BG23" s="1849"/>
      <c r="BH23" s="1849"/>
      <c r="BI23" s="1849"/>
      <c r="BJ23" s="1849"/>
      <c r="BK23" s="1849"/>
      <c r="BL23" s="1849" t="s">
        <v>61</v>
      </c>
      <c r="BM23" s="1855"/>
      <c r="BN23" s="1290"/>
      <c r="BO23" s="1291"/>
      <c r="BP23" s="1856" t="s">
        <v>723</v>
      </c>
      <c r="BQ23" s="1857"/>
    </row>
    <row r="24" spans="1:69" s="32" customFormat="1" outlineLevel="2" x14ac:dyDescent="0.2">
      <c r="A24" s="40"/>
      <c r="B24" s="507" t="s">
        <v>3025</v>
      </c>
      <c r="C24" s="504"/>
      <c r="D24" s="504" t="s">
        <v>56</v>
      </c>
      <c r="E24" s="504" t="s">
        <v>56</v>
      </c>
      <c r="F24" s="205" t="s">
        <v>2712</v>
      </c>
      <c r="G24" s="205" t="s">
        <v>2055</v>
      </c>
      <c r="H24" s="205" t="s">
        <v>2053</v>
      </c>
      <c r="I24" s="1745" t="s">
        <v>767</v>
      </c>
      <c r="J24" s="1745"/>
      <c r="K24" s="205" t="s">
        <v>2053</v>
      </c>
      <c r="L24" s="1745" t="s">
        <v>769</v>
      </c>
      <c r="M24" s="1745"/>
      <c r="N24" s="205" t="s">
        <v>2053</v>
      </c>
      <c r="O24" s="1745" t="s">
        <v>771</v>
      </c>
      <c r="P24" s="1745"/>
      <c r="Q24" s="205" t="s">
        <v>2053</v>
      </c>
      <c r="R24" s="1745" t="s">
        <v>770</v>
      </c>
      <c r="S24" s="1745"/>
      <c r="T24" s="205" t="s">
        <v>2715</v>
      </c>
      <c r="U24" s="503" t="s">
        <v>61</v>
      </c>
      <c r="V24" s="503" t="s">
        <v>61</v>
      </c>
      <c r="W24" s="508" t="s">
        <v>30</v>
      </c>
      <c r="X24" s="50"/>
      <c r="Y24" s="1638" t="s">
        <v>2605</v>
      </c>
      <c r="Z24" s="504" t="s">
        <v>2110</v>
      </c>
      <c r="AA24" s="504" t="s">
        <v>61</v>
      </c>
      <c r="AB24" s="504" t="s">
        <v>61</v>
      </c>
      <c r="AC24" s="503" t="s">
        <v>61</v>
      </c>
      <c r="AD24" s="508" t="s">
        <v>30</v>
      </c>
      <c r="AE24" s="50"/>
      <c r="AF24" s="507" t="s">
        <v>2065</v>
      </c>
      <c r="AG24" s="504" t="s">
        <v>61</v>
      </c>
      <c r="AH24" s="504" t="s">
        <v>61</v>
      </c>
      <c r="AI24" s="503" t="s">
        <v>61</v>
      </c>
      <c r="AJ24" s="504" t="s">
        <v>30</v>
      </c>
      <c r="AK24" s="504" t="s">
        <v>2558</v>
      </c>
      <c r="AL24" s="504" t="s">
        <v>61</v>
      </c>
      <c r="AM24" s="504" t="s">
        <v>61</v>
      </c>
      <c r="AN24" s="503" t="s">
        <v>61</v>
      </c>
      <c r="AO24" s="508" t="s">
        <v>30</v>
      </c>
      <c r="AQ24" s="1764" t="s">
        <v>14</v>
      </c>
      <c r="AR24" s="1761"/>
      <c r="AS24" s="1761" t="s">
        <v>60</v>
      </c>
      <c r="AT24" s="1761"/>
      <c r="AU24" s="1761" t="s">
        <v>27</v>
      </c>
      <c r="AV24" s="1761"/>
      <c r="AW24" s="1761" t="s">
        <v>2074</v>
      </c>
      <c r="AX24" s="1761"/>
      <c r="AY24" s="1762" t="s">
        <v>41</v>
      </c>
      <c r="AZ24" s="1763"/>
      <c r="BA24" s="1764" t="s">
        <v>85</v>
      </c>
      <c r="BB24" s="1765"/>
      <c r="BC24" s="743"/>
      <c r="BD24" s="1850" t="s">
        <v>14</v>
      </c>
      <c r="BE24" s="1851"/>
      <c r="BF24" s="1851" t="s">
        <v>60</v>
      </c>
      <c r="BG24" s="1851"/>
      <c r="BH24" s="1851" t="s">
        <v>27</v>
      </c>
      <c r="BI24" s="1851"/>
      <c r="BJ24" s="1851" t="s">
        <v>2074</v>
      </c>
      <c r="BK24" s="1851"/>
      <c r="BL24" s="1852" t="s">
        <v>41</v>
      </c>
      <c r="BM24" s="1853"/>
      <c r="BN24" s="1850" t="s">
        <v>85</v>
      </c>
      <c r="BO24" s="1854"/>
      <c r="BP24" s="1850" t="s">
        <v>61</v>
      </c>
      <c r="BQ24" s="1854"/>
    </row>
    <row r="25" spans="1:69" outlineLevel="2" x14ac:dyDescent="0.2">
      <c r="B25" s="507"/>
      <c r="C25" s="504"/>
      <c r="D25" s="504" t="s">
        <v>61</v>
      </c>
      <c r="E25" s="504" t="s">
        <v>63</v>
      </c>
      <c r="F25" s="208" t="s">
        <v>2713</v>
      </c>
      <c r="G25" s="208" t="s">
        <v>2717</v>
      </c>
      <c r="H25" s="208" t="s">
        <v>34</v>
      </c>
      <c r="I25" s="506" t="s">
        <v>768</v>
      </c>
      <c r="J25" s="506" t="s">
        <v>24</v>
      </c>
      <c r="K25" s="208" t="s">
        <v>2061</v>
      </c>
      <c r="L25" s="506" t="s">
        <v>768</v>
      </c>
      <c r="M25" s="506" t="s">
        <v>24</v>
      </c>
      <c r="N25" s="208" t="s">
        <v>2059</v>
      </c>
      <c r="O25" s="506" t="s">
        <v>768</v>
      </c>
      <c r="P25" s="506" t="s">
        <v>24</v>
      </c>
      <c r="Q25" s="208" t="s">
        <v>15</v>
      </c>
      <c r="R25" s="506" t="s">
        <v>768</v>
      </c>
      <c r="S25" s="506" t="s">
        <v>24</v>
      </c>
      <c r="T25" s="208" t="s">
        <v>2716</v>
      </c>
      <c r="U25" s="505" t="s">
        <v>768</v>
      </c>
      <c r="V25" s="505" t="s">
        <v>24</v>
      </c>
      <c r="W25" s="508" t="s">
        <v>61</v>
      </c>
      <c r="X25" s="42"/>
      <c r="Y25" s="1638" t="s">
        <v>2063</v>
      </c>
      <c r="Z25" s="504"/>
      <c r="AA25" s="506" t="s">
        <v>768</v>
      </c>
      <c r="AB25" s="506" t="s">
        <v>24</v>
      </c>
      <c r="AC25" s="223" t="s">
        <v>41</v>
      </c>
      <c r="AD25" s="508" t="s">
        <v>61</v>
      </c>
      <c r="AE25" s="50"/>
      <c r="AF25" s="507"/>
      <c r="AG25" s="506" t="s">
        <v>768</v>
      </c>
      <c r="AH25" s="506" t="s">
        <v>24</v>
      </c>
      <c r="AI25" s="223" t="s">
        <v>41</v>
      </c>
      <c r="AJ25" s="504" t="s">
        <v>61</v>
      </c>
      <c r="AK25" s="504"/>
      <c r="AL25" s="506" t="s">
        <v>768</v>
      </c>
      <c r="AM25" s="506" t="s">
        <v>24</v>
      </c>
      <c r="AN25" s="223" t="s">
        <v>41</v>
      </c>
      <c r="AO25" s="508" t="s">
        <v>61</v>
      </c>
      <c r="AP25" s="40"/>
      <c r="AQ25" s="732" t="s">
        <v>768</v>
      </c>
      <c r="AR25" s="733" t="s">
        <v>24</v>
      </c>
      <c r="AS25" s="733" t="s">
        <v>768</v>
      </c>
      <c r="AT25" s="733" t="s">
        <v>24</v>
      </c>
      <c r="AU25" s="733" t="s">
        <v>768</v>
      </c>
      <c r="AV25" s="733" t="s">
        <v>24</v>
      </c>
      <c r="AW25" s="733" t="s">
        <v>768</v>
      </c>
      <c r="AX25" s="733" t="s">
        <v>24</v>
      </c>
      <c r="AY25" s="734" t="s">
        <v>768</v>
      </c>
      <c r="AZ25" s="735" t="s">
        <v>24</v>
      </c>
      <c r="BA25" s="732" t="s">
        <v>768</v>
      </c>
      <c r="BB25" s="736" t="s">
        <v>24</v>
      </c>
      <c r="BD25" s="1292" t="s">
        <v>768</v>
      </c>
      <c r="BE25" s="1293" t="s">
        <v>24</v>
      </c>
      <c r="BF25" s="1293" t="s">
        <v>768</v>
      </c>
      <c r="BG25" s="1293" t="s">
        <v>24</v>
      </c>
      <c r="BH25" s="1293" t="s">
        <v>768</v>
      </c>
      <c r="BI25" s="1293" t="s">
        <v>24</v>
      </c>
      <c r="BJ25" s="1293" t="s">
        <v>768</v>
      </c>
      <c r="BK25" s="1293" t="s">
        <v>24</v>
      </c>
      <c r="BL25" s="1294" t="s">
        <v>768</v>
      </c>
      <c r="BM25" s="1295" t="s">
        <v>24</v>
      </c>
      <c r="BN25" s="1292" t="s">
        <v>768</v>
      </c>
      <c r="BO25" s="1296" t="s">
        <v>24</v>
      </c>
      <c r="BP25" s="1292" t="s">
        <v>768</v>
      </c>
      <c r="BQ25" s="1296" t="s">
        <v>24</v>
      </c>
    </row>
    <row r="26" spans="1:69" outlineLevel="2" x14ac:dyDescent="0.2">
      <c r="B26" s="200" t="s">
        <v>805</v>
      </c>
      <c r="C26" s="201"/>
      <c r="D26" s="262">
        <f>SUM(U26:V26)</f>
        <v>0</v>
      </c>
      <c r="E26" s="265">
        <f>D26*12/44</f>
        <v>0</v>
      </c>
      <c r="F26" s="523"/>
      <c r="G26" s="672"/>
      <c r="H26" s="182"/>
      <c r="I26" s="271">
        <f>VLOOKUP($B26,'Emissions factors'!$B$84:$K$147,2,FALSE)</f>
        <v>775.9</v>
      </c>
      <c r="J26" s="271">
        <f>VLOOKUP($B26,'Emissions factors'!$B$84:$K$147,3,FALSE)</f>
        <v>2975.0299999999997</v>
      </c>
      <c r="K26" s="182"/>
      <c r="L26" s="277">
        <f>VLOOKUP($B26,'Emissions factors'!$B$84:$K$147,4,FALSE)</f>
        <v>6.7080000000000001E-2</v>
      </c>
      <c r="M26" s="277">
        <f>VLOOKUP($B26,'Emissions factors'!$B$84:$K$147,5,FALSE)</f>
        <v>0.25615399999999999</v>
      </c>
      <c r="N26" s="182"/>
      <c r="O26" s="271">
        <f>VLOOKUP($B26,'Emissions factors'!$B$84:$K$147,6,FALSE)</f>
        <v>783.2</v>
      </c>
      <c r="P26" s="271">
        <f>VLOOKUP($B26,'Emissions factors'!$B$84:$K$147,7,FALSE)</f>
        <v>2985.1400000000003</v>
      </c>
      <c r="Q26" s="182"/>
      <c r="R26" s="277">
        <f>VLOOKUP($B26,'Emissions factors'!$B$84:$K$147,8,FALSE)</f>
        <v>0.65529999999999988</v>
      </c>
      <c r="S26" s="277">
        <f>VLOOKUP($B26,'Emissions factors'!$B$84:$K$147,9,FALSE)</f>
        <v>2.5111300000000001</v>
      </c>
      <c r="T26" s="182"/>
      <c r="U26" s="210">
        <f>IF(T26=0,0,(H26*I26+K26*L26+N26*O26+Q26*R26)/T26)</f>
        <v>0</v>
      </c>
      <c r="V26" s="210">
        <f>IF(T26=0,0,(H26*J26+K26*M26+N26*P26+Q26*S26)/T26)</f>
        <v>0</v>
      </c>
      <c r="W26" s="222">
        <f>IF(OR(G26='Info utili'!$K$532,G26='Info utili'!$K$537),V26,0)</f>
        <v>0</v>
      </c>
      <c r="X26" s="42"/>
      <c r="Y26" s="282">
        <f>VLOOKUP($B26,'Emissions factors'!$B$84:$K$147,10,FALSE)</f>
        <v>0.05</v>
      </c>
      <c r="Z26" s="184"/>
      <c r="AA26" s="221">
        <f>U26*SQRT(Y26^2+Z26^2)</f>
        <v>0</v>
      </c>
      <c r="AB26" s="221">
        <f>V26*SQRT(Y26^2+Z26^2)</f>
        <v>0</v>
      </c>
      <c r="AC26" s="210">
        <f>SQRT(AA26^2+AB26^2)</f>
        <v>0</v>
      </c>
      <c r="AD26" s="222">
        <f>W26*SQRT(Y26^2+Z26^2)</f>
        <v>0</v>
      </c>
      <c r="AE26" s="42"/>
      <c r="AF26" s="184"/>
      <c r="AG26" s="221">
        <f>U26*AF26</f>
        <v>0</v>
      </c>
      <c r="AH26" s="221">
        <f>V26*AF26</f>
        <v>0</v>
      </c>
      <c r="AI26" s="210">
        <f>AG26+AH26</f>
        <v>0</v>
      </c>
      <c r="AJ26" s="221">
        <f>W26*AF26</f>
        <v>0</v>
      </c>
      <c r="AK26" s="184"/>
      <c r="AL26" s="221">
        <f>U26*AK26</f>
        <v>0</v>
      </c>
      <c r="AM26" s="224">
        <f>V26*AK26</f>
        <v>0</v>
      </c>
      <c r="AN26" s="210">
        <f>AL26+AM26</f>
        <v>0</v>
      </c>
      <c r="AO26" s="541">
        <f>W26*AK26</f>
        <v>0</v>
      </c>
      <c r="AP26" s="40"/>
      <c r="AQ26" s="717">
        <f>IF(T26=0,0,(H26*VLOOKUP($B26,'Emissions factors'!$B$84:$AQ$147,11,FALSE)+K26*VLOOKUP($B26,'Emissions factors'!$B$84:$AQ$147,13,FALSE)+N26*VLOOKUP($B26,'Emissions factors'!$B$84:$AQ$147,15,FALSE)+Q26*VLOOKUP($B26,'Emissions factors'!$B$84:$AQ$147,17,FALSE))/T26)</f>
        <v>0</v>
      </c>
      <c r="AR26" s="718">
        <f>IF(T26=0,0,(H26*VLOOKUP($B26,'Emissions factors'!$B$84:$AQ$147,12,FALSE)+K26*VLOOKUP($B26,'Emissions factors'!$B$84:$AQ$147,14,FALSE)+N26*VLOOKUP($B26,'Emissions factors'!$B$84:$AQ$147,16,FALSE)+Q26*VLOOKUP($B26,'Emissions factors'!$B$84:$AQ$147,18,FALSE))/T26)</f>
        <v>0</v>
      </c>
      <c r="AS26" s="718">
        <f>IF(T26=0,0,(H26*VLOOKUP($B26,'Emissions factors'!$B$84:$AQ$147,19,FALSE)+K26*VLOOKUP($B26,'Emissions factors'!$B$84:$AQ$147,21,FALSE)+N26*VLOOKUP($B26,'Emissions factors'!$B$84:$AQ$147,23,FALSE)+Q26*VLOOKUP($B26,'Emissions factors'!$B$84:$AQ$147,25,FALSE))/T26)</f>
        <v>0</v>
      </c>
      <c r="AT26" s="718">
        <f>IF(T26=0,0,(H26*VLOOKUP($B26,'Emissions factors'!$B$84:$AQ$147,20,FALSE)+K26*VLOOKUP($B26,'Emissions factors'!$B$84:$AQ$147,22,FALSE)+N26*VLOOKUP($B26,'Emissions factors'!$B$84:$AQ$147,24,FALSE)+Q26*VLOOKUP($B26,'Emissions factors'!$B$84:$AQ$147,26,FALSE))/T26)</f>
        <v>0</v>
      </c>
      <c r="AU26" s="718">
        <f>IF(T26=0,0,(H26*VLOOKUP($B26,'Emissions factors'!$B$84:$AQ$147,27,FALSE)+K26*VLOOKUP($B26,'Emissions factors'!$B$84:$AQ$147,29,FALSE)+N26*VLOOKUP($B26,'Emissions factors'!$B$84:$AQ$147,31,FALSE)+Q26*VLOOKUP($B26,'Emissions factors'!$B$84:$AQ$147,33,FALSE))/T26)</f>
        <v>0</v>
      </c>
      <c r="AV26" s="718">
        <f>IF(T26=0,0,(H26*VLOOKUP($B26,'Emissions factors'!$B$84:$AQ$147,28,FALSE)+K26*VLOOKUP($B26,'Emissions factors'!$B$84:$AQ$147,30,FALSE)+N26*VLOOKUP($B26,'Emissions factors'!$B$84:$AQ$147,32,FALSE)+Q26*VLOOKUP($B26,'Emissions factors'!$B$84:$AQ$147,34,FALSE))/T26)</f>
        <v>0</v>
      </c>
      <c r="AW26" s="718">
        <v>0</v>
      </c>
      <c r="AX26" s="718">
        <v>0</v>
      </c>
      <c r="AY26" s="719">
        <f t="shared" ref="AY26:AZ28" si="3">U26</f>
        <v>0</v>
      </c>
      <c r="AZ26" s="720">
        <f t="shared" si="3"/>
        <v>0</v>
      </c>
      <c r="BA26" s="718">
        <f>IF(T26=0,0,(H26*VLOOKUP($B26,'Emissions factors'!$B$84:$AQ$147,35,FALSE)+K26*VLOOKUP($B26,'Emissions factors'!$B$84:$AQ$147,37,FALSE)+N26*VLOOKUP($B26,'Emissions factors'!$B$84:$AQ$147,39,FALSE)+Q26*VLOOKUP($B26,'Emissions factors'!$B$84:$AQ$147,41,FALSE))/T26)</f>
        <v>0</v>
      </c>
      <c r="BB26" s="721">
        <f>IF(T26=0,0,(H26*VLOOKUP($B26,'Emissions factors'!$B$84:$AQ$147,36,FALSE)+K26*VLOOKUP($B26,'Emissions factors'!$B$84:$AQ$147,38,FALSE)+N26*VLOOKUP($B26,'Emissions factors'!$B$84:$AQ$147,40,FALSE)+Q26*VLOOKUP($B26,'Emissions factors'!$B$84:$AQ$147,42,FALSE))/T26)</f>
        <v>0</v>
      </c>
      <c r="BD26" s="1279" t="str">
        <f>IF($F26="Yes",IF(AQ26="","",H26*VLOOKUP($B26,'Emissions factors'!$B$84:$AQ$147,11,FALSE)+K26*VLOOKUP($B26,'Emissions factors'!$B$84:$AQ$147,13,FALSE)+N26*VLOOKUP($B26,'Emissions factors'!$B$84:$AQ$147,15,FALSE)+Q26*VLOOKUP($B26,'Emissions factors'!$B$84:$AQ$147,17,FALSE)),"")</f>
        <v/>
      </c>
      <c r="BE26" s="1280" t="str">
        <f>IF($F26="Yes",IF(AR26="","",H26*VLOOKUP($B26,'Emissions factors'!$B$84:$AQ$147,12,FALSE)+K26*VLOOKUP($B26,'Emissions factors'!$B$84:$AQ$147,14,FALSE)+N26*VLOOKUP($B26,'Emissions factors'!$B$84:$AQ$147,16,FALSE)+Q26*VLOOKUP($B26,'Emissions factors'!$B$84:$AQ$147,18,FALSE)),"")</f>
        <v/>
      </c>
      <c r="BF26" s="1280" t="str">
        <f>IF($F26="Yes",IF(AS26="","",H26*VLOOKUP($B26,'Emissions factors'!$B$84:$AQ$147,19,FALSE)+K26*VLOOKUP($B26,'Emissions factors'!$B$84:$AQ$147,21,FALSE)+N26*VLOOKUP($B26,'Emissions factors'!$B$84:$AQ$147,23,FALSE)+Q26*VLOOKUP($B26,'Emissions factors'!$B$84:$AQ$147,25,FALSE)),"")</f>
        <v/>
      </c>
      <c r="BG26" s="1280" t="str">
        <f>IF($F26="Yes",IF(AT26="","",H26*VLOOKUP($B26,'Emissions factors'!$B$84:$AQ$147,20,FALSE)+K26*VLOOKUP($B26,'Emissions factors'!$B$84:$AQ$147,22,FALSE)+N26*VLOOKUP($B26,'Emissions factors'!$B$84:$AQ$147,24,FALSE)+Q26*VLOOKUP($B26,'Emissions factors'!$B$84:$AQ$147,26,FALSE)),"")</f>
        <v/>
      </c>
      <c r="BH26" s="1280" t="str">
        <f>IF($F26="Yes",IF(AU26="","",H26*VLOOKUP($B26,'Emissions factors'!$B$84:$AQ$147,27,FALSE)+K26*VLOOKUP($B26,'Emissions factors'!$B$84:$AQ$147,29,FALSE)+N26*VLOOKUP($B26,'Emissions factors'!$B$84:$AQ$147,31,FALSE)+Q26*VLOOKUP($B26,'Emissions factors'!$B$84:$AQ$147,33,FALSE)),"")</f>
        <v/>
      </c>
      <c r="BI26" s="1280" t="str">
        <f>IF($F26="Yes",IF(AV26="","",H26*VLOOKUP($B26,'Emissions factors'!$B$84:$AQ$147,28,FALSE)+K26*VLOOKUP($B26,'Emissions factors'!$B$84:$AQ$147,30,FALSE)+N26*VLOOKUP($B26,'Emissions factors'!$B$84:$AQ$147,32,FALSE)+Q26*VLOOKUP($B26,'Emissions factors'!$B$84:$AQ$147,34,FALSE)),"")</f>
        <v/>
      </c>
      <c r="BJ26" s="1280" t="str">
        <f t="shared" ref="BJ26:BK29" si="4">IF($F26="Yes",IF(AW26="","",AW26*$T26),"")</f>
        <v/>
      </c>
      <c r="BK26" s="1280" t="str">
        <f t="shared" si="4"/>
        <v/>
      </c>
      <c r="BL26" s="1297" t="str">
        <f t="shared" ref="BL26:BM28" si="5">IF($F26="Yes",IF(AY26="","",U26*$T26),"")</f>
        <v/>
      </c>
      <c r="BM26" s="1281" t="str">
        <f t="shared" si="5"/>
        <v/>
      </c>
      <c r="BN26" s="1280" t="str">
        <f t="shared" ref="BN26:BO29" si="6">IF($F26="Yes",IF(BA26="","",BA26*$T26),"")</f>
        <v/>
      </c>
      <c r="BO26" s="1298" t="str">
        <f t="shared" si="6"/>
        <v/>
      </c>
      <c r="BP26" s="1280" t="str">
        <f t="shared" ref="BP26:BQ29" si="7">IF($F26="Yes",IF(AA26="","",AA26*$T26),"")</f>
        <v/>
      </c>
      <c r="BQ26" s="1298" t="str">
        <f t="shared" si="7"/>
        <v/>
      </c>
    </row>
    <row r="27" spans="1:69" outlineLevel="2" x14ac:dyDescent="0.2">
      <c r="B27" s="200" t="s">
        <v>796</v>
      </c>
      <c r="C27" s="201"/>
      <c r="D27" s="262">
        <f>SUM(U27:V27)</f>
        <v>0</v>
      </c>
      <c r="E27" s="265">
        <f>D27*12/44</f>
        <v>0</v>
      </c>
      <c r="F27" s="524"/>
      <c r="G27" s="482"/>
      <c r="H27" s="185"/>
      <c r="I27" s="271">
        <f>VLOOKUP($B27,'Emissions factors'!$B$84:$K$147,2,FALSE)</f>
        <v>707.3</v>
      </c>
      <c r="J27" s="271">
        <f>VLOOKUP($B27,'Emissions factors'!$B$84:$K$147,3,FALSE)</f>
        <v>3008.5</v>
      </c>
      <c r="K27" s="185"/>
      <c r="L27" s="277">
        <f>VLOOKUP($B27,'Emissions factors'!$B$84:$K$147,4,FALSE)</f>
        <v>6.0859999999999997E-2</v>
      </c>
      <c r="M27" s="277">
        <f>VLOOKUP($B27,'Emissions factors'!$B$84:$K$147,5,FALSE)</f>
        <v>0.25307999999999997</v>
      </c>
      <c r="N27" s="185"/>
      <c r="O27" s="271">
        <f>VLOOKUP($B27,'Emissions factors'!$B$84:$K$147,6,FALSE)</f>
        <v>694.7</v>
      </c>
      <c r="P27" s="271">
        <f>VLOOKUP($B27,'Emissions factors'!$B$84:$K$147,7,FALSE)</f>
        <v>2957.6</v>
      </c>
      <c r="Q27" s="185"/>
      <c r="R27" s="277">
        <f>VLOOKUP($B27,'Emissions factors'!$B$84:$K$147,8,FALSE)</f>
        <v>0.53329999999999989</v>
      </c>
      <c r="S27" s="277">
        <f>VLOOKUP($B27,'Emissions factors'!$B$84:$K$147,9,FALSE)</f>
        <v>2.2637</v>
      </c>
      <c r="T27" s="185"/>
      <c r="U27" s="210">
        <f>IF(T27=0,0,(H27*I27+K27*L27+N27*O27+Q27*R27)/T27)</f>
        <v>0</v>
      </c>
      <c r="V27" s="210">
        <f>IF(T27=0,0,(H27*J27+K27*M27+N27*P27+Q27*S27)/T27)</f>
        <v>0</v>
      </c>
      <c r="W27" s="222">
        <f>IF(OR(G27='Info utili'!$K$532,G27='Info utili'!$K$537),V27,0)</f>
        <v>0</v>
      </c>
      <c r="X27" s="42"/>
      <c r="Y27" s="282">
        <f>VLOOKUP($B27,'Emissions factors'!$B$84:$K$147,10,FALSE)</f>
        <v>0.05</v>
      </c>
      <c r="Z27" s="187"/>
      <c r="AA27" s="221">
        <f>U27*SQRT(Y27^2+Z27^2)</f>
        <v>0</v>
      </c>
      <c r="AB27" s="221">
        <f>V27*SQRT(Y27^2+Z27^2)</f>
        <v>0</v>
      </c>
      <c r="AC27" s="210">
        <f>SQRT(AA27^2+AB27^2)</f>
        <v>0</v>
      </c>
      <c r="AD27" s="222">
        <f>W27*SQRT(Y27^2+Z27^2)</f>
        <v>0</v>
      </c>
      <c r="AE27" s="42"/>
      <c r="AF27" s="187"/>
      <c r="AG27" s="221">
        <f>U27*AF27</f>
        <v>0</v>
      </c>
      <c r="AH27" s="221">
        <f>V27*AF27</f>
        <v>0</v>
      </c>
      <c r="AI27" s="210">
        <f>AG27+AH27</f>
        <v>0</v>
      </c>
      <c r="AJ27" s="221">
        <f>W27*AF27</f>
        <v>0</v>
      </c>
      <c r="AK27" s="187"/>
      <c r="AL27" s="221">
        <f>U27*AK27</f>
        <v>0</v>
      </c>
      <c r="AM27" s="224">
        <f>V27*AK27</f>
        <v>0</v>
      </c>
      <c r="AN27" s="210">
        <f>AL27+AM27</f>
        <v>0</v>
      </c>
      <c r="AO27" s="541">
        <f>W27*AK27</f>
        <v>0</v>
      </c>
      <c r="AP27" s="40"/>
      <c r="AQ27" s="717">
        <f>IF(T27=0,0,(H27*VLOOKUP($B27,'Emissions factors'!$B$84:$AQ$147,11,FALSE)+K27*VLOOKUP($B27,'Emissions factors'!$B$84:$AQ$147,13,FALSE)+N27*VLOOKUP($B27,'Emissions factors'!$B$84:$AQ$147,15,FALSE)+Q27*VLOOKUP($B27,'Emissions factors'!$B$84:$AQ$147,17,FALSE))/T27)</f>
        <v>0</v>
      </c>
      <c r="AR27" s="718">
        <f>IF(T27=0,0,(H27*VLOOKUP($B27,'Emissions factors'!$B$84:$AQ$147,12,FALSE)+K27*VLOOKUP($B27,'Emissions factors'!$B$84:$AQ$147,14,FALSE)+N27*VLOOKUP($B27,'Emissions factors'!$B$84:$AQ$147,16,FALSE)+Q27*VLOOKUP($B27,'Emissions factors'!$B$84:$AQ$147,18,FALSE))/T27)</f>
        <v>0</v>
      </c>
      <c r="AS27" s="718">
        <f>IF(T27=0,0,(H27*VLOOKUP($B27,'Emissions factors'!$B$84:$AQ$147,19,FALSE)+K27*VLOOKUP($B27,'Emissions factors'!$B$84:$AQ$147,21,FALSE)+N27*VLOOKUP($B27,'Emissions factors'!$B$84:$AQ$147,23,FALSE)+Q27*VLOOKUP($B27,'Emissions factors'!$B$84:$AQ$147,25,FALSE))/T27)</f>
        <v>0</v>
      </c>
      <c r="AT27" s="718">
        <f>IF(T27=0,0,(H27*VLOOKUP($B27,'Emissions factors'!$B$84:$AQ$147,20,FALSE)+K27*VLOOKUP($B27,'Emissions factors'!$B$84:$AQ$147,22,FALSE)+N27*VLOOKUP($B27,'Emissions factors'!$B$84:$AQ$147,24,FALSE)+Q27*VLOOKUP($B27,'Emissions factors'!$B$84:$AQ$147,26,FALSE))/T27)</f>
        <v>0</v>
      </c>
      <c r="AU27" s="718">
        <f>IF(T27=0,0,(H27*VLOOKUP($B27,'Emissions factors'!$B$84:$AQ$147,27,FALSE)+K27*VLOOKUP($B27,'Emissions factors'!$B$84:$AQ$147,29,FALSE)+N27*VLOOKUP($B27,'Emissions factors'!$B$84:$AQ$147,31,FALSE)+Q27*VLOOKUP($B27,'Emissions factors'!$B$84:$AQ$147,33,FALSE))/T27)</f>
        <v>0</v>
      </c>
      <c r="AV27" s="718">
        <f>IF(T27=0,0,(H27*VLOOKUP($B27,'Emissions factors'!$B$84:$AQ$147,28,FALSE)+K27*VLOOKUP($B27,'Emissions factors'!$B$84:$AQ$147,30,FALSE)+N27*VLOOKUP($B27,'Emissions factors'!$B$84:$AQ$147,32,FALSE)+Q27*VLOOKUP($B27,'Emissions factors'!$B$84:$AQ$147,34,FALSE))/T27)</f>
        <v>0</v>
      </c>
      <c r="AW27" s="718">
        <v>0</v>
      </c>
      <c r="AX27" s="718">
        <v>0</v>
      </c>
      <c r="AY27" s="719">
        <f t="shared" si="3"/>
        <v>0</v>
      </c>
      <c r="AZ27" s="720">
        <f t="shared" si="3"/>
        <v>0</v>
      </c>
      <c r="BA27" s="718">
        <f>IF(T27=0,0,(H27*VLOOKUP($B27,'Emissions factors'!$B$84:$AQ$147,35,FALSE)+K27*VLOOKUP($B27,'Emissions factors'!$B$84:$AQ$147,37,FALSE)+N27*VLOOKUP($B27,'Emissions factors'!$B$84:$AQ$147,39,FALSE)+Q27*VLOOKUP($B27,'Emissions factors'!$B$84:$AQ$147,41,FALSE))/T27)</f>
        <v>0</v>
      </c>
      <c r="BB27" s="721">
        <f>IF(T27=0,0,(H27*VLOOKUP($B27,'Emissions factors'!$B$84:$AQ$147,36,FALSE)+K27*VLOOKUP($B27,'Emissions factors'!$B$84:$AQ$147,38,FALSE)+N27*VLOOKUP($B27,'Emissions factors'!$B$84:$AQ$147,40,FALSE)+Q27*VLOOKUP($B27,'Emissions factors'!$B$84:$AQ$147,42,FALSE))/T27)</f>
        <v>0</v>
      </c>
      <c r="BD27" s="1279" t="str">
        <f>IF($F27="Yes",IF(AQ27="","",H27*VLOOKUP($B27,'Emissions factors'!$B$84:$AQ$147,11,FALSE)+K27*VLOOKUP($B27,'Emissions factors'!$B$84:$AQ$147,13,FALSE)+N27*VLOOKUP($B27,'Emissions factors'!$B$84:$AQ$147,15,FALSE)+Q27*VLOOKUP($B27,'Emissions factors'!$B$84:$AQ$147,17,FALSE)),"")</f>
        <v/>
      </c>
      <c r="BE27" s="1280" t="str">
        <f>IF($F27="Yes",IF(AR27="","",H27*VLOOKUP($B27,'Emissions factors'!$B$84:$AQ$147,12,FALSE)+K27*VLOOKUP($B27,'Emissions factors'!$B$84:$AQ$147,14,FALSE)+N27*VLOOKUP($B27,'Emissions factors'!$B$84:$AQ$147,16,FALSE)+Q27*VLOOKUP($B27,'Emissions factors'!$B$84:$AQ$147,18,FALSE)),"")</f>
        <v/>
      </c>
      <c r="BF27" s="1280" t="str">
        <f>IF($F27="Yes",IF(AS27="","",H27*VLOOKUP($B27,'Emissions factors'!$B$84:$AQ$147,19,FALSE)+K27*VLOOKUP($B27,'Emissions factors'!$B$84:$AQ$147,21,FALSE)+N27*VLOOKUP($B27,'Emissions factors'!$B$84:$AQ$147,23,FALSE)+Q27*VLOOKUP($B27,'Emissions factors'!$B$84:$AQ$147,25,FALSE)),"")</f>
        <v/>
      </c>
      <c r="BG27" s="1280" t="str">
        <f>IF($F27="Yes",IF(AT27="","",H27*VLOOKUP($B27,'Emissions factors'!$B$84:$AQ$147,20,FALSE)+K27*VLOOKUP($B27,'Emissions factors'!$B$84:$AQ$147,22,FALSE)+N27*VLOOKUP($B27,'Emissions factors'!$B$84:$AQ$147,24,FALSE)+Q27*VLOOKUP($B27,'Emissions factors'!$B$84:$AQ$147,26,FALSE)),"")</f>
        <v/>
      </c>
      <c r="BH27" s="1280" t="str">
        <f>IF($F27="Yes",IF(AU27="","",H27*VLOOKUP($B27,'Emissions factors'!$B$84:$AQ$147,27,FALSE)+K27*VLOOKUP($B27,'Emissions factors'!$B$84:$AQ$147,29,FALSE)+N27*VLOOKUP($B27,'Emissions factors'!$B$84:$AQ$147,31,FALSE)+Q27*VLOOKUP($B27,'Emissions factors'!$B$84:$AQ$147,33,FALSE)),"")</f>
        <v/>
      </c>
      <c r="BI27" s="1280" t="str">
        <f>IF($F27="Yes",IF(AV27="","",H27*VLOOKUP($B27,'Emissions factors'!$B$84:$AQ$147,28,FALSE)+K27*VLOOKUP($B27,'Emissions factors'!$B$84:$AQ$147,30,FALSE)+N27*VLOOKUP($B27,'Emissions factors'!$B$84:$AQ$147,32,FALSE)+Q27*VLOOKUP($B27,'Emissions factors'!$B$84:$AQ$147,34,FALSE)),"")</f>
        <v/>
      </c>
      <c r="BJ27" s="1280" t="str">
        <f t="shared" si="4"/>
        <v/>
      </c>
      <c r="BK27" s="1280" t="str">
        <f t="shared" si="4"/>
        <v/>
      </c>
      <c r="BL27" s="1297" t="str">
        <f t="shared" si="5"/>
        <v/>
      </c>
      <c r="BM27" s="1281" t="str">
        <f t="shared" si="5"/>
        <v/>
      </c>
      <c r="BN27" s="1280" t="str">
        <f t="shared" si="6"/>
        <v/>
      </c>
      <c r="BO27" s="1298" t="str">
        <f t="shared" si="6"/>
        <v/>
      </c>
      <c r="BP27" s="1280" t="str">
        <f t="shared" si="7"/>
        <v/>
      </c>
      <c r="BQ27" s="1298" t="str">
        <f t="shared" si="7"/>
        <v/>
      </c>
    </row>
    <row r="28" spans="1:69" outlineLevel="2" x14ac:dyDescent="0.2">
      <c r="B28" s="200" t="s">
        <v>803</v>
      </c>
      <c r="C28" s="201"/>
      <c r="D28" s="262">
        <f>SUM(U28:V28)</f>
        <v>0</v>
      </c>
      <c r="E28" s="265">
        <f>D28*12/44</f>
        <v>0</v>
      </c>
      <c r="F28" s="525"/>
      <c r="G28" s="483"/>
      <c r="H28" s="188"/>
      <c r="I28" s="271">
        <f>VLOOKUP($B28,'Emissions factors'!$B$84:$K$147,2,FALSE)</f>
        <v>1153.9000000000001</v>
      </c>
      <c r="J28" s="271">
        <f>VLOOKUP($B28,'Emissions factors'!$B$84:$K$147,3,FALSE)</f>
        <v>2228.6959999999999</v>
      </c>
      <c r="K28" s="188"/>
      <c r="L28" s="277">
        <f>VLOOKUP($B28,'Emissions factors'!$B$84:$K$147,4,FALSE)</f>
        <v>0.1023</v>
      </c>
      <c r="M28" s="277">
        <f>VLOOKUP($B28,'Emissions factors'!$B$84:$K$147,5,FALSE)</f>
        <v>0.19462700000000002</v>
      </c>
      <c r="N28" s="188"/>
      <c r="O28" s="271">
        <f>VLOOKUP($B28,'Emissions factors'!$B$84:$K$147,6,FALSE)</f>
        <v>1178.0999999999999</v>
      </c>
      <c r="P28" s="271">
        <f>VLOOKUP($B28,'Emissions factors'!$B$84:$K$147,7,FALSE)</f>
        <v>2269.11</v>
      </c>
      <c r="Q28" s="188"/>
      <c r="R28" s="277">
        <f>VLOOKUP($B28,'Emissions factors'!$B$84:$K$147,8,FALSE)</f>
        <v>0.97550000000000003</v>
      </c>
      <c r="S28" s="277">
        <f>VLOOKUP($B28,'Emissions factors'!$B$84:$K$147,9,FALSE)</f>
        <v>1.87584</v>
      </c>
      <c r="T28" s="188"/>
      <c r="U28" s="210">
        <f>IF(T28=0,0,(H28*I28+K28*L28+N28*O28+Q28*R28)/T28)</f>
        <v>0</v>
      </c>
      <c r="V28" s="210">
        <f>IF(T28=0,0,(H28*J28+K28*M28+N28*P28+Q28*S28)/T28)</f>
        <v>0</v>
      </c>
      <c r="W28" s="222">
        <f>IF(OR(G28='Info utili'!$K$532,G28='Info utili'!$K$537),V28,0)</f>
        <v>0</v>
      </c>
      <c r="X28" s="42"/>
      <c r="Y28" s="282">
        <f>VLOOKUP($B28,'Emissions factors'!$B$84:$K$147,10,FALSE)</f>
        <v>0.05</v>
      </c>
      <c r="Z28" s="190"/>
      <c r="AA28" s="221">
        <f>U28*SQRT(Y28^2+Z28^2)</f>
        <v>0</v>
      </c>
      <c r="AB28" s="221">
        <f>V28*SQRT(Y28^2+Z28^2)</f>
        <v>0</v>
      </c>
      <c r="AC28" s="210">
        <f>SQRT(AA28^2+AB28^2)</f>
        <v>0</v>
      </c>
      <c r="AD28" s="222">
        <f>W28*SQRT(Y28^2+Z28^2)</f>
        <v>0</v>
      </c>
      <c r="AE28" s="42"/>
      <c r="AF28" s="190"/>
      <c r="AG28" s="221">
        <f>U28*AF28</f>
        <v>0</v>
      </c>
      <c r="AH28" s="221">
        <f>V28*AF28</f>
        <v>0</v>
      </c>
      <c r="AI28" s="210">
        <f>AG28+AH28</f>
        <v>0</v>
      </c>
      <c r="AJ28" s="221">
        <f>W28*AF28</f>
        <v>0</v>
      </c>
      <c r="AK28" s="190"/>
      <c r="AL28" s="221">
        <f>U28*AK28</f>
        <v>0</v>
      </c>
      <c r="AM28" s="224">
        <f>V28*AK28</f>
        <v>0</v>
      </c>
      <c r="AN28" s="210">
        <f>AL28+AM28</f>
        <v>0</v>
      </c>
      <c r="AO28" s="541">
        <f>W28*AK28</f>
        <v>0</v>
      </c>
      <c r="AP28" s="40"/>
      <c r="AQ28" s="717">
        <f>IF(T28=0,0,(H28*VLOOKUP($B28,'Emissions factors'!$B$84:$AQ$147,11,FALSE)+K28*VLOOKUP($B28,'Emissions factors'!$B$84:$AQ$147,13,FALSE)+N28*VLOOKUP($B28,'Emissions factors'!$B$84:$AQ$147,15,FALSE)+Q28*VLOOKUP($B28,'Emissions factors'!$B$84:$AQ$147,17,FALSE))/T28)</f>
        <v>0</v>
      </c>
      <c r="AR28" s="718">
        <f>IF(T28=0,0,(H28*VLOOKUP($B28,'Emissions factors'!$B$84:$AQ$147,12,FALSE)+K28*VLOOKUP($B28,'Emissions factors'!$B$84:$AQ$147,14,FALSE)+N28*VLOOKUP($B28,'Emissions factors'!$B$84:$AQ$147,16,FALSE)+Q28*VLOOKUP($B28,'Emissions factors'!$B$84:$AQ$147,18,FALSE))/T28)</f>
        <v>0</v>
      </c>
      <c r="AS28" s="718">
        <f>IF(T28=0,0,(H28*VLOOKUP($B28,'Emissions factors'!$B$84:$AQ$147,19,FALSE)+K28*VLOOKUP($B28,'Emissions factors'!$B$84:$AQ$147,21,FALSE)+N28*VLOOKUP($B28,'Emissions factors'!$B$84:$AQ$147,23,FALSE)+Q28*VLOOKUP($B28,'Emissions factors'!$B$84:$AQ$147,25,FALSE))/T28)</f>
        <v>0</v>
      </c>
      <c r="AT28" s="718">
        <f>IF(T28=0,0,(H28*VLOOKUP($B28,'Emissions factors'!$B$84:$AQ$147,20,FALSE)+K28*VLOOKUP($B28,'Emissions factors'!$B$84:$AQ$147,22,FALSE)+N28*VLOOKUP($B28,'Emissions factors'!$B$84:$AQ$147,24,FALSE)+Q28*VLOOKUP($B28,'Emissions factors'!$B$84:$AQ$147,26,FALSE))/T28)</f>
        <v>0</v>
      </c>
      <c r="AU28" s="718">
        <f>IF(T28=0,0,(H28*VLOOKUP($B28,'Emissions factors'!$B$84:$AQ$147,27,FALSE)+K28*VLOOKUP($B28,'Emissions factors'!$B$84:$AQ$147,29,FALSE)+N28*VLOOKUP($B28,'Emissions factors'!$B$84:$AQ$147,31,FALSE)+Q28*VLOOKUP($B28,'Emissions factors'!$B$84:$AQ$147,33,FALSE))/T28)</f>
        <v>0</v>
      </c>
      <c r="AV28" s="718">
        <f>IF(T28=0,0,(H28*VLOOKUP($B28,'Emissions factors'!$B$84:$AQ$147,28,FALSE)+K28*VLOOKUP($B28,'Emissions factors'!$B$84:$AQ$147,30,FALSE)+N28*VLOOKUP($B28,'Emissions factors'!$B$84:$AQ$147,32,FALSE)+Q28*VLOOKUP($B28,'Emissions factors'!$B$84:$AQ$147,34,FALSE))/T28)</f>
        <v>0</v>
      </c>
      <c r="AW28" s="718">
        <v>0</v>
      </c>
      <c r="AX28" s="718">
        <v>0</v>
      </c>
      <c r="AY28" s="719">
        <f t="shared" si="3"/>
        <v>0</v>
      </c>
      <c r="AZ28" s="720">
        <f t="shared" si="3"/>
        <v>0</v>
      </c>
      <c r="BA28" s="718">
        <f>IF(T28=0,0,(H28*VLOOKUP($B28,'Emissions factors'!$B$84:$AQ$147,35,FALSE)+K28*VLOOKUP($B28,'Emissions factors'!$B$84:$AQ$147,37,FALSE)+N28*VLOOKUP($B28,'Emissions factors'!$B$84:$AQ$147,39,FALSE)+Q28*VLOOKUP($B28,'Emissions factors'!$B$84:$AQ$147,41,FALSE))/T28)</f>
        <v>0</v>
      </c>
      <c r="BB28" s="721">
        <f>IF(T28=0,0,(H28*VLOOKUP($B28,'Emissions factors'!$B$84:$AQ$147,36,FALSE)+K28*VLOOKUP($B28,'Emissions factors'!$B$84:$AQ$147,38,FALSE)+N28*VLOOKUP($B28,'Emissions factors'!$B$84:$AQ$147,40,FALSE)+Q28*VLOOKUP($B28,'Emissions factors'!$B$84:$AQ$147,42,FALSE))/T28)</f>
        <v>0</v>
      </c>
      <c r="BD28" s="1279" t="str">
        <f>IF($F28="Yes",IF(AQ28="","",H28*VLOOKUP($B28,'Emissions factors'!$B$84:$AQ$147,11,FALSE)+K28*VLOOKUP($B28,'Emissions factors'!$B$84:$AQ$147,13,FALSE)+N28*VLOOKUP($B28,'Emissions factors'!$B$84:$AQ$147,15,FALSE)+Q28*VLOOKUP($B28,'Emissions factors'!$B$84:$AQ$147,17,FALSE)),"")</f>
        <v/>
      </c>
      <c r="BE28" s="1280" t="str">
        <f>IF($F28="Yes",IF(AR28="","",H28*VLOOKUP($B28,'Emissions factors'!$B$84:$AQ$147,12,FALSE)+K28*VLOOKUP($B28,'Emissions factors'!$B$84:$AQ$147,14,FALSE)+N28*VLOOKUP($B28,'Emissions factors'!$B$84:$AQ$147,16,FALSE)+Q28*VLOOKUP($B28,'Emissions factors'!$B$84:$AQ$147,18,FALSE)),"")</f>
        <v/>
      </c>
      <c r="BF28" s="1280" t="str">
        <f>IF($F28="Yes",IF(AS28="","",H28*VLOOKUP($B28,'Emissions factors'!$B$84:$AQ$147,19,FALSE)+K28*VLOOKUP($B28,'Emissions factors'!$B$84:$AQ$147,21,FALSE)+N28*VLOOKUP($B28,'Emissions factors'!$B$84:$AQ$147,23,FALSE)+Q28*VLOOKUP($B28,'Emissions factors'!$B$84:$AQ$147,25,FALSE)),"")</f>
        <v/>
      </c>
      <c r="BG28" s="1280" t="str">
        <f>IF($F28="Yes",IF(AT28="","",H28*VLOOKUP($B28,'Emissions factors'!$B$84:$AQ$147,20,FALSE)+K28*VLOOKUP($B28,'Emissions factors'!$B$84:$AQ$147,22,FALSE)+N28*VLOOKUP($B28,'Emissions factors'!$B$84:$AQ$147,24,FALSE)+Q28*VLOOKUP($B28,'Emissions factors'!$B$84:$AQ$147,26,FALSE)),"")</f>
        <v/>
      </c>
      <c r="BH28" s="1280" t="str">
        <f>IF($F28="Yes",IF(AU28="","",H28*VLOOKUP($B28,'Emissions factors'!$B$84:$AQ$147,27,FALSE)+K28*VLOOKUP($B28,'Emissions factors'!$B$84:$AQ$147,29,FALSE)+N28*VLOOKUP($B28,'Emissions factors'!$B$84:$AQ$147,31,FALSE)+Q28*VLOOKUP($B28,'Emissions factors'!$B$84:$AQ$147,33,FALSE)),"")</f>
        <v/>
      </c>
      <c r="BI28" s="1280" t="str">
        <f>IF($F28="Yes",IF(AV28="","",H28*VLOOKUP($B28,'Emissions factors'!$B$84:$AQ$147,28,FALSE)+K28*VLOOKUP($B28,'Emissions factors'!$B$84:$AQ$147,30,FALSE)+N28*VLOOKUP($B28,'Emissions factors'!$B$84:$AQ$147,32,FALSE)+Q28*VLOOKUP($B28,'Emissions factors'!$B$84:$AQ$147,34,FALSE)),"")</f>
        <v/>
      </c>
      <c r="BJ28" s="1280" t="str">
        <f t="shared" si="4"/>
        <v/>
      </c>
      <c r="BK28" s="1280" t="str">
        <f t="shared" si="4"/>
        <v/>
      </c>
      <c r="BL28" s="1297" t="str">
        <f t="shared" si="5"/>
        <v/>
      </c>
      <c r="BM28" s="1281" t="str">
        <f t="shared" si="5"/>
        <v/>
      </c>
      <c r="BN28" s="1280" t="str">
        <f t="shared" si="6"/>
        <v/>
      </c>
      <c r="BO28" s="1298" t="str">
        <f t="shared" si="6"/>
        <v/>
      </c>
      <c r="BP28" s="1280" t="str">
        <f t="shared" si="7"/>
        <v/>
      </c>
      <c r="BQ28" s="1298" t="str">
        <f t="shared" si="7"/>
        <v/>
      </c>
    </row>
    <row r="29" spans="1:69" outlineLevel="2" x14ac:dyDescent="0.2">
      <c r="B29" s="213"/>
      <c r="C29" s="214"/>
      <c r="D29" s="275"/>
      <c r="E29" s="268"/>
      <c r="F29" s="214"/>
      <c r="G29" s="214"/>
      <c r="H29" s="214"/>
      <c r="I29" s="214"/>
      <c r="J29" s="214"/>
      <c r="K29" s="214"/>
      <c r="L29" s="214"/>
      <c r="M29" s="214"/>
      <c r="N29" s="214"/>
      <c r="O29" s="214"/>
      <c r="P29" s="214"/>
      <c r="Q29" s="214"/>
      <c r="R29" s="214"/>
      <c r="S29" s="214"/>
      <c r="T29" s="214"/>
      <c r="U29" s="214"/>
      <c r="V29" s="463"/>
      <c r="W29" s="466"/>
      <c r="X29" s="42"/>
      <c r="Y29" s="213"/>
      <c r="Z29" s="214"/>
      <c r="AA29" s="214"/>
      <c r="AB29" s="227"/>
      <c r="AC29" s="227"/>
      <c r="AD29" s="466"/>
      <c r="AE29" s="42"/>
      <c r="AF29" s="213"/>
      <c r="AG29" s="227"/>
      <c r="AH29" s="542"/>
      <c r="AI29" s="227"/>
      <c r="AJ29" s="542"/>
      <c r="AK29" s="214"/>
      <c r="AL29" s="214"/>
      <c r="AM29" s="227"/>
      <c r="AN29" s="227"/>
      <c r="AO29" s="543"/>
      <c r="AP29" s="40"/>
      <c r="AQ29" s="717"/>
      <c r="AR29" s="718"/>
      <c r="AS29" s="718"/>
      <c r="AT29" s="718"/>
      <c r="AU29" s="718"/>
      <c r="AV29" s="718"/>
      <c r="AW29" s="718"/>
      <c r="AX29" s="718"/>
      <c r="AY29" s="719"/>
      <c r="AZ29" s="720"/>
      <c r="BA29" s="722"/>
      <c r="BB29" s="723"/>
      <c r="BD29" s="1279" t="str">
        <f t="shared" ref="BD29:BI29" si="8">IF($F29="Yes",IF(AQ29="","",AQ29*$T29),"")</f>
        <v/>
      </c>
      <c r="BE29" s="1280" t="str">
        <f t="shared" si="8"/>
        <v/>
      </c>
      <c r="BF29" s="1280" t="str">
        <f t="shared" si="8"/>
        <v/>
      </c>
      <c r="BG29" s="1280" t="str">
        <f t="shared" si="8"/>
        <v/>
      </c>
      <c r="BH29" s="1280" t="str">
        <f t="shared" si="8"/>
        <v/>
      </c>
      <c r="BI29" s="1280" t="str">
        <f t="shared" si="8"/>
        <v/>
      </c>
      <c r="BJ29" s="1280" t="str">
        <f t="shared" si="4"/>
        <v/>
      </c>
      <c r="BK29" s="1280" t="str">
        <f t="shared" si="4"/>
        <v/>
      </c>
      <c r="BL29" s="1297" t="str">
        <f>IF($F29="Yes",IF(AY29="","",AY29*$T29),"")</f>
        <v/>
      </c>
      <c r="BM29" s="1281" t="str">
        <f>IF($F29="Yes",IF(AZ29="","",AZ29*$T29),"")</f>
        <v/>
      </c>
      <c r="BN29" s="1299" t="str">
        <f t="shared" si="6"/>
        <v/>
      </c>
      <c r="BO29" s="1300" t="str">
        <f t="shared" si="6"/>
        <v/>
      </c>
      <c r="BP29" s="1299" t="str">
        <f t="shared" si="7"/>
        <v/>
      </c>
      <c r="BQ29" s="1300" t="str">
        <f t="shared" si="7"/>
        <v/>
      </c>
    </row>
    <row r="30" spans="1:69" outlineLevel="2" x14ac:dyDescent="0.2">
      <c r="B30" s="484" t="s">
        <v>2828</v>
      </c>
      <c r="C30" s="485"/>
      <c r="D30" s="264">
        <f>SUM(D26:D29)</f>
        <v>0</v>
      </c>
      <c r="E30" s="267">
        <f>SUM(E26:E29)</f>
        <v>0</v>
      </c>
      <c r="F30" s="459"/>
      <c r="G30" s="485"/>
      <c r="H30" s="459"/>
      <c r="I30" s="459"/>
      <c r="J30" s="459"/>
      <c r="K30" s="459"/>
      <c r="L30" s="459"/>
      <c r="M30" s="459"/>
      <c r="N30" s="459"/>
      <c r="O30" s="459"/>
      <c r="P30" s="459"/>
      <c r="Q30" s="459"/>
      <c r="R30" s="459"/>
      <c r="S30" s="459"/>
      <c r="T30" s="459"/>
      <c r="U30" s="460">
        <f>SUM(U26:U29)</f>
        <v>0</v>
      </c>
      <c r="V30" s="460">
        <f>SUM(V26:V29)</f>
        <v>0</v>
      </c>
      <c r="W30" s="486">
        <f>SUM(W26:W29)</f>
        <v>0</v>
      </c>
      <c r="Y30" s="258"/>
      <c r="Z30" s="256"/>
      <c r="AA30" s="260">
        <f>SQRT(SUMSQ(AA26:AA29))</f>
        <v>0</v>
      </c>
      <c r="AB30" s="260">
        <f>SQRT(SUMSQ(AB26:AB29))</f>
        <v>0</v>
      </c>
      <c r="AC30" s="259">
        <f>SQRT(SUMSQ(AC26:AC29))</f>
        <v>0</v>
      </c>
      <c r="AD30" s="428">
        <f>SQRT(SUMSQ(AD26:AD29))</f>
        <v>0</v>
      </c>
      <c r="AE30" s="42"/>
      <c r="AF30" s="258"/>
      <c r="AG30" s="260">
        <f>SUM(AG26:AG29)</f>
        <v>0</v>
      </c>
      <c r="AH30" s="260">
        <f>SUM(AH26:AH29)</f>
        <v>0</v>
      </c>
      <c r="AI30" s="259">
        <f>SUM(AI26:AI29)</f>
        <v>0</v>
      </c>
      <c r="AJ30" s="260">
        <f>SUM(AJ26:AJ29)</f>
        <v>0</v>
      </c>
      <c r="AK30" s="256"/>
      <c r="AL30" s="260">
        <f>SUM(AL26:AL29)</f>
        <v>0</v>
      </c>
      <c r="AM30" s="260">
        <f>SUM(AM26:AM29)</f>
        <v>0</v>
      </c>
      <c r="AN30" s="259">
        <f>SUM(AN26:AN29)</f>
        <v>0</v>
      </c>
      <c r="AO30" s="428">
        <f>SUM(AO26:AO29)</f>
        <v>0</v>
      </c>
      <c r="AP30" s="40"/>
      <c r="AQ30" s="724">
        <f t="shared" ref="AQ30:BB30" si="9">SUM(AQ26:AQ29)</f>
        <v>0</v>
      </c>
      <c r="AR30" s="725">
        <f t="shared" si="9"/>
        <v>0</v>
      </c>
      <c r="AS30" s="725">
        <f t="shared" si="9"/>
        <v>0</v>
      </c>
      <c r="AT30" s="725">
        <f t="shared" si="9"/>
        <v>0</v>
      </c>
      <c r="AU30" s="725">
        <f t="shared" si="9"/>
        <v>0</v>
      </c>
      <c r="AV30" s="725">
        <f t="shared" si="9"/>
        <v>0</v>
      </c>
      <c r="AW30" s="725">
        <f t="shared" si="9"/>
        <v>0</v>
      </c>
      <c r="AX30" s="725">
        <f t="shared" si="9"/>
        <v>0</v>
      </c>
      <c r="AY30" s="726">
        <f t="shared" si="9"/>
        <v>0</v>
      </c>
      <c r="AZ30" s="727">
        <f t="shared" si="9"/>
        <v>0</v>
      </c>
      <c r="BA30" s="724">
        <f t="shared" si="9"/>
        <v>0</v>
      </c>
      <c r="BB30" s="728">
        <f t="shared" si="9"/>
        <v>0</v>
      </c>
      <c r="BD30" s="1284">
        <f t="shared" ref="BD30:BQ30" si="10">SUM(BD26:BD29)</f>
        <v>0</v>
      </c>
      <c r="BE30" s="1285">
        <f t="shared" si="10"/>
        <v>0</v>
      </c>
      <c r="BF30" s="1285">
        <f t="shared" si="10"/>
        <v>0</v>
      </c>
      <c r="BG30" s="1285">
        <f t="shared" si="10"/>
        <v>0</v>
      </c>
      <c r="BH30" s="1285">
        <f t="shared" si="10"/>
        <v>0</v>
      </c>
      <c r="BI30" s="1285">
        <f t="shared" si="10"/>
        <v>0</v>
      </c>
      <c r="BJ30" s="1285">
        <f t="shared" si="10"/>
        <v>0</v>
      </c>
      <c r="BK30" s="1285">
        <f t="shared" si="10"/>
        <v>0</v>
      </c>
      <c r="BL30" s="1288">
        <f t="shared" si="10"/>
        <v>0</v>
      </c>
      <c r="BM30" s="1286">
        <f t="shared" si="10"/>
        <v>0</v>
      </c>
      <c r="BN30" s="1284">
        <f t="shared" si="10"/>
        <v>0</v>
      </c>
      <c r="BO30" s="1289">
        <f t="shared" si="10"/>
        <v>0</v>
      </c>
      <c r="BP30" s="1284">
        <f t="shared" si="10"/>
        <v>0</v>
      </c>
      <c r="BQ30" s="1289">
        <f t="shared" si="10"/>
        <v>0</v>
      </c>
    </row>
    <row r="31" spans="1:69" outlineLevel="2" x14ac:dyDescent="0.2">
      <c r="AP31" s="40"/>
      <c r="BD31" s="602"/>
      <c r="BE31" s="602"/>
      <c r="BF31" s="602"/>
      <c r="BG31" s="602"/>
      <c r="BH31" s="602"/>
      <c r="BI31" s="602"/>
      <c r="BJ31" s="602"/>
      <c r="BK31" s="602"/>
      <c r="BL31" s="602"/>
      <c r="BM31" s="602"/>
      <c r="BN31" s="602"/>
      <c r="BO31" s="602"/>
    </row>
    <row r="32" spans="1:69" outlineLevel="2" x14ac:dyDescent="0.2">
      <c r="B32" s="195" t="s">
        <v>3076</v>
      </c>
      <c r="C32" s="196"/>
      <c r="D32" s="500"/>
      <c r="E32" s="500"/>
      <c r="F32" s="198"/>
      <c r="G32" s="196"/>
      <c r="H32" s="198"/>
      <c r="I32" s="198"/>
      <c r="J32" s="198"/>
      <c r="K32" s="198"/>
      <c r="L32" s="199"/>
      <c r="Y32" s="1746" t="s">
        <v>723</v>
      </c>
      <c r="Z32" s="1747"/>
      <c r="AA32" s="1748"/>
      <c r="AC32" s="1383"/>
      <c r="AF32" s="1746" t="s">
        <v>2066</v>
      </c>
      <c r="AG32" s="1747"/>
      <c r="AH32" s="1747"/>
      <c r="AI32" s="1748"/>
      <c r="AP32" s="40"/>
      <c r="AQ32" s="1755" t="s">
        <v>2073</v>
      </c>
      <c r="AR32" s="1756"/>
      <c r="AS32" s="1756"/>
      <c r="AT32" s="1756"/>
      <c r="AU32" s="1756"/>
      <c r="AV32" s="1757"/>
      <c r="BD32" s="1843" t="s">
        <v>2719</v>
      </c>
      <c r="BE32" s="1844"/>
      <c r="BF32" s="1844"/>
      <c r="BG32" s="1844"/>
      <c r="BH32" s="1844"/>
      <c r="BI32" s="1844"/>
      <c r="BJ32" s="1845"/>
      <c r="BK32" s="602"/>
      <c r="BL32" s="602"/>
      <c r="BM32" s="602"/>
      <c r="BN32" s="602"/>
      <c r="BO32" s="602"/>
    </row>
    <row r="33" spans="2:67" outlineLevel="2" x14ac:dyDescent="0.2">
      <c r="B33" s="417"/>
      <c r="C33" s="225"/>
      <c r="D33" s="503"/>
      <c r="E33" s="503"/>
      <c r="F33" s="201"/>
      <c r="G33" s="225"/>
      <c r="H33" s="201"/>
      <c r="I33" s="201"/>
      <c r="J33" s="201"/>
      <c r="K33" s="201"/>
      <c r="L33" s="203"/>
      <c r="Y33" s="507"/>
      <c r="Z33" s="504"/>
      <c r="AA33" s="203"/>
      <c r="AF33" s="507"/>
      <c r="AG33" s="504"/>
      <c r="AH33" s="504"/>
      <c r="AI33" s="203"/>
      <c r="AP33" s="40"/>
      <c r="AQ33" s="778"/>
      <c r="AR33" s="779"/>
      <c r="AS33" s="779"/>
      <c r="AT33" s="779"/>
      <c r="AU33" s="741"/>
      <c r="AV33" s="780"/>
      <c r="BD33" s="1270"/>
      <c r="BE33" s="1271"/>
      <c r="BF33" s="1271"/>
      <c r="BG33" s="1271"/>
      <c r="BH33" s="1272"/>
      <c r="BI33" s="1273"/>
      <c r="BJ33" s="1273"/>
      <c r="BK33" s="602"/>
      <c r="BL33" s="602"/>
      <c r="BM33" s="602"/>
      <c r="BN33" s="602"/>
      <c r="BO33" s="602"/>
    </row>
    <row r="34" spans="2:67" outlineLevel="2" x14ac:dyDescent="0.2">
      <c r="B34" s="200"/>
      <c r="C34" s="201"/>
      <c r="D34" s="504" t="s">
        <v>56</v>
      </c>
      <c r="E34" s="504" t="s">
        <v>56</v>
      </c>
      <c r="F34" s="205" t="s">
        <v>2712</v>
      </c>
      <c r="G34" s="205" t="s">
        <v>2055</v>
      </c>
      <c r="H34" s="205" t="s">
        <v>2606</v>
      </c>
      <c r="I34" s="504" t="s">
        <v>61</v>
      </c>
      <c r="J34" s="205" t="s">
        <v>2603</v>
      </c>
      <c r="K34" s="205" t="s">
        <v>2715</v>
      </c>
      <c r="L34" s="509" t="s">
        <v>61</v>
      </c>
      <c r="Y34" s="1638" t="s">
        <v>2605</v>
      </c>
      <c r="Z34" s="504" t="s">
        <v>2110</v>
      </c>
      <c r="AA34" s="509" t="s">
        <v>61</v>
      </c>
      <c r="AF34" s="507" t="s">
        <v>2065</v>
      </c>
      <c r="AG34" s="503" t="s">
        <v>61</v>
      </c>
      <c r="AH34" s="504" t="s">
        <v>2558</v>
      </c>
      <c r="AI34" s="509" t="s">
        <v>61</v>
      </c>
      <c r="AP34" s="40"/>
      <c r="AQ34" s="1739" t="s">
        <v>61</v>
      </c>
      <c r="AR34" s="1740"/>
      <c r="AS34" s="1740"/>
      <c r="AT34" s="1740"/>
      <c r="AU34" s="741" t="s">
        <v>61</v>
      </c>
      <c r="AV34" s="742"/>
      <c r="BD34" s="1846" t="s">
        <v>61</v>
      </c>
      <c r="BE34" s="1847"/>
      <c r="BF34" s="1847"/>
      <c r="BG34" s="1847"/>
      <c r="BH34" s="1272" t="s">
        <v>61</v>
      </c>
      <c r="BI34" s="1274"/>
      <c r="BJ34" s="1278" t="s">
        <v>723</v>
      </c>
      <c r="BK34" s="602"/>
      <c r="BL34" s="602"/>
      <c r="BM34" s="602"/>
      <c r="BN34" s="602"/>
      <c r="BO34" s="602"/>
    </row>
    <row r="35" spans="2:67" outlineLevel="2" x14ac:dyDescent="0.2">
      <c r="B35" s="507"/>
      <c r="C35" s="504"/>
      <c r="D35" s="504" t="s">
        <v>61</v>
      </c>
      <c r="E35" s="504" t="s">
        <v>63</v>
      </c>
      <c r="F35" s="208" t="s">
        <v>2713</v>
      </c>
      <c r="G35" s="208" t="s">
        <v>2717</v>
      </c>
      <c r="H35" s="208" t="s">
        <v>2601</v>
      </c>
      <c r="I35" s="504" t="s">
        <v>2718</v>
      </c>
      <c r="J35" s="208" t="s">
        <v>2720</v>
      </c>
      <c r="K35" s="208" t="s">
        <v>2716</v>
      </c>
      <c r="L35" s="509"/>
      <c r="Y35" s="1638" t="s">
        <v>2063</v>
      </c>
      <c r="Z35" s="504"/>
      <c r="AA35" s="509"/>
      <c r="AF35" s="507"/>
      <c r="AG35" s="503"/>
      <c r="AH35" s="504"/>
      <c r="AI35" s="509"/>
      <c r="AP35" s="40"/>
      <c r="AQ35" s="744" t="s">
        <v>14</v>
      </c>
      <c r="AR35" s="745" t="s">
        <v>60</v>
      </c>
      <c r="AS35" s="745" t="s">
        <v>27</v>
      </c>
      <c r="AT35" s="745" t="s">
        <v>2074</v>
      </c>
      <c r="AU35" s="746" t="s">
        <v>41</v>
      </c>
      <c r="AV35" s="747" t="s">
        <v>85</v>
      </c>
      <c r="BD35" s="1275" t="s">
        <v>14</v>
      </c>
      <c r="BE35" s="1276" t="s">
        <v>60</v>
      </c>
      <c r="BF35" s="1276" t="s">
        <v>27</v>
      </c>
      <c r="BG35" s="1276" t="s">
        <v>2074</v>
      </c>
      <c r="BH35" s="1277" t="s">
        <v>41</v>
      </c>
      <c r="BI35" s="1278" t="s">
        <v>85</v>
      </c>
      <c r="BJ35" s="1278" t="s">
        <v>61</v>
      </c>
      <c r="BK35" s="602"/>
      <c r="BL35" s="602"/>
      <c r="BM35" s="602"/>
      <c r="BN35" s="602"/>
      <c r="BO35" s="602"/>
    </row>
    <row r="36" spans="2:67" outlineLevel="2" x14ac:dyDescent="0.2">
      <c r="B36" s="236" t="s">
        <v>1578</v>
      </c>
      <c r="C36" s="237"/>
      <c r="D36" s="262">
        <f>L36</f>
        <v>9680.0000000000018</v>
      </c>
      <c r="E36" s="265">
        <f>D36*12/44</f>
        <v>2640.0000000000005</v>
      </c>
      <c r="F36" s="523" t="s">
        <v>2437</v>
      </c>
      <c r="G36" s="1228" t="str">
        <f>VLOOKUP($B36,'Emissions factors'!$B$1745:$F$1760,2,FALSE)</f>
        <v>tonne</v>
      </c>
      <c r="H36" s="182">
        <v>1000</v>
      </c>
      <c r="I36" s="420">
        <f>VLOOKUP($B36,'Emissions factors'!$B$1745:$F$1760,3,FALSE)</f>
        <v>88</v>
      </c>
      <c r="J36" s="184">
        <v>0.1</v>
      </c>
      <c r="K36" s="673">
        <v>10</v>
      </c>
      <c r="L36" s="211">
        <f>IF(K36=0,0,(H36*I36*(1+J36))/K36)</f>
        <v>9680.0000000000018</v>
      </c>
      <c r="X36" s="314"/>
      <c r="Y36" s="282">
        <f>VLOOKUP($B36,'Emissions factors'!$B$1745:$F$1760,5,FALSE)</f>
        <v>0.2</v>
      </c>
      <c r="Z36" s="183"/>
      <c r="AA36" s="211">
        <f>L36*SQRT(Y36^2+Z36^2)</f>
        <v>1936.0000000000005</v>
      </c>
      <c r="AF36" s="184"/>
      <c r="AG36" s="210">
        <f>AF36*L36</f>
        <v>0</v>
      </c>
      <c r="AH36" s="184"/>
      <c r="AI36" s="211">
        <f>AH36*L36</f>
        <v>0</v>
      </c>
      <c r="AP36" s="40"/>
      <c r="AQ36" s="717"/>
      <c r="AR36" s="718"/>
      <c r="AS36" s="718"/>
      <c r="AT36" s="718"/>
      <c r="AU36" s="720">
        <f>L36</f>
        <v>9680.0000000000018</v>
      </c>
      <c r="AV36" s="748"/>
      <c r="BD36" s="1279" t="str">
        <f t="shared" ref="BD36:BI39" si="11">IF($F36="Yes",IF(AQ36="","",AQ36*$K36),"")</f>
        <v/>
      </c>
      <c r="BE36" s="1280" t="str">
        <f t="shared" si="11"/>
        <v/>
      </c>
      <c r="BF36" s="1280" t="str">
        <f t="shared" si="11"/>
        <v/>
      </c>
      <c r="BG36" s="1280" t="str">
        <f t="shared" si="11"/>
        <v/>
      </c>
      <c r="BH36" s="1281">
        <f t="shared" si="11"/>
        <v>96800.000000000015</v>
      </c>
      <c r="BI36" s="1282" t="str">
        <f t="shared" si="11"/>
        <v/>
      </c>
      <c r="BJ36" s="1282">
        <f>IF($F36="Yes",IF(AA36="","",AA36*$K36),"")</f>
        <v>19360.000000000004</v>
      </c>
      <c r="BK36" s="602"/>
      <c r="BL36" s="602"/>
      <c r="BM36" s="602"/>
      <c r="BN36" s="602"/>
      <c r="BO36" s="602"/>
    </row>
    <row r="37" spans="2:67" outlineLevel="2" x14ac:dyDescent="0.2">
      <c r="B37" s="236" t="s">
        <v>1575</v>
      </c>
      <c r="C37" s="237"/>
      <c r="D37" s="262">
        <f>L37</f>
        <v>0</v>
      </c>
      <c r="E37" s="265">
        <f>D37*12/44</f>
        <v>0</v>
      </c>
      <c r="F37" s="524"/>
      <c r="G37" s="1229" t="str">
        <f>VLOOKUP($B37,'Emissions factors'!$B$1745:$F$1760,2,FALSE)</f>
        <v>1 sqm of wall</v>
      </c>
      <c r="H37" s="185"/>
      <c r="I37" s="420">
        <f>VLOOKUP($B37,'Emissions factors'!$B$1745:$F$1760,3,FALSE)</f>
        <v>15.26</v>
      </c>
      <c r="J37" s="187"/>
      <c r="K37" s="674"/>
      <c r="L37" s="211">
        <f>IF(K37=0,0,(H37*I37*(1+J37))/K37)</f>
        <v>0</v>
      </c>
      <c r="V37" s="314"/>
      <c r="W37" s="314"/>
      <c r="Y37" s="282">
        <f>VLOOKUP($B37,'Emissions factors'!$B$1745:$F$1760,5,FALSE)</f>
        <v>0.1</v>
      </c>
      <c r="Z37" s="186"/>
      <c r="AA37" s="211">
        <f>L37*SQRT(Y37^2+Z37^2)</f>
        <v>0</v>
      </c>
      <c r="AF37" s="187"/>
      <c r="AG37" s="210">
        <f>AF37*L37</f>
        <v>0</v>
      </c>
      <c r="AH37" s="187"/>
      <c r="AI37" s="211">
        <f>AH37*L37</f>
        <v>0</v>
      </c>
      <c r="AP37" s="40"/>
      <c r="AQ37" s="717"/>
      <c r="AR37" s="718"/>
      <c r="AS37" s="718"/>
      <c r="AT37" s="718"/>
      <c r="AU37" s="720">
        <f>L37</f>
        <v>0</v>
      </c>
      <c r="AV37" s="748"/>
      <c r="BD37" s="1279" t="str">
        <f t="shared" si="11"/>
        <v/>
      </c>
      <c r="BE37" s="1280" t="str">
        <f t="shared" si="11"/>
        <v/>
      </c>
      <c r="BF37" s="1280" t="str">
        <f t="shared" si="11"/>
        <v/>
      </c>
      <c r="BG37" s="1280" t="str">
        <f t="shared" si="11"/>
        <v/>
      </c>
      <c r="BH37" s="1281" t="str">
        <f t="shared" si="11"/>
        <v/>
      </c>
      <c r="BI37" s="1282" t="str">
        <f t="shared" si="11"/>
        <v/>
      </c>
      <c r="BJ37" s="1282" t="str">
        <f>IF($F37="Yes",IF(AA37="","",AA37*$K37),"")</f>
        <v/>
      </c>
      <c r="BK37" s="602"/>
      <c r="BL37" s="602"/>
      <c r="BM37" s="602"/>
      <c r="BN37" s="602"/>
      <c r="BO37" s="602"/>
    </row>
    <row r="38" spans="2:67" outlineLevel="2" x14ac:dyDescent="0.2">
      <c r="B38" s="236" t="s">
        <v>1572</v>
      </c>
      <c r="C38" s="237"/>
      <c r="D38" s="262">
        <f>L38</f>
        <v>0</v>
      </c>
      <c r="E38" s="265">
        <f>D38*12/44</f>
        <v>0</v>
      </c>
      <c r="F38" s="525"/>
      <c r="G38" s="1230" t="str">
        <f>VLOOKUP($B38,'Emissions factors'!$B$1745:$F$1760,2,FALSE)</f>
        <v>1sqm</v>
      </c>
      <c r="H38" s="188"/>
      <c r="I38" s="420">
        <f>VLOOKUP($B38,'Emissions factors'!$B$1745:$F$1760,3,FALSE)</f>
        <v>44.3</v>
      </c>
      <c r="J38" s="190"/>
      <c r="K38" s="675"/>
      <c r="L38" s="211">
        <f>IF(K38=0,0,(H38*I38*(1+J38))/K38)</f>
        <v>0</v>
      </c>
      <c r="Y38" s="282">
        <f>VLOOKUP($B38,'Emissions factors'!$B$1745:$F$1760,5,FALSE)</f>
        <v>0.1</v>
      </c>
      <c r="Z38" s="189"/>
      <c r="AA38" s="211">
        <f>L38*SQRT(Y38^2+Z38^2)</f>
        <v>0</v>
      </c>
      <c r="AF38" s="190"/>
      <c r="AG38" s="210">
        <f>AF38*L38</f>
        <v>0</v>
      </c>
      <c r="AH38" s="190"/>
      <c r="AI38" s="211">
        <f>AH38*L38</f>
        <v>0</v>
      </c>
      <c r="AP38" s="40"/>
      <c r="AQ38" s="717"/>
      <c r="AR38" s="718"/>
      <c r="AS38" s="718"/>
      <c r="AT38" s="718"/>
      <c r="AU38" s="720">
        <f>L38</f>
        <v>0</v>
      </c>
      <c r="AV38" s="748"/>
      <c r="BD38" s="1279" t="str">
        <f t="shared" si="11"/>
        <v/>
      </c>
      <c r="BE38" s="1280" t="str">
        <f t="shared" si="11"/>
        <v/>
      </c>
      <c r="BF38" s="1280" t="str">
        <f t="shared" si="11"/>
        <v/>
      </c>
      <c r="BG38" s="1280" t="str">
        <f t="shared" si="11"/>
        <v/>
      </c>
      <c r="BH38" s="1281" t="str">
        <f t="shared" si="11"/>
        <v/>
      </c>
      <c r="BI38" s="1282" t="str">
        <f t="shared" si="11"/>
        <v/>
      </c>
      <c r="BJ38" s="1282" t="str">
        <f>IF($F38="Yes",IF(AA38="","",AA38*$K38),"")</f>
        <v/>
      </c>
      <c r="BK38" s="602"/>
      <c r="BL38" s="602"/>
      <c r="BM38" s="602"/>
      <c r="BN38" s="602"/>
      <c r="BO38" s="602"/>
    </row>
    <row r="39" spans="2:67" outlineLevel="2" x14ac:dyDescent="0.2">
      <c r="B39" s="213"/>
      <c r="C39" s="214"/>
      <c r="D39" s="275"/>
      <c r="E39" s="268"/>
      <c r="F39" s="214"/>
      <c r="G39" s="214"/>
      <c r="H39" s="214"/>
      <c r="I39" s="214"/>
      <c r="J39" s="214"/>
      <c r="K39" s="214"/>
      <c r="L39" s="478"/>
      <c r="Y39" s="220"/>
      <c r="Z39" s="201"/>
      <c r="AA39" s="544"/>
      <c r="AF39" s="200"/>
      <c r="AG39" s="504"/>
      <c r="AH39" s="201"/>
      <c r="AI39" s="222"/>
      <c r="AP39" s="40"/>
      <c r="AQ39" s="717"/>
      <c r="AR39" s="718"/>
      <c r="AS39" s="718"/>
      <c r="AT39" s="718"/>
      <c r="AU39" s="720"/>
      <c r="AV39" s="749"/>
      <c r="BD39" s="1279" t="str">
        <f t="shared" si="11"/>
        <v/>
      </c>
      <c r="BE39" s="1280" t="str">
        <f t="shared" si="11"/>
        <v/>
      </c>
      <c r="BF39" s="1280" t="str">
        <f t="shared" si="11"/>
        <v/>
      </c>
      <c r="BG39" s="1280" t="str">
        <f t="shared" si="11"/>
        <v/>
      </c>
      <c r="BH39" s="1281" t="str">
        <f t="shared" si="11"/>
        <v/>
      </c>
      <c r="BI39" s="1283" t="str">
        <f t="shared" si="11"/>
        <v/>
      </c>
      <c r="BJ39" s="1282" t="str">
        <f>IF($F39="Yes",IF(AA39="","",AA39*$K39),"")</f>
        <v/>
      </c>
      <c r="BK39" s="602"/>
      <c r="BL39" s="602"/>
      <c r="BM39" s="602"/>
      <c r="BN39" s="602"/>
      <c r="BO39" s="602"/>
    </row>
    <row r="40" spans="2:67" outlineLevel="2" x14ac:dyDescent="0.2">
      <c r="B40" s="253" t="s">
        <v>2828</v>
      </c>
      <c r="C40" s="254"/>
      <c r="D40" s="264">
        <f>SUM(D36:D39)</f>
        <v>9680.0000000000018</v>
      </c>
      <c r="E40" s="267">
        <f>SUM(E36:E39)</f>
        <v>2640.0000000000005</v>
      </c>
      <c r="F40" s="256"/>
      <c r="G40" s="254"/>
      <c r="H40" s="256"/>
      <c r="I40" s="256"/>
      <c r="J40" s="260"/>
      <c r="K40" s="260"/>
      <c r="L40" s="257">
        <f>SUM(L36:L39)</f>
        <v>9680.0000000000018</v>
      </c>
      <c r="Y40" s="258"/>
      <c r="Z40" s="256"/>
      <c r="AA40" s="545">
        <f>SQRT(SUMSQ(AA36:AA39))</f>
        <v>1936.0000000000005</v>
      </c>
      <c r="AF40" s="258"/>
      <c r="AG40" s="259">
        <f>SUM(AG36:AG39)</f>
        <v>0</v>
      </c>
      <c r="AH40" s="256"/>
      <c r="AI40" s="257">
        <f>SUM(AI36:AI39)</f>
        <v>0</v>
      </c>
      <c r="AP40" s="40"/>
      <c r="AQ40" s="724">
        <f t="shared" ref="AQ40:AV40" si="12">SUM(AQ36:AQ39)</f>
        <v>0</v>
      </c>
      <c r="AR40" s="725">
        <f t="shared" si="12"/>
        <v>0</v>
      </c>
      <c r="AS40" s="725">
        <f t="shared" si="12"/>
        <v>0</v>
      </c>
      <c r="AT40" s="725">
        <f t="shared" si="12"/>
        <v>0</v>
      </c>
      <c r="AU40" s="727">
        <f t="shared" si="12"/>
        <v>9680.0000000000018</v>
      </c>
      <c r="AV40" s="750">
        <f t="shared" si="12"/>
        <v>0</v>
      </c>
      <c r="BD40" s="1284">
        <f t="shared" ref="BD40:BI40" si="13">SUM(BD36:BD39)</f>
        <v>0</v>
      </c>
      <c r="BE40" s="1285">
        <f t="shared" si="13"/>
        <v>0</v>
      </c>
      <c r="BF40" s="1285">
        <f t="shared" si="13"/>
        <v>0</v>
      </c>
      <c r="BG40" s="1285">
        <f t="shared" si="13"/>
        <v>0</v>
      </c>
      <c r="BH40" s="1286">
        <f t="shared" si="13"/>
        <v>96800.000000000015</v>
      </c>
      <c r="BI40" s="1287">
        <f t="shared" si="13"/>
        <v>0</v>
      </c>
      <c r="BJ40" s="1287">
        <f>SUM(BJ35:BJ39)</f>
        <v>19360.000000000004</v>
      </c>
      <c r="BK40" s="602"/>
      <c r="BL40" s="602"/>
      <c r="BM40" s="602"/>
      <c r="BN40" s="602"/>
      <c r="BO40" s="602"/>
    </row>
    <row r="41" spans="2:67" outlineLevel="2" x14ac:dyDescent="0.2">
      <c r="AP41" s="40"/>
      <c r="BD41" s="602"/>
      <c r="BE41" s="602"/>
      <c r="BF41" s="602"/>
      <c r="BG41" s="602"/>
      <c r="BH41" s="602"/>
      <c r="BI41" s="602"/>
      <c r="BJ41" s="602"/>
      <c r="BK41" s="602"/>
      <c r="BL41" s="602"/>
      <c r="BM41" s="602"/>
      <c r="BN41" s="602"/>
      <c r="BO41" s="602"/>
    </row>
    <row r="42" spans="2:67" outlineLevel="2" x14ac:dyDescent="0.2">
      <c r="B42" s="195" t="s">
        <v>3074</v>
      </c>
      <c r="C42" s="196"/>
      <c r="D42" s="500"/>
      <c r="E42" s="500"/>
      <c r="F42" s="198"/>
      <c r="G42" s="198"/>
      <c r="H42" s="198"/>
      <c r="I42" s="198"/>
      <c r="J42" s="198"/>
      <c r="K42" s="199"/>
      <c r="L42" s="42"/>
      <c r="P42" s="42"/>
      <c r="Y42" s="1746" t="s">
        <v>723</v>
      </c>
      <c r="Z42" s="1747"/>
      <c r="AA42" s="1748"/>
      <c r="AF42" s="1746" t="s">
        <v>2066</v>
      </c>
      <c r="AG42" s="1747"/>
      <c r="AH42" s="1747"/>
      <c r="AI42" s="1748"/>
      <c r="AP42" s="40"/>
      <c r="AQ42" s="1755" t="s">
        <v>2073</v>
      </c>
      <c r="AR42" s="1756"/>
      <c r="AS42" s="1756"/>
      <c r="AT42" s="1756"/>
      <c r="AU42" s="1756"/>
      <c r="AV42" s="1757"/>
      <c r="BD42" s="1843" t="s">
        <v>2719</v>
      </c>
      <c r="BE42" s="1844"/>
      <c r="BF42" s="1844"/>
      <c r="BG42" s="1844"/>
      <c r="BH42" s="1844"/>
      <c r="BI42" s="1844"/>
      <c r="BJ42" s="1845"/>
      <c r="BK42" s="602"/>
      <c r="BL42" s="602"/>
      <c r="BM42" s="602"/>
      <c r="BN42" s="602"/>
      <c r="BO42" s="602"/>
    </row>
    <row r="43" spans="2:67" outlineLevel="2" x14ac:dyDescent="0.2">
      <c r="B43" s="417"/>
      <c r="C43" s="225"/>
      <c r="D43" s="503"/>
      <c r="E43" s="503"/>
      <c r="F43" s="201"/>
      <c r="G43" s="201"/>
      <c r="H43" s="201"/>
      <c r="I43" s="201"/>
      <c r="J43" s="201"/>
      <c r="K43" s="203"/>
      <c r="L43" s="42"/>
      <c r="P43" s="42"/>
      <c r="Y43" s="507"/>
      <c r="Z43" s="504"/>
      <c r="AA43" s="203"/>
      <c r="AF43" s="507"/>
      <c r="AG43" s="504"/>
      <c r="AH43" s="504"/>
      <c r="AI43" s="203"/>
      <c r="AP43" s="40"/>
      <c r="AQ43" s="778"/>
      <c r="AR43" s="779"/>
      <c r="AS43" s="779"/>
      <c r="AT43" s="779"/>
      <c r="AU43" s="741"/>
      <c r="AV43" s="780"/>
      <c r="BD43" s="1270"/>
      <c r="BE43" s="1271"/>
      <c r="BF43" s="1271"/>
      <c r="BG43" s="1271"/>
      <c r="BH43" s="1272"/>
      <c r="BI43" s="1273"/>
      <c r="BJ43" s="1273"/>
      <c r="BK43" s="602"/>
      <c r="BL43" s="602"/>
      <c r="BM43" s="602"/>
      <c r="BN43" s="602"/>
      <c r="BO43" s="602"/>
    </row>
    <row r="44" spans="2:67" outlineLevel="2" x14ac:dyDescent="0.2">
      <c r="B44" s="507"/>
      <c r="C44" s="504"/>
      <c r="D44" s="504" t="s">
        <v>56</v>
      </c>
      <c r="E44" s="504" t="s">
        <v>56</v>
      </c>
      <c r="F44" s="205" t="s">
        <v>2712</v>
      </c>
      <c r="G44" s="205" t="s">
        <v>2055</v>
      </c>
      <c r="H44" s="504" t="s">
        <v>61</v>
      </c>
      <c r="I44" s="205" t="s">
        <v>2603</v>
      </c>
      <c r="J44" s="205" t="s">
        <v>2715</v>
      </c>
      <c r="K44" s="509" t="s">
        <v>61</v>
      </c>
      <c r="L44" s="42"/>
      <c r="P44" s="42"/>
      <c r="Y44" s="1638" t="s">
        <v>2605</v>
      </c>
      <c r="Z44" s="504" t="s">
        <v>2110</v>
      </c>
      <c r="AA44" s="509" t="s">
        <v>61</v>
      </c>
      <c r="AF44" s="507" t="s">
        <v>2065</v>
      </c>
      <c r="AG44" s="503" t="s">
        <v>61</v>
      </c>
      <c r="AH44" s="504" t="s">
        <v>2558</v>
      </c>
      <c r="AI44" s="509" t="s">
        <v>61</v>
      </c>
      <c r="AP44" s="40"/>
      <c r="AQ44" s="1739" t="s">
        <v>61</v>
      </c>
      <c r="AR44" s="1740"/>
      <c r="AS44" s="1740"/>
      <c r="AT44" s="1740"/>
      <c r="AU44" s="741" t="s">
        <v>61</v>
      </c>
      <c r="AV44" s="742"/>
      <c r="BD44" s="1846" t="s">
        <v>61</v>
      </c>
      <c r="BE44" s="1847"/>
      <c r="BF44" s="1847"/>
      <c r="BG44" s="1847"/>
      <c r="BH44" s="1272" t="s">
        <v>61</v>
      </c>
      <c r="BI44" s="1274"/>
      <c r="BJ44" s="1278" t="s">
        <v>723</v>
      </c>
      <c r="BK44" s="602"/>
      <c r="BL44" s="602"/>
      <c r="BM44" s="602"/>
      <c r="BN44" s="602"/>
      <c r="BO44" s="602"/>
    </row>
    <row r="45" spans="2:67" outlineLevel="2" x14ac:dyDescent="0.2">
      <c r="B45" s="507"/>
      <c r="C45" s="504"/>
      <c r="D45" s="504" t="s">
        <v>61</v>
      </c>
      <c r="E45" s="504" t="s">
        <v>63</v>
      </c>
      <c r="F45" s="208" t="s">
        <v>2713</v>
      </c>
      <c r="G45" s="208" t="s">
        <v>2717</v>
      </c>
      <c r="H45" s="504" t="s">
        <v>2058</v>
      </c>
      <c r="I45" s="208" t="s">
        <v>2720</v>
      </c>
      <c r="J45" s="208" t="s">
        <v>2716</v>
      </c>
      <c r="K45" s="509"/>
      <c r="L45" s="42"/>
      <c r="P45" s="42"/>
      <c r="Y45" s="1638" t="s">
        <v>2063</v>
      </c>
      <c r="Z45" s="504"/>
      <c r="AA45" s="509"/>
      <c r="AF45" s="507"/>
      <c r="AG45" s="503"/>
      <c r="AH45" s="504"/>
      <c r="AI45" s="509"/>
      <c r="AP45" s="40"/>
      <c r="AQ45" s="744" t="s">
        <v>14</v>
      </c>
      <c r="AR45" s="745" t="s">
        <v>60</v>
      </c>
      <c r="AS45" s="745" t="s">
        <v>27</v>
      </c>
      <c r="AT45" s="745" t="s">
        <v>2074</v>
      </c>
      <c r="AU45" s="746" t="s">
        <v>41</v>
      </c>
      <c r="AV45" s="747" t="s">
        <v>85</v>
      </c>
      <c r="BD45" s="1275" t="s">
        <v>14</v>
      </c>
      <c r="BE45" s="1276" t="s">
        <v>60</v>
      </c>
      <c r="BF45" s="1276" t="s">
        <v>27</v>
      </c>
      <c r="BG45" s="1276" t="s">
        <v>2074</v>
      </c>
      <c r="BH45" s="1277" t="s">
        <v>41</v>
      </c>
      <c r="BI45" s="1278" t="s">
        <v>85</v>
      </c>
      <c r="BJ45" s="1278" t="s">
        <v>61</v>
      </c>
      <c r="BK45" s="602"/>
      <c r="BL45" s="602"/>
      <c r="BM45" s="602"/>
      <c r="BN45" s="602"/>
      <c r="BO45" s="602"/>
    </row>
    <row r="46" spans="2:67" outlineLevel="2" x14ac:dyDescent="0.2">
      <c r="B46" s="200" t="s">
        <v>1578</v>
      </c>
      <c r="C46" s="201"/>
      <c r="D46" s="262">
        <f>K46</f>
        <v>0</v>
      </c>
      <c r="E46" s="265">
        <f>D46*12/44</f>
        <v>0</v>
      </c>
      <c r="F46" s="523"/>
      <c r="G46" s="182"/>
      <c r="H46" s="273">
        <f>VLOOKUP($B46,'Emissions factors'!$B$1765:$D$1817,2,FALSE)</f>
        <v>88</v>
      </c>
      <c r="I46" s="184"/>
      <c r="J46" s="182"/>
      <c r="K46" s="211">
        <f>IF(J46=0,0,G46*H46*(1+I46)/J46)</f>
        <v>0</v>
      </c>
      <c r="L46" s="42"/>
      <c r="P46" s="42"/>
      <c r="X46" s="314"/>
      <c r="Y46" s="282">
        <f>VLOOKUP($B46,'Emissions factors'!$B$1765:$D$1817,3,FALSE)</f>
        <v>0.2</v>
      </c>
      <c r="Z46" s="183"/>
      <c r="AA46" s="211">
        <f>K46*SQRT(Y46^2+Z46^2)</f>
        <v>0</v>
      </c>
      <c r="AF46" s="184"/>
      <c r="AG46" s="210">
        <f>AF46*K46</f>
        <v>0</v>
      </c>
      <c r="AH46" s="184"/>
      <c r="AI46" s="211">
        <f>AH46*K46</f>
        <v>0</v>
      </c>
      <c r="AP46" s="40"/>
      <c r="AQ46" s="717"/>
      <c r="AR46" s="718"/>
      <c r="AS46" s="718"/>
      <c r="AT46" s="718"/>
      <c r="AU46" s="720">
        <f>K46</f>
        <v>0</v>
      </c>
      <c r="AV46" s="748"/>
      <c r="BD46" s="1279" t="str">
        <f t="shared" ref="BD46:BI49" si="14">IF($F46="Yes",IF(AQ46="","",AQ46*$J46),"")</f>
        <v/>
      </c>
      <c r="BE46" s="1280" t="str">
        <f t="shared" si="14"/>
        <v/>
      </c>
      <c r="BF46" s="1280" t="str">
        <f t="shared" si="14"/>
        <v/>
      </c>
      <c r="BG46" s="1280" t="str">
        <f t="shared" si="14"/>
        <v/>
      </c>
      <c r="BH46" s="1281" t="str">
        <f t="shared" si="14"/>
        <v/>
      </c>
      <c r="BI46" s="1282" t="str">
        <f t="shared" si="14"/>
        <v/>
      </c>
      <c r="BJ46" s="1282" t="str">
        <f>IF($F46="Yes",IF(AA46="","",AA46*$J46),"")</f>
        <v/>
      </c>
      <c r="BK46" s="602"/>
      <c r="BL46" s="602"/>
      <c r="BM46" s="602"/>
      <c r="BN46" s="602"/>
      <c r="BO46" s="602"/>
    </row>
    <row r="47" spans="2:67" outlineLevel="2" x14ac:dyDescent="0.2">
      <c r="B47" s="200" t="s">
        <v>1597</v>
      </c>
      <c r="C47" s="201"/>
      <c r="D47" s="262">
        <f>K47</f>
        <v>0</v>
      </c>
      <c r="E47" s="265">
        <f>D47*12/44</f>
        <v>0</v>
      </c>
      <c r="F47" s="524"/>
      <c r="G47" s="185"/>
      <c r="H47" s="273">
        <f>VLOOKUP($B47,'Emissions factors'!$B$1765:$D$1817,2,FALSE)</f>
        <v>2.99</v>
      </c>
      <c r="I47" s="187"/>
      <c r="J47" s="185"/>
      <c r="K47" s="211">
        <f>IF(J47=0,0,G47*H47*(1+I47)/J47)</f>
        <v>0</v>
      </c>
      <c r="L47" s="42"/>
      <c r="P47" s="42"/>
      <c r="U47" s="314"/>
      <c r="V47" s="314"/>
      <c r="W47" s="314"/>
      <c r="Y47" s="282">
        <f>VLOOKUP($B47,'Emissions factors'!$B$1765:$D$1817,3,FALSE)</f>
        <v>0.5</v>
      </c>
      <c r="Z47" s="186"/>
      <c r="AA47" s="211">
        <f>K47*SQRT(Y47^2+Z47^2)</f>
        <v>0</v>
      </c>
      <c r="AF47" s="187"/>
      <c r="AG47" s="210">
        <f>AF47*K47</f>
        <v>0</v>
      </c>
      <c r="AH47" s="187"/>
      <c r="AI47" s="211">
        <f>AH47*K47</f>
        <v>0</v>
      </c>
      <c r="AP47" s="40"/>
      <c r="AQ47" s="717"/>
      <c r="AR47" s="718"/>
      <c r="AS47" s="718"/>
      <c r="AT47" s="718"/>
      <c r="AU47" s="720">
        <f>K47</f>
        <v>0</v>
      </c>
      <c r="AV47" s="748"/>
      <c r="BD47" s="1279" t="str">
        <f t="shared" si="14"/>
        <v/>
      </c>
      <c r="BE47" s="1280" t="str">
        <f t="shared" si="14"/>
        <v/>
      </c>
      <c r="BF47" s="1280" t="str">
        <f t="shared" si="14"/>
        <v/>
      </c>
      <c r="BG47" s="1280" t="str">
        <f t="shared" si="14"/>
        <v/>
      </c>
      <c r="BH47" s="1281" t="str">
        <f t="shared" si="14"/>
        <v/>
      </c>
      <c r="BI47" s="1282" t="str">
        <f t="shared" si="14"/>
        <v/>
      </c>
      <c r="BJ47" s="1282" t="str">
        <f>IF($F47="Yes",IF(AA47="","",AA47*$J47),"")</f>
        <v/>
      </c>
      <c r="BK47" s="602"/>
      <c r="BL47" s="602"/>
      <c r="BM47" s="602"/>
      <c r="BN47" s="602"/>
      <c r="BO47" s="602"/>
    </row>
    <row r="48" spans="2:67" outlineLevel="2" x14ac:dyDescent="0.2">
      <c r="B48" s="200" t="s">
        <v>1604</v>
      </c>
      <c r="C48" s="201"/>
      <c r="D48" s="262">
        <f>K48</f>
        <v>0</v>
      </c>
      <c r="E48" s="265">
        <f>D48*12/44</f>
        <v>0</v>
      </c>
      <c r="F48" s="525"/>
      <c r="G48" s="188"/>
      <c r="H48" s="273">
        <f>VLOOKUP($B48,'Emissions factors'!$B$1765:$D$1817,2,FALSE)</f>
        <v>52</v>
      </c>
      <c r="I48" s="190"/>
      <c r="J48" s="188"/>
      <c r="K48" s="211">
        <f>IF(J48=0,0,G48*H48*(1+I48)/J48)</f>
        <v>0</v>
      </c>
      <c r="L48" s="42"/>
      <c r="P48" s="42"/>
      <c r="Y48" s="282">
        <f>VLOOKUP($B48,'Emissions factors'!$B$1765:$D$1817,3,FALSE)</f>
        <v>0.2</v>
      </c>
      <c r="Z48" s="189"/>
      <c r="AA48" s="211">
        <f>K48*SQRT(Y48^2+Z48^2)</f>
        <v>0</v>
      </c>
      <c r="AF48" s="190"/>
      <c r="AG48" s="210">
        <f>AF48*K48</f>
        <v>0</v>
      </c>
      <c r="AH48" s="190"/>
      <c r="AI48" s="211">
        <f>AH48*K48</f>
        <v>0</v>
      </c>
      <c r="AP48" s="40"/>
      <c r="AQ48" s="717"/>
      <c r="AR48" s="718"/>
      <c r="AS48" s="718"/>
      <c r="AT48" s="718"/>
      <c r="AU48" s="720">
        <f>K48</f>
        <v>0</v>
      </c>
      <c r="AV48" s="748"/>
      <c r="BD48" s="1279" t="str">
        <f t="shared" si="14"/>
        <v/>
      </c>
      <c r="BE48" s="1280" t="str">
        <f t="shared" si="14"/>
        <v/>
      </c>
      <c r="BF48" s="1280" t="str">
        <f t="shared" si="14"/>
        <v/>
      </c>
      <c r="BG48" s="1280" t="str">
        <f t="shared" si="14"/>
        <v/>
      </c>
      <c r="BH48" s="1281" t="str">
        <f t="shared" si="14"/>
        <v/>
      </c>
      <c r="BI48" s="1282" t="str">
        <f t="shared" si="14"/>
        <v/>
      </c>
      <c r="BJ48" s="1282" t="str">
        <f>IF($F48="Yes",IF(AA48="","",AA48*$J48),"")</f>
        <v/>
      </c>
      <c r="BK48" s="602"/>
      <c r="BL48" s="602"/>
      <c r="BM48" s="602"/>
      <c r="BN48" s="602"/>
      <c r="BO48" s="602"/>
    </row>
    <row r="49" spans="2:67" outlineLevel="2" x14ac:dyDescent="0.2">
      <c r="B49" s="213"/>
      <c r="C49" s="214"/>
      <c r="D49" s="275"/>
      <c r="E49" s="268"/>
      <c r="F49" s="214"/>
      <c r="G49" s="214"/>
      <c r="H49" s="214"/>
      <c r="I49" s="214"/>
      <c r="J49" s="214"/>
      <c r="K49" s="466"/>
      <c r="L49" s="42"/>
      <c r="P49" s="42"/>
      <c r="Y49" s="220"/>
      <c r="Z49" s="201"/>
      <c r="AA49" s="544"/>
      <c r="AF49" s="213"/>
      <c r="AG49" s="413"/>
      <c r="AH49" s="214"/>
      <c r="AI49" s="466"/>
      <c r="AP49" s="40"/>
      <c r="AQ49" s="717"/>
      <c r="AR49" s="718"/>
      <c r="AS49" s="718"/>
      <c r="AT49" s="718"/>
      <c r="AU49" s="720"/>
      <c r="AV49" s="749"/>
      <c r="BD49" s="1279" t="str">
        <f t="shared" si="14"/>
        <v/>
      </c>
      <c r="BE49" s="1280" t="str">
        <f t="shared" si="14"/>
        <v/>
      </c>
      <c r="BF49" s="1280" t="str">
        <f t="shared" si="14"/>
        <v/>
      </c>
      <c r="BG49" s="1280" t="str">
        <f t="shared" si="14"/>
        <v/>
      </c>
      <c r="BH49" s="1281" t="str">
        <f t="shared" si="14"/>
        <v/>
      </c>
      <c r="BI49" s="1283" t="str">
        <f t="shared" si="14"/>
        <v/>
      </c>
      <c r="BJ49" s="1282" t="str">
        <f>IF($F49="Yes",IF(AA49="","",AA49*$J49),"")</f>
        <v/>
      </c>
      <c r="BK49" s="602"/>
      <c r="BL49" s="602"/>
      <c r="BM49" s="602"/>
      <c r="BN49" s="602"/>
      <c r="BO49" s="602"/>
    </row>
    <row r="50" spans="2:67" outlineLevel="2" x14ac:dyDescent="0.2">
      <c r="B50" s="253" t="s">
        <v>2828</v>
      </c>
      <c r="C50" s="254"/>
      <c r="D50" s="264">
        <f>SUM(D46:D49)</f>
        <v>0</v>
      </c>
      <c r="E50" s="267">
        <f>SUM(E46:E49)</f>
        <v>0</v>
      </c>
      <c r="F50" s="256"/>
      <c r="G50" s="256"/>
      <c r="H50" s="256"/>
      <c r="I50" s="256"/>
      <c r="J50" s="256"/>
      <c r="K50" s="257">
        <f>SUM(K46:K49)</f>
        <v>0</v>
      </c>
      <c r="L50" s="42"/>
      <c r="P50" s="42"/>
      <c r="Y50" s="258"/>
      <c r="Z50" s="256"/>
      <c r="AA50" s="545">
        <f>SQRT(SUMSQ(AA46:AA49))</f>
        <v>0</v>
      </c>
      <c r="AF50" s="258"/>
      <c r="AG50" s="259">
        <f>SUM(AG46:AG49)</f>
        <v>0</v>
      </c>
      <c r="AH50" s="256"/>
      <c r="AI50" s="257">
        <f>SUM(AI46:AI49)</f>
        <v>0</v>
      </c>
      <c r="AP50" s="40"/>
      <c r="AQ50" s="724">
        <f t="shared" ref="AQ50:AV50" si="15">SUM(AQ46:AQ49)</f>
        <v>0</v>
      </c>
      <c r="AR50" s="725">
        <f t="shared" si="15"/>
        <v>0</v>
      </c>
      <c r="AS50" s="725">
        <f t="shared" si="15"/>
        <v>0</v>
      </c>
      <c r="AT50" s="725">
        <f t="shared" si="15"/>
        <v>0</v>
      </c>
      <c r="AU50" s="727">
        <f t="shared" si="15"/>
        <v>0</v>
      </c>
      <c r="AV50" s="750">
        <f t="shared" si="15"/>
        <v>0</v>
      </c>
      <c r="BD50" s="1284">
        <f t="shared" ref="BD50:BI50" si="16">SUM(BD46:BD49)</f>
        <v>0</v>
      </c>
      <c r="BE50" s="1285">
        <f t="shared" si="16"/>
        <v>0</v>
      </c>
      <c r="BF50" s="1285">
        <f t="shared" si="16"/>
        <v>0</v>
      </c>
      <c r="BG50" s="1285">
        <f t="shared" si="16"/>
        <v>0</v>
      </c>
      <c r="BH50" s="1286">
        <f t="shared" si="16"/>
        <v>0</v>
      </c>
      <c r="BI50" s="1287">
        <f t="shared" si="16"/>
        <v>0</v>
      </c>
      <c r="BJ50" s="1287">
        <f>SUM(BJ45:BJ49)</f>
        <v>0</v>
      </c>
      <c r="BK50" s="602"/>
      <c r="BL50" s="602"/>
      <c r="BM50" s="602"/>
      <c r="BN50" s="602"/>
      <c r="BO50" s="602"/>
    </row>
    <row r="51" spans="2:67" outlineLevel="2" x14ac:dyDescent="0.2">
      <c r="B51" s="42"/>
      <c r="C51" s="42"/>
      <c r="D51" s="42"/>
      <c r="E51" s="42"/>
      <c r="F51" s="42"/>
      <c r="G51" s="42"/>
      <c r="H51" s="42"/>
      <c r="I51" s="42"/>
      <c r="J51" s="42"/>
      <c r="K51" s="42"/>
      <c r="L51" s="42"/>
      <c r="M51" s="42"/>
      <c r="N51" s="42"/>
      <c r="O51" s="42"/>
      <c r="P51" s="42"/>
      <c r="Q51" s="42"/>
      <c r="R51" s="42"/>
      <c r="S51" s="42"/>
      <c r="T51" s="42"/>
      <c r="U51" s="42"/>
      <c r="AP51" s="40"/>
      <c r="BD51" s="602"/>
      <c r="BE51" s="602"/>
      <c r="BF51" s="602"/>
      <c r="BG51" s="602"/>
      <c r="BH51" s="602"/>
      <c r="BI51" s="602"/>
      <c r="BJ51" s="602"/>
      <c r="BK51" s="602"/>
      <c r="BL51" s="602"/>
      <c r="BM51" s="602"/>
      <c r="BN51" s="602"/>
      <c r="BO51" s="602"/>
    </row>
    <row r="52" spans="2:67" ht="13.5" customHeight="1" outlineLevel="2" x14ac:dyDescent="0.2">
      <c r="B52" s="195" t="s">
        <v>2968</v>
      </c>
      <c r="C52" s="196"/>
      <c r="D52" s="500"/>
      <c r="E52" s="500"/>
      <c r="F52" s="196"/>
      <c r="G52" s="196"/>
      <c r="H52" s="196"/>
      <c r="I52" s="198"/>
      <c r="J52" s="198"/>
      <c r="K52" s="198"/>
      <c r="L52" s="199"/>
      <c r="M52" s="42"/>
      <c r="Q52" s="42"/>
      <c r="Y52" s="1746" t="s">
        <v>723</v>
      </c>
      <c r="Z52" s="1747"/>
      <c r="AA52" s="1748"/>
      <c r="AF52" s="1746" t="s">
        <v>2066</v>
      </c>
      <c r="AG52" s="1747"/>
      <c r="AH52" s="1747"/>
      <c r="AI52" s="1748"/>
      <c r="AP52" s="40"/>
      <c r="AQ52" s="1755" t="s">
        <v>2073</v>
      </c>
      <c r="AR52" s="1756"/>
      <c r="AS52" s="1756"/>
      <c r="AT52" s="1756"/>
      <c r="AU52" s="1756"/>
      <c r="AV52" s="1757"/>
      <c r="BD52" s="1843" t="s">
        <v>2719</v>
      </c>
      <c r="BE52" s="1844"/>
      <c r="BF52" s="1844"/>
      <c r="BG52" s="1844"/>
      <c r="BH52" s="1844"/>
      <c r="BI52" s="1844"/>
      <c r="BJ52" s="1845"/>
      <c r="BK52" s="602"/>
      <c r="BL52" s="602"/>
      <c r="BM52" s="602"/>
      <c r="BN52" s="602"/>
      <c r="BO52" s="602"/>
    </row>
    <row r="53" spans="2:67" ht="13.5" customHeight="1" outlineLevel="2" x14ac:dyDescent="0.2">
      <c r="B53" s="417"/>
      <c r="C53" s="225"/>
      <c r="D53" s="503"/>
      <c r="E53" s="503"/>
      <c r="F53" s="225"/>
      <c r="G53" s="225"/>
      <c r="H53" s="225"/>
      <c r="I53" s="201"/>
      <c r="J53" s="201"/>
      <c r="K53" s="201"/>
      <c r="L53" s="203"/>
      <c r="M53" s="42"/>
      <c r="Q53" s="42"/>
      <c r="Y53" s="507"/>
      <c r="Z53" s="504"/>
      <c r="AA53" s="203"/>
      <c r="AF53" s="507"/>
      <c r="AG53" s="504"/>
      <c r="AH53" s="504"/>
      <c r="AI53" s="203"/>
      <c r="AP53" s="40"/>
      <c r="AQ53" s="778"/>
      <c r="AR53" s="779"/>
      <c r="AS53" s="779"/>
      <c r="AT53" s="779"/>
      <c r="AU53" s="741"/>
      <c r="AV53" s="780"/>
      <c r="BD53" s="1270"/>
      <c r="BE53" s="1271"/>
      <c r="BF53" s="1271"/>
      <c r="BG53" s="1271"/>
      <c r="BH53" s="1272"/>
      <c r="BI53" s="1273"/>
      <c r="BJ53" s="1273"/>
      <c r="BK53" s="602"/>
      <c r="BL53" s="602"/>
      <c r="BM53" s="602"/>
      <c r="BN53" s="602"/>
      <c r="BO53" s="602"/>
    </row>
    <row r="54" spans="2:67" outlineLevel="2" x14ac:dyDescent="0.2">
      <c r="B54" s="200"/>
      <c r="C54" s="201"/>
      <c r="D54" s="504" t="s">
        <v>56</v>
      </c>
      <c r="E54" s="504" t="s">
        <v>56</v>
      </c>
      <c r="F54" s="205" t="s">
        <v>2712</v>
      </c>
      <c r="G54" s="205" t="s">
        <v>11</v>
      </c>
      <c r="H54" s="205" t="s">
        <v>2600</v>
      </c>
      <c r="I54" s="504" t="s">
        <v>61</v>
      </c>
      <c r="J54" s="205" t="s">
        <v>2603</v>
      </c>
      <c r="K54" s="205" t="s">
        <v>2715</v>
      </c>
      <c r="L54" s="509" t="s">
        <v>61</v>
      </c>
      <c r="M54" s="42"/>
      <c r="Q54" s="32"/>
      <c r="Y54" s="1638" t="s">
        <v>2605</v>
      </c>
      <c r="Z54" s="504" t="s">
        <v>2110</v>
      </c>
      <c r="AA54" s="509" t="s">
        <v>61</v>
      </c>
      <c r="AF54" s="507" t="s">
        <v>2065</v>
      </c>
      <c r="AG54" s="503" t="s">
        <v>61</v>
      </c>
      <c r="AH54" s="504" t="s">
        <v>2558</v>
      </c>
      <c r="AI54" s="509" t="s">
        <v>61</v>
      </c>
      <c r="AP54" s="40"/>
      <c r="AQ54" s="1739" t="s">
        <v>61</v>
      </c>
      <c r="AR54" s="1740"/>
      <c r="AS54" s="1740"/>
      <c r="AT54" s="1740"/>
      <c r="AU54" s="741" t="s">
        <v>61</v>
      </c>
      <c r="AV54" s="742"/>
      <c r="BD54" s="1846" t="s">
        <v>61</v>
      </c>
      <c r="BE54" s="1847"/>
      <c r="BF54" s="1847"/>
      <c r="BG54" s="1847"/>
      <c r="BH54" s="1272" t="s">
        <v>61</v>
      </c>
      <c r="BI54" s="1274"/>
      <c r="BJ54" s="1278" t="s">
        <v>723</v>
      </c>
      <c r="BK54" s="602"/>
      <c r="BL54" s="602"/>
      <c r="BM54" s="602"/>
      <c r="BN54" s="602"/>
      <c r="BO54" s="602"/>
    </row>
    <row r="55" spans="2:67" outlineLevel="2" x14ac:dyDescent="0.2">
      <c r="B55" s="507"/>
      <c r="C55" s="504"/>
      <c r="D55" s="504" t="s">
        <v>61</v>
      </c>
      <c r="E55" s="504" t="s">
        <v>63</v>
      </c>
      <c r="F55" s="208" t="s">
        <v>2713</v>
      </c>
      <c r="G55" s="208" t="s">
        <v>2601</v>
      </c>
      <c r="H55" s="208" t="s">
        <v>2602</v>
      </c>
      <c r="I55" s="504" t="s">
        <v>2058</v>
      </c>
      <c r="J55" s="208" t="s">
        <v>2720</v>
      </c>
      <c r="K55" s="208" t="s">
        <v>2716</v>
      </c>
      <c r="L55" s="509"/>
      <c r="M55" s="32"/>
      <c r="Q55" s="32"/>
      <c r="Y55" s="1638" t="s">
        <v>2063</v>
      </c>
      <c r="Z55" s="504"/>
      <c r="AA55" s="509"/>
      <c r="AF55" s="507"/>
      <c r="AG55" s="503"/>
      <c r="AH55" s="504"/>
      <c r="AI55" s="509"/>
      <c r="AP55" s="40"/>
      <c r="AQ55" s="744" t="s">
        <v>14</v>
      </c>
      <c r="AR55" s="745" t="s">
        <v>60</v>
      </c>
      <c r="AS55" s="745" t="s">
        <v>27</v>
      </c>
      <c r="AT55" s="745" t="s">
        <v>2074</v>
      </c>
      <c r="AU55" s="746" t="s">
        <v>41</v>
      </c>
      <c r="AV55" s="747" t="s">
        <v>85</v>
      </c>
      <c r="BD55" s="1275" t="s">
        <v>14</v>
      </c>
      <c r="BE55" s="1276" t="s">
        <v>60</v>
      </c>
      <c r="BF55" s="1276" t="s">
        <v>27</v>
      </c>
      <c r="BG55" s="1276" t="s">
        <v>2074</v>
      </c>
      <c r="BH55" s="1277" t="s">
        <v>41</v>
      </c>
      <c r="BI55" s="1278" t="s">
        <v>85</v>
      </c>
      <c r="BJ55" s="1278" t="s">
        <v>61</v>
      </c>
      <c r="BK55" s="602"/>
      <c r="BL55" s="602"/>
      <c r="BM55" s="602"/>
      <c r="BN55" s="602"/>
      <c r="BO55" s="602"/>
    </row>
    <row r="56" spans="2:67" outlineLevel="2" x14ac:dyDescent="0.2">
      <c r="B56" s="200" t="s">
        <v>159</v>
      </c>
      <c r="C56" s="201"/>
      <c r="D56" s="262">
        <f>L56</f>
        <v>0</v>
      </c>
      <c r="E56" s="265">
        <f>D56*12/44</f>
        <v>0</v>
      </c>
      <c r="F56" s="523"/>
      <c r="G56" s="182"/>
      <c r="H56" s="436"/>
      <c r="I56" s="273">
        <f>VLOOKUP($B56,'Emissions factors'!$B$1692:$D$1699,2,FALSE)*(1-H56)+VLOOKUP($B56,'Emissions factors'!$B$1692:$D$1699,3,FALSE)*H56</f>
        <v>9830</v>
      </c>
      <c r="J56" s="184"/>
      <c r="K56" s="673"/>
      <c r="L56" s="211">
        <f>IF(K56=0,0,(G56*I56*(1+J56))/K56)</f>
        <v>0</v>
      </c>
      <c r="Q56" s="314"/>
      <c r="Y56" s="282">
        <f>VLOOKUP($B56,'Emissions factors'!$B$1692:$E$1699,4,FALSE)</f>
        <v>0.3</v>
      </c>
      <c r="Z56" s="183"/>
      <c r="AA56" s="211">
        <f>L56*SQRT(Y56^2+Z56^2)</f>
        <v>0</v>
      </c>
      <c r="AF56" s="184"/>
      <c r="AG56" s="210">
        <f>L56*AF56</f>
        <v>0</v>
      </c>
      <c r="AH56" s="184"/>
      <c r="AI56" s="211">
        <f>L56*AH56</f>
        <v>0</v>
      </c>
      <c r="AP56" s="40"/>
      <c r="AQ56" s="717"/>
      <c r="AR56" s="718"/>
      <c r="AS56" s="718"/>
      <c r="AT56" s="718"/>
      <c r="AU56" s="720">
        <f>L56</f>
        <v>0</v>
      </c>
      <c r="AV56" s="748"/>
      <c r="BD56" s="1279" t="str">
        <f t="shared" ref="BD56:BI59" si="17">IF($F56="Yes",IF(AQ56="","",AQ56*$K56),"")</f>
        <v/>
      </c>
      <c r="BE56" s="1280" t="str">
        <f t="shared" si="17"/>
        <v/>
      </c>
      <c r="BF56" s="1280" t="str">
        <f t="shared" si="17"/>
        <v/>
      </c>
      <c r="BG56" s="1280" t="str">
        <f t="shared" si="17"/>
        <v/>
      </c>
      <c r="BH56" s="1281" t="str">
        <f t="shared" si="17"/>
        <v/>
      </c>
      <c r="BI56" s="1282" t="str">
        <f t="shared" si="17"/>
        <v/>
      </c>
      <c r="BJ56" s="1282" t="str">
        <f>IF($F56="Yes",IF(AA56="","",AA56*$K56),"")</f>
        <v/>
      </c>
      <c r="BK56" s="602"/>
      <c r="BL56" s="602"/>
      <c r="BM56" s="602"/>
      <c r="BN56" s="602"/>
      <c r="BO56" s="602"/>
    </row>
    <row r="57" spans="2:67" outlineLevel="2" x14ac:dyDescent="0.2">
      <c r="B57" s="200" t="s">
        <v>1526</v>
      </c>
      <c r="C57" s="201"/>
      <c r="D57" s="262">
        <f>L57</f>
        <v>0</v>
      </c>
      <c r="E57" s="265">
        <f>D57*12/44</f>
        <v>0</v>
      </c>
      <c r="F57" s="524"/>
      <c r="G57" s="185"/>
      <c r="H57" s="437"/>
      <c r="I57" s="273">
        <f>VLOOKUP($B57,'Emissions factors'!$B$1692:$D$1699,2,FALSE)*(1-H57)+VLOOKUP($B57,'Emissions factors'!$B$1692:$D$1699,3,FALSE)*H57</f>
        <v>2930</v>
      </c>
      <c r="J57" s="187"/>
      <c r="K57" s="674"/>
      <c r="L57" s="211">
        <f>IF(K57=0,0,(G57*I57*(1+J57))/K57)</f>
        <v>0</v>
      </c>
      <c r="Q57" s="314"/>
      <c r="Y57" s="282">
        <f>VLOOKUP($B57,'Emissions factors'!$B$1692:$E$1699,4,FALSE)</f>
        <v>0.5</v>
      </c>
      <c r="Z57" s="186"/>
      <c r="AA57" s="211">
        <f>L57*SQRT(Y57^2+Z57^2)</f>
        <v>0</v>
      </c>
      <c r="AF57" s="187"/>
      <c r="AG57" s="210">
        <f>L57*AF57</f>
        <v>0</v>
      </c>
      <c r="AH57" s="187"/>
      <c r="AI57" s="211">
        <f>L57*AH57</f>
        <v>0</v>
      </c>
      <c r="AP57" s="40"/>
      <c r="AQ57" s="717"/>
      <c r="AR57" s="718"/>
      <c r="AS57" s="718"/>
      <c r="AT57" s="718"/>
      <c r="AU57" s="720">
        <f>L57</f>
        <v>0</v>
      </c>
      <c r="AV57" s="748"/>
      <c r="BD57" s="1279" t="str">
        <f t="shared" si="17"/>
        <v/>
      </c>
      <c r="BE57" s="1280" t="str">
        <f t="shared" si="17"/>
        <v/>
      </c>
      <c r="BF57" s="1280" t="str">
        <f t="shared" si="17"/>
        <v/>
      </c>
      <c r="BG57" s="1280" t="str">
        <f t="shared" si="17"/>
        <v/>
      </c>
      <c r="BH57" s="1281" t="str">
        <f t="shared" si="17"/>
        <v/>
      </c>
      <c r="BI57" s="1282" t="str">
        <f t="shared" si="17"/>
        <v/>
      </c>
      <c r="BJ57" s="1282" t="str">
        <f>IF($F57="Yes",IF(AA57="","",AA57*$K57),"")</f>
        <v/>
      </c>
      <c r="BK57" s="602"/>
      <c r="BL57" s="602"/>
      <c r="BM57" s="602"/>
      <c r="BN57" s="602"/>
      <c r="BO57" s="602"/>
    </row>
    <row r="58" spans="2:67" outlineLevel="2" x14ac:dyDescent="0.2">
      <c r="B58" s="200" t="s">
        <v>2599</v>
      </c>
      <c r="C58" s="201"/>
      <c r="D58" s="262">
        <f>L58</f>
        <v>0</v>
      </c>
      <c r="E58" s="265">
        <f>D58*12/44</f>
        <v>0</v>
      </c>
      <c r="F58" s="525"/>
      <c r="G58" s="188"/>
      <c r="H58" s="438"/>
      <c r="I58" s="273">
        <f>VLOOKUP($B58,'Emissions factors'!$B$1692:$D$1699,2,FALSE)*(1-H58)+VLOOKUP($B58,'Emissions factors'!$B$1692:$D$1699,3,FALSE)*H58</f>
        <v>2090</v>
      </c>
      <c r="J58" s="190"/>
      <c r="K58" s="675"/>
      <c r="L58" s="211">
        <f>IF(K58=0,0,(G58*I58*(1+J58))/K58)</f>
        <v>0</v>
      </c>
      <c r="Q58" s="314"/>
      <c r="Y58" s="282">
        <f>VLOOKUP($B58,'Emissions factors'!$B$1692:$E$1699,4,FALSE)</f>
        <v>0.3</v>
      </c>
      <c r="Z58" s="189"/>
      <c r="AA58" s="211">
        <f>L58*SQRT(Y58^2+Z58^2)</f>
        <v>0</v>
      </c>
      <c r="AF58" s="190"/>
      <c r="AG58" s="210">
        <f>L58*AF58</f>
        <v>0</v>
      </c>
      <c r="AH58" s="190"/>
      <c r="AI58" s="211">
        <f>L58*AH58</f>
        <v>0</v>
      </c>
      <c r="AP58" s="40"/>
      <c r="AQ58" s="717"/>
      <c r="AR58" s="718"/>
      <c r="AS58" s="718"/>
      <c r="AT58" s="718"/>
      <c r="AU58" s="720">
        <f>L58</f>
        <v>0</v>
      </c>
      <c r="AV58" s="748"/>
      <c r="BD58" s="1279" t="str">
        <f t="shared" si="17"/>
        <v/>
      </c>
      <c r="BE58" s="1280" t="str">
        <f t="shared" si="17"/>
        <v/>
      </c>
      <c r="BF58" s="1280" t="str">
        <f t="shared" si="17"/>
        <v/>
      </c>
      <c r="BG58" s="1280" t="str">
        <f t="shared" si="17"/>
        <v/>
      </c>
      <c r="BH58" s="1281" t="str">
        <f t="shared" si="17"/>
        <v/>
      </c>
      <c r="BI58" s="1282" t="str">
        <f t="shared" si="17"/>
        <v/>
      </c>
      <c r="BJ58" s="1282" t="str">
        <f>IF($F58="Yes",IF(AA58="","",AA58*$K58),"")</f>
        <v/>
      </c>
      <c r="BK58" s="602"/>
      <c r="BL58" s="602"/>
      <c r="BM58" s="602"/>
      <c r="BN58" s="602"/>
      <c r="BO58" s="602"/>
    </row>
    <row r="59" spans="2:67" outlineLevel="2" x14ac:dyDescent="0.2">
      <c r="B59" s="213"/>
      <c r="C59" s="214"/>
      <c r="D59" s="275"/>
      <c r="E59" s="268"/>
      <c r="F59" s="214"/>
      <c r="G59" s="214"/>
      <c r="H59" s="214"/>
      <c r="I59" s="214"/>
      <c r="J59" s="214"/>
      <c r="K59" s="214"/>
      <c r="L59" s="433"/>
      <c r="Y59" s="200"/>
      <c r="Z59" s="201"/>
      <c r="AA59" s="222"/>
      <c r="AF59" s="200"/>
      <c r="AG59" s="504"/>
      <c r="AH59" s="201"/>
      <c r="AI59" s="222"/>
      <c r="AP59" s="40"/>
      <c r="AQ59" s="717"/>
      <c r="AR59" s="718"/>
      <c r="AS59" s="718"/>
      <c r="AT59" s="718"/>
      <c r="AU59" s="720"/>
      <c r="AV59" s="749"/>
      <c r="BD59" s="1279" t="str">
        <f t="shared" si="17"/>
        <v/>
      </c>
      <c r="BE59" s="1280" t="str">
        <f t="shared" si="17"/>
        <v/>
      </c>
      <c r="BF59" s="1280" t="str">
        <f t="shared" si="17"/>
        <v/>
      </c>
      <c r="BG59" s="1280" t="str">
        <f t="shared" si="17"/>
        <v/>
      </c>
      <c r="BH59" s="1281" t="str">
        <f t="shared" si="17"/>
        <v/>
      </c>
      <c r="BI59" s="1283" t="str">
        <f t="shared" si="17"/>
        <v/>
      </c>
      <c r="BJ59" s="1282" t="str">
        <f>IF($F59="Yes",IF(AA59="","",AA59*$K59),"")</f>
        <v/>
      </c>
      <c r="BK59" s="602"/>
      <c r="BL59" s="602"/>
      <c r="BM59" s="602"/>
      <c r="BN59" s="602"/>
      <c r="BO59" s="602"/>
    </row>
    <row r="60" spans="2:67" outlineLevel="2" x14ac:dyDescent="0.2">
      <c r="B60" s="253" t="s">
        <v>2828</v>
      </c>
      <c r="C60" s="254"/>
      <c r="D60" s="264">
        <f>SUM(D56:D59)</f>
        <v>0</v>
      </c>
      <c r="E60" s="267">
        <f>SUM(E56:E59)</f>
        <v>0</v>
      </c>
      <c r="F60" s="254"/>
      <c r="G60" s="254"/>
      <c r="H60" s="254"/>
      <c r="I60" s="254"/>
      <c r="J60" s="254"/>
      <c r="K60" s="254"/>
      <c r="L60" s="257">
        <f>SUM(L56:L59)</f>
        <v>0</v>
      </c>
      <c r="M60" s="42"/>
      <c r="Q60" s="42"/>
      <c r="Y60" s="258"/>
      <c r="Z60" s="256"/>
      <c r="AA60" s="545">
        <f>SQRT(SUMSQ(AA56:AA59))</f>
        <v>0</v>
      </c>
      <c r="AF60" s="258"/>
      <c r="AG60" s="259">
        <f>SUM(AG56:AG59)</f>
        <v>0</v>
      </c>
      <c r="AH60" s="256"/>
      <c r="AI60" s="257">
        <f>SUM(AI56:AI59)</f>
        <v>0</v>
      </c>
      <c r="AP60" s="40"/>
      <c r="AQ60" s="724">
        <f t="shared" ref="AQ60:AV60" si="18">SUM(AQ56:AQ59)</f>
        <v>0</v>
      </c>
      <c r="AR60" s="725">
        <f t="shared" si="18"/>
        <v>0</v>
      </c>
      <c r="AS60" s="725">
        <f t="shared" si="18"/>
        <v>0</v>
      </c>
      <c r="AT60" s="725">
        <f t="shared" si="18"/>
        <v>0</v>
      </c>
      <c r="AU60" s="727">
        <f t="shared" si="18"/>
        <v>0</v>
      </c>
      <c r="AV60" s="750">
        <f t="shared" si="18"/>
        <v>0</v>
      </c>
      <c r="BD60" s="1284">
        <f t="shared" ref="BD60:BI60" si="19">SUM(BD56:BD59)</f>
        <v>0</v>
      </c>
      <c r="BE60" s="1285">
        <f t="shared" si="19"/>
        <v>0</v>
      </c>
      <c r="BF60" s="1285">
        <f t="shared" si="19"/>
        <v>0</v>
      </c>
      <c r="BG60" s="1285">
        <f t="shared" si="19"/>
        <v>0</v>
      </c>
      <c r="BH60" s="1286">
        <f t="shared" si="19"/>
        <v>0</v>
      </c>
      <c r="BI60" s="1287">
        <f t="shared" si="19"/>
        <v>0</v>
      </c>
      <c r="BJ60" s="1287">
        <f>SUM(BJ55:BJ59)</f>
        <v>0</v>
      </c>
      <c r="BK60" s="602"/>
      <c r="BL60" s="602"/>
      <c r="BM60" s="602"/>
      <c r="BN60" s="602"/>
      <c r="BO60" s="602"/>
    </row>
    <row r="61" spans="2:67" outlineLevel="2" x14ac:dyDescent="0.2">
      <c r="AP61" s="40"/>
      <c r="BD61" s="602"/>
      <c r="BE61" s="602"/>
      <c r="BF61" s="602"/>
      <c r="BG61" s="602"/>
      <c r="BH61" s="602"/>
      <c r="BI61" s="602"/>
      <c r="BJ61" s="602"/>
      <c r="BK61" s="602"/>
      <c r="BL61" s="602"/>
      <c r="BM61" s="602"/>
      <c r="BN61" s="602"/>
      <c r="BO61" s="602"/>
    </row>
    <row r="62" spans="2:67" outlineLevel="2" x14ac:dyDescent="0.2">
      <c r="B62" s="195" t="s">
        <v>2970</v>
      </c>
      <c r="C62" s="196"/>
      <c r="D62" s="500"/>
      <c r="E62" s="500"/>
      <c r="F62" s="196"/>
      <c r="G62" s="196"/>
      <c r="H62" s="196"/>
      <c r="I62" s="198"/>
      <c r="J62" s="198"/>
      <c r="K62" s="198"/>
      <c r="L62" s="199"/>
      <c r="Y62" s="1746" t="s">
        <v>723</v>
      </c>
      <c r="Z62" s="1747"/>
      <c r="AA62" s="1748"/>
      <c r="AF62" s="1746" t="s">
        <v>2066</v>
      </c>
      <c r="AG62" s="1747"/>
      <c r="AH62" s="1747"/>
      <c r="AI62" s="1748"/>
      <c r="AP62" s="40"/>
      <c r="AQ62" s="1755" t="s">
        <v>2073</v>
      </c>
      <c r="AR62" s="1756"/>
      <c r="AS62" s="1756"/>
      <c r="AT62" s="1756"/>
      <c r="AU62" s="1756"/>
      <c r="AV62" s="1757"/>
      <c r="BD62" s="1843" t="s">
        <v>2719</v>
      </c>
      <c r="BE62" s="1844"/>
      <c r="BF62" s="1844"/>
      <c r="BG62" s="1844"/>
      <c r="BH62" s="1844"/>
      <c r="BI62" s="1844"/>
      <c r="BJ62" s="1845"/>
      <c r="BK62" s="602"/>
      <c r="BL62" s="602"/>
      <c r="BM62" s="602"/>
      <c r="BN62" s="602"/>
      <c r="BO62" s="602"/>
    </row>
    <row r="63" spans="2:67" outlineLevel="2" x14ac:dyDescent="0.2">
      <c r="B63" s="417"/>
      <c r="C63" s="225"/>
      <c r="D63" s="503"/>
      <c r="E63" s="503"/>
      <c r="F63" s="269"/>
      <c r="G63" s="269"/>
      <c r="H63" s="269"/>
      <c r="I63" s="201"/>
      <c r="J63" s="214"/>
      <c r="K63" s="214"/>
      <c r="L63" s="203"/>
      <c r="Y63" s="507"/>
      <c r="Z63" s="504"/>
      <c r="AA63" s="203"/>
      <c r="AF63" s="507"/>
      <c r="AG63" s="504"/>
      <c r="AH63" s="504"/>
      <c r="AI63" s="203"/>
      <c r="AP63" s="40"/>
      <c r="AQ63" s="778"/>
      <c r="AR63" s="779"/>
      <c r="AS63" s="779"/>
      <c r="AT63" s="779"/>
      <c r="AU63" s="741"/>
      <c r="AV63" s="780"/>
      <c r="BD63" s="1270"/>
      <c r="BE63" s="1271"/>
      <c r="BF63" s="1271"/>
      <c r="BG63" s="1271"/>
      <c r="BH63" s="1272"/>
      <c r="BI63" s="1273"/>
      <c r="BJ63" s="1273"/>
      <c r="BK63" s="602"/>
      <c r="BL63" s="602"/>
      <c r="BM63" s="602"/>
      <c r="BN63" s="602"/>
      <c r="BO63" s="602"/>
    </row>
    <row r="64" spans="2:67" outlineLevel="2" x14ac:dyDescent="0.2">
      <c r="B64" s="507"/>
      <c r="C64" s="504"/>
      <c r="D64" s="504" t="s">
        <v>56</v>
      </c>
      <c r="E64" s="504" t="s">
        <v>56</v>
      </c>
      <c r="F64" s="205" t="s">
        <v>2712</v>
      </c>
      <c r="G64" s="205" t="s">
        <v>11</v>
      </c>
      <c r="H64" s="212" t="s">
        <v>2600</v>
      </c>
      <c r="I64" s="212" t="s">
        <v>61</v>
      </c>
      <c r="J64" s="205" t="s">
        <v>2603</v>
      </c>
      <c r="K64" s="212" t="s">
        <v>2715</v>
      </c>
      <c r="L64" s="509" t="s">
        <v>61</v>
      </c>
      <c r="M64" s="32"/>
      <c r="Q64" s="32"/>
      <c r="Y64" s="1638" t="s">
        <v>2605</v>
      </c>
      <c r="Z64" s="504" t="s">
        <v>2110</v>
      </c>
      <c r="AA64" s="509" t="s">
        <v>61</v>
      </c>
      <c r="AF64" s="507" t="s">
        <v>2065</v>
      </c>
      <c r="AG64" s="503" t="s">
        <v>61</v>
      </c>
      <c r="AH64" s="504" t="s">
        <v>2558</v>
      </c>
      <c r="AI64" s="509" t="s">
        <v>61</v>
      </c>
      <c r="AP64" s="40"/>
      <c r="AQ64" s="1739" t="s">
        <v>61</v>
      </c>
      <c r="AR64" s="1740"/>
      <c r="AS64" s="1740"/>
      <c r="AT64" s="1740"/>
      <c r="AU64" s="741" t="s">
        <v>61</v>
      </c>
      <c r="AV64" s="742"/>
      <c r="BD64" s="1846" t="s">
        <v>61</v>
      </c>
      <c r="BE64" s="1847"/>
      <c r="BF64" s="1847"/>
      <c r="BG64" s="1847"/>
      <c r="BH64" s="1272" t="s">
        <v>61</v>
      </c>
      <c r="BI64" s="1274"/>
      <c r="BJ64" s="1278" t="s">
        <v>723</v>
      </c>
      <c r="BK64" s="602"/>
      <c r="BL64" s="602"/>
      <c r="BM64" s="602"/>
      <c r="BN64" s="602"/>
      <c r="BO64" s="602"/>
    </row>
    <row r="65" spans="2:67" outlineLevel="2" x14ac:dyDescent="0.2">
      <c r="B65" s="507"/>
      <c r="C65" s="504"/>
      <c r="D65" s="504" t="s">
        <v>61</v>
      </c>
      <c r="E65" s="504" t="s">
        <v>63</v>
      </c>
      <c r="F65" s="208" t="s">
        <v>2713</v>
      </c>
      <c r="G65" s="208" t="s">
        <v>2601</v>
      </c>
      <c r="H65" s="208" t="s">
        <v>2602</v>
      </c>
      <c r="I65" s="504" t="s">
        <v>2058</v>
      </c>
      <c r="J65" s="208" t="s">
        <v>2720</v>
      </c>
      <c r="K65" s="208" t="s">
        <v>2716</v>
      </c>
      <c r="L65" s="509"/>
      <c r="M65" s="32"/>
      <c r="Q65" s="32"/>
      <c r="Y65" s="1638" t="s">
        <v>2063</v>
      </c>
      <c r="Z65" s="504"/>
      <c r="AA65" s="509"/>
      <c r="AF65" s="507"/>
      <c r="AG65" s="503"/>
      <c r="AH65" s="504"/>
      <c r="AI65" s="509"/>
      <c r="AP65" s="40"/>
      <c r="AQ65" s="744" t="s">
        <v>14</v>
      </c>
      <c r="AR65" s="745" t="s">
        <v>60</v>
      </c>
      <c r="AS65" s="745" t="s">
        <v>27</v>
      </c>
      <c r="AT65" s="745" t="s">
        <v>2074</v>
      </c>
      <c r="AU65" s="746" t="s">
        <v>41</v>
      </c>
      <c r="AV65" s="747" t="s">
        <v>85</v>
      </c>
      <c r="BD65" s="1275" t="s">
        <v>14</v>
      </c>
      <c r="BE65" s="1276" t="s">
        <v>60</v>
      </c>
      <c r="BF65" s="1276" t="s">
        <v>27</v>
      </c>
      <c r="BG65" s="1276" t="s">
        <v>2074</v>
      </c>
      <c r="BH65" s="1277" t="s">
        <v>41</v>
      </c>
      <c r="BI65" s="1278" t="s">
        <v>85</v>
      </c>
      <c r="BJ65" s="1278" t="s">
        <v>61</v>
      </c>
      <c r="BK65" s="602"/>
      <c r="BL65" s="602"/>
      <c r="BM65" s="602"/>
      <c r="BN65" s="602"/>
      <c r="BO65" s="602"/>
    </row>
    <row r="66" spans="2:67" outlineLevel="2" x14ac:dyDescent="0.2">
      <c r="B66" s="200" t="s">
        <v>1543</v>
      </c>
      <c r="C66" s="201"/>
      <c r="D66" s="262">
        <f>L66</f>
        <v>0</v>
      </c>
      <c r="E66" s="265">
        <f>D66*12/44</f>
        <v>0</v>
      </c>
      <c r="F66" s="523"/>
      <c r="G66" s="182"/>
      <c r="H66" s="436"/>
      <c r="I66" s="273">
        <f>VLOOKUP($B66,'Emissions factors'!$B$1719:$E$1730,2,FALSE)*(1-H66)+VLOOKUP($B66,'Emissions factors'!$B$1719:$E$1730,3,FALSE)*H66</f>
        <v>2830</v>
      </c>
      <c r="J66" s="184"/>
      <c r="K66" s="673"/>
      <c r="L66" s="211">
        <f>IF(K66=0,0,(G66*I66*(1+J66))/K66)</f>
        <v>0</v>
      </c>
      <c r="Q66" s="314"/>
      <c r="Y66" s="282">
        <f>VLOOKUP(B66,'Emissions factors'!$B$1719:$E$1730,4,FALSE)</f>
        <v>0.2</v>
      </c>
      <c r="Z66" s="183"/>
      <c r="AA66" s="211">
        <f>L66*SQRT(Y66^2+Z66^2)</f>
        <v>0</v>
      </c>
      <c r="AF66" s="184"/>
      <c r="AG66" s="210">
        <f>L66*AF66</f>
        <v>0</v>
      </c>
      <c r="AH66" s="184"/>
      <c r="AI66" s="211">
        <f>L66*AH66</f>
        <v>0</v>
      </c>
      <c r="AP66" s="40"/>
      <c r="AQ66" s="717"/>
      <c r="AR66" s="718"/>
      <c r="AS66" s="718"/>
      <c r="AT66" s="718"/>
      <c r="AU66" s="720">
        <f>L66</f>
        <v>0</v>
      </c>
      <c r="AV66" s="748"/>
      <c r="BD66" s="1279" t="str">
        <f t="shared" ref="BD66:BI69" si="20">IF($F66="Yes",IF(AQ66="","",AQ66*$K66),"")</f>
        <v/>
      </c>
      <c r="BE66" s="1280" t="str">
        <f t="shared" si="20"/>
        <v/>
      </c>
      <c r="BF66" s="1280" t="str">
        <f t="shared" si="20"/>
        <v/>
      </c>
      <c r="BG66" s="1280" t="str">
        <f t="shared" si="20"/>
        <v/>
      </c>
      <c r="BH66" s="1281" t="str">
        <f t="shared" si="20"/>
        <v/>
      </c>
      <c r="BI66" s="1282" t="str">
        <f t="shared" si="20"/>
        <v/>
      </c>
      <c r="BJ66" s="1282" t="str">
        <f>IF($F66="Yes",IF(AA66="","",AA66*$K66),"")</f>
        <v/>
      </c>
      <c r="BK66" s="602"/>
      <c r="BL66" s="602"/>
      <c r="BM66" s="602"/>
      <c r="BN66" s="602"/>
      <c r="BO66" s="602"/>
    </row>
    <row r="67" spans="2:67" outlineLevel="2" x14ac:dyDescent="0.2">
      <c r="B67" s="200" t="s">
        <v>160</v>
      </c>
      <c r="C67" s="201"/>
      <c r="D67" s="262">
        <f>L67</f>
        <v>0</v>
      </c>
      <c r="E67" s="265">
        <f>D67*12/44</f>
        <v>0</v>
      </c>
      <c r="F67" s="524"/>
      <c r="G67" s="185"/>
      <c r="H67" s="437"/>
      <c r="I67" s="273">
        <f>VLOOKUP($B67,'Emissions factors'!$B$1719:$E$1730,2,FALSE)*(1-H67)+VLOOKUP($B67,'Emissions factors'!$B$1719:$E$1730,3,FALSE)*H67</f>
        <v>3270</v>
      </c>
      <c r="J67" s="187"/>
      <c r="K67" s="674"/>
      <c r="L67" s="211">
        <f>IF(K67=0,0,(G67*I67*(1+J67))/K67)</f>
        <v>0</v>
      </c>
      <c r="Q67" s="314"/>
      <c r="Y67" s="282">
        <f>VLOOKUP(B67,'Emissions factors'!$B$1719:$E$1730,4,FALSE)</f>
        <v>0.2</v>
      </c>
      <c r="Z67" s="186"/>
      <c r="AA67" s="211">
        <f>L67*SQRT(Y67^2+Z67^2)</f>
        <v>0</v>
      </c>
      <c r="AF67" s="187"/>
      <c r="AG67" s="210">
        <f>L67*AF67</f>
        <v>0</v>
      </c>
      <c r="AH67" s="187"/>
      <c r="AI67" s="211">
        <f>L67*AH67</f>
        <v>0</v>
      </c>
      <c r="AP67" s="40"/>
      <c r="AQ67" s="717"/>
      <c r="AR67" s="718"/>
      <c r="AS67" s="718"/>
      <c r="AT67" s="718"/>
      <c r="AU67" s="720">
        <f>L67</f>
        <v>0</v>
      </c>
      <c r="AV67" s="748"/>
      <c r="BD67" s="1279" t="str">
        <f t="shared" si="20"/>
        <v/>
      </c>
      <c r="BE67" s="1280" t="str">
        <f t="shared" si="20"/>
        <v/>
      </c>
      <c r="BF67" s="1280" t="str">
        <f t="shared" si="20"/>
        <v/>
      </c>
      <c r="BG67" s="1280" t="str">
        <f t="shared" si="20"/>
        <v/>
      </c>
      <c r="BH67" s="1281" t="str">
        <f t="shared" si="20"/>
        <v/>
      </c>
      <c r="BI67" s="1282" t="str">
        <f t="shared" si="20"/>
        <v/>
      </c>
      <c r="BJ67" s="1282" t="str">
        <f>IF($F67="Yes",IF(AA67="","",AA67*$K67),"")</f>
        <v/>
      </c>
      <c r="BK67" s="602"/>
      <c r="BL67" s="602"/>
      <c r="BM67" s="602"/>
      <c r="BN67" s="602"/>
      <c r="BO67" s="602"/>
    </row>
    <row r="68" spans="2:67" outlineLevel="2" x14ac:dyDescent="0.2">
      <c r="B68" s="200" t="s">
        <v>1542</v>
      </c>
      <c r="C68" s="201"/>
      <c r="D68" s="262">
        <f>L68</f>
        <v>0</v>
      </c>
      <c r="E68" s="265">
        <f>D68*12/44</f>
        <v>0</v>
      </c>
      <c r="F68" s="525"/>
      <c r="G68" s="188"/>
      <c r="H68" s="438"/>
      <c r="I68" s="273">
        <f>VLOOKUP($B68,'Emissions factors'!$B$1719:$E$1730,2,FALSE)*(1-H68)+VLOOKUP($B68,'Emissions factors'!$B$1719:$E$1730,3,FALSE)*H68</f>
        <v>2090</v>
      </c>
      <c r="J68" s="190"/>
      <c r="K68" s="675"/>
      <c r="L68" s="211">
        <f>IF(K68=0,0,(G68*I68*(1+J68))/K68)</f>
        <v>0</v>
      </c>
      <c r="Q68" s="314"/>
      <c r="Y68" s="282">
        <f>VLOOKUP(B68,'Emissions factors'!$B$1719:$E$1730,4,FALSE)</f>
        <v>0.2</v>
      </c>
      <c r="Z68" s="189"/>
      <c r="AA68" s="211">
        <f>L68*SQRT(Y68^2+Z68^2)</f>
        <v>0</v>
      </c>
      <c r="AF68" s="190"/>
      <c r="AG68" s="210">
        <f>L68*AF68</f>
        <v>0</v>
      </c>
      <c r="AH68" s="190"/>
      <c r="AI68" s="211">
        <f>L68*AH68</f>
        <v>0</v>
      </c>
      <c r="AP68" s="40"/>
      <c r="AQ68" s="717"/>
      <c r="AR68" s="718"/>
      <c r="AS68" s="718"/>
      <c r="AT68" s="718"/>
      <c r="AU68" s="720">
        <f>L68</f>
        <v>0</v>
      </c>
      <c r="AV68" s="748"/>
      <c r="BD68" s="1279" t="str">
        <f t="shared" si="20"/>
        <v/>
      </c>
      <c r="BE68" s="1280" t="str">
        <f t="shared" si="20"/>
        <v/>
      </c>
      <c r="BF68" s="1280" t="str">
        <f t="shared" si="20"/>
        <v/>
      </c>
      <c r="BG68" s="1280" t="str">
        <f t="shared" si="20"/>
        <v/>
      </c>
      <c r="BH68" s="1281" t="str">
        <f t="shared" si="20"/>
        <v/>
      </c>
      <c r="BI68" s="1282" t="str">
        <f t="shared" si="20"/>
        <v/>
      </c>
      <c r="BJ68" s="1282" t="str">
        <f>IF($F68="Yes",IF(AA68="","",AA68*$K68),"")</f>
        <v/>
      </c>
      <c r="BK68" s="602"/>
      <c r="BL68" s="602"/>
      <c r="BM68" s="602"/>
      <c r="BN68" s="602"/>
      <c r="BO68" s="602"/>
    </row>
    <row r="69" spans="2:67" outlineLevel="2" x14ac:dyDescent="0.2">
      <c r="B69" s="213"/>
      <c r="C69" s="214"/>
      <c r="D69" s="275"/>
      <c r="E69" s="268"/>
      <c r="F69" s="214"/>
      <c r="G69" s="214"/>
      <c r="H69" s="214"/>
      <c r="I69" s="214"/>
      <c r="J69" s="214"/>
      <c r="K69" s="214"/>
      <c r="L69" s="433"/>
      <c r="Y69" s="200"/>
      <c r="Z69" s="201"/>
      <c r="AA69" s="222"/>
      <c r="AF69" s="200"/>
      <c r="AG69" s="504"/>
      <c r="AH69" s="201"/>
      <c r="AI69" s="222"/>
      <c r="AP69" s="40"/>
      <c r="AQ69" s="717"/>
      <c r="AR69" s="718"/>
      <c r="AS69" s="718"/>
      <c r="AT69" s="718"/>
      <c r="AU69" s="720"/>
      <c r="AV69" s="749"/>
      <c r="BD69" s="1279" t="str">
        <f t="shared" si="20"/>
        <v/>
      </c>
      <c r="BE69" s="1280" t="str">
        <f t="shared" si="20"/>
        <v/>
      </c>
      <c r="BF69" s="1280" t="str">
        <f t="shared" si="20"/>
        <v/>
      </c>
      <c r="BG69" s="1280" t="str">
        <f t="shared" si="20"/>
        <v/>
      </c>
      <c r="BH69" s="1281" t="str">
        <f t="shared" si="20"/>
        <v/>
      </c>
      <c r="BI69" s="1283" t="str">
        <f t="shared" si="20"/>
        <v/>
      </c>
      <c r="BJ69" s="1282" t="str">
        <f>IF($F69="Yes",IF(AA69="","",AA69*$K69),"")</f>
        <v/>
      </c>
      <c r="BK69" s="602"/>
      <c r="BL69" s="602"/>
      <c r="BM69" s="602"/>
      <c r="BN69" s="602"/>
      <c r="BO69" s="602"/>
    </row>
    <row r="70" spans="2:67" outlineLevel="2" x14ac:dyDescent="0.2">
      <c r="B70" s="253" t="s">
        <v>44</v>
      </c>
      <c r="C70" s="254"/>
      <c r="D70" s="264">
        <f>SUM(D66:D69)</f>
        <v>0</v>
      </c>
      <c r="E70" s="267">
        <f>SUM(E66:E69)</f>
        <v>0</v>
      </c>
      <c r="F70" s="254"/>
      <c r="G70" s="254"/>
      <c r="H70" s="254"/>
      <c r="I70" s="254"/>
      <c r="J70" s="254"/>
      <c r="K70" s="254"/>
      <c r="L70" s="257">
        <f>SUM(L66:L69)</f>
        <v>0</v>
      </c>
      <c r="M70" s="42"/>
      <c r="Q70" s="42"/>
      <c r="Y70" s="258"/>
      <c r="Z70" s="256"/>
      <c r="AA70" s="545">
        <f>SQRT(SUMSQ(AA66:AA69))</f>
        <v>0</v>
      </c>
      <c r="AF70" s="258"/>
      <c r="AG70" s="259">
        <f>SUM(AG66:AG69)</f>
        <v>0</v>
      </c>
      <c r="AH70" s="256"/>
      <c r="AI70" s="257">
        <f>SUM(AI66:AI69)</f>
        <v>0</v>
      </c>
      <c r="AP70" s="40"/>
      <c r="AQ70" s="724">
        <f t="shared" ref="AQ70:AV70" si="21">SUM(AQ66:AQ69)</f>
        <v>0</v>
      </c>
      <c r="AR70" s="725">
        <f t="shared" si="21"/>
        <v>0</v>
      </c>
      <c r="AS70" s="725">
        <f t="shared" si="21"/>
        <v>0</v>
      </c>
      <c r="AT70" s="725">
        <f t="shared" si="21"/>
        <v>0</v>
      </c>
      <c r="AU70" s="727">
        <f t="shared" si="21"/>
        <v>0</v>
      </c>
      <c r="AV70" s="750">
        <f t="shared" si="21"/>
        <v>0</v>
      </c>
      <c r="BD70" s="1284">
        <f t="shared" ref="BD70:BI70" si="22">SUM(BD66:BD69)</f>
        <v>0</v>
      </c>
      <c r="BE70" s="1285">
        <f t="shared" si="22"/>
        <v>0</v>
      </c>
      <c r="BF70" s="1285">
        <f t="shared" si="22"/>
        <v>0</v>
      </c>
      <c r="BG70" s="1285">
        <f t="shared" si="22"/>
        <v>0</v>
      </c>
      <c r="BH70" s="1286">
        <f t="shared" si="22"/>
        <v>0</v>
      </c>
      <c r="BI70" s="1287">
        <f t="shared" si="22"/>
        <v>0</v>
      </c>
      <c r="BJ70" s="1287">
        <f>SUM(BJ65:BJ69)</f>
        <v>0</v>
      </c>
      <c r="BK70" s="602"/>
      <c r="BL70" s="602"/>
      <c r="BM70" s="602"/>
      <c r="BN70" s="602"/>
      <c r="BO70" s="602"/>
    </row>
    <row r="71" spans="2:67" outlineLevel="2" x14ac:dyDescent="0.2">
      <c r="L71" s="330"/>
      <c r="AP71" s="40"/>
      <c r="BD71" s="602"/>
      <c r="BE71" s="602"/>
      <c r="BF71" s="602"/>
      <c r="BG71" s="602"/>
      <c r="BH71" s="602"/>
      <c r="BI71" s="602"/>
      <c r="BJ71" s="602"/>
      <c r="BK71" s="602"/>
      <c r="BL71" s="602"/>
      <c r="BM71" s="602"/>
      <c r="BN71" s="602"/>
      <c r="BO71" s="602"/>
    </row>
    <row r="72" spans="2:67" outlineLevel="2" x14ac:dyDescent="0.2">
      <c r="B72" s="195" t="s">
        <v>2969</v>
      </c>
      <c r="C72" s="196"/>
      <c r="D72" s="500"/>
      <c r="E72" s="500"/>
      <c r="F72" s="196"/>
      <c r="G72" s="196"/>
      <c r="H72" s="196"/>
      <c r="I72" s="198"/>
      <c r="J72" s="198"/>
      <c r="K72" s="198"/>
      <c r="L72" s="235"/>
      <c r="Y72" s="1746" t="s">
        <v>723</v>
      </c>
      <c r="Z72" s="1747"/>
      <c r="AA72" s="1748"/>
      <c r="AF72" s="1746" t="s">
        <v>2066</v>
      </c>
      <c r="AG72" s="1747"/>
      <c r="AH72" s="1747"/>
      <c r="AI72" s="1748"/>
      <c r="AP72" s="40"/>
      <c r="AQ72" s="1755" t="s">
        <v>2073</v>
      </c>
      <c r="AR72" s="1756"/>
      <c r="AS72" s="1756"/>
      <c r="AT72" s="1756"/>
      <c r="AU72" s="1756"/>
      <c r="AV72" s="1757"/>
      <c r="BD72" s="1843" t="s">
        <v>2719</v>
      </c>
      <c r="BE72" s="1844"/>
      <c r="BF72" s="1844"/>
      <c r="BG72" s="1844"/>
      <c r="BH72" s="1844"/>
      <c r="BI72" s="1844"/>
      <c r="BJ72" s="1845"/>
      <c r="BK72" s="602"/>
      <c r="BL72" s="602"/>
      <c r="BM72" s="602"/>
      <c r="BN72" s="602"/>
      <c r="BO72" s="602"/>
    </row>
    <row r="73" spans="2:67" outlineLevel="2" x14ac:dyDescent="0.2">
      <c r="B73" s="417"/>
      <c r="C73" s="225"/>
      <c r="D73" s="503"/>
      <c r="E73" s="503"/>
      <c r="F73" s="269"/>
      <c r="G73" s="269"/>
      <c r="H73" s="269"/>
      <c r="I73" s="201"/>
      <c r="J73" s="214"/>
      <c r="K73" s="214"/>
      <c r="L73" s="226"/>
      <c r="Y73" s="507"/>
      <c r="Z73" s="504"/>
      <c r="AA73" s="203"/>
      <c r="AF73" s="507"/>
      <c r="AG73" s="504"/>
      <c r="AH73" s="504"/>
      <c r="AI73" s="203"/>
      <c r="AP73" s="40"/>
      <c r="AQ73" s="778"/>
      <c r="AR73" s="779"/>
      <c r="AS73" s="779"/>
      <c r="AT73" s="779"/>
      <c r="AU73" s="741"/>
      <c r="AV73" s="780"/>
      <c r="BD73" s="1270"/>
      <c r="BE73" s="1271"/>
      <c r="BF73" s="1271"/>
      <c r="BG73" s="1271"/>
      <c r="BH73" s="1272"/>
      <c r="BI73" s="1273"/>
      <c r="BJ73" s="1273"/>
      <c r="BK73" s="602"/>
      <c r="BL73" s="602"/>
      <c r="BM73" s="602"/>
      <c r="BN73" s="602"/>
      <c r="BO73" s="602"/>
    </row>
    <row r="74" spans="2:67" outlineLevel="2" x14ac:dyDescent="0.2">
      <c r="B74" s="507"/>
      <c r="C74" s="504"/>
      <c r="D74" s="504" t="s">
        <v>56</v>
      </c>
      <c r="E74" s="504" t="s">
        <v>56</v>
      </c>
      <c r="F74" s="205" t="s">
        <v>2712</v>
      </c>
      <c r="G74" s="205" t="s">
        <v>11</v>
      </c>
      <c r="H74" s="205" t="s">
        <v>2600</v>
      </c>
      <c r="I74" s="504" t="s">
        <v>61</v>
      </c>
      <c r="J74" s="205" t="s">
        <v>2603</v>
      </c>
      <c r="K74" s="205" t="s">
        <v>2715</v>
      </c>
      <c r="L74" s="509" t="s">
        <v>61</v>
      </c>
      <c r="M74" s="32"/>
      <c r="Q74" s="32"/>
      <c r="Y74" s="1638" t="s">
        <v>2605</v>
      </c>
      <c r="Z74" s="504" t="s">
        <v>2110</v>
      </c>
      <c r="AA74" s="509" t="s">
        <v>61</v>
      </c>
      <c r="AF74" s="507" t="s">
        <v>2065</v>
      </c>
      <c r="AG74" s="503" t="s">
        <v>61</v>
      </c>
      <c r="AH74" s="504" t="s">
        <v>2558</v>
      </c>
      <c r="AI74" s="509" t="s">
        <v>61</v>
      </c>
      <c r="AP74" s="40"/>
      <c r="AQ74" s="1739" t="s">
        <v>61</v>
      </c>
      <c r="AR74" s="1740"/>
      <c r="AS74" s="1740"/>
      <c r="AT74" s="1740"/>
      <c r="AU74" s="741" t="s">
        <v>61</v>
      </c>
      <c r="AV74" s="742"/>
      <c r="BD74" s="1846" t="s">
        <v>61</v>
      </c>
      <c r="BE74" s="1847"/>
      <c r="BF74" s="1847"/>
      <c r="BG74" s="1847"/>
      <c r="BH74" s="1272" t="s">
        <v>61</v>
      </c>
      <c r="BI74" s="1274"/>
      <c r="BJ74" s="1278" t="s">
        <v>723</v>
      </c>
      <c r="BK74" s="602"/>
      <c r="BL74" s="602"/>
      <c r="BM74" s="602"/>
      <c r="BN74" s="602"/>
      <c r="BO74" s="602"/>
    </row>
    <row r="75" spans="2:67" outlineLevel="2" x14ac:dyDescent="0.2">
      <c r="B75" s="507"/>
      <c r="C75" s="504"/>
      <c r="D75" s="504" t="s">
        <v>61</v>
      </c>
      <c r="E75" s="504" t="s">
        <v>63</v>
      </c>
      <c r="F75" s="208" t="s">
        <v>2713</v>
      </c>
      <c r="G75" s="208" t="s">
        <v>2601</v>
      </c>
      <c r="H75" s="208" t="s">
        <v>2602</v>
      </c>
      <c r="I75" s="504" t="s">
        <v>2058</v>
      </c>
      <c r="J75" s="208" t="s">
        <v>2720</v>
      </c>
      <c r="K75" s="208" t="s">
        <v>2716</v>
      </c>
      <c r="L75" s="509"/>
      <c r="M75" s="32"/>
      <c r="Q75" s="32"/>
      <c r="Y75" s="1638" t="s">
        <v>2063</v>
      </c>
      <c r="Z75" s="504"/>
      <c r="AA75" s="509"/>
      <c r="AF75" s="507"/>
      <c r="AG75" s="503"/>
      <c r="AH75" s="504"/>
      <c r="AI75" s="509"/>
      <c r="AP75" s="40"/>
      <c r="AQ75" s="744" t="s">
        <v>14</v>
      </c>
      <c r="AR75" s="745" t="s">
        <v>60</v>
      </c>
      <c r="AS75" s="745" t="s">
        <v>27</v>
      </c>
      <c r="AT75" s="745" t="s">
        <v>2074</v>
      </c>
      <c r="AU75" s="746" t="s">
        <v>41</v>
      </c>
      <c r="AV75" s="747" t="s">
        <v>85</v>
      </c>
      <c r="BD75" s="1275" t="s">
        <v>14</v>
      </c>
      <c r="BE75" s="1276" t="s">
        <v>60</v>
      </c>
      <c r="BF75" s="1276" t="s">
        <v>27</v>
      </c>
      <c r="BG75" s="1276" t="s">
        <v>2074</v>
      </c>
      <c r="BH75" s="1277" t="s">
        <v>41</v>
      </c>
      <c r="BI75" s="1278" t="s">
        <v>85</v>
      </c>
      <c r="BJ75" s="1278" t="s">
        <v>61</v>
      </c>
      <c r="BK75" s="602"/>
      <c r="BL75" s="602"/>
      <c r="BM75" s="602"/>
      <c r="BN75" s="602"/>
      <c r="BO75" s="602"/>
    </row>
    <row r="76" spans="2:67" outlineLevel="2" x14ac:dyDescent="0.2">
      <c r="B76" s="236" t="s">
        <v>1534</v>
      </c>
      <c r="C76" s="237"/>
      <c r="D76" s="262">
        <f>L76</f>
        <v>0</v>
      </c>
      <c r="E76" s="265">
        <f>D76*12/44</f>
        <v>0</v>
      </c>
      <c r="F76" s="523"/>
      <c r="G76" s="182"/>
      <c r="H76" s="436"/>
      <c r="I76" s="273">
        <f>VLOOKUP($B76,'Emissions factors'!$B$1704:$E$1714,2,FALSE)*(1-H76)+VLOOKUP($B76,'Emissions factors'!$B$1704:$E$1714,3,FALSE)*H76</f>
        <v>3670</v>
      </c>
      <c r="J76" s="184"/>
      <c r="K76" s="673"/>
      <c r="L76" s="211">
        <f>IF(K76=0,0,(G76*I76*(1+J76))/K76)</f>
        <v>0</v>
      </c>
      <c r="Q76" s="314"/>
      <c r="Y76" s="282">
        <f>VLOOKUP(B76,'Emissions factors'!$B$1704:$E$1714,4,FALSE)</f>
        <v>0.2</v>
      </c>
      <c r="Z76" s="183"/>
      <c r="AA76" s="211">
        <f>L76*SQRT(Y76^2+Z76^2)</f>
        <v>0</v>
      </c>
      <c r="AF76" s="184"/>
      <c r="AG76" s="210">
        <f>L76*AF76</f>
        <v>0</v>
      </c>
      <c r="AH76" s="184"/>
      <c r="AI76" s="211">
        <f>L76*AH76</f>
        <v>0</v>
      </c>
      <c r="AP76" s="40"/>
      <c r="AQ76" s="717"/>
      <c r="AR76" s="718"/>
      <c r="AS76" s="718"/>
      <c r="AT76" s="718"/>
      <c r="AU76" s="720">
        <f>L76</f>
        <v>0</v>
      </c>
      <c r="AV76" s="748"/>
      <c r="BD76" s="1279" t="str">
        <f t="shared" ref="BD76:BI79" si="23">IF($F76="Yes",IF(AQ76="","",AQ76*$K76),"")</f>
        <v/>
      </c>
      <c r="BE76" s="1280" t="str">
        <f t="shared" si="23"/>
        <v/>
      </c>
      <c r="BF76" s="1280" t="str">
        <f t="shared" si="23"/>
        <v/>
      </c>
      <c r="BG76" s="1280" t="str">
        <f t="shared" si="23"/>
        <v/>
      </c>
      <c r="BH76" s="1281" t="str">
        <f t="shared" si="23"/>
        <v/>
      </c>
      <c r="BI76" s="1282" t="str">
        <f t="shared" si="23"/>
        <v/>
      </c>
      <c r="BJ76" s="1282" t="str">
        <f>IF($F76="Yes",IF(AA76="","",AA76*$K76),"")</f>
        <v/>
      </c>
      <c r="BK76" s="602"/>
      <c r="BL76" s="602"/>
      <c r="BM76" s="602"/>
      <c r="BN76" s="602"/>
      <c r="BO76" s="602"/>
    </row>
    <row r="77" spans="2:67" outlineLevel="2" x14ac:dyDescent="0.2">
      <c r="B77" s="236" t="s">
        <v>1532</v>
      </c>
      <c r="C77" s="237"/>
      <c r="D77" s="262">
        <f>L77</f>
        <v>0</v>
      </c>
      <c r="E77" s="265">
        <f>D77*12/44</f>
        <v>0</v>
      </c>
      <c r="F77" s="524"/>
      <c r="G77" s="185"/>
      <c r="H77" s="437"/>
      <c r="I77" s="273">
        <f>VLOOKUP($B77,'Emissions factors'!$B$1704:$E$1714,2,FALSE)*(1-H77)+VLOOKUP($B77,'Emissions factors'!$B$1704:$E$1714,3,FALSE)*H77</f>
        <v>1519</v>
      </c>
      <c r="J77" s="187"/>
      <c r="K77" s="674"/>
      <c r="L77" s="211">
        <f>IF(K77=0,0,(G77*I77*(1+J77))/K77)</f>
        <v>0</v>
      </c>
      <c r="Q77" s="314"/>
      <c r="Y77" s="282">
        <f>VLOOKUP(B77,'Emissions factors'!$B$1704:$E$1714,4,FALSE)</f>
        <v>0.2</v>
      </c>
      <c r="Z77" s="186"/>
      <c r="AA77" s="211">
        <f>L77*SQRT(Y77^2+Z77^2)</f>
        <v>0</v>
      </c>
      <c r="AF77" s="187"/>
      <c r="AG77" s="210">
        <f>L77*AF77</f>
        <v>0</v>
      </c>
      <c r="AH77" s="187"/>
      <c r="AI77" s="211">
        <f>L77*AH77</f>
        <v>0</v>
      </c>
      <c r="AP77" s="40"/>
      <c r="AQ77" s="717"/>
      <c r="AR77" s="718"/>
      <c r="AS77" s="718"/>
      <c r="AT77" s="718"/>
      <c r="AU77" s="720">
        <f>L77</f>
        <v>0</v>
      </c>
      <c r="AV77" s="748"/>
      <c r="BD77" s="1279" t="str">
        <f t="shared" si="23"/>
        <v/>
      </c>
      <c r="BE77" s="1280" t="str">
        <f t="shared" si="23"/>
        <v/>
      </c>
      <c r="BF77" s="1280" t="str">
        <f t="shared" si="23"/>
        <v/>
      </c>
      <c r="BG77" s="1280" t="str">
        <f t="shared" si="23"/>
        <v/>
      </c>
      <c r="BH77" s="1281" t="str">
        <f t="shared" si="23"/>
        <v/>
      </c>
      <c r="BI77" s="1282" t="str">
        <f t="shared" si="23"/>
        <v/>
      </c>
      <c r="BJ77" s="1282" t="str">
        <f>IF($F77="Yes",IF(AA77="","",AA77*$K77),"")</f>
        <v/>
      </c>
      <c r="BK77" s="602"/>
      <c r="BL77" s="602"/>
      <c r="BM77" s="602"/>
      <c r="BN77" s="602"/>
      <c r="BO77" s="602"/>
    </row>
    <row r="78" spans="2:67" outlineLevel="2" x14ac:dyDescent="0.2">
      <c r="B78" s="236" t="s">
        <v>1533</v>
      </c>
      <c r="C78" s="237"/>
      <c r="D78" s="262">
        <f>L78</f>
        <v>0</v>
      </c>
      <c r="E78" s="265">
        <f>D78*12/44</f>
        <v>0</v>
      </c>
      <c r="F78" s="525"/>
      <c r="G78" s="188"/>
      <c r="H78" s="438"/>
      <c r="I78" s="273">
        <f>VLOOKUP($B78,'Emissions factors'!$B$1704:$E$1714,2,FALSE)*(1-H78)+VLOOKUP($B78,'Emissions factors'!$B$1704:$E$1714,3,FALSE)*H78</f>
        <v>1027</v>
      </c>
      <c r="J78" s="190"/>
      <c r="K78" s="675"/>
      <c r="L78" s="211">
        <f>IF(K78=0,0,(G78*I78*(1+J78))/K78)</f>
        <v>0</v>
      </c>
      <c r="Q78" s="314"/>
      <c r="Y78" s="282">
        <f>VLOOKUP(B78,'Emissions factors'!$B$1704:$E$1714,4,FALSE)</f>
        <v>0.2</v>
      </c>
      <c r="Z78" s="189"/>
      <c r="AA78" s="211">
        <f>L78*SQRT(Y78^2+Z78^2)</f>
        <v>0</v>
      </c>
      <c r="AF78" s="190"/>
      <c r="AG78" s="210">
        <f>L78*AF78</f>
        <v>0</v>
      </c>
      <c r="AH78" s="190"/>
      <c r="AI78" s="211">
        <f>L78*AH78</f>
        <v>0</v>
      </c>
      <c r="AP78" s="40"/>
      <c r="AQ78" s="717"/>
      <c r="AR78" s="718"/>
      <c r="AS78" s="718"/>
      <c r="AT78" s="718"/>
      <c r="AU78" s="720">
        <f>L78</f>
        <v>0</v>
      </c>
      <c r="AV78" s="748"/>
      <c r="BD78" s="1279" t="str">
        <f t="shared" si="23"/>
        <v/>
      </c>
      <c r="BE78" s="1280" t="str">
        <f t="shared" si="23"/>
        <v/>
      </c>
      <c r="BF78" s="1280" t="str">
        <f t="shared" si="23"/>
        <v/>
      </c>
      <c r="BG78" s="1280" t="str">
        <f t="shared" si="23"/>
        <v/>
      </c>
      <c r="BH78" s="1281" t="str">
        <f t="shared" si="23"/>
        <v/>
      </c>
      <c r="BI78" s="1282" t="str">
        <f t="shared" si="23"/>
        <v/>
      </c>
      <c r="BJ78" s="1282" t="str">
        <f>IF($F78="Yes",IF(AA78="","",AA78*$K78),"")</f>
        <v/>
      </c>
      <c r="BK78" s="602"/>
      <c r="BL78" s="602"/>
      <c r="BM78" s="602"/>
      <c r="BN78" s="602"/>
      <c r="BO78" s="602"/>
    </row>
    <row r="79" spans="2:67" outlineLevel="2" x14ac:dyDescent="0.2">
      <c r="B79" s="213"/>
      <c r="C79" s="214"/>
      <c r="D79" s="275"/>
      <c r="E79" s="268"/>
      <c r="F79" s="214"/>
      <c r="G79" s="214"/>
      <c r="H79" s="214"/>
      <c r="I79" s="214"/>
      <c r="J79" s="214"/>
      <c r="K79" s="214"/>
      <c r="L79" s="433"/>
      <c r="Y79" s="200"/>
      <c r="Z79" s="201"/>
      <c r="AA79" s="222"/>
      <c r="AF79" s="200"/>
      <c r="AG79" s="504"/>
      <c r="AH79" s="201"/>
      <c r="AI79" s="222"/>
      <c r="AP79" s="40"/>
      <c r="AQ79" s="717"/>
      <c r="AR79" s="718"/>
      <c r="AS79" s="718"/>
      <c r="AT79" s="718"/>
      <c r="AU79" s="720"/>
      <c r="AV79" s="749"/>
      <c r="BD79" s="1279" t="str">
        <f t="shared" si="23"/>
        <v/>
      </c>
      <c r="BE79" s="1280" t="str">
        <f t="shared" si="23"/>
        <v/>
      </c>
      <c r="BF79" s="1280" t="str">
        <f t="shared" si="23"/>
        <v/>
      </c>
      <c r="BG79" s="1280" t="str">
        <f t="shared" si="23"/>
        <v/>
      </c>
      <c r="BH79" s="1281" t="str">
        <f t="shared" si="23"/>
        <v/>
      </c>
      <c r="BI79" s="1283" t="str">
        <f t="shared" si="23"/>
        <v/>
      </c>
      <c r="BJ79" s="1282" t="str">
        <f>IF($F79="Yes",IF(AA79="","",AA79*$K79),"")</f>
        <v/>
      </c>
      <c r="BK79" s="602"/>
      <c r="BL79" s="602"/>
      <c r="BM79" s="602"/>
      <c r="BN79" s="602"/>
      <c r="BO79" s="602"/>
    </row>
    <row r="80" spans="2:67" outlineLevel="2" x14ac:dyDescent="0.2">
      <c r="B80" s="253" t="s">
        <v>44</v>
      </c>
      <c r="C80" s="254"/>
      <c r="D80" s="264">
        <f>SUM(D76:D79)</f>
        <v>0</v>
      </c>
      <c r="E80" s="267">
        <f>SUM(E76:E79)</f>
        <v>0</v>
      </c>
      <c r="F80" s="254"/>
      <c r="G80" s="254"/>
      <c r="H80" s="254"/>
      <c r="I80" s="254"/>
      <c r="J80" s="254"/>
      <c r="K80" s="254"/>
      <c r="L80" s="257">
        <f>SUM(L76:L79)</f>
        <v>0</v>
      </c>
      <c r="M80" s="42"/>
      <c r="Q80" s="42"/>
      <c r="Y80" s="258"/>
      <c r="Z80" s="256"/>
      <c r="AA80" s="545">
        <f>SQRT(SUMSQ(AA76:AA79))</f>
        <v>0</v>
      </c>
      <c r="AF80" s="258"/>
      <c r="AG80" s="259">
        <f>SUM(AG76:AG79)</f>
        <v>0</v>
      </c>
      <c r="AH80" s="256"/>
      <c r="AI80" s="257">
        <f>SUM(AI76:AI79)</f>
        <v>0</v>
      </c>
      <c r="AP80" s="40"/>
      <c r="AQ80" s="724">
        <f t="shared" ref="AQ80:AV80" si="24">SUM(AQ76:AQ79)</f>
        <v>0</v>
      </c>
      <c r="AR80" s="725">
        <f t="shared" si="24"/>
        <v>0</v>
      </c>
      <c r="AS80" s="725">
        <f t="shared" si="24"/>
        <v>0</v>
      </c>
      <c r="AT80" s="725">
        <f t="shared" si="24"/>
        <v>0</v>
      </c>
      <c r="AU80" s="727">
        <f t="shared" si="24"/>
        <v>0</v>
      </c>
      <c r="AV80" s="750">
        <f t="shared" si="24"/>
        <v>0</v>
      </c>
      <c r="BD80" s="1284">
        <f t="shared" ref="BD80:BI80" si="25">SUM(BD76:BD79)</f>
        <v>0</v>
      </c>
      <c r="BE80" s="1285">
        <f t="shared" si="25"/>
        <v>0</v>
      </c>
      <c r="BF80" s="1285">
        <f t="shared" si="25"/>
        <v>0</v>
      </c>
      <c r="BG80" s="1285">
        <f t="shared" si="25"/>
        <v>0</v>
      </c>
      <c r="BH80" s="1286">
        <f t="shared" si="25"/>
        <v>0</v>
      </c>
      <c r="BI80" s="1287">
        <f t="shared" si="25"/>
        <v>0</v>
      </c>
      <c r="BJ80" s="1287">
        <f>SUM(BJ75:BJ79)</f>
        <v>0</v>
      </c>
      <c r="BK80" s="602"/>
      <c r="BL80" s="602"/>
      <c r="BM80" s="602"/>
      <c r="BN80" s="602"/>
      <c r="BO80" s="602"/>
    </row>
    <row r="81" spans="1:69" ht="12" customHeight="1" outlineLevel="2" x14ac:dyDescent="0.2">
      <c r="L81" s="330"/>
      <c r="X81" s="39"/>
      <c r="AP81" s="40"/>
      <c r="BD81" s="602"/>
      <c r="BE81" s="602"/>
      <c r="BF81" s="602"/>
      <c r="BG81" s="602"/>
      <c r="BH81" s="602"/>
      <c r="BI81" s="602"/>
      <c r="BJ81" s="602"/>
      <c r="BK81" s="602"/>
      <c r="BL81" s="602"/>
      <c r="BM81" s="602"/>
      <c r="BN81" s="602"/>
      <c r="BO81" s="602"/>
    </row>
    <row r="82" spans="1:69" ht="12" customHeight="1" outlineLevel="2" x14ac:dyDescent="0.2">
      <c r="B82" s="195" t="s">
        <v>2851</v>
      </c>
      <c r="C82" s="196"/>
      <c r="D82" s="198"/>
      <c r="E82" s="198"/>
      <c r="F82" s="198"/>
      <c r="G82" s="546"/>
      <c r="U82" s="39"/>
      <c r="V82" s="39"/>
      <c r="W82" s="39"/>
      <c r="X82" s="39"/>
      <c r="Y82" s="314"/>
      <c r="AP82" s="40"/>
      <c r="BD82" s="602"/>
      <c r="BE82" s="602"/>
      <c r="BF82" s="602"/>
      <c r="BG82" s="602"/>
      <c r="BH82" s="602"/>
      <c r="BI82" s="602"/>
      <c r="BJ82" s="602"/>
      <c r="BK82" s="602"/>
      <c r="BL82" s="602"/>
      <c r="BM82" s="602"/>
      <c r="BN82" s="602"/>
      <c r="BO82" s="602"/>
    </row>
    <row r="83" spans="1:69" ht="12" customHeight="1" outlineLevel="2" x14ac:dyDescent="0.2">
      <c r="B83" s="200"/>
      <c r="C83" s="201"/>
      <c r="D83" s="205" t="s">
        <v>11</v>
      </c>
      <c r="E83" s="504" t="s">
        <v>64</v>
      </c>
      <c r="F83" s="205" t="s">
        <v>2715</v>
      </c>
      <c r="G83" s="445" t="s">
        <v>61</v>
      </c>
      <c r="U83" s="39"/>
      <c r="V83" s="39"/>
      <c r="W83" s="39"/>
      <c r="X83" s="39"/>
      <c r="Y83" s="314"/>
      <c r="AP83" s="32"/>
      <c r="AQ83" s="743"/>
      <c r="AR83" s="743"/>
      <c r="AS83" s="743"/>
      <c r="AT83" s="743"/>
      <c r="BD83" s="743"/>
      <c r="BE83" s="743"/>
      <c r="BF83" s="743"/>
      <c r="BG83" s="743"/>
      <c r="BH83" s="602"/>
      <c r="BI83" s="602"/>
      <c r="BJ83" s="602"/>
      <c r="BK83" s="602"/>
      <c r="BL83" s="602"/>
      <c r="BM83" s="602"/>
      <c r="BN83" s="602"/>
      <c r="BO83" s="602"/>
    </row>
    <row r="84" spans="1:69" ht="12" customHeight="1" outlineLevel="2" x14ac:dyDescent="0.2">
      <c r="B84" s="507"/>
      <c r="C84" s="504"/>
      <c r="D84" s="208" t="s">
        <v>2601</v>
      </c>
      <c r="E84" s="504" t="s">
        <v>2058</v>
      </c>
      <c r="F84" s="208" t="s">
        <v>2716</v>
      </c>
      <c r="G84" s="445"/>
      <c r="U84" s="39"/>
      <c r="V84" s="39"/>
      <c r="W84" s="39"/>
      <c r="X84" s="39"/>
      <c r="Y84" s="314"/>
      <c r="AP84" s="32"/>
      <c r="AQ84" s="743"/>
      <c r="AR84" s="743"/>
      <c r="AS84" s="743"/>
      <c r="AT84" s="743"/>
      <c r="BD84" s="743"/>
      <c r="BE84" s="743"/>
      <c r="BF84" s="743"/>
      <c r="BG84" s="743"/>
      <c r="BH84" s="602"/>
      <c r="BI84" s="602"/>
      <c r="BJ84" s="602"/>
      <c r="BK84" s="602"/>
      <c r="BL84" s="602"/>
      <c r="BM84" s="602"/>
      <c r="BN84" s="602"/>
      <c r="BO84" s="602"/>
    </row>
    <row r="85" spans="1:69" ht="12" customHeight="1" outlineLevel="2" x14ac:dyDescent="0.2">
      <c r="B85" s="200" t="str">
        <f>'Emissions factors'!$B$1807</f>
        <v>Lumber [1]</v>
      </c>
      <c r="C85" s="201"/>
      <c r="D85" s="547">
        <f>SUMIF(B46:B48,B85,'Beni durevoli'!G46:G48)</f>
        <v>0</v>
      </c>
      <c r="E85" s="446">
        <f>-500*44/12</f>
        <v>-1833.3333333333333</v>
      </c>
      <c r="F85" s="337"/>
      <c r="G85" s="447">
        <f>IF(F85=0,0,(D85*E85)/F85)</f>
        <v>0</v>
      </c>
      <c r="U85" s="39"/>
      <c r="V85" s="39"/>
      <c r="W85" s="39"/>
      <c r="X85" s="39"/>
      <c r="AP85" s="32"/>
      <c r="AQ85" s="743"/>
      <c r="AR85" s="743"/>
      <c r="AS85" s="743"/>
      <c r="AT85" s="743"/>
      <c r="BD85" s="743"/>
      <c r="BE85" s="743"/>
      <c r="BF85" s="743"/>
      <c r="BG85" s="743"/>
      <c r="BH85" s="602"/>
      <c r="BI85" s="602"/>
      <c r="BJ85" s="602"/>
      <c r="BK85" s="602"/>
      <c r="BL85" s="602"/>
      <c r="BM85" s="602"/>
      <c r="BN85" s="602"/>
      <c r="BO85" s="602"/>
    </row>
    <row r="86" spans="1:69" ht="12" customHeight="1" outlineLevel="2" x14ac:dyDescent="0.2">
      <c r="B86" s="213"/>
      <c r="C86" s="214"/>
      <c r="D86" s="214"/>
      <c r="E86" s="214"/>
      <c r="F86" s="214"/>
      <c r="G86" s="449"/>
      <c r="U86" s="39"/>
      <c r="V86" s="39"/>
      <c r="W86" s="39"/>
      <c r="X86" s="39"/>
      <c r="AP86" s="32"/>
      <c r="AQ86" s="743"/>
      <c r="AR86" s="743"/>
      <c r="AS86" s="743"/>
      <c r="AT86" s="743"/>
      <c r="BD86" s="743"/>
      <c r="BE86" s="743"/>
      <c r="BF86" s="743"/>
      <c r="BG86" s="743"/>
      <c r="BH86" s="602"/>
      <c r="BI86" s="602"/>
      <c r="BJ86" s="602"/>
      <c r="BK86" s="602"/>
      <c r="BL86" s="602"/>
      <c r="BM86" s="602"/>
      <c r="BN86" s="602"/>
      <c r="BO86" s="602"/>
    </row>
    <row r="87" spans="1:69" outlineLevel="2" x14ac:dyDescent="0.2">
      <c r="B87" s="253" t="s">
        <v>44</v>
      </c>
      <c r="C87" s="254"/>
      <c r="D87" s="256"/>
      <c r="E87" s="256"/>
      <c r="F87" s="260"/>
      <c r="G87" s="451">
        <f>SUM(G85:G85)</f>
        <v>0</v>
      </c>
      <c r="V87" s="39"/>
      <c r="W87" s="39"/>
      <c r="Y87" s="39"/>
      <c r="AP87" s="40"/>
      <c r="AQ87" s="743"/>
      <c r="AR87" s="743"/>
      <c r="AS87" s="743"/>
      <c r="AT87" s="743"/>
      <c r="AU87" s="743"/>
      <c r="BD87" s="743"/>
      <c r="BE87" s="743"/>
      <c r="BF87" s="743"/>
      <c r="BG87" s="743"/>
      <c r="BH87" s="743"/>
      <c r="BI87" s="602"/>
      <c r="BJ87" s="602"/>
      <c r="BK87" s="602"/>
      <c r="BL87" s="602"/>
      <c r="BM87" s="602"/>
      <c r="BN87" s="602"/>
      <c r="BO87" s="602"/>
    </row>
    <row r="88" spans="1:69" outlineLevel="2" x14ac:dyDescent="0.2">
      <c r="AQ88" s="743"/>
      <c r="AR88" s="743"/>
      <c r="AS88" s="743"/>
      <c r="AT88" s="743"/>
      <c r="AU88" s="743"/>
      <c r="BD88" s="743"/>
      <c r="BE88" s="743"/>
      <c r="BF88" s="743"/>
      <c r="BG88" s="743"/>
      <c r="BH88" s="743"/>
      <c r="BI88" s="602"/>
      <c r="BJ88" s="602"/>
      <c r="BK88" s="602"/>
      <c r="BL88" s="602"/>
      <c r="BM88" s="602"/>
      <c r="BN88" s="602"/>
      <c r="BO88" s="602"/>
    </row>
    <row r="89" spans="1:69" x14ac:dyDescent="0.2">
      <c r="AQ89" s="743"/>
      <c r="AR89" s="743"/>
      <c r="AS89" s="743"/>
      <c r="AT89" s="743"/>
      <c r="AU89" s="743"/>
      <c r="BA89" s="743"/>
      <c r="BC89" s="743"/>
      <c r="BD89" s="743"/>
      <c r="BE89" s="743"/>
      <c r="BF89" s="743"/>
      <c r="BG89" s="743"/>
      <c r="BH89" s="743"/>
      <c r="BI89" s="602"/>
      <c r="BJ89" s="602"/>
      <c r="BK89" s="602"/>
      <c r="BL89" s="602"/>
      <c r="BM89" s="602"/>
      <c r="BN89" s="743"/>
      <c r="BO89" s="602"/>
    </row>
    <row r="90" spans="1:69" ht="16" x14ac:dyDescent="0.2">
      <c r="B90" s="1795" t="s">
        <v>2967</v>
      </c>
      <c r="C90" s="1795"/>
      <c r="D90" s="1795"/>
      <c r="E90" s="1795"/>
      <c r="F90" s="1795"/>
      <c r="G90" s="1795"/>
      <c r="H90" s="1795"/>
      <c r="I90" s="1795"/>
      <c r="J90" s="1795"/>
      <c r="K90" s="1795"/>
      <c r="L90" s="1795"/>
      <c r="M90" s="1795"/>
      <c r="N90" s="1795"/>
      <c r="O90" s="1795"/>
      <c r="BA90" s="743"/>
      <c r="BB90" s="743"/>
      <c r="BC90" s="743"/>
      <c r="BD90" s="602"/>
      <c r="BE90" s="602"/>
      <c r="BF90" s="602"/>
      <c r="BG90" s="602"/>
      <c r="BH90" s="602"/>
      <c r="BI90" s="602"/>
      <c r="BJ90" s="602"/>
      <c r="BK90" s="602"/>
      <c r="BL90" s="602"/>
      <c r="BM90" s="602"/>
      <c r="BN90" s="743"/>
      <c r="BO90" s="743"/>
    </row>
    <row r="91" spans="1:69" outlineLevel="1" x14ac:dyDescent="0.2">
      <c r="W91" s="42"/>
      <c r="BA91" s="743"/>
      <c r="BD91" s="602"/>
      <c r="BE91" s="602"/>
      <c r="BF91" s="602"/>
      <c r="BG91" s="602"/>
      <c r="BH91" s="602"/>
      <c r="BI91" s="602"/>
      <c r="BJ91" s="602"/>
      <c r="BK91" s="602"/>
      <c r="BL91" s="602"/>
      <c r="BM91" s="602"/>
      <c r="BN91" s="743"/>
      <c r="BO91" s="602"/>
    </row>
    <row r="92" spans="1:69" s="32" customFormat="1" outlineLevel="1" x14ac:dyDescent="0.2">
      <c r="A92" s="40"/>
      <c r="B92" s="195" t="s">
        <v>3079</v>
      </c>
      <c r="C92" s="196"/>
      <c r="D92" s="500"/>
      <c r="E92" s="500"/>
      <c r="F92" s="198"/>
      <c r="G92" s="198"/>
      <c r="H92" s="198"/>
      <c r="I92" s="198"/>
      <c r="J92" s="198"/>
      <c r="K92" s="198"/>
      <c r="L92" s="198"/>
      <c r="M92" s="198"/>
      <c r="N92" s="198"/>
      <c r="O92" s="198"/>
      <c r="P92" s="198"/>
      <c r="Q92" s="198"/>
      <c r="R92" s="198"/>
      <c r="S92" s="198"/>
      <c r="T92" s="198"/>
      <c r="U92" s="198"/>
      <c r="V92" s="198"/>
      <c r="W92" s="199"/>
      <c r="X92" s="50"/>
      <c r="Y92" s="1746" t="s">
        <v>723</v>
      </c>
      <c r="Z92" s="1747"/>
      <c r="AA92" s="1747"/>
      <c r="AB92" s="1747"/>
      <c r="AC92" s="1747"/>
      <c r="AD92" s="1748"/>
      <c r="AE92" s="42"/>
      <c r="AF92" s="1746" t="s">
        <v>2066</v>
      </c>
      <c r="AG92" s="1747"/>
      <c r="AH92" s="1747"/>
      <c r="AI92" s="1747"/>
      <c r="AJ92" s="1747"/>
      <c r="AK92" s="1747"/>
      <c r="AL92" s="1747"/>
      <c r="AM92" s="1747"/>
      <c r="AN92" s="1747"/>
      <c r="AO92" s="1748"/>
      <c r="AQ92" s="1755" t="s">
        <v>2073</v>
      </c>
      <c r="AR92" s="1756"/>
      <c r="AS92" s="1756"/>
      <c r="AT92" s="1756"/>
      <c r="AU92" s="1756"/>
      <c r="AV92" s="1756"/>
      <c r="AW92" s="1756"/>
      <c r="AX92" s="1756"/>
      <c r="AY92" s="1756"/>
      <c r="AZ92" s="1756"/>
      <c r="BA92" s="1756"/>
      <c r="BB92" s="1757"/>
      <c r="BC92" s="602"/>
      <c r="BD92" s="1843" t="s">
        <v>2073</v>
      </c>
      <c r="BE92" s="1844"/>
      <c r="BF92" s="1844"/>
      <c r="BG92" s="1844"/>
      <c r="BH92" s="1844"/>
      <c r="BI92" s="1844"/>
      <c r="BJ92" s="1844"/>
      <c r="BK92" s="1844"/>
      <c r="BL92" s="1844"/>
      <c r="BM92" s="1844"/>
      <c r="BN92" s="1844"/>
      <c r="BO92" s="1844"/>
      <c r="BP92" s="1844"/>
      <c r="BQ92" s="1845"/>
    </row>
    <row r="93" spans="1:69" s="32" customFormat="1" outlineLevel="1" x14ac:dyDescent="0.2">
      <c r="A93" s="40"/>
      <c r="B93" s="417"/>
      <c r="C93" s="225"/>
      <c r="D93" s="503"/>
      <c r="E93" s="503"/>
      <c r="F93" s="214"/>
      <c r="G93" s="214"/>
      <c r="H93" s="201"/>
      <c r="I93" s="201"/>
      <c r="J93" s="201"/>
      <c r="K93" s="201"/>
      <c r="L93" s="201"/>
      <c r="M93" s="201"/>
      <c r="N93" s="201"/>
      <c r="O93" s="201"/>
      <c r="P93" s="201"/>
      <c r="Q93" s="201"/>
      <c r="R93" s="201"/>
      <c r="S93" s="201"/>
      <c r="T93" s="201"/>
      <c r="U93" s="201"/>
      <c r="V93" s="201"/>
      <c r="W93" s="508" t="s">
        <v>2639</v>
      </c>
      <c r="X93" s="50"/>
      <c r="Y93" s="216"/>
      <c r="Z93" s="217"/>
      <c r="AA93" s="503"/>
      <c r="AB93" s="503"/>
      <c r="AC93" s="503"/>
      <c r="AD93" s="508" t="s">
        <v>2639</v>
      </c>
      <c r="AE93" s="42"/>
      <c r="AF93" s="216"/>
      <c r="AG93" s="503"/>
      <c r="AH93" s="503"/>
      <c r="AI93" s="503"/>
      <c r="AJ93" s="504" t="s">
        <v>2639</v>
      </c>
      <c r="AK93" s="217"/>
      <c r="AL93" s="503"/>
      <c r="AM93" s="503"/>
      <c r="AN93" s="503"/>
      <c r="AO93" s="508" t="s">
        <v>2639</v>
      </c>
      <c r="AQ93" s="1758" t="s">
        <v>61</v>
      </c>
      <c r="AR93" s="1759"/>
      <c r="AS93" s="1759"/>
      <c r="AT93" s="1759"/>
      <c r="AU93" s="1759"/>
      <c r="AV93" s="1759"/>
      <c r="AW93" s="1759"/>
      <c r="AX93" s="1759"/>
      <c r="AY93" s="1759" t="s">
        <v>61</v>
      </c>
      <c r="AZ93" s="1760"/>
      <c r="BA93" s="730"/>
      <c r="BB93" s="731"/>
      <c r="BC93" s="602"/>
      <c r="BD93" s="1848" t="s">
        <v>61</v>
      </c>
      <c r="BE93" s="1849"/>
      <c r="BF93" s="1849"/>
      <c r="BG93" s="1849"/>
      <c r="BH93" s="1849"/>
      <c r="BI93" s="1849"/>
      <c r="BJ93" s="1849"/>
      <c r="BK93" s="1849"/>
      <c r="BL93" s="1849" t="s">
        <v>61</v>
      </c>
      <c r="BM93" s="1855"/>
      <c r="BN93" s="1290"/>
      <c r="BO93" s="1291"/>
      <c r="BP93" s="1856" t="s">
        <v>723</v>
      </c>
      <c r="BQ93" s="1857"/>
    </row>
    <row r="94" spans="1:69" outlineLevel="1" x14ac:dyDescent="0.2">
      <c r="B94" s="507" t="s">
        <v>766</v>
      </c>
      <c r="C94" s="504"/>
      <c r="D94" s="504" t="s">
        <v>56</v>
      </c>
      <c r="E94" s="504" t="s">
        <v>56</v>
      </c>
      <c r="F94" s="205" t="s">
        <v>2712</v>
      </c>
      <c r="G94" s="205" t="s">
        <v>2721</v>
      </c>
      <c r="H94" s="205" t="s">
        <v>2053</v>
      </c>
      <c r="I94" s="1745" t="s">
        <v>767</v>
      </c>
      <c r="J94" s="1745"/>
      <c r="K94" s="205" t="s">
        <v>2053</v>
      </c>
      <c r="L94" s="1745" t="s">
        <v>769</v>
      </c>
      <c r="M94" s="1745"/>
      <c r="N94" s="205" t="s">
        <v>2053</v>
      </c>
      <c r="O94" s="1745" t="s">
        <v>771</v>
      </c>
      <c r="P94" s="1745"/>
      <c r="Q94" s="205" t="s">
        <v>2053</v>
      </c>
      <c r="R94" s="1745" t="s">
        <v>770</v>
      </c>
      <c r="S94" s="1745"/>
      <c r="T94" s="205" t="s">
        <v>2715</v>
      </c>
      <c r="U94" s="503" t="s">
        <v>61</v>
      </c>
      <c r="V94" s="503" t="s">
        <v>61</v>
      </c>
      <c r="W94" s="508" t="s">
        <v>30</v>
      </c>
      <c r="X94" s="50"/>
      <c r="Y94" s="1638" t="s">
        <v>2605</v>
      </c>
      <c r="Z94" s="504" t="s">
        <v>2110</v>
      </c>
      <c r="AA94" s="504" t="s">
        <v>61</v>
      </c>
      <c r="AB94" s="504" t="s">
        <v>61</v>
      </c>
      <c r="AC94" s="503" t="s">
        <v>61</v>
      </c>
      <c r="AD94" s="508" t="s">
        <v>30</v>
      </c>
      <c r="AE94" s="50"/>
      <c r="AF94" s="507" t="s">
        <v>2065</v>
      </c>
      <c r="AG94" s="504" t="s">
        <v>61</v>
      </c>
      <c r="AH94" s="504" t="s">
        <v>61</v>
      </c>
      <c r="AI94" s="503" t="s">
        <v>61</v>
      </c>
      <c r="AJ94" s="504" t="s">
        <v>30</v>
      </c>
      <c r="AK94" s="504" t="s">
        <v>2558</v>
      </c>
      <c r="AL94" s="504" t="s">
        <v>61</v>
      </c>
      <c r="AM94" s="504" t="s">
        <v>61</v>
      </c>
      <c r="AN94" s="503" t="s">
        <v>61</v>
      </c>
      <c r="AO94" s="508" t="s">
        <v>30</v>
      </c>
      <c r="AP94" s="40"/>
      <c r="AQ94" s="1764" t="s">
        <v>14</v>
      </c>
      <c r="AR94" s="1761"/>
      <c r="AS94" s="1761" t="s">
        <v>60</v>
      </c>
      <c r="AT94" s="1761"/>
      <c r="AU94" s="1761" t="s">
        <v>27</v>
      </c>
      <c r="AV94" s="1761"/>
      <c r="AW94" s="1761" t="s">
        <v>2074</v>
      </c>
      <c r="AX94" s="1761"/>
      <c r="AY94" s="1762" t="s">
        <v>41</v>
      </c>
      <c r="AZ94" s="1763"/>
      <c r="BA94" s="1764" t="s">
        <v>85</v>
      </c>
      <c r="BB94" s="1765"/>
      <c r="BD94" s="1850" t="s">
        <v>14</v>
      </c>
      <c r="BE94" s="1851"/>
      <c r="BF94" s="1851" t="s">
        <v>60</v>
      </c>
      <c r="BG94" s="1851"/>
      <c r="BH94" s="1851" t="s">
        <v>27</v>
      </c>
      <c r="BI94" s="1851"/>
      <c r="BJ94" s="1851" t="s">
        <v>2074</v>
      </c>
      <c r="BK94" s="1851"/>
      <c r="BL94" s="1852" t="s">
        <v>41</v>
      </c>
      <c r="BM94" s="1853"/>
      <c r="BN94" s="1850" t="s">
        <v>85</v>
      </c>
      <c r="BO94" s="1854"/>
      <c r="BP94" s="1850" t="s">
        <v>61</v>
      </c>
      <c r="BQ94" s="1854"/>
    </row>
    <row r="95" spans="1:69" outlineLevel="1" x14ac:dyDescent="0.2">
      <c r="B95" s="507"/>
      <c r="C95" s="504"/>
      <c r="D95" s="504" t="s">
        <v>61</v>
      </c>
      <c r="E95" s="504" t="s">
        <v>63</v>
      </c>
      <c r="F95" s="208" t="s">
        <v>2713</v>
      </c>
      <c r="G95" s="208" t="s">
        <v>2054</v>
      </c>
      <c r="H95" s="208" t="s">
        <v>34</v>
      </c>
      <c r="I95" s="506" t="s">
        <v>768</v>
      </c>
      <c r="J95" s="506" t="s">
        <v>24</v>
      </c>
      <c r="K95" s="208" t="s">
        <v>2061</v>
      </c>
      <c r="L95" s="506" t="s">
        <v>768</v>
      </c>
      <c r="M95" s="506" t="s">
        <v>24</v>
      </c>
      <c r="N95" s="208" t="s">
        <v>2059</v>
      </c>
      <c r="O95" s="506" t="s">
        <v>768</v>
      </c>
      <c r="P95" s="506" t="s">
        <v>24</v>
      </c>
      <c r="Q95" s="208" t="s">
        <v>15</v>
      </c>
      <c r="R95" s="506" t="s">
        <v>768</v>
      </c>
      <c r="S95" s="506" t="s">
        <v>24</v>
      </c>
      <c r="T95" s="208" t="s">
        <v>2716</v>
      </c>
      <c r="U95" s="505" t="s">
        <v>768</v>
      </c>
      <c r="V95" s="505" t="s">
        <v>24</v>
      </c>
      <c r="W95" s="508" t="s">
        <v>61</v>
      </c>
      <c r="X95" s="42"/>
      <c r="Y95" s="1638" t="s">
        <v>2063</v>
      </c>
      <c r="Z95" s="504"/>
      <c r="AA95" s="506" t="s">
        <v>768</v>
      </c>
      <c r="AB95" s="506" t="s">
        <v>24</v>
      </c>
      <c r="AC95" s="223" t="s">
        <v>41</v>
      </c>
      <c r="AD95" s="508" t="s">
        <v>61</v>
      </c>
      <c r="AE95" s="50"/>
      <c r="AF95" s="507"/>
      <c r="AG95" s="506" t="s">
        <v>768</v>
      </c>
      <c r="AH95" s="506" t="s">
        <v>24</v>
      </c>
      <c r="AI95" s="223" t="s">
        <v>41</v>
      </c>
      <c r="AJ95" s="504" t="s">
        <v>61</v>
      </c>
      <c r="AK95" s="504"/>
      <c r="AL95" s="506" t="s">
        <v>768</v>
      </c>
      <c r="AM95" s="506" t="s">
        <v>24</v>
      </c>
      <c r="AN95" s="223" t="s">
        <v>41</v>
      </c>
      <c r="AO95" s="508" t="s">
        <v>61</v>
      </c>
      <c r="AP95" s="40"/>
      <c r="AQ95" s="732" t="s">
        <v>768</v>
      </c>
      <c r="AR95" s="733" t="s">
        <v>24</v>
      </c>
      <c r="AS95" s="733" t="s">
        <v>768</v>
      </c>
      <c r="AT95" s="733" t="s">
        <v>24</v>
      </c>
      <c r="AU95" s="733" t="s">
        <v>768</v>
      </c>
      <c r="AV95" s="733" t="s">
        <v>24</v>
      </c>
      <c r="AW95" s="733" t="s">
        <v>768</v>
      </c>
      <c r="AX95" s="733" t="s">
        <v>24</v>
      </c>
      <c r="AY95" s="734" t="s">
        <v>768</v>
      </c>
      <c r="AZ95" s="735" t="s">
        <v>24</v>
      </c>
      <c r="BA95" s="732" t="s">
        <v>768</v>
      </c>
      <c r="BB95" s="736" t="s">
        <v>24</v>
      </c>
      <c r="BD95" s="1292" t="s">
        <v>768</v>
      </c>
      <c r="BE95" s="1293" t="s">
        <v>24</v>
      </c>
      <c r="BF95" s="1293" t="s">
        <v>768</v>
      </c>
      <c r="BG95" s="1293" t="s">
        <v>24</v>
      </c>
      <c r="BH95" s="1293" t="s">
        <v>768</v>
      </c>
      <c r="BI95" s="1293" t="s">
        <v>24</v>
      </c>
      <c r="BJ95" s="1293" t="s">
        <v>768</v>
      </c>
      <c r="BK95" s="1293" t="s">
        <v>24</v>
      </c>
      <c r="BL95" s="1294" t="s">
        <v>768</v>
      </c>
      <c r="BM95" s="1295" t="s">
        <v>24</v>
      </c>
      <c r="BN95" s="1292" t="s">
        <v>768</v>
      </c>
      <c r="BO95" s="1296" t="s">
        <v>24</v>
      </c>
      <c r="BP95" s="1292" t="s">
        <v>768</v>
      </c>
      <c r="BQ95" s="1296" t="s">
        <v>24</v>
      </c>
    </row>
    <row r="96" spans="1:69" outlineLevel="1" x14ac:dyDescent="0.2">
      <c r="B96" s="200" t="s">
        <v>803</v>
      </c>
      <c r="C96" s="201"/>
      <c r="D96" s="262">
        <f>SUM(U96:V96)</f>
        <v>0</v>
      </c>
      <c r="E96" s="265">
        <f>D96*12/44</f>
        <v>0</v>
      </c>
      <c r="F96" s="523"/>
      <c r="G96" s="672"/>
      <c r="H96" s="182"/>
      <c r="I96" s="271">
        <f>VLOOKUP($B96,'Emissions factors'!$B$84:$K$147,2,FALSE)</f>
        <v>1153.9000000000001</v>
      </c>
      <c r="J96" s="271">
        <f>VLOOKUP($B96,'Emissions factors'!$B$84:$K$147,3,FALSE)</f>
        <v>2228.6959999999999</v>
      </c>
      <c r="K96" s="182"/>
      <c r="L96" s="277">
        <f>VLOOKUP($B96,'Emissions factors'!$B$84:$K$147,4,FALSE)</f>
        <v>0.1023</v>
      </c>
      <c r="M96" s="277">
        <f>VLOOKUP($B96,'Emissions factors'!$B$84:$K$147,5,FALSE)</f>
        <v>0.19462700000000002</v>
      </c>
      <c r="N96" s="182"/>
      <c r="O96" s="271">
        <f>VLOOKUP($B96,'Emissions factors'!$B$84:$K$147,6,FALSE)</f>
        <v>1178.0999999999999</v>
      </c>
      <c r="P96" s="271">
        <f>VLOOKUP($B96,'Emissions factors'!$B$84:$K$147,7,FALSE)</f>
        <v>2269.11</v>
      </c>
      <c r="Q96" s="182"/>
      <c r="R96" s="277">
        <f>VLOOKUP($B96,'Emissions factors'!$B$84:$K$147,8,FALSE)</f>
        <v>0.97550000000000003</v>
      </c>
      <c r="S96" s="277">
        <f>VLOOKUP($B96,'Emissions factors'!$B$84:$K$147,9,FALSE)</f>
        <v>1.87584</v>
      </c>
      <c r="T96" s="182"/>
      <c r="U96" s="210">
        <f>IF(T96=0,0,(H96*I96+K96*L96+N96*O96+Q96*R96)/T96)</f>
        <v>0</v>
      </c>
      <c r="V96" s="210">
        <f>IF(T96=0,0,(H96*J96+K96*M96+N96*P96+Q96*S96)/T96)</f>
        <v>0</v>
      </c>
      <c r="W96" s="222">
        <f>IF(OR(G96='Info utili'!$K$532,G96='Info utili'!$K$537),V96,0)</f>
        <v>0</v>
      </c>
      <c r="X96" s="42"/>
      <c r="Y96" s="282">
        <f>VLOOKUP($B96,'Emissions factors'!$B$84:$K$147,10,FALSE)</f>
        <v>0.05</v>
      </c>
      <c r="Z96" s="184"/>
      <c r="AA96" s="221">
        <f>U96*SQRT(Y96^2+Z96^2)</f>
        <v>0</v>
      </c>
      <c r="AB96" s="221">
        <f>V96*SQRT(Y96^2+Z96^2)</f>
        <v>0</v>
      </c>
      <c r="AC96" s="210">
        <f>SQRT(AA96^2+AB96^2)</f>
        <v>0</v>
      </c>
      <c r="AD96" s="222">
        <f>W96*SQRT(Y96^2+Z96^2)</f>
        <v>0</v>
      </c>
      <c r="AE96" s="42"/>
      <c r="AF96" s="184"/>
      <c r="AG96" s="221">
        <f>U96*AF96</f>
        <v>0</v>
      </c>
      <c r="AH96" s="221">
        <f>V96*AF96</f>
        <v>0</v>
      </c>
      <c r="AI96" s="210">
        <f>AG96+AH96</f>
        <v>0</v>
      </c>
      <c r="AJ96" s="221">
        <f>W96*AF96</f>
        <v>0</v>
      </c>
      <c r="AK96" s="184"/>
      <c r="AL96" s="221">
        <f>U96*AK96</f>
        <v>0</v>
      </c>
      <c r="AM96" s="224">
        <f>V96*AK96</f>
        <v>0</v>
      </c>
      <c r="AN96" s="210">
        <f>AL96+AM96</f>
        <v>0</v>
      </c>
      <c r="AO96" s="541">
        <f>W96*AK96</f>
        <v>0</v>
      </c>
      <c r="AP96" s="40"/>
      <c r="AQ96" s="717">
        <f>IF(T96=0,0,(H96*VLOOKUP($B96,'Emissions factors'!$B$84:$AQ$147,11,FALSE)+K96*VLOOKUP($B96,'Emissions factors'!$B$84:$AQ$147,13,FALSE)+N96*VLOOKUP($B96,'Emissions factors'!$B$84:$AQ$147,15,FALSE)+Q96*VLOOKUP($B96,'Emissions factors'!$B$84:$AQ$147,17,FALSE))/T96)</f>
        <v>0</v>
      </c>
      <c r="AR96" s="718">
        <f>IF(T96=0,0,(H96*VLOOKUP($B96,'Emissions factors'!$B$84:$AQ$147,12,FALSE)+K96*VLOOKUP($B96,'Emissions factors'!$B$84:$AQ$147,14,FALSE)+N96*VLOOKUP($B96,'Emissions factors'!$B$84:$AQ$147,16,FALSE)+Q96*VLOOKUP($B96,'Emissions factors'!$B$84:$AQ$147,18,FALSE))/T96)</f>
        <v>0</v>
      </c>
      <c r="AS96" s="718">
        <f>IF(T96=0,0,(H96*VLOOKUP($B96,'Emissions factors'!$B$84:$AQ$147,19,FALSE)+K96*VLOOKUP($B96,'Emissions factors'!$B$84:$AQ$147,21,FALSE)+N96*VLOOKUP($B96,'Emissions factors'!$B$84:$AQ$147,23,FALSE)+Q96*VLOOKUP($B96,'Emissions factors'!$B$84:$AQ$147,25,FALSE))/T96)</f>
        <v>0</v>
      </c>
      <c r="AT96" s="718">
        <f>IF(T96=0,0,(H96*VLOOKUP($B96,'Emissions factors'!$B$84:$AQ$147,20,FALSE)+K96*VLOOKUP($B96,'Emissions factors'!$B$84:$AQ$147,22,FALSE)+N96*VLOOKUP($B96,'Emissions factors'!$B$84:$AQ$147,24,FALSE)+Q96*VLOOKUP($B96,'Emissions factors'!$B$84:$AQ$147,26,FALSE))/T96)</f>
        <v>0</v>
      </c>
      <c r="AU96" s="718">
        <f>IF(T96=0,0,(H96*VLOOKUP($B96,'Emissions factors'!$B$84:$AQ$147,27,FALSE)+K96*VLOOKUP($B96,'Emissions factors'!$B$84:$AQ$147,29,FALSE)+N96*VLOOKUP($B96,'Emissions factors'!$B$84:$AQ$147,31,FALSE)+Q96*VLOOKUP($B96,'Emissions factors'!$B$84:$AQ$147,33,FALSE))/T96)</f>
        <v>0</v>
      </c>
      <c r="AV96" s="718">
        <f>IF(T96=0,0,(H96*VLOOKUP($B96,'Emissions factors'!$B$84:$AQ$147,28,FALSE)+K96*VLOOKUP($B96,'Emissions factors'!$B$84:$AQ$147,30,FALSE)+N96*VLOOKUP($B96,'Emissions factors'!$B$84:$AQ$147,32,FALSE)+Q96*VLOOKUP($B96,'Emissions factors'!$B$84:$AQ$147,34,FALSE))/T96)</f>
        <v>0</v>
      </c>
      <c r="AW96" s="718">
        <v>0</v>
      </c>
      <c r="AX96" s="718">
        <v>0</v>
      </c>
      <c r="AY96" s="719">
        <f t="shared" ref="AY96:AZ98" si="26">U96</f>
        <v>0</v>
      </c>
      <c r="AZ96" s="720">
        <f t="shared" si="26"/>
        <v>0</v>
      </c>
      <c r="BA96" s="718">
        <f>IF(T96=0,0,(H96*VLOOKUP($B96,'Emissions factors'!$B$84:$AQ$147,35,FALSE)+K96*VLOOKUP($B96,'Emissions factors'!$B$84:$AQ$147,37,FALSE)+N96*VLOOKUP($B96,'Emissions factors'!$B$84:$AQ$147,39,FALSE)+Q96*VLOOKUP($B96,'Emissions factors'!$B$84:$AQ$147,41,FALSE))/T96)</f>
        <v>0</v>
      </c>
      <c r="BB96" s="721">
        <f>IF(T96=0,0,(H96*VLOOKUP($B96,'Emissions factors'!$B$84:$AQ$147,36,FALSE)+K96*VLOOKUP($B96,'Emissions factors'!$B$84:$AQ$147,38,FALSE)+N96*VLOOKUP($B96,'Emissions factors'!$B$84:$AQ$147,40,FALSE)+Q96*VLOOKUP($B96,'Emissions factors'!$B$84:$AQ$147,42,FALSE))/T96)</f>
        <v>0</v>
      </c>
      <c r="BD96" s="1279" t="str">
        <f>IF($F96="Yes",IF(AQ96="","",H96*VLOOKUP($B96,'Emissions factors'!$B$84:$AQ$147,11,FALSE)+K96*VLOOKUP($B96,'Emissions factors'!$B$84:$AQ$147,13,FALSE)+N96*VLOOKUP($B96,'Emissions factors'!$B$84:$AQ$147,15,FALSE)+Q96*VLOOKUP($B96,'Emissions factors'!$B$84:$AQ$147,17,FALSE)),"")</f>
        <v/>
      </c>
      <c r="BE96" s="1280" t="str">
        <f>IF($F96="Yes",IF(AR96="","",H96*VLOOKUP($B96,'Emissions factors'!$B$84:$AQ$147,12,FALSE)+K96*VLOOKUP($B96,'Emissions factors'!$B$84:$AQ$147,14,FALSE)+N96*VLOOKUP($B96,'Emissions factors'!$B$84:$AQ$147,16,FALSE)+Q96*VLOOKUP($B96,'Emissions factors'!$B$84:$AQ$147,18,FALSE)),"")</f>
        <v/>
      </c>
      <c r="BF96" s="1280" t="str">
        <f>IF($F96="Yes",IF(AS96="","",H96*VLOOKUP($B96,'Emissions factors'!$B$84:$AQ$147,19,FALSE)+K96*VLOOKUP($B96,'Emissions factors'!$B$84:$AQ$147,21,FALSE)+N96*VLOOKUP($B96,'Emissions factors'!$B$84:$AQ$147,23,FALSE)+Q96*VLOOKUP($B96,'Emissions factors'!$B$84:$AQ$147,25,FALSE)),"")</f>
        <v/>
      </c>
      <c r="BG96" s="1280" t="str">
        <f>IF($F96="Yes",IF(AT96="","",H96*VLOOKUP($B96,'Emissions factors'!$B$84:$AQ$147,20,FALSE)+K96*VLOOKUP($B96,'Emissions factors'!$B$84:$AQ$147,22,FALSE)+N96*VLOOKUP($B96,'Emissions factors'!$B$84:$AQ$147,24,FALSE)+Q96*VLOOKUP($B96,'Emissions factors'!$B$84:$AQ$147,26,FALSE)),"")</f>
        <v/>
      </c>
      <c r="BH96" s="1280" t="str">
        <f>IF($F96="Yes",IF(AU96="","",H96*VLOOKUP($B96,'Emissions factors'!$B$84:$AQ$147,27,FALSE)+K96*VLOOKUP($B96,'Emissions factors'!$B$84:$AQ$147,29,FALSE)+N96*VLOOKUP($B96,'Emissions factors'!$B$84:$AQ$147,31,FALSE)+Q96*VLOOKUP($B96,'Emissions factors'!$B$84:$AQ$147,33,FALSE)),"")</f>
        <v/>
      </c>
      <c r="BI96" s="1280" t="str">
        <f>IF($F96="Yes",IF(AV96="","",H96*VLOOKUP($B96,'Emissions factors'!$B$84:$AQ$147,28,FALSE)+K96*VLOOKUP($B96,'Emissions factors'!$B$84:$AQ$147,30,FALSE)+N96*VLOOKUP($B96,'Emissions factors'!$B$84:$AQ$147,32,FALSE)+Q96*VLOOKUP($B96,'Emissions factors'!$B$84:$AQ$147,34,FALSE)),"")</f>
        <v/>
      </c>
      <c r="BJ96" s="1280" t="str">
        <f t="shared" ref="BJ96:BK99" si="27">IF($F96="Yes",IF(AW96="","",AW96*$T96),"")</f>
        <v/>
      </c>
      <c r="BK96" s="1280" t="str">
        <f t="shared" si="27"/>
        <v/>
      </c>
      <c r="BL96" s="1297" t="str">
        <f t="shared" ref="BL96:BM98" si="28">IF($F96="Yes",IF(AY96="","",U96*$T96),"")</f>
        <v/>
      </c>
      <c r="BM96" s="1281" t="str">
        <f t="shared" si="28"/>
        <v/>
      </c>
      <c r="BN96" s="1280" t="str">
        <f t="shared" ref="BN96:BO99" si="29">IF($F96="Yes",IF(BA96="","",BA96*$T96),"")</f>
        <v/>
      </c>
      <c r="BO96" s="1298" t="str">
        <f t="shared" si="29"/>
        <v/>
      </c>
      <c r="BP96" s="1280" t="str">
        <f t="shared" ref="BP96:BQ99" si="30">IF($F96="Yes",IF(AA96="","",AA96*$T96),"")</f>
        <v/>
      </c>
      <c r="BQ96" s="1298" t="str">
        <f t="shared" si="30"/>
        <v/>
      </c>
    </row>
    <row r="97" spans="2:69" outlineLevel="1" x14ac:dyDescent="0.2">
      <c r="B97" s="200" t="s">
        <v>796</v>
      </c>
      <c r="C97" s="201"/>
      <c r="D97" s="262">
        <f>SUM(U97:V97)</f>
        <v>0</v>
      </c>
      <c r="E97" s="265">
        <f>D97*12/44</f>
        <v>0</v>
      </c>
      <c r="F97" s="524"/>
      <c r="G97" s="482"/>
      <c r="H97" s="185"/>
      <c r="I97" s="271">
        <f>VLOOKUP($B97,'Emissions factors'!$B$84:$K$147,2,FALSE)</f>
        <v>707.3</v>
      </c>
      <c r="J97" s="271">
        <f>VLOOKUP($B97,'Emissions factors'!$B$84:$K$147,3,FALSE)</f>
        <v>3008.5</v>
      </c>
      <c r="K97" s="185"/>
      <c r="L97" s="277">
        <f>VLOOKUP($B97,'Emissions factors'!$B$84:$K$147,4,FALSE)</f>
        <v>6.0859999999999997E-2</v>
      </c>
      <c r="M97" s="277">
        <f>VLOOKUP($B97,'Emissions factors'!$B$84:$K$147,5,FALSE)</f>
        <v>0.25307999999999997</v>
      </c>
      <c r="N97" s="185"/>
      <c r="O97" s="271">
        <f>VLOOKUP($B97,'Emissions factors'!$B$84:$K$147,6,FALSE)</f>
        <v>694.7</v>
      </c>
      <c r="P97" s="271">
        <f>VLOOKUP($B97,'Emissions factors'!$B$84:$K$147,7,FALSE)</f>
        <v>2957.6</v>
      </c>
      <c r="Q97" s="185"/>
      <c r="R97" s="277">
        <f>VLOOKUP($B97,'Emissions factors'!$B$84:$K$147,8,FALSE)</f>
        <v>0.53329999999999989</v>
      </c>
      <c r="S97" s="277">
        <f>VLOOKUP($B97,'Emissions factors'!$B$84:$K$147,9,FALSE)</f>
        <v>2.2637</v>
      </c>
      <c r="T97" s="185"/>
      <c r="U97" s="210">
        <f>IF(T97=0,0,(H97*I97+K97*L97+N97*O97+Q97*R97)/T97)</f>
        <v>0</v>
      </c>
      <c r="V97" s="210">
        <f>IF(T97=0,0,(H97*J97+K97*M97+N97*P97+Q97*S97)/T97)</f>
        <v>0</v>
      </c>
      <c r="W97" s="222">
        <f>IF(OR(G97='Info utili'!$K$532,G97='Info utili'!$K$537),V97,0)</f>
        <v>0</v>
      </c>
      <c r="X97" s="42"/>
      <c r="Y97" s="282">
        <f>VLOOKUP($B97,'Emissions factors'!$B$84:$K$147,10,FALSE)</f>
        <v>0.05</v>
      </c>
      <c r="Z97" s="187"/>
      <c r="AA97" s="221">
        <f>U97*SQRT(Y97^2+Z97^2)</f>
        <v>0</v>
      </c>
      <c r="AB97" s="221">
        <f>V97*SQRT(Y97^2+Z97^2)</f>
        <v>0</v>
      </c>
      <c r="AC97" s="210">
        <f>SQRT(AA97^2+AB97^2)</f>
        <v>0</v>
      </c>
      <c r="AD97" s="222">
        <f>W97*SQRT(Y97^2+Z97^2)</f>
        <v>0</v>
      </c>
      <c r="AE97" s="42"/>
      <c r="AF97" s="187"/>
      <c r="AG97" s="221">
        <f>U97*AF97</f>
        <v>0</v>
      </c>
      <c r="AH97" s="221">
        <f>V97*AF97</f>
        <v>0</v>
      </c>
      <c r="AI97" s="210">
        <f>AG97+AH97</f>
        <v>0</v>
      </c>
      <c r="AJ97" s="221">
        <f>W97*AF97</f>
        <v>0</v>
      </c>
      <c r="AK97" s="187"/>
      <c r="AL97" s="221">
        <f>U97*AK97</f>
        <v>0</v>
      </c>
      <c r="AM97" s="224">
        <f>V97*AK97</f>
        <v>0</v>
      </c>
      <c r="AN97" s="210">
        <f>AL97+AM97</f>
        <v>0</v>
      </c>
      <c r="AO97" s="541">
        <f>W97*AK97</f>
        <v>0</v>
      </c>
      <c r="AP97" s="40"/>
      <c r="AQ97" s="717">
        <f>IF(T97=0,0,(H97*VLOOKUP($B97,'Emissions factors'!$B$84:$AQ$147,11,FALSE)+K97*VLOOKUP($B97,'Emissions factors'!$B$84:$AQ$147,13,FALSE)+N97*VLOOKUP($B97,'Emissions factors'!$B$84:$AQ$147,15,FALSE)+Q97*VLOOKUP($B97,'Emissions factors'!$B$84:$AQ$147,17,FALSE))/T97)</f>
        <v>0</v>
      </c>
      <c r="AR97" s="718">
        <f>IF(T97=0,0,(H97*VLOOKUP($B97,'Emissions factors'!$B$84:$AQ$147,12,FALSE)+K97*VLOOKUP($B97,'Emissions factors'!$B$84:$AQ$147,14,FALSE)+N97*VLOOKUP($B97,'Emissions factors'!$B$84:$AQ$147,16,FALSE)+Q97*VLOOKUP($B97,'Emissions factors'!$B$84:$AQ$147,18,FALSE))/T97)</f>
        <v>0</v>
      </c>
      <c r="AS97" s="718">
        <f>IF(T97=0,0,(H97*VLOOKUP($B97,'Emissions factors'!$B$84:$AQ$147,19,FALSE)+K97*VLOOKUP($B97,'Emissions factors'!$B$84:$AQ$147,21,FALSE)+N97*VLOOKUP($B97,'Emissions factors'!$B$84:$AQ$147,23,FALSE)+Q97*VLOOKUP($B97,'Emissions factors'!$B$84:$AQ$147,25,FALSE))/T97)</f>
        <v>0</v>
      </c>
      <c r="AT97" s="718">
        <f>IF(T97=0,0,(H97*VLOOKUP($B97,'Emissions factors'!$B$84:$AQ$147,20,FALSE)+K97*VLOOKUP($B97,'Emissions factors'!$B$84:$AQ$147,22,FALSE)+N97*VLOOKUP($B97,'Emissions factors'!$B$84:$AQ$147,24,FALSE)+Q97*VLOOKUP($B97,'Emissions factors'!$B$84:$AQ$147,26,FALSE))/T97)</f>
        <v>0</v>
      </c>
      <c r="AU97" s="718">
        <f>IF(T97=0,0,(H97*VLOOKUP($B97,'Emissions factors'!$B$84:$AQ$147,27,FALSE)+K97*VLOOKUP($B97,'Emissions factors'!$B$84:$AQ$147,29,FALSE)+N97*VLOOKUP($B97,'Emissions factors'!$B$84:$AQ$147,31,FALSE)+Q97*VLOOKUP($B97,'Emissions factors'!$B$84:$AQ$147,33,FALSE))/T97)</f>
        <v>0</v>
      </c>
      <c r="AV97" s="718">
        <f>IF(T97=0,0,(H97*VLOOKUP($B97,'Emissions factors'!$B$84:$AQ$147,28,FALSE)+K97*VLOOKUP($B97,'Emissions factors'!$B$84:$AQ$147,30,FALSE)+N97*VLOOKUP($B97,'Emissions factors'!$B$84:$AQ$147,32,FALSE)+Q97*VLOOKUP($B97,'Emissions factors'!$B$84:$AQ$147,34,FALSE))/T97)</f>
        <v>0</v>
      </c>
      <c r="AW97" s="718">
        <v>0</v>
      </c>
      <c r="AX97" s="718">
        <v>0</v>
      </c>
      <c r="AY97" s="719">
        <f t="shared" si="26"/>
        <v>0</v>
      </c>
      <c r="AZ97" s="720">
        <f t="shared" si="26"/>
        <v>0</v>
      </c>
      <c r="BA97" s="718">
        <f>IF(T97=0,0,(H97*VLOOKUP($B97,'Emissions factors'!$B$84:$AQ$147,35,FALSE)+K97*VLOOKUP($B97,'Emissions factors'!$B$84:$AQ$147,37,FALSE)+N97*VLOOKUP($B97,'Emissions factors'!$B$84:$AQ$147,39,FALSE)+Q97*VLOOKUP($B97,'Emissions factors'!$B$84:$AQ$147,41,FALSE))/T97)</f>
        <v>0</v>
      </c>
      <c r="BB97" s="721">
        <f>IF(T97=0,0,(H97*VLOOKUP($B97,'Emissions factors'!$B$84:$AQ$147,36,FALSE)+K97*VLOOKUP($B97,'Emissions factors'!$B$84:$AQ$147,38,FALSE)+N97*VLOOKUP($B97,'Emissions factors'!$B$84:$AQ$147,40,FALSE)+Q97*VLOOKUP($B97,'Emissions factors'!$B$84:$AQ$147,42,FALSE))/T97)</f>
        <v>0</v>
      </c>
      <c r="BD97" s="1279" t="str">
        <f>IF($F97="Yes",IF(AQ97="","",H97*VLOOKUP($B97,'Emissions factors'!$B$84:$AQ$147,11,FALSE)+K97*VLOOKUP($B97,'Emissions factors'!$B$84:$AQ$147,13,FALSE)+N97*VLOOKUP($B97,'Emissions factors'!$B$84:$AQ$147,15,FALSE)+Q97*VLOOKUP($B97,'Emissions factors'!$B$84:$AQ$147,17,FALSE)),"")</f>
        <v/>
      </c>
      <c r="BE97" s="1280" t="str">
        <f>IF($F97="Yes",IF(AR97="","",H97*VLOOKUP($B97,'Emissions factors'!$B$84:$AQ$147,12,FALSE)+K97*VLOOKUP($B97,'Emissions factors'!$B$84:$AQ$147,14,FALSE)+N97*VLOOKUP($B97,'Emissions factors'!$B$84:$AQ$147,16,FALSE)+Q97*VLOOKUP($B97,'Emissions factors'!$B$84:$AQ$147,18,FALSE)),"")</f>
        <v/>
      </c>
      <c r="BF97" s="1280" t="str">
        <f>IF($F97="Yes",IF(AS97="","",H97*VLOOKUP($B97,'Emissions factors'!$B$84:$AQ$147,19,FALSE)+K97*VLOOKUP($B97,'Emissions factors'!$B$84:$AQ$147,21,FALSE)+N97*VLOOKUP($B97,'Emissions factors'!$B$84:$AQ$147,23,FALSE)+Q97*VLOOKUP($B97,'Emissions factors'!$B$84:$AQ$147,25,FALSE)),"")</f>
        <v/>
      </c>
      <c r="BG97" s="1280" t="str">
        <f>IF($F97="Yes",IF(AT97="","",H97*VLOOKUP($B97,'Emissions factors'!$B$84:$AQ$147,20,FALSE)+K97*VLOOKUP($B97,'Emissions factors'!$B$84:$AQ$147,22,FALSE)+N97*VLOOKUP($B97,'Emissions factors'!$B$84:$AQ$147,24,FALSE)+Q97*VLOOKUP($B97,'Emissions factors'!$B$84:$AQ$147,26,FALSE)),"")</f>
        <v/>
      </c>
      <c r="BH97" s="1280" t="str">
        <f>IF($F97="Yes",IF(AU97="","",H97*VLOOKUP($B97,'Emissions factors'!$B$84:$AQ$147,27,FALSE)+K97*VLOOKUP($B97,'Emissions factors'!$B$84:$AQ$147,29,FALSE)+N97*VLOOKUP($B97,'Emissions factors'!$B$84:$AQ$147,31,FALSE)+Q97*VLOOKUP($B97,'Emissions factors'!$B$84:$AQ$147,33,FALSE)),"")</f>
        <v/>
      </c>
      <c r="BI97" s="1280" t="str">
        <f>IF($F97="Yes",IF(AV97="","",H97*VLOOKUP($B97,'Emissions factors'!$B$84:$AQ$147,28,FALSE)+K97*VLOOKUP($B97,'Emissions factors'!$B$84:$AQ$147,30,FALSE)+N97*VLOOKUP($B97,'Emissions factors'!$B$84:$AQ$147,32,FALSE)+Q97*VLOOKUP($B97,'Emissions factors'!$B$84:$AQ$147,34,FALSE)),"")</f>
        <v/>
      </c>
      <c r="BJ97" s="1280" t="str">
        <f t="shared" si="27"/>
        <v/>
      </c>
      <c r="BK97" s="1280" t="str">
        <f t="shared" si="27"/>
        <v/>
      </c>
      <c r="BL97" s="1297" t="str">
        <f t="shared" si="28"/>
        <v/>
      </c>
      <c r="BM97" s="1281" t="str">
        <f t="shared" si="28"/>
        <v/>
      </c>
      <c r="BN97" s="1280" t="str">
        <f t="shared" si="29"/>
        <v/>
      </c>
      <c r="BO97" s="1298" t="str">
        <f t="shared" si="29"/>
        <v/>
      </c>
      <c r="BP97" s="1280" t="str">
        <f t="shared" si="30"/>
        <v/>
      </c>
      <c r="BQ97" s="1298" t="str">
        <f t="shared" si="30"/>
        <v/>
      </c>
    </row>
    <row r="98" spans="2:69" outlineLevel="1" x14ac:dyDescent="0.2">
      <c r="B98" s="200" t="s">
        <v>803</v>
      </c>
      <c r="C98" s="201"/>
      <c r="D98" s="262">
        <f>SUM(U98:V98)</f>
        <v>0</v>
      </c>
      <c r="E98" s="265">
        <f>D98*12/44</f>
        <v>0</v>
      </c>
      <c r="F98" s="525"/>
      <c r="G98" s="483"/>
      <c r="H98" s="188"/>
      <c r="I98" s="271">
        <f>VLOOKUP($B98,'Emissions factors'!$B$84:$K$147,2,FALSE)</f>
        <v>1153.9000000000001</v>
      </c>
      <c r="J98" s="271">
        <f>VLOOKUP($B98,'Emissions factors'!$B$84:$K$147,3,FALSE)</f>
        <v>2228.6959999999999</v>
      </c>
      <c r="K98" s="188"/>
      <c r="L98" s="277">
        <f>VLOOKUP($B98,'Emissions factors'!$B$84:$K$147,4,FALSE)</f>
        <v>0.1023</v>
      </c>
      <c r="M98" s="277">
        <f>VLOOKUP($B98,'Emissions factors'!$B$84:$K$147,5,FALSE)</f>
        <v>0.19462700000000002</v>
      </c>
      <c r="N98" s="188"/>
      <c r="O98" s="271">
        <f>VLOOKUP($B98,'Emissions factors'!$B$84:$K$147,6,FALSE)</f>
        <v>1178.0999999999999</v>
      </c>
      <c r="P98" s="271">
        <f>VLOOKUP($B98,'Emissions factors'!$B$84:$K$147,7,FALSE)</f>
        <v>2269.11</v>
      </c>
      <c r="Q98" s="188"/>
      <c r="R98" s="277">
        <f>VLOOKUP($B98,'Emissions factors'!$B$84:$K$147,8,FALSE)</f>
        <v>0.97550000000000003</v>
      </c>
      <c r="S98" s="277">
        <f>VLOOKUP($B98,'Emissions factors'!$B$84:$K$147,9,FALSE)</f>
        <v>1.87584</v>
      </c>
      <c r="T98" s="188"/>
      <c r="U98" s="210">
        <f>IF(T98=0,0,(H98*I98+K98*L98+N98*O98+Q98*R98)/T98)</f>
        <v>0</v>
      </c>
      <c r="V98" s="210">
        <f>IF(T98=0,0,(H98*J98+K98*M98+N98*P98+Q98*S98)/T98)</f>
        <v>0</v>
      </c>
      <c r="W98" s="222">
        <f>IF(OR(G98='Info utili'!$K$532,G98='Info utili'!$K$537),V98,0)</f>
        <v>0</v>
      </c>
      <c r="X98" s="42"/>
      <c r="Y98" s="282">
        <f>VLOOKUP($B98,'Emissions factors'!$B$84:$K$147,10,FALSE)</f>
        <v>0.05</v>
      </c>
      <c r="Z98" s="190"/>
      <c r="AA98" s="221">
        <f>U98*SQRT(Y98^2+Z98^2)</f>
        <v>0</v>
      </c>
      <c r="AB98" s="221">
        <f>V98*SQRT(Y98^2+Z98^2)</f>
        <v>0</v>
      </c>
      <c r="AC98" s="210">
        <f>SQRT(AA98^2+AB98^2)</f>
        <v>0</v>
      </c>
      <c r="AD98" s="222">
        <f>W98*SQRT(Y98^2+Z98^2)</f>
        <v>0</v>
      </c>
      <c r="AE98" s="42"/>
      <c r="AF98" s="190"/>
      <c r="AG98" s="221">
        <f>U98*AF98</f>
        <v>0</v>
      </c>
      <c r="AH98" s="221">
        <f>V98*AF98</f>
        <v>0</v>
      </c>
      <c r="AI98" s="210">
        <f>AG98+AH98</f>
        <v>0</v>
      </c>
      <c r="AJ98" s="221">
        <f>W98*AF98</f>
        <v>0</v>
      </c>
      <c r="AK98" s="190"/>
      <c r="AL98" s="221">
        <f>U98*AK98</f>
        <v>0</v>
      </c>
      <c r="AM98" s="224">
        <f>V98*AK98</f>
        <v>0</v>
      </c>
      <c r="AN98" s="210">
        <f>AL98+AM98</f>
        <v>0</v>
      </c>
      <c r="AO98" s="541">
        <f>W98*AK98</f>
        <v>0</v>
      </c>
      <c r="AP98" s="40"/>
      <c r="AQ98" s="717">
        <f>IF(T98=0,0,(H98*VLOOKUP($B98,'Emissions factors'!$B$84:$AQ$147,11,FALSE)+K98*VLOOKUP($B98,'Emissions factors'!$B$84:$AQ$147,13,FALSE)+N98*VLOOKUP($B98,'Emissions factors'!$B$84:$AQ$147,15,FALSE)+Q98*VLOOKUP($B98,'Emissions factors'!$B$84:$AQ$147,17,FALSE))/T98)</f>
        <v>0</v>
      </c>
      <c r="AR98" s="718">
        <f>IF(T98=0,0,(H98*VLOOKUP($B98,'Emissions factors'!$B$84:$AQ$147,12,FALSE)+K98*VLOOKUP($B98,'Emissions factors'!$B$84:$AQ$147,14,FALSE)+N98*VLOOKUP($B98,'Emissions factors'!$B$84:$AQ$147,16,FALSE)+Q98*VLOOKUP($B98,'Emissions factors'!$B$84:$AQ$147,18,FALSE))/T98)</f>
        <v>0</v>
      </c>
      <c r="AS98" s="718">
        <f>IF(T98=0,0,(H98*VLOOKUP($B98,'Emissions factors'!$B$84:$AQ$147,19,FALSE)+K98*VLOOKUP($B98,'Emissions factors'!$B$84:$AQ$147,21,FALSE)+N98*VLOOKUP($B98,'Emissions factors'!$B$84:$AQ$147,23,FALSE)+Q98*VLOOKUP($B98,'Emissions factors'!$B$84:$AQ$147,25,FALSE))/T98)</f>
        <v>0</v>
      </c>
      <c r="AT98" s="718">
        <f>IF(T98=0,0,(H98*VLOOKUP($B98,'Emissions factors'!$B$84:$AQ$147,20,FALSE)+K98*VLOOKUP($B98,'Emissions factors'!$B$84:$AQ$147,22,FALSE)+N98*VLOOKUP($B98,'Emissions factors'!$B$84:$AQ$147,24,FALSE)+Q98*VLOOKUP($B98,'Emissions factors'!$B$84:$AQ$147,26,FALSE))/T98)</f>
        <v>0</v>
      </c>
      <c r="AU98" s="718">
        <f>IF(T98=0,0,(H98*VLOOKUP($B98,'Emissions factors'!$B$84:$AQ$147,27,FALSE)+K98*VLOOKUP($B98,'Emissions factors'!$B$84:$AQ$147,29,FALSE)+N98*VLOOKUP($B98,'Emissions factors'!$B$84:$AQ$147,31,FALSE)+Q98*VLOOKUP($B98,'Emissions factors'!$B$84:$AQ$147,33,FALSE))/T98)</f>
        <v>0</v>
      </c>
      <c r="AV98" s="718">
        <f>IF(T98=0,0,(H98*VLOOKUP($B98,'Emissions factors'!$B$84:$AQ$147,28,FALSE)+K98*VLOOKUP($B98,'Emissions factors'!$B$84:$AQ$147,30,FALSE)+N98*VLOOKUP($B98,'Emissions factors'!$B$84:$AQ$147,32,FALSE)+Q98*VLOOKUP($B98,'Emissions factors'!$B$84:$AQ$147,34,FALSE))/T98)</f>
        <v>0</v>
      </c>
      <c r="AW98" s="718">
        <v>0</v>
      </c>
      <c r="AX98" s="718">
        <v>0</v>
      </c>
      <c r="AY98" s="719">
        <f t="shared" si="26"/>
        <v>0</v>
      </c>
      <c r="AZ98" s="720">
        <f t="shared" si="26"/>
        <v>0</v>
      </c>
      <c r="BA98" s="718">
        <f>IF(T98=0,0,(H98*VLOOKUP($B98,'Emissions factors'!$B$84:$AQ$147,35,FALSE)+K98*VLOOKUP($B98,'Emissions factors'!$B$84:$AQ$147,37,FALSE)+N98*VLOOKUP($B98,'Emissions factors'!$B$84:$AQ$147,39,FALSE)+Q98*VLOOKUP($B98,'Emissions factors'!$B$84:$AQ$147,41,FALSE))/T98)</f>
        <v>0</v>
      </c>
      <c r="BB98" s="721">
        <f>IF(T98=0,0,(H98*VLOOKUP($B98,'Emissions factors'!$B$84:$AQ$147,36,FALSE)+K98*VLOOKUP($B98,'Emissions factors'!$B$84:$AQ$147,38,FALSE)+N98*VLOOKUP($B98,'Emissions factors'!$B$84:$AQ$147,40,FALSE)+Q98*VLOOKUP($B98,'Emissions factors'!$B$84:$AQ$147,42,FALSE))/T98)</f>
        <v>0</v>
      </c>
      <c r="BD98" s="1279" t="str">
        <f>IF($F98="Yes",IF(AQ98="","",H98*VLOOKUP($B98,'Emissions factors'!$B$84:$AQ$147,11,FALSE)+K98*VLOOKUP($B98,'Emissions factors'!$B$84:$AQ$147,13,FALSE)+N98*VLOOKUP($B98,'Emissions factors'!$B$84:$AQ$147,15,FALSE)+Q98*VLOOKUP($B98,'Emissions factors'!$B$84:$AQ$147,17,FALSE)),"")</f>
        <v/>
      </c>
      <c r="BE98" s="1280" t="str">
        <f>IF($F98="Yes",IF(AR98="","",H98*VLOOKUP($B98,'Emissions factors'!$B$84:$AQ$147,12,FALSE)+K98*VLOOKUP($B98,'Emissions factors'!$B$84:$AQ$147,14,FALSE)+N98*VLOOKUP($B98,'Emissions factors'!$B$84:$AQ$147,16,FALSE)+Q98*VLOOKUP($B98,'Emissions factors'!$B$84:$AQ$147,18,FALSE)),"")</f>
        <v/>
      </c>
      <c r="BF98" s="1280" t="str">
        <f>IF($F98="Yes",IF(AS98="","",H98*VLOOKUP($B98,'Emissions factors'!$B$84:$AQ$147,19,FALSE)+K98*VLOOKUP($B98,'Emissions factors'!$B$84:$AQ$147,21,FALSE)+N98*VLOOKUP($B98,'Emissions factors'!$B$84:$AQ$147,23,FALSE)+Q98*VLOOKUP($B98,'Emissions factors'!$B$84:$AQ$147,25,FALSE)),"")</f>
        <v/>
      </c>
      <c r="BG98" s="1280" t="str">
        <f>IF($F98="Yes",IF(AT98="","",H98*VLOOKUP($B98,'Emissions factors'!$B$84:$AQ$147,20,FALSE)+K98*VLOOKUP($B98,'Emissions factors'!$B$84:$AQ$147,22,FALSE)+N98*VLOOKUP($B98,'Emissions factors'!$B$84:$AQ$147,24,FALSE)+Q98*VLOOKUP($B98,'Emissions factors'!$B$84:$AQ$147,26,FALSE)),"")</f>
        <v/>
      </c>
      <c r="BH98" s="1280" t="str">
        <f>IF($F98="Yes",IF(AU98="","",H98*VLOOKUP($B98,'Emissions factors'!$B$84:$AQ$147,27,FALSE)+K98*VLOOKUP($B98,'Emissions factors'!$B$84:$AQ$147,29,FALSE)+N98*VLOOKUP($B98,'Emissions factors'!$B$84:$AQ$147,31,FALSE)+Q98*VLOOKUP($B98,'Emissions factors'!$B$84:$AQ$147,33,FALSE)),"")</f>
        <v/>
      </c>
      <c r="BI98" s="1280" t="str">
        <f>IF($F98="Yes",IF(AV98="","",H98*VLOOKUP($B98,'Emissions factors'!$B$84:$AQ$147,28,FALSE)+K98*VLOOKUP($B98,'Emissions factors'!$B$84:$AQ$147,30,FALSE)+N98*VLOOKUP($B98,'Emissions factors'!$B$84:$AQ$147,32,FALSE)+Q98*VLOOKUP($B98,'Emissions factors'!$B$84:$AQ$147,34,FALSE)),"")</f>
        <v/>
      </c>
      <c r="BJ98" s="1280" t="str">
        <f t="shared" si="27"/>
        <v/>
      </c>
      <c r="BK98" s="1280" t="str">
        <f t="shared" si="27"/>
        <v/>
      </c>
      <c r="BL98" s="1297" t="str">
        <f t="shared" si="28"/>
        <v/>
      </c>
      <c r="BM98" s="1281" t="str">
        <f t="shared" si="28"/>
        <v/>
      </c>
      <c r="BN98" s="1280" t="str">
        <f t="shared" si="29"/>
        <v/>
      </c>
      <c r="BO98" s="1298" t="str">
        <f t="shared" si="29"/>
        <v/>
      </c>
      <c r="BP98" s="1280" t="str">
        <f t="shared" si="30"/>
        <v/>
      </c>
      <c r="BQ98" s="1298" t="str">
        <f t="shared" si="30"/>
        <v/>
      </c>
    </row>
    <row r="99" spans="2:69" outlineLevel="1" x14ac:dyDescent="0.2">
      <c r="B99" s="213"/>
      <c r="C99" s="214"/>
      <c r="D99" s="275"/>
      <c r="E99" s="268"/>
      <c r="F99" s="214"/>
      <c r="G99" s="214"/>
      <c r="H99" s="214"/>
      <c r="I99" s="214"/>
      <c r="J99" s="214"/>
      <c r="K99" s="214"/>
      <c r="L99" s="214"/>
      <c r="M99" s="214"/>
      <c r="N99" s="214"/>
      <c r="O99" s="214"/>
      <c r="P99" s="214"/>
      <c r="Q99" s="214"/>
      <c r="R99" s="214"/>
      <c r="S99" s="214"/>
      <c r="T99" s="214"/>
      <c r="U99" s="214"/>
      <c r="V99" s="463"/>
      <c r="W99" s="466"/>
      <c r="X99" s="42"/>
      <c r="Y99" s="213"/>
      <c r="Z99" s="214"/>
      <c r="AA99" s="214"/>
      <c r="AB99" s="227"/>
      <c r="AC99" s="227"/>
      <c r="AD99" s="466"/>
      <c r="AE99" s="42"/>
      <c r="AF99" s="213"/>
      <c r="AG99" s="227"/>
      <c r="AH99" s="542"/>
      <c r="AI99" s="227"/>
      <c r="AJ99" s="542"/>
      <c r="AK99" s="214"/>
      <c r="AL99" s="214"/>
      <c r="AM99" s="227"/>
      <c r="AN99" s="227"/>
      <c r="AO99" s="543"/>
      <c r="AP99" s="40"/>
      <c r="AQ99" s="717"/>
      <c r="AR99" s="718"/>
      <c r="AS99" s="718"/>
      <c r="AT99" s="718"/>
      <c r="AU99" s="718"/>
      <c r="AV99" s="718"/>
      <c r="AW99" s="718"/>
      <c r="AX99" s="718"/>
      <c r="AY99" s="719"/>
      <c r="AZ99" s="720"/>
      <c r="BA99" s="722"/>
      <c r="BB99" s="723"/>
      <c r="BD99" s="1279" t="str">
        <f t="shared" ref="BD99:BI99" si="31">IF($F99="Yes",IF(AQ99="","",AQ99*$T99),"")</f>
        <v/>
      </c>
      <c r="BE99" s="1280" t="str">
        <f t="shared" si="31"/>
        <v/>
      </c>
      <c r="BF99" s="1280" t="str">
        <f t="shared" si="31"/>
        <v/>
      </c>
      <c r="BG99" s="1280" t="str">
        <f t="shared" si="31"/>
        <v/>
      </c>
      <c r="BH99" s="1280" t="str">
        <f t="shared" si="31"/>
        <v/>
      </c>
      <c r="BI99" s="1280" t="str">
        <f t="shared" si="31"/>
        <v/>
      </c>
      <c r="BJ99" s="1280" t="str">
        <f t="shared" si="27"/>
        <v/>
      </c>
      <c r="BK99" s="1280" t="str">
        <f t="shared" si="27"/>
        <v/>
      </c>
      <c r="BL99" s="1297" t="str">
        <f>IF($F99="Yes",IF(AY99="","",AY99*$T99),"")</f>
        <v/>
      </c>
      <c r="BM99" s="1281" t="str">
        <f>IF($F99="Yes",IF(AZ99="","",AZ99*$T99),"")</f>
        <v/>
      </c>
      <c r="BN99" s="1299" t="str">
        <f t="shared" si="29"/>
        <v/>
      </c>
      <c r="BO99" s="1300" t="str">
        <f t="shared" si="29"/>
        <v/>
      </c>
      <c r="BP99" s="1299" t="str">
        <f t="shared" si="30"/>
        <v/>
      </c>
      <c r="BQ99" s="1300" t="str">
        <f t="shared" si="30"/>
        <v/>
      </c>
    </row>
    <row r="100" spans="2:69" outlineLevel="1" x14ac:dyDescent="0.2">
      <c r="B100" s="484" t="s">
        <v>44</v>
      </c>
      <c r="C100" s="485"/>
      <c r="D100" s="264">
        <f>SUM(D96:D99)</f>
        <v>0</v>
      </c>
      <c r="E100" s="267">
        <f>SUM(E96:E99)</f>
        <v>0</v>
      </c>
      <c r="F100" s="485"/>
      <c r="G100" s="485"/>
      <c r="H100" s="459"/>
      <c r="I100" s="459"/>
      <c r="J100" s="459"/>
      <c r="K100" s="459"/>
      <c r="L100" s="459"/>
      <c r="M100" s="459"/>
      <c r="N100" s="459"/>
      <c r="O100" s="459"/>
      <c r="P100" s="459"/>
      <c r="Q100" s="459"/>
      <c r="R100" s="459"/>
      <c r="S100" s="459"/>
      <c r="T100" s="459"/>
      <c r="U100" s="460">
        <f>SUM(U96:U99)</f>
        <v>0</v>
      </c>
      <c r="V100" s="460">
        <f>SUM(V96:V99)</f>
        <v>0</v>
      </c>
      <c r="W100" s="486">
        <f>SUM(W96:W99)</f>
        <v>0</v>
      </c>
      <c r="Y100" s="258"/>
      <c r="Z100" s="256"/>
      <c r="AA100" s="260">
        <f>SQRT(SUMSQ(AA96:AA99))</f>
        <v>0</v>
      </c>
      <c r="AB100" s="260">
        <f>SQRT(SUMSQ(AB96:AB99))</f>
        <v>0</v>
      </c>
      <c r="AC100" s="259">
        <f>SQRT(SUMSQ(AC96:AC99))</f>
        <v>0</v>
      </c>
      <c r="AD100" s="428">
        <f>SQRT(SUMSQ(AD96:AD99))</f>
        <v>0</v>
      </c>
      <c r="AE100" s="42"/>
      <c r="AF100" s="258"/>
      <c r="AG100" s="260">
        <f>SUM(AG96:AG99)</f>
        <v>0</v>
      </c>
      <c r="AH100" s="260">
        <f>SUM(AH96:AH99)</f>
        <v>0</v>
      </c>
      <c r="AI100" s="259">
        <f>SUM(AI96:AI99)</f>
        <v>0</v>
      </c>
      <c r="AJ100" s="260">
        <f>SUM(AJ96:AJ99)</f>
        <v>0</v>
      </c>
      <c r="AK100" s="256"/>
      <c r="AL100" s="260">
        <f>SUM(AL96:AL99)</f>
        <v>0</v>
      </c>
      <c r="AM100" s="260">
        <f>SUM(AM96:AM99)</f>
        <v>0</v>
      </c>
      <c r="AN100" s="259">
        <f>SUM(AN96:AN99)</f>
        <v>0</v>
      </c>
      <c r="AO100" s="428">
        <f>SUM(AO96:AO99)</f>
        <v>0</v>
      </c>
      <c r="AP100" s="40"/>
      <c r="AQ100" s="724">
        <f t="shared" ref="AQ100:BB100" si="32">SUM(AQ96:AQ99)</f>
        <v>0</v>
      </c>
      <c r="AR100" s="725">
        <f t="shared" si="32"/>
        <v>0</v>
      </c>
      <c r="AS100" s="725">
        <f t="shared" si="32"/>
        <v>0</v>
      </c>
      <c r="AT100" s="725">
        <f t="shared" si="32"/>
        <v>0</v>
      </c>
      <c r="AU100" s="725">
        <f t="shared" si="32"/>
        <v>0</v>
      </c>
      <c r="AV100" s="725">
        <f t="shared" si="32"/>
        <v>0</v>
      </c>
      <c r="AW100" s="725">
        <f t="shared" si="32"/>
        <v>0</v>
      </c>
      <c r="AX100" s="725">
        <f t="shared" si="32"/>
        <v>0</v>
      </c>
      <c r="AY100" s="726">
        <f t="shared" si="32"/>
        <v>0</v>
      </c>
      <c r="AZ100" s="727">
        <f t="shared" si="32"/>
        <v>0</v>
      </c>
      <c r="BA100" s="724">
        <f t="shared" si="32"/>
        <v>0</v>
      </c>
      <c r="BB100" s="728">
        <f t="shared" si="32"/>
        <v>0</v>
      </c>
      <c r="BD100" s="1284">
        <f t="shared" ref="BD100:BQ100" si="33">SUM(BD96:BD99)</f>
        <v>0</v>
      </c>
      <c r="BE100" s="1285">
        <f t="shared" si="33"/>
        <v>0</v>
      </c>
      <c r="BF100" s="1285">
        <f t="shared" si="33"/>
        <v>0</v>
      </c>
      <c r="BG100" s="1285">
        <f t="shared" si="33"/>
        <v>0</v>
      </c>
      <c r="BH100" s="1285">
        <f t="shared" si="33"/>
        <v>0</v>
      </c>
      <c r="BI100" s="1285">
        <f t="shared" si="33"/>
        <v>0</v>
      </c>
      <c r="BJ100" s="1285">
        <f t="shared" si="33"/>
        <v>0</v>
      </c>
      <c r="BK100" s="1285">
        <f t="shared" si="33"/>
        <v>0</v>
      </c>
      <c r="BL100" s="1288">
        <f t="shared" si="33"/>
        <v>0</v>
      </c>
      <c r="BM100" s="1286">
        <f t="shared" si="33"/>
        <v>0</v>
      </c>
      <c r="BN100" s="1284">
        <f t="shared" si="33"/>
        <v>0</v>
      </c>
      <c r="BO100" s="1289">
        <f t="shared" si="33"/>
        <v>0</v>
      </c>
      <c r="BP100" s="1284">
        <f t="shared" si="33"/>
        <v>0</v>
      </c>
      <c r="BQ100" s="1289">
        <f t="shared" si="33"/>
        <v>0</v>
      </c>
    </row>
    <row r="101" spans="2:69" outlineLevel="1" x14ac:dyDescent="0.2">
      <c r="B101" s="332"/>
      <c r="C101" s="332"/>
      <c r="AP101" s="40"/>
      <c r="BD101" s="602"/>
      <c r="BE101" s="602"/>
      <c r="BF101" s="602"/>
      <c r="BG101" s="602"/>
      <c r="BH101" s="602"/>
      <c r="BI101" s="602"/>
      <c r="BJ101" s="602"/>
      <c r="BK101" s="602"/>
      <c r="BL101" s="602"/>
      <c r="BM101" s="602"/>
      <c r="BN101" s="602"/>
      <c r="BO101" s="602"/>
    </row>
    <row r="102" spans="2:69" outlineLevel="1" x14ac:dyDescent="0.2">
      <c r="B102" s="195" t="s">
        <v>3080</v>
      </c>
      <c r="C102" s="196"/>
      <c r="D102" s="500"/>
      <c r="E102" s="500"/>
      <c r="F102" s="196"/>
      <c r="G102" s="196"/>
      <c r="H102" s="196"/>
      <c r="I102" s="198"/>
      <c r="J102" s="198"/>
      <c r="K102" s="198"/>
      <c r="L102" s="198"/>
      <c r="M102" s="198"/>
      <c r="N102" s="198"/>
      <c r="O102" s="199"/>
      <c r="P102" s="42"/>
      <c r="Y102" s="1746" t="s">
        <v>723</v>
      </c>
      <c r="Z102" s="1747"/>
      <c r="AA102" s="1748"/>
      <c r="AF102" s="1746" t="s">
        <v>2066</v>
      </c>
      <c r="AG102" s="1747"/>
      <c r="AH102" s="1747"/>
      <c r="AI102" s="1748"/>
      <c r="AP102" s="40"/>
      <c r="AQ102" s="1755" t="s">
        <v>2073</v>
      </c>
      <c r="AR102" s="1756"/>
      <c r="AS102" s="1756"/>
      <c r="AT102" s="1756"/>
      <c r="AU102" s="1756"/>
      <c r="AV102" s="1757"/>
      <c r="BD102" s="1843" t="s">
        <v>2719</v>
      </c>
      <c r="BE102" s="1844"/>
      <c r="BF102" s="1844"/>
      <c r="BG102" s="1844"/>
      <c r="BH102" s="1844"/>
      <c r="BI102" s="1844"/>
      <c r="BJ102" s="1845"/>
      <c r="BK102" s="602"/>
      <c r="BL102" s="602"/>
      <c r="BM102" s="602"/>
      <c r="BN102" s="602"/>
      <c r="BO102" s="602"/>
    </row>
    <row r="103" spans="2:69" ht="12.75" customHeight="1" outlineLevel="1" x14ac:dyDescent="0.2">
      <c r="B103" s="417"/>
      <c r="C103" s="225"/>
      <c r="D103" s="503"/>
      <c r="E103" s="503"/>
      <c r="F103" s="225"/>
      <c r="G103" s="225"/>
      <c r="H103" s="225"/>
      <c r="I103" s="225"/>
      <c r="J103" s="225"/>
      <c r="K103" s="225"/>
      <c r="L103" s="201"/>
      <c r="M103" s="201"/>
      <c r="N103" s="201"/>
      <c r="O103" s="203"/>
      <c r="P103" s="42"/>
      <c r="Y103" s="507"/>
      <c r="Z103" s="504"/>
      <c r="AA103" s="203"/>
      <c r="AF103" s="507"/>
      <c r="AG103" s="504"/>
      <c r="AH103" s="504"/>
      <c r="AI103" s="203"/>
      <c r="AP103" s="40"/>
      <c r="AQ103" s="778"/>
      <c r="AR103" s="779"/>
      <c r="AS103" s="779"/>
      <c r="AT103" s="779"/>
      <c r="AU103" s="741"/>
      <c r="AV103" s="780"/>
      <c r="BD103" s="1270"/>
      <c r="BE103" s="1271"/>
      <c r="BF103" s="1271"/>
      <c r="BG103" s="1271"/>
      <c r="BH103" s="1272"/>
      <c r="BI103" s="1273"/>
      <c r="BJ103" s="1273"/>
      <c r="BK103" s="602"/>
      <c r="BL103" s="602"/>
      <c r="BM103" s="602"/>
      <c r="BN103" s="602"/>
      <c r="BO103" s="602"/>
    </row>
    <row r="104" spans="2:69" outlineLevel="1" x14ac:dyDescent="0.2">
      <c r="B104" s="200"/>
      <c r="C104" s="201"/>
      <c r="D104" s="504" t="s">
        <v>56</v>
      </c>
      <c r="E104" s="504" t="s">
        <v>56</v>
      </c>
      <c r="F104" s="205" t="s">
        <v>2712</v>
      </c>
      <c r="G104" s="1637" t="s">
        <v>1426</v>
      </c>
      <c r="H104" s="205" t="s">
        <v>2686</v>
      </c>
      <c r="I104" s="205" t="s">
        <v>2723</v>
      </c>
      <c r="J104" s="205" t="s">
        <v>2724</v>
      </c>
      <c r="K104" s="504" t="s">
        <v>61</v>
      </c>
      <c r="L104" s="504" t="s">
        <v>61</v>
      </c>
      <c r="M104" s="504" t="s">
        <v>61</v>
      </c>
      <c r="N104" s="205" t="s">
        <v>2715</v>
      </c>
      <c r="O104" s="509" t="s">
        <v>61</v>
      </c>
      <c r="P104" s="42"/>
      <c r="Y104" s="1638" t="s">
        <v>2605</v>
      </c>
      <c r="Z104" s="504" t="s">
        <v>2110</v>
      </c>
      <c r="AA104" s="509" t="s">
        <v>61</v>
      </c>
      <c r="AF104" s="507" t="s">
        <v>2065</v>
      </c>
      <c r="AG104" s="503" t="s">
        <v>61</v>
      </c>
      <c r="AH104" s="504" t="s">
        <v>2558</v>
      </c>
      <c r="AI104" s="509" t="s">
        <v>61</v>
      </c>
      <c r="AP104" s="40"/>
      <c r="AQ104" s="1739" t="s">
        <v>61</v>
      </c>
      <c r="AR104" s="1740"/>
      <c r="AS104" s="1740"/>
      <c r="AT104" s="1740"/>
      <c r="AU104" s="741" t="s">
        <v>61</v>
      </c>
      <c r="AV104" s="742"/>
      <c r="BD104" s="1846" t="s">
        <v>61</v>
      </c>
      <c r="BE104" s="1847"/>
      <c r="BF104" s="1847"/>
      <c r="BG104" s="1847"/>
      <c r="BH104" s="1272" t="s">
        <v>61</v>
      </c>
      <c r="BI104" s="1274"/>
      <c r="BJ104" s="1278" t="s">
        <v>723</v>
      </c>
      <c r="BK104" s="602"/>
      <c r="BL104" s="602"/>
      <c r="BM104" s="602"/>
      <c r="BN104" s="602"/>
      <c r="BO104" s="602"/>
    </row>
    <row r="105" spans="2:69" outlineLevel="1" x14ac:dyDescent="0.2">
      <c r="B105" s="507"/>
      <c r="C105" s="504"/>
      <c r="D105" s="504" t="s">
        <v>61</v>
      </c>
      <c r="E105" s="504" t="s">
        <v>63</v>
      </c>
      <c r="F105" s="208" t="s">
        <v>2713</v>
      </c>
      <c r="G105" s="1637" t="s">
        <v>2722</v>
      </c>
      <c r="H105" s="208" t="s">
        <v>39</v>
      </c>
      <c r="I105" s="208" t="s">
        <v>2725</v>
      </c>
      <c r="J105" s="208" t="s">
        <v>2725</v>
      </c>
      <c r="K105" s="504" t="s">
        <v>2726</v>
      </c>
      <c r="L105" s="1637" t="s">
        <v>2727</v>
      </c>
      <c r="M105" s="1637" t="s">
        <v>2728</v>
      </c>
      <c r="N105" s="208" t="s">
        <v>2716</v>
      </c>
      <c r="O105" s="509"/>
      <c r="P105" s="42"/>
      <c r="Y105" s="1638" t="s">
        <v>2063</v>
      </c>
      <c r="Z105" s="504"/>
      <c r="AA105" s="509"/>
      <c r="AF105" s="507"/>
      <c r="AG105" s="503"/>
      <c r="AH105" s="504"/>
      <c r="AI105" s="509"/>
      <c r="AP105" s="40"/>
      <c r="AQ105" s="744" t="s">
        <v>14</v>
      </c>
      <c r="AR105" s="745" t="s">
        <v>60</v>
      </c>
      <c r="AS105" s="745" t="s">
        <v>27</v>
      </c>
      <c r="AT105" s="745" t="s">
        <v>2074</v>
      </c>
      <c r="AU105" s="746" t="s">
        <v>41</v>
      </c>
      <c r="AV105" s="747" t="s">
        <v>85</v>
      </c>
      <c r="BD105" s="1275" t="s">
        <v>14</v>
      </c>
      <c r="BE105" s="1276" t="s">
        <v>60</v>
      </c>
      <c r="BF105" s="1276" t="s">
        <v>27</v>
      </c>
      <c r="BG105" s="1276" t="s">
        <v>2074</v>
      </c>
      <c r="BH105" s="1277" t="s">
        <v>41</v>
      </c>
      <c r="BI105" s="1278" t="s">
        <v>85</v>
      </c>
      <c r="BJ105" s="1278" t="s">
        <v>61</v>
      </c>
      <c r="BK105" s="602"/>
      <c r="BL105" s="602"/>
      <c r="BM105" s="602"/>
      <c r="BN105" s="602"/>
      <c r="BO105" s="602"/>
    </row>
    <row r="106" spans="2:69" outlineLevel="1" x14ac:dyDescent="0.2">
      <c r="B106" s="200" t="s">
        <v>164</v>
      </c>
      <c r="C106" s="234"/>
      <c r="D106" s="262">
        <f>O106</f>
        <v>0</v>
      </c>
      <c r="E106" s="265">
        <f>D106*12/44</f>
        <v>0</v>
      </c>
      <c r="F106" s="523"/>
      <c r="G106" s="548" t="str">
        <f>VLOOKUP($B106,'Emissions factors'!$B$2377:$H$2384,2,FALSE)</f>
        <v>150 to 300</v>
      </c>
      <c r="H106" s="388"/>
      <c r="I106" s="182"/>
      <c r="J106" s="182"/>
      <c r="K106" s="276">
        <f>VLOOKUP($B106,'Emissions factors'!$B$2377:$H$2384,4,FALSE)</f>
        <v>367</v>
      </c>
      <c r="L106" s="276">
        <f>VLOOKUP($B106,'Emissions factors'!$B$2377:$H$2384,5,FALSE)</f>
        <v>198</v>
      </c>
      <c r="M106" s="276">
        <f>VLOOKUP($B106,'Emissions factors'!$B$2377:$H$2384,6,FALSE)</f>
        <v>103</v>
      </c>
      <c r="N106" s="182"/>
      <c r="O106" s="211">
        <f>IF(N106=0,0,(I106*J106*IF(H106="C",K106,IF(H106="S",L106,M106)))/N106)</f>
        <v>0</v>
      </c>
      <c r="P106" s="42"/>
      <c r="Y106" s="282">
        <f>VLOOKUP($B106,'Emissions factors'!$B$2377:$H$2384,7,FALSE)</f>
        <v>0.15</v>
      </c>
      <c r="Z106" s="183"/>
      <c r="AA106" s="211">
        <f>O106*SQRT(Y106^2+Z106^2)</f>
        <v>0</v>
      </c>
      <c r="AB106" s="42"/>
      <c r="AF106" s="184"/>
      <c r="AG106" s="210">
        <f>AF106*O106</f>
        <v>0</v>
      </c>
      <c r="AH106" s="184"/>
      <c r="AI106" s="211">
        <f>AH106*O106</f>
        <v>0</v>
      </c>
      <c r="AP106" s="40"/>
      <c r="AQ106" s="717"/>
      <c r="AR106" s="718"/>
      <c r="AS106" s="718"/>
      <c r="AT106" s="718"/>
      <c r="AU106" s="720">
        <f>O106</f>
        <v>0</v>
      </c>
      <c r="AV106" s="748"/>
      <c r="BD106" s="1279" t="str">
        <f t="shared" ref="BD106:BI109" si="34">IF($F106="Yes",IF(AQ106="","",AQ106*$N106),"")</f>
        <v/>
      </c>
      <c r="BE106" s="1280" t="str">
        <f t="shared" si="34"/>
        <v/>
      </c>
      <c r="BF106" s="1280" t="str">
        <f t="shared" si="34"/>
        <v/>
      </c>
      <c r="BG106" s="1280" t="str">
        <f t="shared" si="34"/>
        <v/>
      </c>
      <c r="BH106" s="1281" t="str">
        <f t="shared" si="34"/>
        <v/>
      </c>
      <c r="BI106" s="1282" t="str">
        <f t="shared" si="34"/>
        <v/>
      </c>
      <c r="BJ106" s="1282" t="str">
        <f>IF($F106="Yes",IF(AA106="","",AA106*$N106),"")</f>
        <v/>
      </c>
      <c r="BK106" s="602"/>
      <c r="BL106" s="602"/>
      <c r="BM106" s="602"/>
      <c r="BN106" s="602"/>
      <c r="BO106" s="602"/>
    </row>
    <row r="107" spans="2:69" outlineLevel="1" x14ac:dyDescent="0.2">
      <c r="B107" s="200" t="s">
        <v>167</v>
      </c>
      <c r="C107" s="234"/>
      <c r="D107" s="262">
        <f>O107</f>
        <v>0</v>
      </c>
      <c r="E107" s="265">
        <f>D107*12/44</f>
        <v>0</v>
      </c>
      <c r="F107" s="524"/>
      <c r="G107" s="548" t="str">
        <f>VLOOKUP($B107,'Emissions factors'!$B$2377:$H$2384,2,FALSE)</f>
        <v>2 000 to 5000</v>
      </c>
      <c r="H107" s="389"/>
      <c r="I107" s="185"/>
      <c r="J107" s="185"/>
      <c r="K107" s="276">
        <f>VLOOKUP($B107,'Emissions factors'!$B$2377:$H$2384,4,FALSE)</f>
        <v>458</v>
      </c>
      <c r="L107" s="276">
        <f>VLOOKUP($B107,'Emissions factors'!$B$2377:$H$2384,5,FALSE)</f>
        <v>238</v>
      </c>
      <c r="M107" s="276">
        <f>VLOOKUP($B107,'Emissions factors'!$B$2377:$H$2384,6,FALSE)</f>
        <v>147</v>
      </c>
      <c r="N107" s="185"/>
      <c r="O107" s="211">
        <f>IF(N107=0,0,(I107*J107*IF(H107="C",K107,IF(H107="S",L107,M107)))/N107)</f>
        <v>0</v>
      </c>
      <c r="P107" s="42"/>
      <c r="Y107" s="282">
        <f>VLOOKUP($B107,'Emissions factors'!$B$2377:$H$2384,7,FALSE)</f>
        <v>0.15</v>
      </c>
      <c r="Z107" s="186"/>
      <c r="AA107" s="211">
        <f>O107*SQRT(Y107^2+Z107^2)</f>
        <v>0</v>
      </c>
      <c r="AB107" s="42"/>
      <c r="AF107" s="187"/>
      <c r="AG107" s="210">
        <f>AF107*O107</f>
        <v>0</v>
      </c>
      <c r="AH107" s="187"/>
      <c r="AI107" s="211">
        <f>AH107*O107</f>
        <v>0</v>
      </c>
      <c r="AP107" s="40"/>
      <c r="AQ107" s="717"/>
      <c r="AR107" s="718"/>
      <c r="AS107" s="718"/>
      <c r="AT107" s="718"/>
      <c r="AU107" s="720">
        <f>O107</f>
        <v>0</v>
      </c>
      <c r="AV107" s="748"/>
      <c r="BD107" s="1279" t="str">
        <f t="shared" si="34"/>
        <v/>
      </c>
      <c r="BE107" s="1280" t="str">
        <f t="shared" si="34"/>
        <v/>
      </c>
      <c r="BF107" s="1280" t="str">
        <f t="shared" si="34"/>
        <v/>
      </c>
      <c r="BG107" s="1280" t="str">
        <f t="shared" si="34"/>
        <v/>
      </c>
      <c r="BH107" s="1281" t="str">
        <f t="shared" si="34"/>
        <v/>
      </c>
      <c r="BI107" s="1282" t="str">
        <f t="shared" si="34"/>
        <v/>
      </c>
      <c r="BJ107" s="1282" t="str">
        <f>IF($F107="Yes",IF(AA107="","",AA107*$N107),"")</f>
        <v/>
      </c>
      <c r="BK107" s="602"/>
      <c r="BL107" s="602"/>
      <c r="BM107" s="602"/>
      <c r="BN107" s="602"/>
      <c r="BO107" s="602"/>
    </row>
    <row r="108" spans="2:69" outlineLevel="1" x14ac:dyDescent="0.2">
      <c r="B108" s="200" t="s">
        <v>166</v>
      </c>
      <c r="C108" s="234"/>
      <c r="D108" s="262">
        <f>O108</f>
        <v>0</v>
      </c>
      <c r="E108" s="265">
        <f>D108*12/44</f>
        <v>0</v>
      </c>
      <c r="F108" s="525"/>
      <c r="G108" s="548" t="str">
        <f>VLOOKUP($B108,'Emissions factors'!$B$2377:$H$2384,2,FALSE)</f>
        <v>750 to 2 000</v>
      </c>
      <c r="H108" s="390"/>
      <c r="I108" s="188"/>
      <c r="J108" s="188"/>
      <c r="K108" s="276">
        <f>VLOOKUP($B108,'Emissions factors'!$B$2377:$H$2384,4,FALSE)</f>
        <v>422</v>
      </c>
      <c r="L108" s="276">
        <f>VLOOKUP($B108,'Emissions factors'!$B$2377:$H$2384,5,FALSE)</f>
        <v>220</v>
      </c>
      <c r="M108" s="276">
        <f>VLOOKUP($B108,'Emissions factors'!$B$2377:$H$2384,6,FALSE)</f>
        <v>136</v>
      </c>
      <c r="N108" s="188"/>
      <c r="O108" s="211">
        <f>IF(N108=0,0,(I108*J108*IF(H108="C",K108,IF(H108="S",L108,M108)))/N108)</f>
        <v>0</v>
      </c>
      <c r="P108" s="42"/>
      <c r="Y108" s="282">
        <f>VLOOKUP($B108,'Emissions factors'!$B$2377:$H$2384,7,FALSE)</f>
        <v>0.15</v>
      </c>
      <c r="Z108" s="189"/>
      <c r="AA108" s="211">
        <f>O108*SQRT(Y108^2+Z108^2)</f>
        <v>0</v>
      </c>
      <c r="AB108" s="42"/>
      <c r="AF108" s="190"/>
      <c r="AG108" s="210">
        <f>AF108*O108</f>
        <v>0</v>
      </c>
      <c r="AH108" s="190"/>
      <c r="AI108" s="211">
        <f>AH108*O108</f>
        <v>0</v>
      </c>
      <c r="AP108" s="40"/>
      <c r="AQ108" s="717"/>
      <c r="AR108" s="718"/>
      <c r="AS108" s="718"/>
      <c r="AT108" s="718"/>
      <c r="AU108" s="720">
        <f>O108</f>
        <v>0</v>
      </c>
      <c r="AV108" s="748"/>
      <c r="BD108" s="1279" t="str">
        <f t="shared" si="34"/>
        <v/>
      </c>
      <c r="BE108" s="1280" t="str">
        <f t="shared" si="34"/>
        <v/>
      </c>
      <c r="BF108" s="1280" t="str">
        <f t="shared" si="34"/>
        <v/>
      </c>
      <c r="BG108" s="1280" t="str">
        <f t="shared" si="34"/>
        <v/>
      </c>
      <c r="BH108" s="1281" t="str">
        <f t="shared" si="34"/>
        <v/>
      </c>
      <c r="BI108" s="1282" t="str">
        <f t="shared" si="34"/>
        <v/>
      </c>
      <c r="BJ108" s="1282" t="str">
        <f>IF($F108="Yes",IF(AA108="","",AA108*$N108),"")</f>
        <v/>
      </c>
      <c r="BK108" s="602"/>
      <c r="BL108" s="602"/>
      <c r="BM108" s="602"/>
      <c r="BN108" s="602"/>
      <c r="BO108" s="602"/>
    </row>
    <row r="109" spans="2:69" outlineLevel="1" x14ac:dyDescent="0.2">
      <c r="B109" s="200"/>
      <c r="C109" s="201"/>
      <c r="D109" s="275"/>
      <c r="E109" s="268"/>
      <c r="F109" s="201"/>
      <c r="G109" s="201"/>
      <c r="H109" s="201"/>
      <c r="I109" s="201"/>
      <c r="J109" s="201"/>
      <c r="K109" s="201"/>
      <c r="L109" s="201"/>
      <c r="M109" s="201"/>
      <c r="N109" s="214"/>
      <c r="O109" s="222"/>
      <c r="P109" s="42"/>
      <c r="Y109" s="220"/>
      <c r="Z109" s="201"/>
      <c r="AA109" s="222"/>
      <c r="AB109" s="42"/>
      <c r="AF109" s="200"/>
      <c r="AG109" s="504"/>
      <c r="AH109" s="201"/>
      <c r="AI109" s="222"/>
      <c r="AP109" s="40"/>
      <c r="AQ109" s="717"/>
      <c r="AR109" s="718"/>
      <c r="AS109" s="718"/>
      <c r="AT109" s="718"/>
      <c r="AU109" s="720"/>
      <c r="AV109" s="749"/>
      <c r="BD109" s="1279" t="str">
        <f t="shared" si="34"/>
        <v/>
      </c>
      <c r="BE109" s="1280" t="str">
        <f t="shared" si="34"/>
        <v/>
      </c>
      <c r="BF109" s="1280" t="str">
        <f t="shared" si="34"/>
        <v/>
      </c>
      <c r="BG109" s="1280" t="str">
        <f t="shared" si="34"/>
        <v/>
      </c>
      <c r="BH109" s="1281" t="str">
        <f t="shared" si="34"/>
        <v/>
      </c>
      <c r="BI109" s="1283" t="str">
        <f t="shared" si="34"/>
        <v/>
      </c>
      <c r="BJ109" s="1282" t="str">
        <f>IF($F109="Yes",IF(AA109="","",AA109*$N109),"")</f>
        <v/>
      </c>
      <c r="BK109" s="602"/>
      <c r="BL109" s="602"/>
      <c r="BM109" s="602"/>
      <c r="BN109" s="602"/>
      <c r="BO109" s="602"/>
    </row>
    <row r="110" spans="2:69" outlineLevel="1" x14ac:dyDescent="0.2">
      <c r="B110" s="253" t="s">
        <v>44</v>
      </c>
      <c r="C110" s="254"/>
      <c r="D110" s="264">
        <f>SUM(D106:D109)</f>
        <v>0</v>
      </c>
      <c r="E110" s="267">
        <f>SUM(E106:E109)</f>
        <v>0</v>
      </c>
      <c r="F110" s="254"/>
      <c r="G110" s="254"/>
      <c r="H110" s="254"/>
      <c r="I110" s="256"/>
      <c r="J110" s="256"/>
      <c r="K110" s="256"/>
      <c r="L110" s="256"/>
      <c r="M110" s="256"/>
      <c r="N110" s="459"/>
      <c r="O110" s="257">
        <f>SUM(O106:O109)</f>
        <v>0</v>
      </c>
      <c r="P110" s="42"/>
      <c r="X110" s="314"/>
      <c r="Y110" s="258"/>
      <c r="Z110" s="256"/>
      <c r="AA110" s="545">
        <f>SQRT(SUMSQ(AA106:AA109))</f>
        <v>0</v>
      </c>
      <c r="AB110" s="42"/>
      <c r="AF110" s="258"/>
      <c r="AG110" s="259">
        <f>SUM(AG106:AG109)</f>
        <v>0</v>
      </c>
      <c r="AH110" s="256"/>
      <c r="AI110" s="257">
        <f>SUM(AI106:AI109)</f>
        <v>0</v>
      </c>
      <c r="AP110" s="40"/>
      <c r="AQ110" s="724">
        <f t="shared" ref="AQ110:AV110" si="35">SUM(AQ106:AQ109)</f>
        <v>0</v>
      </c>
      <c r="AR110" s="725">
        <f t="shared" si="35"/>
        <v>0</v>
      </c>
      <c r="AS110" s="725">
        <f t="shared" si="35"/>
        <v>0</v>
      </c>
      <c r="AT110" s="725">
        <f t="shared" si="35"/>
        <v>0</v>
      </c>
      <c r="AU110" s="727">
        <f t="shared" si="35"/>
        <v>0</v>
      </c>
      <c r="AV110" s="750">
        <f t="shared" si="35"/>
        <v>0</v>
      </c>
      <c r="BD110" s="1284">
        <f t="shared" ref="BD110:BI110" si="36">SUM(BD106:BD109)</f>
        <v>0</v>
      </c>
      <c r="BE110" s="1285">
        <f t="shared" si="36"/>
        <v>0</v>
      </c>
      <c r="BF110" s="1285">
        <f t="shared" si="36"/>
        <v>0</v>
      </c>
      <c r="BG110" s="1285">
        <f t="shared" si="36"/>
        <v>0</v>
      </c>
      <c r="BH110" s="1286">
        <f t="shared" si="36"/>
        <v>0</v>
      </c>
      <c r="BI110" s="1287">
        <f t="shared" si="36"/>
        <v>0</v>
      </c>
      <c r="BJ110" s="1287">
        <f>SUM(BJ105:BJ109)</f>
        <v>0</v>
      </c>
      <c r="BK110" s="602"/>
      <c r="BL110" s="602"/>
      <c r="BM110" s="602"/>
      <c r="BN110" s="602"/>
      <c r="BO110" s="602"/>
    </row>
    <row r="111" spans="2:69" outlineLevel="1" x14ac:dyDescent="0.2">
      <c r="B111" s="42"/>
      <c r="C111" s="42"/>
      <c r="D111" s="42"/>
      <c r="E111" s="42"/>
      <c r="F111" s="42"/>
      <c r="G111" s="42"/>
      <c r="H111" s="42"/>
      <c r="I111" s="42"/>
      <c r="J111" s="42"/>
      <c r="K111" s="42"/>
      <c r="L111" s="42"/>
      <c r="M111" s="42"/>
      <c r="N111" s="42"/>
      <c r="O111" s="42"/>
      <c r="P111" s="42"/>
      <c r="Q111" s="42"/>
      <c r="AP111" s="40"/>
      <c r="BD111" s="602"/>
      <c r="BE111" s="602"/>
      <c r="BF111" s="602"/>
      <c r="BG111" s="602"/>
      <c r="BH111" s="602"/>
      <c r="BI111" s="602"/>
      <c r="BJ111" s="602"/>
      <c r="BK111" s="602"/>
      <c r="BL111" s="602"/>
      <c r="BM111" s="602"/>
      <c r="BN111" s="602"/>
      <c r="BO111" s="602"/>
    </row>
    <row r="112" spans="2:69" outlineLevel="1" x14ac:dyDescent="0.2">
      <c r="B112" s="195" t="s">
        <v>3084</v>
      </c>
      <c r="C112" s="196"/>
      <c r="D112" s="500"/>
      <c r="E112" s="500"/>
      <c r="F112" s="198"/>
      <c r="G112" s="198"/>
      <c r="H112" s="198"/>
      <c r="I112" s="198"/>
      <c r="J112" s="199"/>
      <c r="K112" s="42"/>
      <c r="O112" s="42"/>
      <c r="T112" s="42"/>
      <c r="Y112" s="1746" t="s">
        <v>723</v>
      </c>
      <c r="Z112" s="1747"/>
      <c r="AA112" s="1748"/>
      <c r="AF112" s="1746" t="s">
        <v>2066</v>
      </c>
      <c r="AG112" s="1747"/>
      <c r="AH112" s="1747"/>
      <c r="AI112" s="1748"/>
      <c r="AP112" s="40"/>
      <c r="AQ112" s="1755" t="s">
        <v>2073</v>
      </c>
      <c r="AR112" s="1756"/>
      <c r="AS112" s="1756"/>
      <c r="AT112" s="1756"/>
      <c r="AU112" s="1756"/>
      <c r="AV112" s="1757"/>
      <c r="BD112" s="1843" t="s">
        <v>2719</v>
      </c>
      <c r="BE112" s="1844"/>
      <c r="BF112" s="1844"/>
      <c r="BG112" s="1844"/>
      <c r="BH112" s="1844"/>
      <c r="BI112" s="1844"/>
      <c r="BJ112" s="1845"/>
      <c r="BK112" s="602"/>
      <c r="BL112" s="602"/>
      <c r="BM112" s="602"/>
      <c r="BN112" s="602"/>
      <c r="BO112" s="602"/>
    </row>
    <row r="113" spans="2:67" ht="12.75" customHeight="1" outlineLevel="1" x14ac:dyDescent="0.2">
      <c r="B113" s="417"/>
      <c r="C113" s="225"/>
      <c r="D113" s="503"/>
      <c r="E113" s="503"/>
      <c r="F113" s="201"/>
      <c r="G113" s="201"/>
      <c r="H113" s="201"/>
      <c r="I113" s="201"/>
      <c r="J113" s="203"/>
      <c r="K113" s="42"/>
      <c r="O113" s="42"/>
      <c r="T113" s="42"/>
      <c r="Y113" s="507"/>
      <c r="Z113" s="504"/>
      <c r="AA113" s="203"/>
      <c r="AF113" s="507"/>
      <c r="AG113" s="504"/>
      <c r="AH113" s="504"/>
      <c r="AI113" s="203"/>
      <c r="AP113" s="40"/>
      <c r="AQ113" s="778"/>
      <c r="AR113" s="779"/>
      <c r="AS113" s="779"/>
      <c r="AT113" s="779"/>
      <c r="AU113" s="741"/>
      <c r="AV113" s="780"/>
      <c r="BD113" s="1270"/>
      <c r="BE113" s="1271"/>
      <c r="BF113" s="1271"/>
      <c r="BG113" s="1271"/>
      <c r="BH113" s="1272"/>
      <c r="BI113" s="1273"/>
      <c r="BJ113" s="1273"/>
      <c r="BK113" s="602"/>
      <c r="BL113" s="602"/>
      <c r="BM113" s="602"/>
      <c r="BN113" s="602"/>
      <c r="BO113" s="602"/>
    </row>
    <row r="114" spans="2:67" outlineLevel="1" x14ac:dyDescent="0.2">
      <c r="B114" s="200"/>
      <c r="C114" s="201"/>
      <c r="D114" s="504" t="s">
        <v>56</v>
      </c>
      <c r="E114" s="504" t="s">
        <v>56</v>
      </c>
      <c r="F114" s="205" t="s">
        <v>2712</v>
      </c>
      <c r="G114" s="205" t="s">
        <v>2723</v>
      </c>
      <c r="H114" s="504" t="s">
        <v>61</v>
      </c>
      <c r="I114" s="205" t="s">
        <v>2715</v>
      </c>
      <c r="J114" s="509" t="s">
        <v>61</v>
      </c>
      <c r="K114" s="42"/>
      <c r="O114" s="42"/>
      <c r="T114" s="42"/>
      <c r="Y114" s="1638" t="s">
        <v>2605</v>
      </c>
      <c r="Z114" s="504" t="s">
        <v>2110</v>
      </c>
      <c r="AA114" s="509" t="s">
        <v>61</v>
      </c>
      <c r="AF114" s="507" t="s">
        <v>2065</v>
      </c>
      <c r="AG114" s="503" t="s">
        <v>61</v>
      </c>
      <c r="AH114" s="504" t="s">
        <v>2558</v>
      </c>
      <c r="AI114" s="509" t="s">
        <v>61</v>
      </c>
      <c r="AP114" s="40"/>
      <c r="AQ114" s="1739" t="s">
        <v>61</v>
      </c>
      <c r="AR114" s="1740"/>
      <c r="AS114" s="1740"/>
      <c r="AT114" s="1740"/>
      <c r="AU114" s="741" t="s">
        <v>61</v>
      </c>
      <c r="AV114" s="742"/>
      <c r="BD114" s="1846" t="s">
        <v>61</v>
      </c>
      <c r="BE114" s="1847"/>
      <c r="BF114" s="1847"/>
      <c r="BG114" s="1847"/>
      <c r="BH114" s="1272" t="s">
        <v>61</v>
      </c>
      <c r="BI114" s="1274"/>
      <c r="BJ114" s="1278" t="s">
        <v>723</v>
      </c>
      <c r="BK114" s="602"/>
      <c r="BL114" s="602"/>
      <c r="BM114" s="602"/>
      <c r="BN114" s="602"/>
      <c r="BO114" s="602"/>
    </row>
    <row r="115" spans="2:67" outlineLevel="1" x14ac:dyDescent="0.2">
      <c r="B115" s="507"/>
      <c r="C115" s="504"/>
      <c r="D115" s="504" t="s">
        <v>61</v>
      </c>
      <c r="E115" s="504" t="s">
        <v>63</v>
      </c>
      <c r="F115" s="208" t="s">
        <v>2713</v>
      </c>
      <c r="G115" s="208" t="s">
        <v>2725</v>
      </c>
      <c r="H115" s="1637" t="s">
        <v>2729</v>
      </c>
      <c r="I115" s="208" t="s">
        <v>2716</v>
      </c>
      <c r="J115" s="509"/>
      <c r="K115" s="42"/>
      <c r="O115" s="42"/>
      <c r="T115" s="42"/>
      <c r="Y115" s="1638" t="s">
        <v>2063</v>
      </c>
      <c r="Z115" s="504"/>
      <c r="AA115" s="509"/>
      <c r="AF115" s="507"/>
      <c r="AG115" s="503"/>
      <c r="AH115" s="504"/>
      <c r="AI115" s="509"/>
      <c r="AP115" s="40"/>
      <c r="AQ115" s="744" t="s">
        <v>14</v>
      </c>
      <c r="AR115" s="745" t="s">
        <v>60</v>
      </c>
      <c r="AS115" s="745" t="s">
        <v>27</v>
      </c>
      <c r="AT115" s="745" t="s">
        <v>2074</v>
      </c>
      <c r="AU115" s="746" t="s">
        <v>41</v>
      </c>
      <c r="AV115" s="747" t="s">
        <v>85</v>
      </c>
      <c r="BD115" s="1275" t="s">
        <v>14</v>
      </c>
      <c r="BE115" s="1276" t="s">
        <v>60</v>
      </c>
      <c r="BF115" s="1276" t="s">
        <v>27</v>
      </c>
      <c r="BG115" s="1276" t="s">
        <v>2074</v>
      </c>
      <c r="BH115" s="1277" t="s">
        <v>41</v>
      </c>
      <c r="BI115" s="1278" t="s">
        <v>85</v>
      </c>
      <c r="BJ115" s="1278" t="s">
        <v>61</v>
      </c>
      <c r="BK115" s="602"/>
      <c r="BL115" s="602"/>
      <c r="BM115" s="602"/>
      <c r="BN115" s="602"/>
      <c r="BO115" s="602"/>
    </row>
    <row r="116" spans="2:67" outlineLevel="1" x14ac:dyDescent="0.2">
      <c r="B116" s="200" t="s">
        <v>165</v>
      </c>
      <c r="C116" s="234"/>
      <c r="D116" s="262">
        <f>J116</f>
        <v>0</v>
      </c>
      <c r="E116" s="265">
        <f>D116*12/44</f>
        <v>0</v>
      </c>
      <c r="F116" s="523"/>
      <c r="G116" s="182"/>
      <c r="H116" s="276">
        <f>VLOOKUP($B116,'Emissions factors'!$B$2377:$J$2384,8,FALSE)</f>
        <v>321</v>
      </c>
      <c r="I116" s="182"/>
      <c r="J116" s="211">
        <f>IF(I116=0,0,G116*H116/I116)</f>
        <v>0</v>
      </c>
      <c r="K116" s="42"/>
      <c r="O116" s="42"/>
      <c r="T116" s="42"/>
      <c r="U116" s="314"/>
      <c r="Y116" s="282">
        <f>VLOOKUP($B116,'Emissions factors'!$B$2377:$J$2384,7,FALSE)</f>
        <v>0.15</v>
      </c>
      <c r="Z116" s="183"/>
      <c r="AA116" s="211">
        <f>J116*SQRT(Y116^2+Z116^2)</f>
        <v>0</v>
      </c>
      <c r="AF116" s="184"/>
      <c r="AG116" s="210">
        <f>AF116*J116</f>
        <v>0</v>
      </c>
      <c r="AH116" s="184"/>
      <c r="AI116" s="211">
        <f>AH116*J116</f>
        <v>0</v>
      </c>
      <c r="AP116" s="40"/>
      <c r="AQ116" s="717"/>
      <c r="AR116" s="718"/>
      <c r="AS116" s="718"/>
      <c r="AT116" s="718"/>
      <c r="AU116" s="720">
        <f>J116</f>
        <v>0</v>
      </c>
      <c r="AV116" s="748"/>
      <c r="BD116" s="1279" t="str">
        <f t="shared" ref="BD116:BI119" si="37">IF($F116="Yes",IF(AQ116="","",AQ116*$I116),"")</f>
        <v/>
      </c>
      <c r="BE116" s="1280" t="str">
        <f t="shared" si="37"/>
        <v/>
      </c>
      <c r="BF116" s="1280" t="str">
        <f t="shared" si="37"/>
        <v/>
      </c>
      <c r="BG116" s="1280" t="str">
        <f t="shared" si="37"/>
        <v/>
      </c>
      <c r="BH116" s="1281" t="str">
        <f t="shared" si="37"/>
        <v/>
      </c>
      <c r="BI116" s="1282" t="str">
        <f t="shared" si="37"/>
        <v/>
      </c>
      <c r="BJ116" s="1282" t="str">
        <f>IF($F116="Yes",IF(AA116="","",AA116*$I116),"")</f>
        <v/>
      </c>
      <c r="BK116" s="602"/>
      <c r="BL116" s="602"/>
      <c r="BM116" s="602"/>
      <c r="BN116" s="602"/>
      <c r="BO116" s="602"/>
    </row>
    <row r="117" spans="2:67" outlineLevel="1" x14ac:dyDescent="0.2">
      <c r="B117" s="200" t="s">
        <v>167</v>
      </c>
      <c r="C117" s="234"/>
      <c r="D117" s="262">
        <f>J117</f>
        <v>0</v>
      </c>
      <c r="E117" s="265">
        <f>D117*12/44</f>
        <v>0</v>
      </c>
      <c r="F117" s="524"/>
      <c r="G117" s="185"/>
      <c r="H117" s="276">
        <f>VLOOKUP($B117,'Emissions factors'!$B$2377:$J$2384,8,FALSE)</f>
        <v>1027</v>
      </c>
      <c r="I117" s="185"/>
      <c r="J117" s="211">
        <f>IF(I117=0,0,G117*H117/I117)</f>
        <v>0</v>
      </c>
      <c r="K117" s="42"/>
      <c r="O117" s="42"/>
      <c r="T117" s="42"/>
      <c r="U117" s="314"/>
      <c r="Y117" s="282">
        <f>VLOOKUP($B117,'Emissions factors'!$B$2377:$J$2384,7,FALSE)</f>
        <v>0.15</v>
      </c>
      <c r="Z117" s="186"/>
      <c r="AA117" s="211">
        <f>J117*SQRT(Y117^2+Z117^2)</f>
        <v>0</v>
      </c>
      <c r="AF117" s="187"/>
      <c r="AG117" s="210">
        <f>AF117*J117</f>
        <v>0</v>
      </c>
      <c r="AH117" s="187"/>
      <c r="AI117" s="211">
        <f>AH117*J117</f>
        <v>0</v>
      </c>
      <c r="AP117" s="40"/>
      <c r="AQ117" s="717"/>
      <c r="AR117" s="718"/>
      <c r="AS117" s="718"/>
      <c r="AT117" s="718"/>
      <c r="AU117" s="720">
        <f>J117</f>
        <v>0</v>
      </c>
      <c r="AV117" s="748"/>
      <c r="BD117" s="1279" t="str">
        <f t="shared" si="37"/>
        <v/>
      </c>
      <c r="BE117" s="1280" t="str">
        <f t="shared" si="37"/>
        <v/>
      </c>
      <c r="BF117" s="1280" t="str">
        <f t="shared" si="37"/>
        <v/>
      </c>
      <c r="BG117" s="1280" t="str">
        <f t="shared" si="37"/>
        <v/>
      </c>
      <c r="BH117" s="1281" t="str">
        <f t="shared" si="37"/>
        <v/>
      </c>
      <c r="BI117" s="1282" t="str">
        <f t="shared" si="37"/>
        <v/>
      </c>
      <c r="BJ117" s="1282" t="str">
        <f>IF($F117="Yes",IF(AA117="","",AA117*$I117),"")</f>
        <v/>
      </c>
      <c r="BK117" s="602"/>
      <c r="BL117" s="602"/>
      <c r="BM117" s="602"/>
      <c r="BN117" s="602"/>
      <c r="BO117" s="602"/>
    </row>
    <row r="118" spans="2:67" outlineLevel="1" x14ac:dyDescent="0.2">
      <c r="B118" s="200" t="s">
        <v>166</v>
      </c>
      <c r="C118" s="234"/>
      <c r="D118" s="262">
        <f>J118</f>
        <v>0</v>
      </c>
      <c r="E118" s="265">
        <f>D118*12/44</f>
        <v>0</v>
      </c>
      <c r="F118" s="525"/>
      <c r="G118" s="188"/>
      <c r="H118" s="276">
        <f>VLOOKUP($B118,'Emissions factors'!$B$2377:$J$2384,8,FALSE)</f>
        <v>1027</v>
      </c>
      <c r="I118" s="188"/>
      <c r="J118" s="211">
        <f>IF(I118=0,0,G118*H118/I118)</f>
        <v>0</v>
      </c>
      <c r="K118" s="42"/>
      <c r="O118" s="42"/>
      <c r="T118" s="42"/>
      <c r="U118" s="314"/>
      <c r="Y118" s="282">
        <f>VLOOKUP($B118,'Emissions factors'!$B$2377:$J$2384,7,FALSE)</f>
        <v>0.15</v>
      </c>
      <c r="Z118" s="189"/>
      <c r="AA118" s="211">
        <f>J118*SQRT(Y118^2+Z118^2)</f>
        <v>0</v>
      </c>
      <c r="AF118" s="190"/>
      <c r="AG118" s="210">
        <f>AF118*J118</f>
        <v>0</v>
      </c>
      <c r="AH118" s="190"/>
      <c r="AI118" s="211">
        <f>AH118*J118</f>
        <v>0</v>
      </c>
      <c r="AP118" s="40"/>
      <c r="AQ118" s="717"/>
      <c r="AR118" s="718"/>
      <c r="AS118" s="718"/>
      <c r="AT118" s="718"/>
      <c r="AU118" s="720">
        <f>J118</f>
        <v>0</v>
      </c>
      <c r="AV118" s="748"/>
      <c r="BD118" s="1279" t="str">
        <f t="shared" si="37"/>
        <v/>
      </c>
      <c r="BE118" s="1280" t="str">
        <f t="shared" si="37"/>
        <v/>
      </c>
      <c r="BF118" s="1280" t="str">
        <f t="shared" si="37"/>
        <v/>
      </c>
      <c r="BG118" s="1280" t="str">
        <f t="shared" si="37"/>
        <v/>
      </c>
      <c r="BH118" s="1281" t="str">
        <f t="shared" si="37"/>
        <v/>
      </c>
      <c r="BI118" s="1282" t="str">
        <f t="shared" si="37"/>
        <v/>
      </c>
      <c r="BJ118" s="1282" t="str">
        <f>IF($F118="Yes",IF(AA118="","",AA118*$I118),"")</f>
        <v/>
      </c>
      <c r="BK118" s="602"/>
      <c r="BL118" s="602"/>
      <c r="BM118" s="602"/>
      <c r="BN118" s="602"/>
      <c r="BO118" s="602"/>
    </row>
    <row r="119" spans="2:67" outlineLevel="1" x14ac:dyDescent="0.2">
      <c r="B119" s="200"/>
      <c r="C119" s="201"/>
      <c r="D119" s="275"/>
      <c r="E119" s="268"/>
      <c r="F119" s="201"/>
      <c r="G119" s="201"/>
      <c r="H119" s="201"/>
      <c r="I119" s="214"/>
      <c r="J119" s="203"/>
      <c r="K119" s="42"/>
      <c r="O119" s="42"/>
      <c r="T119" s="42"/>
      <c r="Y119" s="220"/>
      <c r="Z119" s="201"/>
      <c r="AA119" s="222"/>
      <c r="AF119" s="200"/>
      <c r="AG119" s="504"/>
      <c r="AH119" s="201"/>
      <c r="AI119" s="222"/>
      <c r="AP119" s="40"/>
      <c r="AQ119" s="717"/>
      <c r="AR119" s="718"/>
      <c r="AS119" s="718"/>
      <c r="AT119" s="718"/>
      <c r="AU119" s="720"/>
      <c r="AV119" s="749"/>
      <c r="BD119" s="1279" t="str">
        <f t="shared" si="37"/>
        <v/>
      </c>
      <c r="BE119" s="1280" t="str">
        <f t="shared" si="37"/>
        <v/>
      </c>
      <c r="BF119" s="1280" t="str">
        <f t="shared" si="37"/>
        <v/>
      </c>
      <c r="BG119" s="1280" t="str">
        <f t="shared" si="37"/>
        <v/>
      </c>
      <c r="BH119" s="1281" t="str">
        <f t="shared" si="37"/>
        <v/>
      </c>
      <c r="BI119" s="1283" t="str">
        <f t="shared" si="37"/>
        <v/>
      </c>
      <c r="BJ119" s="1282" t="str">
        <f>IF($F119="Yes",IF(AA119="","",AA119*$I119),"")</f>
        <v/>
      </c>
      <c r="BK119" s="602"/>
      <c r="BL119" s="602"/>
      <c r="BM119" s="602"/>
      <c r="BN119" s="602"/>
      <c r="BO119" s="602"/>
    </row>
    <row r="120" spans="2:67" outlineLevel="1" x14ac:dyDescent="0.2">
      <c r="B120" s="253" t="s">
        <v>44</v>
      </c>
      <c r="C120" s="254"/>
      <c r="D120" s="264">
        <f>SUM(D116:D119)</f>
        <v>0</v>
      </c>
      <c r="E120" s="267">
        <f>SUM(E116:E119)</f>
        <v>0</v>
      </c>
      <c r="F120" s="256"/>
      <c r="G120" s="256"/>
      <c r="H120" s="256"/>
      <c r="I120" s="459"/>
      <c r="J120" s="257">
        <f>SUM(J116:J119)</f>
        <v>0</v>
      </c>
      <c r="K120" s="42"/>
      <c r="O120" s="42"/>
      <c r="T120" s="42"/>
      <c r="X120" s="314"/>
      <c r="Y120" s="258"/>
      <c r="Z120" s="256"/>
      <c r="AA120" s="545">
        <f>SQRT(SUMSQ(AA116:AA119))</f>
        <v>0</v>
      </c>
      <c r="AF120" s="258"/>
      <c r="AG120" s="259">
        <f>SUM(AG116:AG119)</f>
        <v>0</v>
      </c>
      <c r="AH120" s="256"/>
      <c r="AI120" s="257">
        <f>SUM(AI116:AI119)</f>
        <v>0</v>
      </c>
      <c r="AP120" s="40"/>
      <c r="AQ120" s="724">
        <f t="shared" ref="AQ120:AV120" si="38">SUM(AQ115:AQ119)</f>
        <v>0</v>
      </c>
      <c r="AR120" s="725">
        <f t="shared" si="38"/>
        <v>0</v>
      </c>
      <c r="AS120" s="725">
        <f t="shared" si="38"/>
        <v>0</v>
      </c>
      <c r="AT120" s="725">
        <f t="shared" si="38"/>
        <v>0</v>
      </c>
      <c r="AU120" s="727">
        <f t="shared" si="38"/>
        <v>0</v>
      </c>
      <c r="AV120" s="750">
        <f t="shared" si="38"/>
        <v>0</v>
      </c>
      <c r="BD120" s="1284">
        <f t="shared" ref="BD120:BJ120" si="39">SUM(BD115:BD119)</f>
        <v>0</v>
      </c>
      <c r="BE120" s="1285">
        <f t="shared" si="39"/>
        <v>0</v>
      </c>
      <c r="BF120" s="1285">
        <f t="shared" si="39"/>
        <v>0</v>
      </c>
      <c r="BG120" s="1285">
        <f t="shared" si="39"/>
        <v>0</v>
      </c>
      <c r="BH120" s="1286">
        <f t="shared" si="39"/>
        <v>0</v>
      </c>
      <c r="BI120" s="1287">
        <f t="shared" si="39"/>
        <v>0</v>
      </c>
      <c r="BJ120" s="1287">
        <f t="shared" si="39"/>
        <v>0</v>
      </c>
      <c r="BK120" s="602"/>
      <c r="BL120" s="602"/>
      <c r="BM120" s="602"/>
      <c r="BN120" s="602"/>
      <c r="BO120" s="602"/>
    </row>
    <row r="121" spans="2:67" outlineLevel="1" x14ac:dyDescent="0.2">
      <c r="B121" s="42"/>
      <c r="C121" s="42"/>
      <c r="D121" s="42"/>
      <c r="E121" s="42"/>
      <c r="F121" s="42"/>
      <c r="G121" s="42"/>
      <c r="H121" s="42"/>
      <c r="I121" s="42"/>
      <c r="J121" s="42"/>
      <c r="K121" s="42"/>
      <c r="L121" s="42"/>
      <c r="M121" s="42"/>
      <c r="N121" s="42"/>
      <c r="O121" s="42"/>
      <c r="P121" s="42"/>
      <c r="Q121" s="42"/>
      <c r="AP121" s="40"/>
      <c r="BD121" s="602"/>
      <c r="BE121" s="602"/>
      <c r="BF121" s="602"/>
      <c r="BG121" s="602"/>
      <c r="BH121" s="602"/>
      <c r="BI121" s="602"/>
      <c r="BJ121" s="602"/>
      <c r="BK121" s="602"/>
      <c r="BL121" s="602"/>
      <c r="BM121" s="602"/>
      <c r="BN121" s="602"/>
      <c r="BO121" s="602"/>
    </row>
    <row r="122" spans="2:67" outlineLevel="2" x14ac:dyDescent="0.2">
      <c r="B122" s="195" t="s">
        <v>2783</v>
      </c>
      <c r="C122" s="196"/>
      <c r="D122" s="500"/>
      <c r="E122" s="500"/>
      <c r="F122" s="198"/>
      <c r="G122" s="198"/>
      <c r="H122" s="198"/>
      <c r="I122" s="198"/>
      <c r="J122" s="198"/>
      <c r="K122" s="199"/>
      <c r="L122" s="42"/>
      <c r="P122" s="42"/>
      <c r="Y122" s="1746" t="s">
        <v>723</v>
      </c>
      <c r="Z122" s="1747"/>
      <c r="AA122" s="1748"/>
      <c r="AF122" s="1746" t="s">
        <v>2066</v>
      </c>
      <c r="AG122" s="1747"/>
      <c r="AH122" s="1747"/>
      <c r="AI122" s="1748"/>
      <c r="AP122" s="40"/>
      <c r="AQ122" s="1755" t="s">
        <v>2073</v>
      </c>
      <c r="AR122" s="1756"/>
      <c r="AS122" s="1756"/>
      <c r="AT122" s="1756"/>
      <c r="AU122" s="1756"/>
      <c r="AV122" s="1757"/>
      <c r="BD122" s="1843" t="s">
        <v>2719</v>
      </c>
      <c r="BE122" s="1844"/>
      <c r="BF122" s="1844"/>
      <c r="BG122" s="1844"/>
      <c r="BH122" s="1844"/>
      <c r="BI122" s="1844"/>
      <c r="BJ122" s="1845"/>
      <c r="BK122" s="602"/>
      <c r="BL122" s="602"/>
      <c r="BM122" s="602"/>
      <c r="BN122" s="602"/>
      <c r="BO122" s="602"/>
    </row>
    <row r="123" spans="2:67" outlineLevel="2" x14ac:dyDescent="0.2">
      <c r="B123" s="417"/>
      <c r="C123" s="225"/>
      <c r="D123" s="503"/>
      <c r="E123" s="503"/>
      <c r="F123" s="214"/>
      <c r="G123" s="214"/>
      <c r="H123" s="201"/>
      <c r="I123" s="214"/>
      <c r="J123" s="214"/>
      <c r="K123" s="203"/>
      <c r="L123" s="42"/>
      <c r="P123" s="42"/>
      <c r="Y123" s="507"/>
      <c r="Z123" s="504"/>
      <c r="AA123" s="203"/>
      <c r="AF123" s="507"/>
      <c r="AG123" s="504"/>
      <c r="AH123" s="504"/>
      <c r="AI123" s="203"/>
      <c r="AP123" s="40"/>
      <c r="AQ123" s="778"/>
      <c r="AR123" s="779"/>
      <c r="AS123" s="779"/>
      <c r="AT123" s="779"/>
      <c r="AU123" s="741"/>
      <c r="AV123" s="780"/>
      <c r="BD123" s="1270"/>
      <c r="BE123" s="1271"/>
      <c r="BF123" s="1271"/>
      <c r="BG123" s="1271"/>
      <c r="BH123" s="1272"/>
      <c r="BI123" s="1273"/>
      <c r="BJ123" s="1273"/>
      <c r="BK123" s="602"/>
      <c r="BL123" s="602"/>
      <c r="BM123" s="602"/>
      <c r="BN123" s="602"/>
      <c r="BO123" s="602"/>
    </row>
    <row r="124" spans="2:67" outlineLevel="2" x14ac:dyDescent="0.2">
      <c r="B124" s="507"/>
      <c r="C124" s="504"/>
      <c r="D124" s="504" t="s">
        <v>56</v>
      </c>
      <c r="E124" s="504" t="s">
        <v>56</v>
      </c>
      <c r="F124" s="205" t="s">
        <v>2712</v>
      </c>
      <c r="G124" s="212" t="s">
        <v>11</v>
      </c>
      <c r="H124" s="212" t="s">
        <v>61</v>
      </c>
      <c r="I124" s="205" t="s">
        <v>2603</v>
      </c>
      <c r="J124" s="212" t="s">
        <v>2715</v>
      </c>
      <c r="K124" s="509" t="s">
        <v>61</v>
      </c>
      <c r="L124" s="42"/>
      <c r="P124" s="42"/>
      <c r="Y124" s="1638" t="s">
        <v>2605</v>
      </c>
      <c r="Z124" s="504" t="s">
        <v>2110</v>
      </c>
      <c r="AA124" s="509" t="s">
        <v>61</v>
      </c>
      <c r="AF124" s="507" t="s">
        <v>2065</v>
      </c>
      <c r="AG124" s="503" t="s">
        <v>61</v>
      </c>
      <c r="AH124" s="504" t="s">
        <v>2558</v>
      </c>
      <c r="AI124" s="509" t="s">
        <v>61</v>
      </c>
      <c r="AP124" s="40"/>
      <c r="AQ124" s="1739" t="s">
        <v>61</v>
      </c>
      <c r="AR124" s="1740"/>
      <c r="AS124" s="1740"/>
      <c r="AT124" s="1740"/>
      <c r="AU124" s="741" t="s">
        <v>61</v>
      </c>
      <c r="AV124" s="742"/>
      <c r="BD124" s="1846" t="s">
        <v>61</v>
      </c>
      <c r="BE124" s="1847"/>
      <c r="BF124" s="1847"/>
      <c r="BG124" s="1847"/>
      <c r="BH124" s="1272" t="s">
        <v>61</v>
      </c>
      <c r="BI124" s="1274"/>
      <c r="BJ124" s="1278" t="s">
        <v>723</v>
      </c>
      <c r="BK124" s="602"/>
      <c r="BL124" s="602"/>
      <c r="BM124" s="602"/>
      <c r="BN124" s="602"/>
      <c r="BO124" s="602"/>
    </row>
    <row r="125" spans="2:67" outlineLevel="2" x14ac:dyDescent="0.2">
      <c r="B125" s="507"/>
      <c r="C125" s="504"/>
      <c r="D125" s="504" t="s">
        <v>61</v>
      </c>
      <c r="E125" s="504" t="s">
        <v>63</v>
      </c>
      <c r="F125" s="208" t="s">
        <v>2713</v>
      </c>
      <c r="G125" s="208" t="s">
        <v>2601</v>
      </c>
      <c r="H125" s="504" t="s">
        <v>2058</v>
      </c>
      <c r="I125" s="208" t="s">
        <v>2720</v>
      </c>
      <c r="J125" s="208" t="s">
        <v>2716</v>
      </c>
      <c r="K125" s="509"/>
      <c r="L125" s="42"/>
      <c r="P125" s="42"/>
      <c r="Y125" s="1638" t="s">
        <v>2063</v>
      </c>
      <c r="Z125" s="504"/>
      <c r="AA125" s="509"/>
      <c r="AF125" s="507"/>
      <c r="AG125" s="503"/>
      <c r="AH125" s="504"/>
      <c r="AI125" s="509"/>
      <c r="AP125" s="40"/>
      <c r="AQ125" s="744" t="s">
        <v>14</v>
      </c>
      <c r="AR125" s="745" t="s">
        <v>60</v>
      </c>
      <c r="AS125" s="745" t="s">
        <v>27</v>
      </c>
      <c r="AT125" s="745" t="s">
        <v>2074</v>
      </c>
      <c r="AU125" s="746" t="s">
        <v>41</v>
      </c>
      <c r="AV125" s="747" t="s">
        <v>85</v>
      </c>
      <c r="BD125" s="1275" t="s">
        <v>14</v>
      </c>
      <c r="BE125" s="1276" t="s">
        <v>60</v>
      </c>
      <c r="BF125" s="1276" t="s">
        <v>27</v>
      </c>
      <c r="BG125" s="1276" t="s">
        <v>2074</v>
      </c>
      <c r="BH125" s="1277" t="s">
        <v>41</v>
      </c>
      <c r="BI125" s="1278" t="s">
        <v>85</v>
      </c>
      <c r="BJ125" s="1278" t="s">
        <v>61</v>
      </c>
      <c r="BK125" s="602"/>
      <c r="BL125" s="602"/>
      <c r="BM125" s="602"/>
      <c r="BN125" s="602"/>
      <c r="BO125" s="602"/>
    </row>
    <row r="126" spans="2:67" outlineLevel="2" x14ac:dyDescent="0.2">
      <c r="B126" s="200" t="s">
        <v>1597</v>
      </c>
      <c r="C126" s="201"/>
      <c r="D126" s="262">
        <f>K126</f>
        <v>0</v>
      </c>
      <c r="E126" s="265">
        <f>D126*12/44</f>
        <v>0</v>
      </c>
      <c r="F126" s="523"/>
      <c r="G126" s="182"/>
      <c r="H126" s="273">
        <f>VLOOKUP($B126,'Emissions factors'!$B$1765:$D$1817,2,FALSE)</f>
        <v>2.99</v>
      </c>
      <c r="I126" s="184"/>
      <c r="J126" s="182"/>
      <c r="K126" s="211">
        <f>IF(J126=0,0,G126*H126*(1+I126)/J126)</f>
        <v>0</v>
      </c>
      <c r="P126" s="42"/>
      <c r="X126" s="314"/>
      <c r="Y126" s="282">
        <f>VLOOKUP($B126,'Emissions factors'!$B$1765:$D$1817,3,FALSE)</f>
        <v>0.5</v>
      </c>
      <c r="Z126" s="183"/>
      <c r="AA126" s="211">
        <f>K126*SQRT(Y126^2+Z126^2)</f>
        <v>0</v>
      </c>
      <c r="AF126" s="184"/>
      <c r="AG126" s="210">
        <f>AF126*K126</f>
        <v>0</v>
      </c>
      <c r="AH126" s="184"/>
      <c r="AI126" s="211">
        <f>AH126*K126</f>
        <v>0</v>
      </c>
      <c r="AP126" s="40"/>
      <c r="AQ126" s="717"/>
      <c r="AR126" s="718"/>
      <c r="AS126" s="718"/>
      <c r="AT126" s="718"/>
      <c r="AU126" s="720">
        <f>K126</f>
        <v>0</v>
      </c>
      <c r="AV126" s="748"/>
      <c r="BD126" s="1279" t="str">
        <f t="shared" ref="BD126:BI129" si="40">IF($F126="Yes",IF(AQ126="","",AQ126*$J126),"")</f>
        <v/>
      </c>
      <c r="BE126" s="1280" t="str">
        <f t="shared" si="40"/>
        <v/>
      </c>
      <c r="BF126" s="1280" t="str">
        <f t="shared" si="40"/>
        <v/>
      </c>
      <c r="BG126" s="1280" t="str">
        <f t="shared" si="40"/>
        <v/>
      </c>
      <c r="BH126" s="1281" t="str">
        <f t="shared" si="40"/>
        <v/>
      </c>
      <c r="BI126" s="1282" t="str">
        <f t="shared" si="40"/>
        <v/>
      </c>
      <c r="BJ126" s="1282" t="str">
        <f>IF($F126="Yes",IF(AA126="","",AA126*$J126),"")</f>
        <v/>
      </c>
      <c r="BK126" s="602"/>
      <c r="BL126" s="602"/>
      <c r="BM126" s="602"/>
      <c r="BN126" s="602"/>
      <c r="BO126" s="602"/>
    </row>
    <row r="127" spans="2:67" outlineLevel="2" x14ac:dyDescent="0.2">
      <c r="B127" s="200" t="s">
        <v>1590</v>
      </c>
      <c r="C127" s="201"/>
      <c r="D127" s="262">
        <f>K127</f>
        <v>0</v>
      </c>
      <c r="E127" s="265">
        <f>D127*12/44</f>
        <v>0</v>
      </c>
      <c r="F127" s="524"/>
      <c r="G127" s="185"/>
      <c r="H127" s="273">
        <f>VLOOKUP($B127,'Emissions factors'!$B$1765:$D$1817,2,FALSE)</f>
        <v>1040</v>
      </c>
      <c r="I127" s="187"/>
      <c r="J127" s="185"/>
      <c r="K127" s="211">
        <f>IF(J127=0,0,G127*H127*(1+I127)/J127)</f>
        <v>0</v>
      </c>
      <c r="P127" s="42"/>
      <c r="U127" s="314"/>
      <c r="V127" s="314"/>
      <c r="W127" s="314"/>
      <c r="Y127" s="282">
        <f>VLOOKUP($B127,'Emissions factors'!$B$1765:$D$1817,3,FALSE)</f>
        <v>0.8</v>
      </c>
      <c r="Z127" s="186"/>
      <c r="AA127" s="211">
        <f>K127*SQRT(Y127^2+Z127^2)</f>
        <v>0</v>
      </c>
      <c r="AF127" s="187"/>
      <c r="AG127" s="210">
        <f>AF127*K127</f>
        <v>0</v>
      </c>
      <c r="AH127" s="187"/>
      <c r="AI127" s="211">
        <f>AH127*K127</f>
        <v>0</v>
      </c>
      <c r="AP127" s="40"/>
      <c r="AQ127" s="717"/>
      <c r="AR127" s="718"/>
      <c r="AS127" s="718"/>
      <c r="AT127" s="718"/>
      <c r="AU127" s="720">
        <f>K127</f>
        <v>0</v>
      </c>
      <c r="AV127" s="748"/>
      <c r="BD127" s="1279" t="str">
        <f t="shared" si="40"/>
        <v/>
      </c>
      <c r="BE127" s="1280" t="str">
        <f t="shared" si="40"/>
        <v/>
      </c>
      <c r="BF127" s="1280" t="str">
        <f t="shared" si="40"/>
        <v/>
      </c>
      <c r="BG127" s="1280" t="str">
        <f t="shared" si="40"/>
        <v/>
      </c>
      <c r="BH127" s="1281" t="str">
        <f t="shared" si="40"/>
        <v/>
      </c>
      <c r="BI127" s="1282" t="str">
        <f t="shared" si="40"/>
        <v/>
      </c>
      <c r="BJ127" s="1282" t="str">
        <f>IF($F127="Yes",IF(AA127="","",AA127*$J127),"")</f>
        <v/>
      </c>
      <c r="BK127" s="602"/>
      <c r="BL127" s="602"/>
      <c r="BM127" s="602"/>
      <c r="BN127" s="602"/>
      <c r="BO127" s="602"/>
    </row>
    <row r="128" spans="2:67" outlineLevel="2" x14ac:dyDescent="0.2">
      <c r="B128" s="200" t="s">
        <v>1589</v>
      </c>
      <c r="C128" s="201"/>
      <c r="D128" s="262">
        <f>K128</f>
        <v>0</v>
      </c>
      <c r="E128" s="265">
        <f>D128*12/44</f>
        <v>0</v>
      </c>
      <c r="F128" s="525"/>
      <c r="G128" s="188"/>
      <c r="H128" s="273">
        <f>VLOOKUP($B128,'Emissions factors'!$B$1765:$D$1817,2,FALSE)</f>
        <v>36.700000000000003</v>
      </c>
      <c r="I128" s="190"/>
      <c r="J128" s="188"/>
      <c r="K128" s="211">
        <f>IF(J128=0,0,G128*H128*(1+I128)/J128)</f>
        <v>0</v>
      </c>
      <c r="P128" s="42"/>
      <c r="Y128" s="282">
        <f>VLOOKUP($B128,'Emissions factors'!$B$1765:$D$1817,3,FALSE)</f>
        <v>0.5</v>
      </c>
      <c r="Z128" s="189"/>
      <c r="AA128" s="211">
        <f>K128*SQRT(Y128^2+Z128^2)</f>
        <v>0</v>
      </c>
      <c r="AF128" s="190"/>
      <c r="AG128" s="210">
        <f>AF128*K128</f>
        <v>0</v>
      </c>
      <c r="AH128" s="190"/>
      <c r="AI128" s="211">
        <f>AH128*K128</f>
        <v>0</v>
      </c>
      <c r="AP128" s="40"/>
      <c r="AQ128" s="717"/>
      <c r="AR128" s="718"/>
      <c r="AS128" s="718"/>
      <c r="AT128" s="718"/>
      <c r="AU128" s="720">
        <f>K128</f>
        <v>0</v>
      </c>
      <c r="AV128" s="748"/>
      <c r="BD128" s="1279" t="str">
        <f t="shared" si="40"/>
        <v/>
      </c>
      <c r="BE128" s="1280" t="str">
        <f t="shared" si="40"/>
        <v/>
      </c>
      <c r="BF128" s="1280" t="str">
        <f t="shared" si="40"/>
        <v/>
      </c>
      <c r="BG128" s="1280" t="str">
        <f t="shared" si="40"/>
        <v/>
      </c>
      <c r="BH128" s="1281" t="str">
        <f t="shared" si="40"/>
        <v/>
      </c>
      <c r="BI128" s="1282" t="str">
        <f t="shared" si="40"/>
        <v/>
      </c>
      <c r="BJ128" s="1282" t="str">
        <f>IF($F128="Yes",IF(AA128="","",AA128*$J128),"")</f>
        <v/>
      </c>
      <c r="BK128" s="602"/>
      <c r="BL128" s="602"/>
      <c r="BM128" s="602"/>
      <c r="BN128" s="602"/>
      <c r="BO128" s="602"/>
    </row>
    <row r="129" spans="2:67" outlineLevel="2" x14ac:dyDescent="0.2">
      <c r="B129" s="213"/>
      <c r="C129" s="214"/>
      <c r="D129" s="275"/>
      <c r="E129" s="268"/>
      <c r="F129" s="214"/>
      <c r="G129" s="214"/>
      <c r="H129" s="214"/>
      <c r="I129" s="214"/>
      <c r="J129" s="214"/>
      <c r="K129" s="466"/>
      <c r="L129" s="42"/>
      <c r="P129" s="42"/>
      <c r="Y129" s="220"/>
      <c r="Z129" s="201"/>
      <c r="AA129" s="544"/>
      <c r="AF129" s="213"/>
      <c r="AG129" s="413"/>
      <c r="AH129" s="214"/>
      <c r="AI129" s="466"/>
      <c r="AP129" s="40"/>
      <c r="AQ129" s="717"/>
      <c r="AR129" s="718"/>
      <c r="AS129" s="718"/>
      <c r="AT129" s="718"/>
      <c r="AU129" s="720"/>
      <c r="AV129" s="749"/>
      <c r="BD129" s="1279" t="str">
        <f t="shared" si="40"/>
        <v/>
      </c>
      <c r="BE129" s="1280" t="str">
        <f t="shared" si="40"/>
        <v/>
      </c>
      <c r="BF129" s="1280" t="str">
        <f t="shared" si="40"/>
        <v/>
      </c>
      <c r="BG129" s="1280" t="str">
        <f t="shared" si="40"/>
        <v/>
      </c>
      <c r="BH129" s="1281" t="str">
        <f t="shared" si="40"/>
        <v/>
      </c>
      <c r="BI129" s="1283" t="str">
        <f t="shared" si="40"/>
        <v/>
      </c>
      <c r="BJ129" s="1282" t="str">
        <f>IF($F129="Yes",IF(AA129="","",AA129*$J129),"")</f>
        <v/>
      </c>
      <c r="BK129" s="602"/>
      <c r="BL129" s="602"/>
      <c r="BM129" s="602"/>
      <c r="BN129" s="602"/>
      <c r="BO129" s="602"/>
    </row>
    <row r="130" spans="2:67" outlineLevel="2" x14ac:dyDescent="0.2">
      <c r="B130" s="253" t="s">
        <v>44</v>
      </c>
      <c r="C130" s="254"/>
      <c r="D130" s="264">
        <f>SUM(D126:D129)</f>
        <v>0</v>
      </c>
      <c r="E130" s="267">
        <f>SUM(E126:E129)</f>
        <v>0</v>
      </c>
      <c r="F130" s="256"/>
      <c r="G130" s="256"/>
      <c r="H130" s="256"/>
      <c r="I130" s="256"/>
      <c r="J130" s="256"/>
      <c r="K130" s="257">
        <f>SUM(K126:K129)</f>
        <v>0</v>
      </c>
      <c r="L130" s="42"/>
      <c r="P130" s="42"/>
      <c r="Y130" s="258"/>
      <c r="Z130" s="256"/>
      <c r="AA130" s="545">
        <f>SQRT(SUMSQ(AA126:AA129))</f>
        <v>0</v>
      </c>
      <c r="AF130" s="258"/>
      <c r="AG130" s="259">
        <f>SUM(AG126:AG129)</f>
        <v>0</v>
      </c>
      <c r="AH130" s="256"/>
      <c r="AI130" s="257">
        <f>SUM(AI126:AI129)</f>
        <v>0</v>
      </c>
      <c r="AP130" s="40"/>
      <c r="AQ130" s="724">
        <f t="shared" ref="AQ130:AV130" si="41">SUM(AQ126:AQ129)</f>
        <v>0</v>
      </c>
      <c r="AR130" s="725">
        <f t="shared" si="41"/>
        <v>0</v>
      </c>
      <c r="AS130" s="725">
        <f t="shared" si="41"/>
        <v>0</v>
      </c>
      <c r="AT130" s="725">
        <f t="shared" si="41"/>
        <v>0</v>
      </c>
      <c r="AU130" s="727">
        <f t="shared" si="41"/>
        <v>0</v>
      </c>
      <c r="AV130" s="750">
        <f t="shared" si="41"/>
        <v>0</v>
      </c>
      <c r="BD130" s="1284">
        <f t="shared" ref="BD130:BI130" si="42">SUM(BD126:BD129)</f>
        <v>0</v>
      </c>
      <c r="BE130" s="1285">
        <f t="shared" si="42"/>
        <v>0</v>
      </c>
      <c r="BF130" s="1285">
        <f t="shared" si="42"/>
        <v>0</v>
      </c>
      <c r="BG130" s="1285">
        <f t="shared" si="42"/>
        <v>0</v>
      </c>
      <c r="BH130" s="1286">
        <f t="shared" si="42"/>
        <v>0</v>
      </c>
      <c r="BI130" s="1287">
        <f t="shared" si="42"/>
        <v>0</v>
      </c>
      <c r="BJ130" s="1287">
        <f>SUM(BJ125:BJ129)</f>
        <v>0</v>
      </c>
      <c r="BK130" s="602"/>
      <c r="BL130" s="602"/>
      <c r="BM130" s="602"/>
      <c r="BN130" s="602"/>
      <c r="BO130" s="602"/>
    </row>
    <row r="131" spans="2:67" outlineLevel="2" x14ac:dyDescent="0.2">
      <c r="AP131" s="40"/>
      <c r="BD131" s="602"/>
      <c r="BE131" s="602"/>
      <c r="BF131" s="602"/>
      <c r="BG131" s="602"/>
      <c r="BH131" s="602"/>
      <c r="BI131" s="602"/>
      <c r="BJ131" s="602"/>
      <c r="BK131" s="602"/>
      <c r="BL131" s="602"/>
      <c r="BM131" s="602"/>
      <c r="BN131" s="602"/>
      <c r="BO131" s="602"/>
    </row>
    <row r="132" spans="2:67" outlineLevel="2" x14ac:dyDescent="0.2">
      <c r="B132" s="195" t="s">
        <v>3081</v>
      </c>
      <c r="C132" s="196"/>
      <c r="D132" s="500"/>
      <c r="E132" s="500"/>
      <c r="F132" s="196"/>
      <c r="G132" s="196"/>
      <c r="H132" s="196"/>
      <c r="I132" s="198"/>
      <c r="J132" s="198"/>
      <c r="K132" s="198"/>
      <c r="L132" s="199"/>
      <c r="M132" s="42"/>
      <c r="Q132" s="42"/>
      <c r="Y132" s="1746" t="s">
        <v>723</v>
      </c>
      <c r="Z132" s="1747"/>
      <c r="AA132" s="1748"/>
      <c r="AF132" s="1746" t="s">
        <v>2066</v>
      </c>
      <c r="AG132" s="1747"/>
      <c r="AH132" s="1747"/>
      <c r="AI132" s="1748"/>
      <c r="AP132" s="40"/>
      <c r="AQ132" s="1755" t="s">
        <v>2073</v>
      </c>
      <c r="AR132" s="1756"/>
      <c r="AS132" s="1756"/>
      <c r="AT132" s="1756"/>
      <c r="AU132" s="1756"/>
      <c r="AV132" s="1757"/>
      <c r="BD132" s="1843" t="s">
        <v>2719</v>
      </c>
      <c r="BE132" s="1844"/>
      <c r="BF132" s="1844"/>
      <c r="BG132" s="1844"/>
      <c r="BH132" s="1844"/>
      <c r="BI132" s="1844"/>
      <c r="BJ132" s="1845"/>
      <c r="BK132" s="602"/>
      <c r="BL132" s="602"/>
      <c r="BM132" s="602"/>
      <c r="BN132" s="602"/>
      <c r="BO132" s="602"/>
    </row>
    <row r="133" spans="2:67" outlineLevel="2" x14ac:dyDescent="0.2">
      <c r="B133" s="417"/>
      <c r="C133" s="225"/>
      <c r="D133" s="503"/>
      <c r="E133" s="503"/>
      <c r="F133" s="269"/>
      <c r="G133" s="269"/>
      <c r="H133" s="269"/>
      <c r="I133" s="201"/>
      <c r="J133" s="214"/>
      <c r="K133" s="214"/>
      <c r="L133" s="203"/>
      <c r="M133" s="42"/>
      <c r="Q133" s="42"/>
      <c r="Y133" s="507"/>
      <c r="Z133" s="504"/>
      <c r="AA133" s="203"/>
      <c r="AF133" s="507"/>
      <c r="AG133" s="504"/>
      <c r="AH133" s="504"/>
      <c r="AI133" s="203"/>
      <c r="AP133" s="40"/>
      <c r="AQ133" s="778"/>
      <c r="AR133" s="779"/>
      <c r="AS133" s="779"/>
      <c r="AT133" s="779"/>
      <c r="AU133" s="741"/>
      <c r="AV133" s="780"/>
      <c r="BD133" s="1270"/>
      <c r="BE133" s="1271"/>
      <c r="BF133" s="1271"/>
      <c r="BG133" s="1271"/>
      <c r="BH133" s="1272"/>
      <c r="BI133" s="1273"/>
      <c r="BJ133" s="1273"/>
      <c r="BK133" s="602"/>
      <c r="BL133" s="602"/>
      <c r="BM133" s="602"/>
      <c r="BN133" s="602"/>
      <c r="BO133" s="602"/>
    </row>
    <row r="134" spans="2:67" outlineLevel="2" x14ac:dyDescent="0.2">
      <c r="B134" s="200"/>
      <c r="C134" s="201"/>
      <c r="D134" s="504" t="s">
        <v>56</v>
      </c>
      <c r="E134" s="504" t="s">
        <v>56</v>
      </c>
      <c r="F134" s="205" t="s">
        <v>2712</v>
      </c>
      <c r="G134" s="205" t="s">
        <v>11</v>
      </c>
      <c r="H134" s="205" t="s">
        <v>2600</v>
      </c>
      <c r="I134" s="504" t="s">
        <v>61</v>
      </c>
      <c r="J134" s="205" t="s">
        <v>2603</v>
      </c>
      <c r="K134" s="205" t="s">
        <v>2715</v>
      </c>
      <c r="L134" s="509" t="s">
        <v>61</v>
      </c>
      <c r="M134" s="42"/>
      <c r="Q134" s="32"/>
      <c r="Y134" s="1638" t="s">
        <v>2605</v>
      </c>
      <c r="Z134" s="504" t="s">
        <v>2110</v>
      </c>
      <c r="AA134" s="509" t="s">
        <v>61</v>
      </c>
      <c r="AF134" s="507" t="s">
        <v>2065</v>
      </c>
      <c r="AG134" s="503" t="s">
        <v>61</v>
      </c>
      <c r="AH134" s="504" t="s">
        <v>2558</v>
      </c>
      <c r="AI134" s="509" t="s">
        <v>61</v>
      </c>
      <c r="AP134" s="40"/>
      <c r="AQ134" s="1739" t="s">
        <v>61</v>
      </c>
      <c r="AR134" s="1740"/>
      <c r="AS134" s="1740"/>
      <c r="AT134" s="1740"/>
      <c r="AU134" s="741" t="s">
        <v>61</v>
      </c>
      <c r="AV134" s="742"/>
      <c r="BD134" s="1846" t="s">
        <v>61</v>
      </c>
      <c r="BE134" s="1847"/>
      <c r="BF134" s="1847"/>
      <c r="BG134" s="1847"/>
      <c r="BH134" s="1272" t="s">
        <v>61</v>
      </c>
      <c r="BI134" s="1274"/>
      <c r="BJ134" s="1278" t="s">
        <v>723</v>
      </c>
      <c r="BK134" s="602"/>
      <c r="BL134" s="602"/>
      <c r="BM134" s="602"/>
      <c r="BN134" s="602"/>
      <c r="BO134" s="602"/>
    </row>
    <row r="135" spans="2:67" outlineLevel="2" x14ac:dyDescent="0.2">
      <c r="B135" s="507"/>
      <c r="C135" s="504"/>
      <c r="D135" s="504" t="s">
        <v>61</v>
      </c>
      <c r="E135" s="504" t="s">
        <v>63</v>
      </c>
      <c r="F135" s="208" t="s">
        <v>2713</v>
      </c>
      <c r="G135" s="208" t="s">
        <v>2601</v>
      </c>
      <c r="H135" s="208" t="s">
        <v>2602</v>
      </c>
      <c r="I135" s="504" t="s">
        <v>2058</v>
      </c>
      <c r="J135" s="208" t="s">
        <v>2720</v>
      </c>
      <c r="K135" s="208" t="s">
        <v>2716</v>
      </c>
      <c r="L135" s="509"/>
      <c r="M135" s="32"/>
      <c r="Q135" s="32"/>
      <c r="Y135" s="1638" t="s">
        <v>2063</v>
      </c>
      <c r="Z135" s="504"/>
      <c r="AA135" s="509"/>
      <c r="AF135" s="507"/>
      <c r="AG135" s="503"/>
      <c r="AH135" s="504"/>
      <c r="AI135" s="509"/>
      <c r="AP135" s="40"/>
      <c r="AQ135" s="744" t="s">
        <v>14</v>
      </c>
      <c r="AR135" s="745" t="s">
        <v>60</v>
      </c>
      <c r="AS135" s="745" t="s">
        <v>27</v>
      </c>
      <c r="AT135" s="745" t="s">
        <v>2074</v>
      </c>
      <c r="AU135" s="746" t="s">
        <v>41</v>
      </c>
      <c r="AV135" s="747" t="s">
        <v>85</v>
      </c>
      <c r="BD135" s="1275" t="s">
        <v>14</v>
      </c>
      <c r="BE135" s="1276" t="s">
        <v>60</v>
      </c>
      <c r="BF135" s="1276" t="s">
        <v>27</v>
      </c>
      <c r="BG135" s="1276" t="s">
        <v>2074</v>
      </c>
      <c r="BH135" s="1277" t="s">
        <v>41</v>
      </c>
      <c r="BI135" s="1278" t="s">
        <v>85</v>
      </c>
      <c r="BJ135" s="1278" t="s">
        <v>61</v>
      </c>
      <c r="BK135" s="602"/>
      <c r="BL135" s="602"/>
      <c r="BM135" s="602"/>
      <c r="BN135" s="602"/>
      <c r="BO135" s="602"/>
    </row>
    <row r="136" spans="2:67" outlineLevel="2" x14ac:dyDescent="0.2">
      <c r="B136" s="200" t="s">
        <v>159</v>
      </c>
      <c r="C136" s="201"/>
      <c r="D136" s="262">
        <f>L136</f>
        <v>0</v>
      </c>
      <c r="E136" s="265">
        <f>D136*12/44</f>
        <v>0</v>
      </c>
      <c r="F136" s="523"/>
      <c r="G136" s="182"/>
      <c r="H136" s="436"/>
      <c r="I136" s="273">
        <f>VLOOKUP($B136,'Emissions factors'!$B$1692:$D$1699,2,FALSE)*(1-H136)+VLOOKUP($B136,'Emissions factors'!$B$1692:$D$1699,3,FALSE)*H136</f>
        <v>9830</v>
      </c>
      <c r="J136" s="436"/>
      <c r="K136" s="182"/>
      <c r="L136" s="211">
        <f>IF(K136=0,0,(G136*I136*(1+J136))/K136)</f>
        <v>0</v>
      </c>
      <c r="Q136" s="314"/>
      <c r="Y136" s="282">
        <f>VLOOKUP($B136,'Emissions factors'!$B$1692:$E$1699,4,FALSE)</f>
        <v>0.3</v>
      </c>
      <c r="Z136" s="183"/>
      <c r="AA136" s="211">
        <f>L136*SQRT(Y136^2+Z136^2)</f>
        <v>0</v>
      </c>
      <c r="AF136" s="184"/>
      <c r="AG136" s="210">
        <f>L136*AF136</f>
        <v>0</v>
      </c>
      <c r="AH136" s="184"/>
      <c r="AI136" s="211">
        <f>L136*AH136</f>
        <v>0</v>
      </c>
      <c r="AP136" s="40"/>
      <c r="AQ136" s="717"/>
      <c r="AR136" s="718"/>
      <c r="AS136" s="718"/>
      <c r="AT136" s="718"/>
      <c r="AU136" s="720">
        <f>L136</f>
        <v>0</v>
      </c>
      <c r="AV136" s="748"/>
      <c r="BD136" s="1279" t="str">
        <f t="shared" ref="BD136:BI139" si="43">IF($F136="Yes",IF(AQ136="","",AQ136*$K136),"")</f>
        <v/>
      </c>
      <c r="BE136" s="1280" t="str">
        <f t="shared" si="43"/>
        <v/>
      </c>
      <c r="BF136" s="1280" t="str">
        <f t="shared" si="43"/>
        <v/>
      </c>
      <c r="BG136" s="1280" t="str">
        <f t="shared" si="43"/>
        <v/>
      </c>
      <c r="BH136" s="1281" t="str">
        <f t="shared" si="43"/>
        <v/>
      </c>
      <c r="BI136" s="1282" t="str">
        <f t="shared" si="43"/>
        <v/>
      </c>
      <c r="BJ136" s="1282" t="str">
        <f>IF($F136="Yes",IF(AA136="","",AA136*$K136),"")</f>
        <v/>
      </c>
      <c r="BK136" s="602"/>
      <c r="BL136" s="602"/>
      <c r="BM136" s="602"/>
      <c r="BN136" s="602"/>
      <c r="BO136" s="602"/>
    </row>
    <row r="137" spans="2:67" outlineLevel="2" x14ac:dyDescent="0.2">
      <c r="B137" s="200" t="s">
        <v>1525</v>
      </c>
      <c r="C137" s="201"/>
      <c r="D137" s="262">
        <f>L137</f>
        <v>0</v>
      </c>
      <c r="E137" s="265">
        <f>D137*12/44</f>
        <v>0</v>
      </c>
      <c r="F137" s="524"/>
      <c r="G137" s="185"/>
      <c r="H137" s="437"/>
      <c r="I137" s="273">
        <f>VLOOKUP($B137,'Emissions factors'!$B$1692:$D$1699,2,FALSE)*(1-H137)+VLOOKUP($B137,'Emissions factors'!$B$1692:$D$1699,3,FALSE)*H137</f>
        <v>3670</v>
      </c>
      <c r="J137" s="437"/>
      <c r="K137" s="185"/>
      <c r="L137" s="211">
        <f>IF(K137=0,0,(G137*I137*(1+J137))/K137)</f>
        <v>0</v>
      </c>
      <c r="Q137" s="314"/>
      <c r="Y137" s="282">
        <f>VLOOKUP($B137,'Emissions factors'!$B$1692:$E$1699,4,FALSE)</f>
        <v>0.8</v>
      </c>
      <c r="Z137" s="186"/>
      <c r="AA137" s="211">
        <f>L137*SQRT(Y137^2+Z137^2)</f>
        <v>0</v>
      </c>
      <c r="AF137" s="187"/>
      <c r="AG137" s="210">
        <f>L137*AF137</f>
        <v>0</v>
      </c>
      <c r="AH137" s="187"/>
      <c r="AI137" s="211">
        <f>L137*AH137</f>
        <v>0</v>
      </c>
      <c r="AP137" s="40"/>
      <c r="AQ137" s="717"/>
      <c r="AR137" s="718"/>
      <c r="AS137" s="718"/>
      <c r="AT137" s="718"/>
      <c r="AU137" s="720">
        <f>L137</f>
        <v>0</v>
      </c>
      <c r="AV137" s="748"/>
      <c r="BD137" s="1279" t="str">
        <f t="shared" si="43"/>
        <v/>
      </c>
      <c r="BE137" s="1280" t="str">
        <f t="shared" si="43"/>
        <v/>
      </c>
      <c r="BF137" s="1280" t="str">
        <f t="shared" si="43"/>
        <v/>
      </c>
      <c r="BG137" s="1280" t="str">
        <f t="shared" si="43"/>
        <v/>
      </c>
      <c r="BH137" s="1281" t="str">
        <f t="shared" si="43"/>
        <v/>
      </c>
      <c r="BI137" s="1282" t="str">
        <f t="shared" si="43"/>
        <v/>
      </c>
      <c r="BJ137" s="1282" t="str">
        <f>IF($F137="Yes",IF(AA137="","",AA137*$K137),"")</f>
        <v/>
      </c>
      <c r="BK137" s="602"/>
      <c r="BL137" s="602"/>
      <c r="BM137" s="602"/>
      <c r="BN137" s="602"/>
      <c r="BO137" s="602"/>
    </row>
    <row r="138" spans="2:67" outlineLevel="2" x14ac:dyDescent="0.2">
      <c r="B138" s="200" t="s">
        <v>1524</v>
      </c>
      <c r="C138" s="201"/>
      <c r="D138" s="262">
        <f>L138</f>
        <v>0</v>
      </c>
      <c r="E138" s="265">
        <f>D138*12/44</f>
        <v>0</v>
      </c>
      <c r="F138" s="525"/>
      <c r="G138" s="188"/>
      <c r="H138" s="438"/>
      <c r="I138" s="273">
        <f>VLOOKUP($B138,'Emissions factors'!$B$1692:$D$1699,2,FALSE)*(1-H138)+VLOOKUP($B138,'Emissions factors'!$B$1692:$D$1699,3,FALSE)*H138</f>
        <v>3190</v>
      </c>
      <c r="J138" s="438"/>
      <c r="K138" s="188"/>
      <c r="L138" s="211">
        <f>IF(K138=0,0,(G138*I138*(1+J138))/K138)</f>
        <v>0</v>
      </c>
      <c r="Q138" s="314"/>
      <c r="Y138" s="282">
        <f>VLOOKUP($B138,'Emissions factors'!$B$1692:$E$1699,4,FALSE)</f>
        <v>0.1</v>
      </c>
      <c r="Z138" s="189"/>
      <c r="AA138" s="211">
        <f>L138*SQRT(Y138^2+Z138^2)</f>
        <v>0</v>
      </c>
      <c r="AF138" s="190"/>
      <c r="AG138" s="210">
        <f>L138*AF138</f>
        <v>0</v>
      </c>
      <c r="AH138" s="190"/>
      <c r="AI138" s="211">
        <f>L138*AH138</f>
        <v>0</v>
      </c>
      <c r="AP138" s="40"/>
      <c r="AQ138" s="717"/>
      <c r="AR138" s="718"/>
      <c r="AS138" s="718"/>
      <c r="AT138" s="718"/>
      <c r="AU138" s="720">
        <f>L138</f>
        <v>0</v>
      </c>
      <c r="AV138" s="748"/>
      <c r="BD138" s="1279" t="str">
        <f t="shared" si="43"/>
        <v/>
      </c>
      <c r="BE138" s="1280" t="str">
        <f t="shared" si="43"/>
        <v/>
      </c>
      <c r="BF138" s="1280" t="str">
        <f t="shared" si="43"/>
        <v/>
      </c>
      <c r="BG138" s="1280" t="str">
        <f t="shared" si="43"/>
        <v/>
      </c>
      <c r="BH138" s="1281" t="str">
        <f t="shared" si="43"/>
        <v/>
      </c>
      <c r="BI138" s="1282" t="str">
        <f t="shared" si="43"/>
        <v/>
      </c>
      <c r="BJ138" s="1282" t="str">
        <f>IF($F138="Yes",IF(AA138="","",AA138*$K138),"")</f>
        <v/>
      </c>
      <c r="BK138" s="602"/>
      <c r="BL138" s="602"/>
      <c r="BM138" s="602"/>
      <c r="BN138" s="602"/>
      <c r="BO138" s="602"/>
    </row>
    <row r="139" spans="2:67" outlineLevel="2" x14ac:dyDescent="0.2">
      <c r="B139" s="213"/>
      <c r="C139" s="214"/>
      <c r="D139" s="275"/>
      <c r="E139" s="268"/>
      <c r="F139" s="214"/>
      <c r="G139" s="214"/>
      <c r="H139" s="214"/>
      <c r="I139" s="214"/>
      <c r="J139" s="214"/>
      <c r="K139" s="214"/>
      <c r="L139" s="433"/>
      <c r="Y139" s="200"/>
      <c r="Z139" s="201"/>
      <c r="AA139" s="222"/>
      <c r="AF139" s="200"/>
      <c r="AG139" s="504"/>
      <c r="AH139" s="201"/>
      <c r="AI139" s="222"/>
      <c r="AP139" s="40"/>
      <c r="AQ139" s="717"/>
      <c r="AR139" s="718"/>
      <c r="AS139" s="718"/>
      <c r="AT139" s="718"/>
      <c r="AU139" s="720"/>
      <c r="AV139" s="749"/>
      <c r="BD139" s="1279" t="str">
        <f t="shared" si="43"/>
        <v/>
      </c>
      <c r="BE139" s="1280" t="str">
        <f t="shared" si="43"/>
        <v/>
      </c>
      <c r="BF139" s="1280" t="str">
        <f t="shared" si="43"/>
        <v/>
      </c>
      <c r="BG139" s="1280" t="str">
        <f t="shared" si="43"/>
        <v/>
      </c>
      <c r="BH139" s="1281" t="str">
        <f t="shared" si="43"/>
        <v/>
      </c>
      <c r="BI139" s="1283" t="str">
        <f t="shared" si="43"/>
        <v/>
      </c>
      <c r="BJ139" s="1282" t="str">
        <f>IF($F139="Yes",IF(AA139="","",AA139*$K139),"")</f>
        <v/>
      </c>
      <c r="BK139" s="602"/>
      <c r="BL139" s="602"/>
      <c r="BM139" s="602"/>
      <c r="BN139" s="602"/>
      <c r="BO139" s="602"/>
    </row>
    <row r="140" spans="2:67" outlineLevel="2" x14ac:dyDescent="0.2">
      <c r="B140" s="253" t="s">
        <v>44</v>
      </c>
      <c r="C140" s="254"/>
      <c r="D140" s="264">
        <f>SUM(D136:D139)</f>
        <v>0</v>
      </c>
      <c r="E140" s="267">
        <f>SUM(E136:E139)</f>
        <v>0</v>
      </c>
      <c r="F140" s="254"/>
      <c r="G140" s="254"/>
      <c r="H140" s="254"/>
      <c r="I140" s="254"/>
      <c r="J140" s="254"/>
      <c r="K140" s="254"/>
      <c r="L140" s="257">
        <f>SUM(L136:L139)</f>
        <v>0</v>
      </c>
      <c r="M140" s="42"/>
      <c r="Q140" s="42"/>
      <c r="Y140" s="258"/>
      <c r="Z140" s="256"/>
      <c r="AA140" s="545">
        <f>SQRT(SUMSQ(AA136:AA139))</f>
        <v>0</v>
      </c>
      <c r="AF140" s="258"/>
      <c r="AG140" s="259">
        <f>SUM(AG136:AG139)</f>
        <v>0</v>
      </c>
      <c r="AH140" s="256"/>
      <c r="AI140" s="257">
        <f>SUM(AI136:AI139)</f>
        <v>0</v>
      </c>
      <c r="AP140" s="40"/>
      <c r="AQ140" s="724">
        <f t="shared" ref="AQ140:AV140" si="44">SUM(AQ136:AQ139)</f>
        <v>0</v>
      </c>
      <c r="AR140" s="725">
        <f t="shared" si="44"/>
        <v>0</v>
      </c>
      <c r="AS140" s="725">
        <f t="shared" si="44"/>
        <v>0</v>
      </c>
      <c r="AT140" s="725">
        <f t="shared" si="44"/>
        <v>0</v>
      </c>
      <c r="AU140" s="727">
        <f t="shared" si="44"/>
        <v>0</v>
      </c>
      <c r="AV140" s="750">
        <f t="shared" si="44"/>
        <v>0</v>
      </c>
      <c r="BD140" s="1284">
        <f t="shared" ref="BD140:BI140" si="45">SUM(BD136:BD139)</f>
        <v>0</v>
      </c>
      <c r="BE140" s="1285">
        <f t="shared" si="45"/>
        <v>0</v>
      </c>
      <c r="BF140" s="1285">
        <f t="shared" si="45"/>
        <v>0</v>
      </c>
      <c r="BG140" s="1285">
        <f t="shared" si="45"/>
        <v>0</v>
      </c>
      <c r="BH140" s="1286">
        <f t="shared" si="45"/>
        <v>0</v>
      </c>
      <c r="BI140" s="1287">
        <f t="shared" si="45"/>
        <v>0</v>
      </c>
      <c r="BJ140" s="1287">
        <f>SUM(BJ135:BJ139)</f>
        <v>0</v>
      </c>
      <c r="BK140" s="602"/>
      <c r="BL140" s="602"/>
      <c r="BM140" s="602"/>
      <c r="BN140" s="602"/>
      <c r="BO140" s="602"/>
    </row>
    <row r="141" spans="2:67" outlineLevel="2" x14ac:dyDescent="0.2">
      <c r="AP141" s="40"/>
      <c r="BD141" s="602"/>
      <c r="BE141" s="602"/>
      <c r="BF141" s="602"/>
      <c r="BG141" s="602"/>
      <c r="BH141" s="602"/>
      <c r="BI141" s="602"/>
      <c r="BJ141" s="602"/>
      <c r="BK141" s="602"/>
      <c r="BL141" s="602"/>
      <c r="BM141" s="602"/>
      <c r="BN141" s="602"/>
      <c r="BO141" s="602"/>
    </row>
    <row r="142" spans="2:67" outlineLevel="2" x14ac:dyDescent="0.2">
      <c r="B142" s="195" t="s">
        <v>3082</v>
      </c>
      <c r="C142" s="196"/>
      <c r="D142" s="500"/>
      <c r="E142" s="500"/>
      <c r="F142" s="196"/>
      <c r="G142" s="196"/>
      <c r="H142" s="196"/>
      <c r="I142" s="198"/>
      <c r="J142" s="198"/>
      <c r="K142" s="198"/>
      <c r="L142" s="199"/>
      <c r="Y142" s="1746" t="s">
        <v>723</v>
      </c>
      <c r="Z142" s="1747"/>
      <c r="AA142" s="1748"/>
      <c r="AF142" s="1746" t="s">
        <v>2066</v>
      </c>
      <c r="AG142" s="1747"/>
      <c r="AH142" s="1747"/>
      <c r="AI142" s="1748"/>
      <c r="AP142" s="40"/>
      <c r="AQ142" s="1755" t="s">
        <v>2073</v>
      </c>
      <c r="AR142" s="1756"/>
      <c r="AS142" s="1756"/>
      <c r="AT142" s="1756"/>
      <c r="AU142" s="1756"/>
      <c r="AV142" s="1757"/>
      <c r="BD142" s="1843" t="s">
        <v>2719</v>
      </c>
      <c r="BE142" s="1844"/>
      <c r="BF142" s="1844"/>
      <c r="BG142" s="1844"/>
      <c r="BH142" s="1844"/>
      <c r="BI142" s="1844"/>
      <c r="BJ142" s="1845"/>
      <c r="BK142" s="602"/>
      <c r="BL142" s="602"/>
      <c r="BM142" s="602"/>
      <c r="BN142" s="602"/>
      <c r="BO142" s="602"/>
    </row>
    <row r="143" spans="2:67" outlineLevel="2" x14ac:dyDescent="0.2">
      <c r="B143" s="417"/>
      <c r="C143" s="225"/>
      <c r="D143" s="503"/>
      <c r="E143" s="503"/>
      <c r="F143" s="269"/>
      <c r="G143" s="269"/>
      <c r="H143" s="269"/>
      <c r="I143" s="201"/>
      <c r="J143" s="214"/>
      <c r="K143" s="214"/>
      <c r="L143" s="203"/>
      <c r="Y143" s="507"/>
      <c r="Z143" s="504"/>
      <c r="AA143" s="203"/>
      <c r="AF143" s="507"/>
      <c r="AG143" s="504"/>
      <c r="AH143" s="504"/>
      <c r="AI143" s="203"/>
      <c r="AP143" s="40"/>
      <c r="AQ143" s="778"/>
      <c r="AR143" s="779"/>
      <c r="AS143" s="779"/>
      <c r="AT143" s="779"/>
      <c r="AU143" s="741"/>
      <c r="AV143" s="780"/>
      <c r="BD143" s="1270"/>
      <c r="BE143" s="1271"/>
      <c r="BF143" s="1271"/>
      <c r="BG143" s="1271"/>
      <c r="BH143" s="1272"/>
      <c r="BI143" s="1273"/>
      <c r="BJ143" s="1273"/>
      <c r="BK143" s="602"/>
      <c r="BL143" s="602"/>
      <c r="BM143" s="602"/>
      <c r="BN143" s="602"/>
      <c r="BO143" s="602"/>
    </row>
    <row r="144" spans="2:67" outlineLevel="2" x14ac:dyDescent="0.2">
      <c r="B144" s="507"/>
      <c r="C144" s="504"/>
      <c r="D144" s="504" t="s">
        <v>56</v>
      </c>
      <c r="E144" s="504" t="s">
        <v>56</v>
      </c>
      <c r="F144" s="205" t="s">
        <v>2712</v>
      </c>
      <c r="G144" s="205" t="s">
        <v>11</v>
      </c>
      <c r="H144" s="205" t="s">
        <v>2600</v>
      </c>
      <c r="I144" s="504" t="s">
        <v>61</v>
      </c>
      <c r="J144" s="205" t="s">
        <v>2603</v>
      </c>
      <c r="K144" s="205" t="s">
        <v>2715</v>
      </c>
      <c r="L144" s="509" t="s">
        <v>61</v>
      </c>
      <c r="M144" s="32"/>
      <c r="Q144" s="32"/>
      <c r="Y144" s="1638" t="s">
        <v>2605</v>
      </c>
      <c r="Z144" s="504" t="s">
        <v>2110</v>
      </c>
      <c r="AA144" s="509" t="s">
        <v>61</v>
      </c>
      <c r="AF144" s="507" t="s">
        <v>2065</v>
      </c>
      <c r="AG144" s="503" t="s">
        <v>61</v>
      </c>
      <c r="AH144" s="504" t="s">
        <v>2558</v>
      </c>
      <c r="AI144" s="509" t="s">
        <v>61</v>
      </c>
      <c r="AP144" s="40"/>
      <c r="AQ144" s="1739" t="s">
        <v>61</v>
      </c>
      <c r="AR144" s="1740"/>
      <c r="AS144" s="1740"/>
      <c r="AT144" s="1740"/>
      <c r="AU144" s="741" t="s">
        <v>61</v>
      </c>
      <c r="AV144" s="742"/>
      <c r="BD144" s="1846" t="s">
        <v>61</v>
      </c>
      <c r="BE144" s="1847"/>
      <c r="BF144" s="1847"/>
      <c r="BG144" s="1847"/>
      <c r="BH144" s="1272" t="s">
        <v>61</v>
      </c>
      <c r="BI144" s="1274"/>
      <c r="BJ144" s="1278" t="s">
        <v>723</v>
      </c>
      <c r="BK144" s="602"/>
      <c r="BL144" s="602"/>
      <c r="BM144" s="602"/>
      <c r="BN144" s="602"/>
      <c r="BO144" s="602"/>
    </row>
    <row r="145" spans="2:67" outlineLevel="2" x14ac:dyDescent="0.2">
      <c r="B145" s="507"/>
      <c r="C145" s="504"/>
      <c r="D145" s="504" t="s">
        <v>61</v>
      </c>
      <c r="E145" s="504" t="s">
        <v>63</v>
      </c>
      <c r="F145" s="208" t="s">
        <v>2713</v>
      </c>
      <c r="G145" s="208" t="s">
        <v>2601</v>
      </c>
      <c r="H145" s="208" t="s">
        <v>2602</v>
      </c>
      <c r="I145" s="504" t="s">
        <v>2058</v>
      </c>
      <c r="J145" s="208" t="s">
        <v>2720</v>
      </c>
      <c r="K145" s="208" t="s">
        <v>2716</v>
      </c>
      <c r="L145" s="509"/>
      <c r="M145" s="32"/>
      <c r="Q145" s="32"/>
      <c r="Y145" s="1638" t="s">
        <v>2063</v>
      </c>
      <c r="Z145" s="504"/>
      <c r="AA145" s="509"/>
      <c r="AF145" s="507"/>
      <c r="AG145" s="503"/>
      <c r="AH145" s="504"/>
      <c r="AI145" s="509"/>
      <c r="AP145" s="40"/>
      <c r="AQ145" s="744" t="s">
        <v>14</v>
      </c>
      <c r="AR145" s="745" t="s">
        <v>60</v>
      </c>
      <c r="AS145" s="745" t="s">
        <v>27</v>
      </c>
      <c r="AT145" s="745" t="s">
        <v>2074</v>
      </c>
      <c r="AU145" s="746" t="s">
        <v>41</v>
      </c>
      <c r="AV145" s="747" t="s">
        <v>85</v>
      </c>
      <c r="BD145" s="1275" t="s">
        <v>14</v>
      </c>
      <c r="BE145" s="1276" t="s">
        <v>60</v>
      </c>
      <c r="BF145" s="1276" t="s">
        <v>27</v>
      </c>
      <c r="BG145" s="1276" t="s">
        <v>2074</v>
      </c>
      <c r="BH145" s="1277" t="s">
        <v>41</v>
      </c>
      <c r="BI145" s="1278" t="s">
        <v>85</v>
      </c>
      <c r="BJ145" s="1278" t="s">
        <v>61</v>
      </c>
      <c r="BK145" s="602"/>
      <c r="BL145" s="602"/>
      <c r="BM145" s="602"/>
      <c r="BN145" s="602"/>
      <c r="BO145" s="602"/>
    </row>
    <row r="146" spans="2:67" outlineLevel="2" x14ac:dyDescent="0.2">
      <c r="B146" s="200" t="s">
        <v>161</v>
      </c>
      <c r="C146" s="201"/>
      <c r="D146" s="262">
        <f>L146</f>
        <v>0</v>
      </c>
      <c r="E146" s="265">
        <f>D146*12/44</f>
        <v>0</v>
      </c>
      <c r="F146" s="523"/>
      <c r="G146" s="182"/>
      <c r="H146" s="436"/>
      <c r="I146" s="273">
        <f>VLOOKUP($B146,'Emissions factors'!$B$1719:$E$1730,2,FALSE)*(1-H146)+VLOOKUP($B146,'Emissions factors'!$B$1719:$E$1730,3,FALSE)*H146</f>
        <v>1870</v>
      </c>
      <c r="J146" s="436"/>
      <c r="K146" s="182"/>
      <c r="L146" s="211">
        <f>IF(K146=0,0,(G146*I146*(1+J146))/K146)</f>
        <v>0</v>
      </c>
      <c r="Q146" s="314"/>
      <c r="Y146" s="282">
        <f>VLOOKUP(B146,'Emissions factors'!$B$1719:$E$1730,4,FALSE)</f>
        <v>0.2</v>
      </c>
      <c r="Z146" s="183"/>
      <c r="AA146" s="211">
        <f>L146*SQRT(Y146^2+Z146^2)</f>
        <v>0</v>
      </c>
      <c r="AF146" s="184"/>
      <c r="AG146" s="210">
        <f>L146*AF146</f>
        <v>0</v>
      </c>
      <c r="AH146" s="184"/>
      <c r="AI146" s="211">
        <f>L146*AH146</f>
        <v>0</v>
      </c>
      <c r="AP146" s="40"/>
      <c r="AQ146" s="717"/>
      <c r="AR146" s="718"/>
      <c r="AS146" s="718"/>
      <c r="AT146" s="718"/>
      <c r="AU146" s="720">
        <f>L146</f>
        <v>0</v>
      </c>
      <c r="AV146" s="748"/>
      <c r="BD146" s="1279" t="str">
        <f t="shared" ref="BD146:BI149" si="46">IF($F146="Yes",IF(AQ146="","",AQ146*$K146),"")</f>
        <v/>
      </c>
      <c r="BE146" s="1280" t="str">
        <f t="shared" si="46"/>
        <v/>
      </c>
      <c r="BF146" s="1280" t="str">
        <f t="shared" si="46"/>
        <v/>
      </c>
      <c r="BG146" s="1280" t="str">
        <f t="shared" si="46"/>
        <v/>
      </c>
      <c r="BH146" s="1281" t="str">
        <f t="shared" si="46"/>
        <v/>
      </c>
      <c r="BI146" s="1282" t="str">
        <f t="shared" si="46"/>
        <v/>
      </c>
      <c r="BJ146" s="1282" t="str">
        <f>IF($F146="Yes",IF(AA146="","",AA146*$K146),"")</f>
        <v/>
      </c>
      <c r="BK146" s="602"/>
      <c r="BL146" s="602"/>
      <c r="BM146" s="602"/>
      <c r="BN146" s="602"/>
      <c r="BO146" s="602"/>
    </row>
    <row r="147" spans="2:67" outlineLevel="2" x14ac:dyDescent="0.2">
      <c r="B147" s="200" t="s">
        <v>160</v>
      </c>
      <c r="C147" s="201"/>
      <c r="D147" s="262">
        <f>L147</f>
        <v>0</v>
      </c>
      <c r="E147" s="265">
        <f>D147*12/44</f>
        <v>0</v>
      </c>
      <c r="F147" s="524"/>
      <c r="G147" s="185"/>
      <c r="H147" s="437"/>
      <c r="I147" s="273">
        <f>VLOOKUP($B147,'Emissions factors'!$B$1719:$E$1730,2,FALSE)*(1-H147)+VLOOKUP($B147,'Emissions factors'!$B$1719:$E$1730,3,FALSE)*H147</f>
        <v>3270</v>
      </c>
      <c r="J147" s="437"/>
      <c r="K147" s="185"/>
      <c r="L147" s="211">
        <f>IF(K147=0,0,(G147*I147*(1+J147))/K147)</f>
        <v>0</v>
      </c>
      <c r="Q147" s="314"/>
      <c r="Y147" s="282">
        <f>VLOOKUP(B147,'Emissions factors'!$B$1719:$E$1730,4,FALSE)</f>
        <v>0.2</v>
      </c>
      <c r="Z147" s="186"/>
      <c r="AA147" s="211">
        <f>L147*SQRT(Y147^2+Z147^2)</f>
        <v>0</v>
      </c>
      <c r="AF147" s="187"/>
      <c r="AG147" s="210">
        <f>L147*AF147</f>
        <v>0</v>
      </c>
      <c r="AH147" s="187"/>
      <c r="AI147" s="211">
        <f>L147*AH147</f>
        <v>0</v>
      </c>
      <c r="AP147" s="40"/>
      <c r="AQ147" s="717"/>
      <c r="AR147" s="718"/>
      <c r="AS147" s="718"/>
      <c r="AT147" s="718"/>
      <c r="AU147" s="720">
        <f>L147</f>
        <v>0</v>
      </c>
      <c r="AV147" s="748"/>
      <c r="BD147" s="1279" t="str">
        <f t="shared" si="46"/>
        <v/>
      </c>
      <c r="BE147" s="1280" t="str">
        <f t="shared" si="46"/>
        <v/>
      </c>
      <c r="BF147" s="1280" t="str">
        <f t="shared" si="46"/>
        <v/>
      </c>
      <c r="BG147" s="1280" t="str">
        <f t="shared" si="46"/>
        <v/>
      </c>
      <c r="BH147" s="1281" t="str">
        <f t="shared" si="46"/>
        <v/>
      </c>
      <c r="BI147" s="1282" t="str">
        <f t="shared" si="46"/>
        <v/>
      </c>
      <c r="BJ147" s="1282" t="str">
        <f>IF($F147="Yes",IF(AA147="","",AA147*$K147),"")</f>
        <v/>
      </c>
      <c r="BK147" s="602"/>
      <c r="BL147" s="602"/>
      <c r="BM147" s="602"/>
      <c r="BN147" s="602"/>
      <c r="BO147" s="602"/>
    </row>
    <row r="148" spans="2:67" outlineLevel="2" x14ac:dyDescent="0.2">
      <c r="B148" s="200" t="s">
        <v>1544</v>
      </c>
      <c r="C148" s="201"/>
      <c r="D148" s="262">
        <f>L148</f>
        <v>0</v>
      </c>
      <c r="E148" s="265">
        <f>D148*12/44</f>
        <v>0</v>
      </c>
      <c r="F148" s="525"/>
      <c r="G148" s="188"/>
      <c r="H148" s="438"/>
      <c r="I148" s="273">
        <f>VLOOKUP($B148,'Emissions factors'!$B$1719:$E$1730,2,FALSE)*(1-H148)+VLOOKUP($B148,'Emissions factors'!$B$1719:$E$1730,3,FALSE)*H148</f>
        <v>4400</v>
      </c>
      <c r="J148" s="438"/>
      <c r="K148" s="188"/>
      <c r="L148" s="211">
        <f>IF(K148=0,0,(G148*I148*(1+J148))/K148)</f>
        <v>0</v>
      </c>
      <c r="Q148" s="314"/>
      <c r="Y148" s="282">
        <f>VLOOKUP(B148,'Emissions factors'!$B$1719:$E$1730,4,FALSE)</f>
        <v>0.4</v>
      </c>
      <c r="Z148" s="189"/>
      <c r="AA148" s="211">
        <f>L148*SQRT(Y148^2+Z148^2)</f>
        <v>0</v>
      </c>
      <c r="AF148" s="190"/>
      <c r="AG148" s="210">
        <f>L148*AF148</f>
        <v>0</v>
      </c>
      <c r="AH148" s="190"/>
      <c r="AI148" s="211">
        <f>L148*AH148</f>
        <v>0</v>
      </c>
      <c r="AP148" s="40"/>
      <c r="AQ148" s="717"/>
      <c r="AR148" s="718"/>
      <c r="AS148" s="718"/>
      <c r="AT148" s="718"/>
      <c r="AU148" s="720">
        <f>L148</f>
        <v>0</v>
      </c>
      <c r="AV148" s="748"/>
      <c r="BD148" s="1279" t="str">
        <f t="shared" si="46"/>
        <v/>
      </c>
      <c r="BE148" s="1280" t="str">
        <f t="shared" si="46"/>
        <v/>
      </c>
      <c r="BF148" s="1280" t="str">
        <f t="shared" si="46"/>
        <v/>
      </c>
      <c r="BG148" s="1280" t="str">
        <f t="shared" si="46"/>
        <v/>
      </c>
      <c r="BH148" s="1281" t="str">
        <f t="shared" si="46"/>
        <v/>
      </c>
      <c r="BI148" s="1282" t="str">
        <f t="shared" si="46"/>
        <v/>
      </c>
      <c r="BJ148" s="1282" t="str">
        <f>IF($F148="Yes",IF(AA148="","",AA148*$K148),"")</f>
        <v/>
      </c>
      <c r="BK148" s="602"/>
      <c r="BL148" s="602"/>
      <c r="BM148" s="602"/>
      <c r="BN148" s="602"/>
      <c r="BO148" s="602"/>
    </row>
    <row r="149" spans="2:67" outlineLevel="2" x14ac:dyDescent="0.2">
      <c r="B149" s="213"/>
      <c r="C149" s="214"/>
      <c r="D149" s="275"/>
      <c r="E149" s="268"/>
      <c r="F149" s="214"/>
      <c r="G149" s="214"/>
      <c r="H149" s="214"/>
      <c r="I149" s="214"/>
      <c r="J149" s="214"/>
      <c r="K149" s="214"/>
      <c r="L149" s="433"/>
      <c r="Y149" s="200"/>
      <c r="Z149" s="201"/>
      <c r="AA149" s="222"/>
      <c r="AF149" s="200"/>
      <c r="AG149" s="504"/>
      <c r="AH149" s="201"/>
      <c r="AI149" s="222"/>
      <c r="AP149" s="40"/>
      <c r="AQ149" s="717"/>
      <c r="AR149" s="718"/>
      <c r="AS149" s="718"/>
      <c r="AT149" s="718"/>
      <c r="AU149" s="720"/>
      <c r="AV149" s="749"/>
      <c r="BD149" s="1279" t="str">
        <f t="shared" si="46"/>
        <v/>
      </c>
      <c r="BE149" s="1280" t="str">
        <f t="shared" si="46"/>
        <v/>
      </c>
      <c r="BF149" s="1280" t="str">
        <f t="shared" si="46"/>
        <v/>
      </c>
      <c r="BG149" s="1280" t="str">
        <f t="shared" si="46"/>
        <v/>
      </c>
      <c r="BH149" s="1281" t="str">
        <f t="shared" si="46"/>
        <v/>
      </c>
      <c r="BI149" s="1283" t="str">
        <f t="shared" si="46"/>
        <v/>
      </c>
      <c r="BJ149" s="1282" t="str">
        <f>IF($F149="Yes",IF(AA149="","",AA149*$K149),"")</f>
        <v/>
      </c>
      <c r="BK149" s="602"/>
      <c r="BL149" s="602"/>
      <c r="BM149" s="602"/>
      <c r="BN149" s="602"/>
      <c r="BO149" s="602"/>
    </row>
    <row r="150" spans="2:67" outlineLevel="2" x14ac:dyDescent="0.2">
      <c r="B150" s="253" t="s">
        <v>44</v>
      </c>
      <c r="C150" s="254"/>
      <c r="D150" s="264">
        <f>SUM(D146:D149)</f>
        <v>0</v>
      </c>
      <c r="E150" s="267">
        <f>SUM(E146:E149)</f>
        <v>0</v>
      </c>
      <c r="F150" s="254"/>
      <c r="G150" s="254"/>
      <c r="H150" s="254"/>
      <c r="I150" s="254"/>
      <c r="J150" s="254"/>
      <c r="K150" s="254"/>
      <c r="L150" s="257">
        <f>SUM(L146:L149)</f>
        <v>0</v>
      </c>
      <c r="M150" s="42"/>
      <c r="Q150" s="42"/>
      <c r="Y150" s="258"/>
      <c r="Z150" s="256"/>
      <c r="AA150" s="545">
        <f>SQRT(SUMSQ(AA146:AA149))</f>
        <v>0</v>
      </c>
      <c r="AF150" s="258"/>
      <c r="AG150" s="259">
        <f>SUM(AG146:AG149)</f>
        <v>0</v>
      </c>
      <c r="AH150" s="256"/>
      <c r="AI150" s="257">
        <f>SUM(AI146:AI149)</f>
        <v>0</v>
      </c>
      <c r="AP150" s="40"/>
      <c r="AQ150" s="724">
        <f t="shared" ref="AQ150:AV150" si="47">SUM(AQ146:AQ149)</f>
        <v>0</v>
      </c>
      <c r="AR150" s="725">
        <f t="shared" si="47"/>
        <v>0</v>
      </c>
      <c r="AS150" s="725">
        <f t="shared" si="47"/>
        <v>0</v>
      </c>
      <c r="AT150" s="725">
        <f t="shared" si="47"/>
        <v>0</v>
      </c>
      <c r="AU150" s="727">
        <f t="shared" si="47"/>
        <v>0</v>
      </c>
      <c r="AV150" s="750">
        <f t="shared" si="47"/>
        <v>0</v>
      </c>
      <c r="BD150" s="1284">
        <f t="shared" ref="BD150:BI150" si="48">SUM(BD146:BD149)</f>
        <v>0</v>
      </c>
      <c r="BE150" s="1285">
        <f t="shared" si="48"/>
        <v>0</v>
      </c>
      <c r="BF150" s="1285">
        <f t="shared" si="48"/>
        <v>0</v>
      </c>
      <c r="BG150" s="1285">
        <f t="shared" si="48"/>
        <v>0</v>
      </c>
      <c r="BH150" s="1286">
        <f t="shared" si="48"/>
        <v>0</v>
      </c>
      <c r="BI150" s="1287">
        <f t="shared" si="48"/>
        <v>0</v>
      </c>
      <c r="BJ150" s="1287">
        <f>SUM(BJ145:BJ149)</f>
        <v>0</v>
      </c>
      <c r="BK150" s="602"/>
      <c r="BL150" s="602"/>
      <c r="BM150" s="602"/>
      <c r="BN150" s="602"/>
      <c r="BO150" s="602"/>
    </row>
    <row r="151" spans="2:67" outlineLevel="2" x14ac:dyDescent="0.2">
      <c r="AP151" s="40"/>
      <c r="BD151" s="602"/>
      <c r="BE151" s="602"/>
      <c r="BF151" s="602"/>
      <c r="BG151" s="602"/>
      <c r="BH151" s="602"/>
      <c r="BI151" s="602"/>
      <c r="BJ151" s="602"/>
      <c r="BK151" s="602"/>
      <c r="BL151" s="602"/>
      <c r="BM151" s="602"/>
      <c r="BN151" s="602"/>
      <c r="BO151" s="602"/>
    </row>
    <row r="152" spans="2:67" outlineLevel="2" x14ac:dyDescent="0.2">
      <c r="B152" s="195" t="s">
        <v>3083</v>
      </c>
      <c r="C152" s="196"/>
      <c r="D152" s="500"/>
      <c r="E152" s="500"/>
      <c r="F152" s="196"/>
      <c r="G152" s="196"/>
      <c r="H152" s="196"/>
      <c r="I152" s="198"/>
      <c r="J152" s="198"/>
      <c r="K152" s="198"/>
      <c r="L152" s="235"/>
      <c r="Y152" s="1746" t="s">
        <v>723</v>
      </c>
      <c r="Z152" s="1747"/>
      <c r="AA152" s="1748"/>
      <c r="AF152" s="1746" t="s">
        <v>2066</v>
      </c>
      <c r="AG152" s="1747"/>
      <c r="AH152" s="1747"/>
      <c r="AI152" s="1748"/>
      <c r="AP152" s="40"/>
      <c r="AQ152" s="1755" t="s">
        <v>2073</v>
      </c>
      <c r="AR152" s="1756"/>
      <c r="AS152" s="1756"/>
      <c r="AT152" s="1756"/>
      <c r="AU152" s="1756"/>
      <c r="AV152" s="1757"/>
      <c r="BD152" s="1843" t="s">
        <v>2719</v>
      </c>
      <c r="BE152" s="1844"/>
      <c r="BF152" s="1844"/>
      <c r="BG152" s="1844"/>
      <c r="BH152" s="1844"/>
      <c r="BI152" s="1844"/>
      <c r="BJ152" s="1845"/>
      <c r="BK152" s="602"/>
      <c r="BL152" s="602"/>
      <c r="BM152" s="602"/>
      <c r="BN152" s="602"/>
      <c r="BO152" s="602"/>
    </row>
    <row r="153" spans="2:67" outlineLevel="2" x14ac:dyDescent="0.2">
      <c r="B153" s="417"/>
      <c r="C153" s="225"/>
      <c r="D153" s="503"/>
      <c r="E153" s="503"/>
      <c r="F153" s="269"/>
      <c r="G153" s="269"/>
      <c r="H153" s="269"/>
      <c r="I153" s="201"/>
      <c r="J153" s="214"/>
      <c r="K153" s="214"/>
      <c r="L153" s="226"/>
      <c r="Y153" s="507"/>
      <c r="Z153" s="504"/>
      <c r="AA153" s="203"/>
      <c r="AF153" s="507"/>
      <c r="AG153" s="504"/>
      <c r="AH153" s="504"/>
      <c r="AI153" s="203"/>
      <c r="AP153" s="40"/>
      <c r="AQ153" s="778"/>
      <c r="AR153" s="779"/>
      <c r="AS153" s="779"/>
      <c r="AT153" s="779"/>
      <c r="AU153" s="741"/>
      <c r="AV153" s="780"/>
      <c r="BD153" s="1270"/>
      <c r="BE153" s="1271"/>
      <c r="BF153" s="1271"/>
      <c r="BG153" s="1271"/>
      <c r="BH153" s="1272"/>
      <c r="BI153" s="1273"/>
      <c r="BJ153" s="1273"/>
      <c r="BK153" s="602"/>
      <c r="BL153" s="602"/>
      <c r="BM153" s="602"/>
      <c r="BN153" s="602"/>
      <c r="BO153" s="602"/>
    </row>
    <row r="154" spans="2:67" outlineLevel="2" x14ac:dyDescent="0.2">
      <c r="B154" s="507"/>
      <c r="C154" s="504"/>
      <c r="D154" s="504" t="s">
        <v>56</v>
      </c>
      <c r="E154" s="504" t="s">
        <v>56</v>
      </c>
      <c r="F154" s="205" t="s">
        <v>2712</v>
      </c>
      <c r="G154" s="205" t="s">
        <v>11</v>
      </c>
      <c r="H154" s="205" t="s">
        <v>2600</v>
      </c>
      <c r="I154" s="504" t="s">
        <v>61</v>
      </c>
      <c r="J154" s="205" t="s">
        <v>2603</v>
      </c>
      <c r="K154" s="205" t="s">
        <v>2715</v>
      </c>
      <c r="L154" s="509" t="s">
        <v>61</v>
      </c>
      <c r="M154" s="32"/>
      <c r="Q154" s="32"/>
      <c r="Y154" s="1638" t="s">
        <v>2605</v>
      </c>
      <c r="Z154" s="504" t="s">
        <v>2110</v>
      </c>
      <c r="AA154" s="509" t="s">
        <v>61</v>
      </c>
      <c r="AF154" s="507" t="s">
        <v>2065</v>
      </c>
      <c r="AG154" s="503" t="s">
        <v>61</v>
      </c>
      <c r="AH154" s="504" t="s">
        <v>2558</v>
      </c>
      <c r="AI154" s="509" t="s">
        <v>61</v>
      </c>
      <c r="AP154" s="40"/>
      <c r="AQ154" s="1739" t="s">
        <v>61</v>
      </c>
      <c r="AR154" s="1740"/>
      <c r="AS154" s="1740"/>
      <c r="AT154" s="1740"/>
      <c r="AU154" s="741" t="s">
        <v>61</v>
      </c>
      <c r="AV154" s="742"/>
      <c r="BD154" s="1846" t="s">
        <v>61</v>
      </c>
      <c r="BE154" s="1847"/>
      <c r="BF154" s="1847"/>
      <c r="BG154" s="1847"/>
      <c r="BH154" s="1272" t="s">
        <v>61</v>
      </c>
      <c r="BI154" s="1274"/>
      <c r="BJ154" s="1278" t="s">
        <v>723</v>
      </c>
      <c r="BK154" s="602"/>
      <c r="BL154" s="602"/>
      <c r="BM154" s="602"/>
      <c r="BN154" s="602"/>
      <c r="BO154" s="602"/>
    </row>
    <row r="155" spans="2:67" outlineLevel="2" x14ac:dyDescent="0.2">
      <c r="B155" s="507"/>
      <c r="C155" s="504"/>
      <c r="D155" s="504" t="s">
        <v>61</v>
      </c>
      <c r="E155" s="504" t="s">
        <v>63</v>
      </c>
      <c r="F155" s="208" t="s">
        <v>2713</v>
      </c>
      <c r="G155" s="208" t="s">
        <v>2601</v>
      </c>
      <c r="H155" s="208" t="s">
        <v>2602</v>
      </c>
      <c r="I155" s="504" t="s">
        <v>2058</v>
      </c>
      <c r="J155" s="208" t="s">
        <v>2720</v>
      </c>
      <c r="K155" s="208" t="s">
        <v>2716</v>
      </c>
      <c r="L155" s="509"/>
      <c r="M155" s="32"/>
      <c r="Q155" s="32"/>
      <c r="Y155" s="1638" t="s">
        <v>2063</v>
      </c>
      <c r="Z155" s="504"/>
      <c r="AA155" s="509"/>
      <c r="AF155" s="507"/>
      <c r="AG155" s="503"/>
      <c r="AH155" s="504"/>
      <c r="AI155" s="509"/>
      <c r="AP155" s="40"/>
      <c r="AQ155" s="744" t="s">
        <v>14</v>
      </c>
      <c r="AR155" s="745" t="s">
        <v>60</v>
      </c>
      <c r="AS155" s="745" t="s">
        <v>27</v>
      </c>
      <c r="AT155" s="745" t="s">
        <v>2074</v>
      </c>
      <c r="AU155" s="746" t="s">
        <v>41</v>
      </c>
      <c r="AV155" s="747" t="s">
        <v>85</v>
      </c>
      <c r="BD155" s="1275" t="s">
        <v>14</v>
      </c>
      <c r="BE155" s="1276" t="s">
        <v>60</v>
      </c>
      <c r="BF155" s="1276" t="s">
        <v>27</v>
      </c>
      <c r="BG155" s="1276" t="s">
        <v>2074</v>
      </c>
      <c r="BH155" s="1277" t="s">
        <v>41</v>
      </c>
      <c r="BI155" s="1278" t="s">
        <v>85</v>
      </c>
      <c r="BJ155" s="1278" t="s">
        <v>61</v>
      </c>
      <c r="BK155" s="602"/>
      <c r="BL155" s="602"/>
      <c r="BM155" s="602"/>
      <c r="BN155" s="602"/>
      <c r="BO155" s="602"/>
    </row>
    <row r="156" spans="2:67" outlineLevel="2" x14ac:dyDescent="0.2">
      <c r="B156" s="236" t="s">
        <v>1534</v>
      </c>
      <c r="C156" s="237"/>
      <c r="D156" s="262">
        <f>L156</f>
        <v>0</v>
      </c>
      <c r="E156" s="265">
        <f>D156*12/44</f>
        <v>0</v>
      </c>
      <c r="F156" s="523"/>
      <c r="G156" s="182"/>
      <c r="H156" s="436"/>
      <c r="I156" s="273">
        <f>VLOOKUP($B156,'Emissions factors'!$B$1704:$E$1714,2,FALSE)*(1-H156)+VLOOKUP($B156,'Emissions factors'!$B$1704:$E$1714,3,FALSE)*H156</f>
        <v>3670</v>
      </c>
      <c r="J156" s="436"/>
      <c r="K156" s="182"/>
      <c r="L156" s="211">
        <f>IF(K156=0,0,(G156*I156*(1+J156))/K156)</f>
        <v>0</v>
      </c>
      <c r="Q156" s="314"/>
      <c r="Y156" s="282">
        <f>VLOOKUP(B156,'Emissions factors'!$B$1704:$E$1714,4,FALSE)</f>
        <v>0.2</v>
      </c>
      <c r="Z156" s="183"/>
      <c r="AA156" s="211">
        <f>L156*SQRT(Y156^2+Z156^2)</f>
        <v>0</v>
      </c>
      <c r="AF156" s="184"/>
      <c r="AG156" s="210">
        <f>L156*AF156</f>
        <v>0</v>
      </c>
      <c r="AH156" s="184"/>
      <c r="AI156" s="211">
        <f>L156*AH156</f>
        <v>0</v>
      </c>
      <c r="AP156" s="40"/>
      <c r="AQ156" s="717"/>
      <c r="AR156" s="718"/>
      <c r="AS156" s="718"/>
      <c r="AT156" s="718"/>
      <c r="AU156" s="720">
        <f>L156</f>
        <v>0</v>
      </c>
      <c r="AV156" s="748"/>
      <c r="BD156" s="1279" t="str">
        <f t="shared" ref="BD156:BI159" si="49">IF($F156="Yes",IF(AQ156="","",AQ156*$K156),"")</f>
        <v/>
      </c>
      <c r="BE156" s="1280" t="str">
        <f t="shared" si="49"/>
        <v/>
      </c>
      <c r="BF156" s="1280" t="str">
        <f t="shared" si="49"/>
        <v/>
      </c>
      <c r="BG156" s="1280" t="str">
        <f t="shared" si="49"/>
        <v/>
      </c>
      <c r="BH156" s="1281" t="str">
        <f t="shared" si="49"/>
        <v/>
      </c>
      <c r="BI156" s="1282" t="str">
        <f t="shared" si="49"/>
        <v/>
      </c>
      <c r="BJ156" s="1282" t="str">
        <f>IF($F156="Yes",IF(AA156="","",AA156*$K156),"")</f>
        <v/>
      </c>
      <c r="BK156" s="602"/>
      <c r="BL156" s="602"/>
      <c r="BM156" s="602"/>
      <c r="BN156" s="602"/>
      <c r="BO156" s="602"/>
    </row>
    <row r="157" spans="2:67" outlineLevel="2" x14ac:dyDescent="0.2">
      <c r="B157" s="236" t="s">
        <v>1532</v>
      </c>
      <c r="C157" s="237"/>
      <c r="D157" s="262">
        <f>L157</f>
        <v>0</v>
      </c>
      <c r="E157" s="265">
        <f>D157*12/44</f>
        <v>0</v>
      </c>
      <c r="F157" s="524"/>
      <c r="G157" s="185"/>
      <c r="H157" s="437"/>
      <c r="I157" s="273">
        <f>VLOOKUP($B157,'Emissions factors'!$B$1704:$E$1714,2,FALSE)*(1-H157)+VLOOKUP($B157,'Emissions factors'!$B$1704:$E$1714,3,FALSE)*H157</f>
        <v>1519</v>
      </c>
      <c r="J157" s="437"/>
      <c r="K157" s="185"/>
      <c r="L157" s="211">
        <f>IF(K157=0,0,(G157*I157*(1+J157))/K157)</f>
        <v>0</v>
      </c>
      <c r="Q157" s="314"/>
      <c r="Y157" s="282">
        <f>VLOOKUP(B157,'Emissions factors'!$B$1704:$E$1714,4,FALSE)</f>
        <v>0.2</v>
      </c>
      <c r="Z157" s="186"/>
      <c r="AA157" s="211">
        <f>L157*SQRT(Y157^2+Z157^2)</f>
        <v>0</v>
      </c>
      <c r="AF157" s="187"/>
      <c r="AG157" s="210">
        <f>L157*AF157</f>
        <v>0</v>
      </c>
      <c r="AH157" s="187"/>
      <c r="AI157" s="211">
        <f>L157*AH157</f>
        <v>0</v>
      </c>
      <c r="AP157" s="40"/>
      <c r="AQ157" s="717"/>
      <c r="AR157" s="718"/>
      <c r="AS157" s="718"/>
      <c r="AT157" s="718"/>
      <c r="AU157" s="720">
        <f>L157</f>
        <v>0</v>
      </c>
      <c r="AV157" s="748"/>
      <c r="BD157" s="1279" t="str">
        <f t="shared" si="49"/>
        <v/>
      </c>
      <c r="BE157" s="1280" t="str">
        <f t="shared" si="49"/>
        <v/>
      </c>
      <c r="BF157" s="1280" t="str">
        <f t="shared" si="49"/>
        <v/>
      </c>
      <c r="BG157" s="1280" t="str">
        <f t="shared" si="49"/>
        <v/>
      </c>
      <c r="BH157" s="1281" t="str">
        <f t="shared" si="49"/>
        <v/>
      </c>
      <c r="BI157" s="1282" t="str">
        <f t="shared" si="49"/>
        <v/>
      </c>
      <c r="BJ157" s="1282" t="str">
        <f>IF($F157="Yes",IF(AA157="","",AA157*$K157),"")</f>
        <v/>
      </c>
      <c r="BK157" s="602"/>
      <c r="BL157" s="602"/>
      <c r="BM157" s="602"/>
      <c r="BN157" s="602"/>
      <c r="BO157" s="602"/>
    </row>
    <row r="158" spans="2:67" outlineLevel="2" x14ac:dyDescent="0.2">
      <c r="B158" s="236" t="s">
        <v>1533</v>
      </c>
      <c r="C158" s="237"/>
      <c r="D158" s="262">
        <f>L158</f>
        <v>0</v>
      </c>
      <c r="E158" s="265">
        <f>D158*12/44</f>
        <v>0</v>
      </c>
      <c r="F158" s="525"/>
      <c r="G158" s="188"/>
      <c r="H158" s="438"/>
      <c r="I158" s="273">
        <f>VLOOKUP($B158,'Emissions factors'!$B$1704:$E$1714,2,FALSE)*(1-H158)+VLOOKUP($B158,'Emissions factors'!$B$1704:$E$1714,3,FALSE)*H158</f>
        <v>1027</v>
      </c>
      <c r="J158" s="438"/>
      <c r="K158" s="188"/>
      <c r="L158" s="211">
        <f>IF(K158=0,0,(G158*I158*(1+J158))/K158)</f>
        <v>0</v>
      </c>
      <c r="Q158" s="314"/>
      <c r="Y158" s="282">
        <f>VLOOKUP(B158,'Emissions factors'!$B$1704:$E$1714,4,FALSE)</f>
        <v>0.2</v>
      </c>
      <c r="Z158" s="189"/>
      <c r="AA158" s="211">
        <f>L158*SQRT(Y158^2+Z158^2)</f>
        <v>0</v>
      </c>
      <c r="AF158" s="190"/>
      <c r="AG158" s="210">
        <f>L158*AF158</f>
        <v>0</v>
      </c>
      <c r="AH158" s="190"/>
      <c r="AI158" s="211">
        <f>L158*AH158</f>
        <v>0</v>
      </c>
      <c r="AP158" s="40"/>
      <c r="AQ158" s="717"/>
      <c r="AR158" s="718"/>
      <c r="AS158" s="718"/>
      <c r="AT158" s="718"/>
      <c r="AU158" s="720">
        <f>L158</f>
        <v>0</v>
      </c>
      <c r="AV158" s="748"/>
      <c r="BD158" s="1279" t="str">
        <f t="shared" si="49"/>
        <v/>
      </c>
      <c r="BE158" s="1280" t="str">
        <f t="shared" si="49"/>
        <v/>
      </c>
      <c r="BF158" s="1280" t="str">
        <f t="shared" si="49"/>
        <v/>
      </c>
      <c r="BG158" s="1280" t="str">
        <f t="shared" si="49"/>
        <v/>
      </c>
      <c r="BH158" s="1281" t="str">
        <f t="shared" si="49"/>
        <v/>
      </c>
      <c r="BI158" s="1282" t="str">
        <f t="shared" si="49"/>
        <v/>
      </c>
      <c r="BJ158" s="1282" t="str">
        <f>IF($F158="Yes",IF(AA158="","",AA158*$K158),"")</f>
        <v/>
      </c>
      <c r="BK158" s="602"/>
      <c r="BL158" s="602"/>
      <c r="BM158" s="602"/>
      <c r="BN158" s="602"/>
      <c r="BO158" s="602"/>
    </row>
    <row r="159" spans="2:67" outlineLevel="2" x14ac:dyDescent="0.2">
      <c r="B159" s="213"/>
      <c r="C159" s="214"/>
      <c r="D159" s="275"/>
      <c r="E159" s="268"/>
      <c r="F159" s="214"/>
      <c r="G159" s="214"/>
      <c r="H159" s="214"/>
      <c r="I159" s="214"/>
      <c r="J159" s="214"/>
      <c r="K159" s="214"/>
      <c r="L159" s="433"/>
      <c r="Y159" s="200"/>
      <c r="Z159" s="201"/>
      <c r="AA159" s="222"/>
      <c r="AF159" s="200"/>
      <c r="AG159" s="504"/>
      <c r="AH159" s="201"/>
      <c r="AI159" s="222"/>
      <c r="AP159" s="40"/>
      <c r="AQ159" s="717"/>
      <c r="AR159" s="718"/>
      <c r="AS159" s="718"/>
      <c r="AT159" s="718"/>
      <c r="AU159" s="720"/>
      <c r="AV159" s="749"/>
      <c r="BD159" s="1279" t="str">
        <f t="shared" si="49"/>
        <v/>
      </c>
      <c r="BE159" s="1280" t="str">
        <f t="shared" si="49"/>
        <v/>
      </c>
      <c r="BF159" s="1280" t="str">
        <f t="shared" si="49"/>
        <v/>
      </c>
      <c r="BG159" s="1280" t="str">
        <f t="shared" si="49"/>
        <v/>
      </c>
      <c r="BH159" s="1281" t="str">
        <f t="shared" si="49"/>
        <v/>
      </c>
      <c r="BI159" s="1283" t="str">
        <f t="shared" si="49"/>
        <v/>
      </c>
      <c r="BJ159" s="1282" t="str">
        <f>IF($F159="Yes",IF(AA159="","",AA159*$K159),"")</f>
        <v/>
      </c>
      <c r="BK159" s="602"/>
      <c r="BL159" s="602"/>
      <c r="BM159" s="602"/>
      <c r="BN159" s="602"/>
      <c r="BO159" s="602"/>
    </row>
    <row r="160" spans="2:67" outlineLevel="2" x14ac:dyDescent="0.2">
      <c r="B160" s="253" t="s">
        <v>44</v>
      </c>
      <c r="C160" s="254"/>
      <c r="D160" s="264">
        <f>SUM(D156:D159)</f>
        <v>0</v>
      </c>
      <c r="E160" s="267">
        <f>SUM(E156:E159)</f>
        <v>0</v>
      </c>
      <c r="F160" s="254"/>
      <c r="G160" s="254"/>
      <c r="H160" s="254"/>
      <c r="I160" s="254"/>
      <c r="J160" s="254"/>
      <c r="K160" s="254"/>
      <c r="L160" s="257">
        <f>SUM(L156:L159)</f>
        <v>0</v>
      </c>
      <c r="M160" s="42"/>
      <c r="Q160" s="42"/>
      <c r="Y160" s="258"/>
      <c r="Z160" s="256"/>
      <c r="AA160" s="545">
        <f>SQRT(SUMSQ(AA156:AA159))</f>
        <v>0</v>
      </c>
      <c r="AF160" s="258"/>
      <c r="AG160" s="259">
        <f>SUM(AG156:AG159)</f>
        <v>0</v>
      </c>
      <c r="AH160" s="256"/>
      <c r="AI160" s="257">
        <f>SUM(AI156:AI159)</f>
        <v>0</v>
      </c>
      <c r="AP160" s="40"/>
      <c r="AQ160" s="724">
        <f t="shared" ref="AQ160:AV160" si="50">SUM(AQ156:AQ159)</f>
        <v>0</v>
      </c>
      <c r="AR160" s="725">
        <f t="shared" si="50"/>
        <v>0</v>
      </c>
      <c r="AS160" s="725">
        <f t="shared" si="50"/>
        <v>0</v>
      </c>
      <c r="AT160" s="725">
        <f t="shared" si="50"/>
        <v>0</v>
      </c>
      <c r="AU160" s="727">
        <f t="shared" si="50"/>
        <v>0</v>
      </c>
      <c r="AV160" s="750">
        <f t="shared" si="50"/>
        <v>0</v>
      </c>
      <c r="BD160" s="1284">
        <f t="shared" ref="BD160:BI160" si="51">SUM(BD156:BD159)</f>
        <v>0</v>
      </c>
      <c r="BE160" s="1285">
        <f t="shared" si="51"/>
        <v>0</v>
      </c>
      <c r="BF160" s="1285">
        <f t="shared" si="51"/>
        <v>0</v>
      </c>
      <c r="BG160" s="1285">
        <f t="shared" si="51"/>
        <v>0</v>
      </c>
      <c r="BH160" s="1286">
        <f t="shared" si="51"/>
        <v>0</v>
      </c>
      <c r="BI160" s="1287">
        <f t="shared" si="51"/>
        <v>0</v>
      </c>
      <c r="BJ160" s="1287">
        <f>SUM(BJ155:BJ159)</f>
        <v>0</v>
      </c>
      <c r="BK160" s="602"/>
      <c r="BL160" s="602"/>
      <c r="BM160" s="602"/>
      <c r="BN160" s="602"/>
      <c r="BO160" s="602"/>
    </row>
    <row r="161" spans="2:67" outlineLevel="2" x14ac:dyDescent="0.2">
      <c r="AP161" s="40"/>
      <c r="BD161" s="602"/>
      <c r="BE161" s="602"/>
      <c r="BF161" s="602"/>
      <c r="BG161" s="602"/>
      <c r="BH161" s="602"/>
      <c r="BI161" s="602"/>
      <c r="BJ161" s="602"/>
      <c r="BK161" s="602"/>
      <c r="BL161" s="602"/>
      <c r="BM161" s="602"/>
      <c r="BN161" s="602"/>
      <c r="BO161" s="602"/>
    </row>
    <row r="162" spans="2:67" outlineLevel="2" x14ac:dyDescent="0.2">
      <c r="B162" s="195" t="s">
        <v>2851</v>
      </c>
      <c r="C162" s="196"/>
      <c r="D162" s="198"/>
      <c r="E162" s="198"/>
      <c r="F162" s="198"/>
      <c r="G162" s="416"/>
      <c r="X162" s="314"/>
      <c r="AP162" s="40"/>
      <c r="BD162" s="602"/>
      <c r="BE162" s="602"/>
      <c r="BF162" s="602"/>
      <c r="BG162" s="602"/>
      <c r="BH162" s="602"/>
      <c r="BI162" s="602"/>
      <c r="BJ162" s="602"/>
      <c r="BK162" s="602"/>
      <c r="BL162" s="602"/>
      <c r="BM162" s="602"/>
      <c r="BN162" s="602"/>
      <c r="BO162" s="602"/>
    </row>
    <row r="163" spans="2:67" outlineLevel="2" x14ac:dyDescent="0.2">
      <c r="B163" s="200"/>
      <c r="C163" s="201"/>
      <c r="D163" s="205" t="s">
        <v>11</v>
      </c>
      <c r="E163" s="504" t="s">
        <v>64</v>
      </c>
      <c r="F163" s="205" t="s">
        <v>2715</v>
      </c>
      <c r="G163" s="445" t="s">
        <v>61</v>
      </c>
      <c r="X163" s="314"/>
      <c r="AP163" s="40"/>
      <c r="BD163" s="602"/>
      <c r="BE163" s="602"/>
      <c r="BF163" s="602"/>
      <c r="BG163" s="602"/>
      <c r="BH163" s="602"/>
      <c r="BI163" s="602"/>
      <c r="BJ163" s="602"/>
      <c r="BK163" s="602"/>
      <c r="BL163" s="602"/>
      <c r="BM163" s="602"/>
      <c r="BN163" s="602"/>
      <c r="BO163" s="602"/>
    </row>
    <row r="164" spans="2:67" outlineLevel="2" x14ac:dyDescent="0.2">
      <c r="B164" s="507"/>
      <c r="C164" s="504"/>
      <c r="D164" s="208" t="s">
        <v>2601</v>
      </c>
      <c r="E164" s="504" t="s">
        <v>2058</v>
      </c>
      <c r="F164" s="208" t="s">
        <v>2716</v>
      </c>
      <c r="G164" s="445"/>
      <c r="X164" s="314"/>
      <c r="AP164" s="40"/>
      <c r="BD164" s="602"/>
      <c r="BE164" s="602"/>
      <c r="BF164" s="602"/>
      <c r="BG164" s="602"/>
      <c r="BH164" s="602"/>
      <c r="BI164" s="602"/>
      <c r="BJ164" s="602"/>
      <c r="BK164" s="602"/>
      <c r="BL164" s="602"/>
      <c r="BM164" s="602"/>
      <c r="BN164" s="602"/>
      <c r="BO164" s="602"/>
    </row>
    <row r="165" spans="2:67" outlineLevel="2" x14ac:dyDescent="0.2">
      <c r="B165" s="200" t="str">
        <f>'Emissions factors'!$B$1807</f>
        <v>Lumber [1]</v>
      </c>
      <c r="C165" s="201"/>
      <c r="D165" s="547">
        <f>SUMIF(B126:B128,B165,'Beni durevoli'!G126:G128)</f>
        <v>0</v>
      </c>
      <c r="E165" s="446">
        <f>-500*44/12</f>
        <v>-1833.3333333333333</v>
      </c>
      <c r="F165" s="337"/>
      <c r="G165" s="447">
        <f>IF(F165=0,0,(D165*E165)/F165)</f>
        <v>0</v>
      </c>
      <c r="AP165" s="40"/>
      <c r="BD165" s="602"/>
      <c r="BE165" s="602"/>
      <c r="BF165" s="602"/>
      <c r="BG165" s="602"/>
      <c r="BH165" s="602"/>
      <c r="BI165" s="602"/>
      <c r="BJ165" s="602"/>
      <c r="BK165" s="602"/>
      <c r="BL165" s="602"/>
      <c r="BM165" s="602"/>
      <c r="BN165" s="602"/>
      <c r="BO165" s="602"/>
    </row>
    <row r="166" spans="2:67" outlineLevel="2" x14ac:dyDescent="0.2">
      <c r="B166" s="213"/>
      <c r="C166" s="214"/>
      <c r="D166" s="214"/>
      <c r="E166" s="214"/>
      <c r="F166" s="214"/>
      <c r="G166" s="540"/>
      <c r="AP166" s="40"/>
      <c r="BD166" s="602"/>
      <c r="BE166" s="602"/>
      <c r="BF166" s="602"/>
      <c r="BG166" s="602"/>
      <c r="BH166" s="602"/>
      <c r="BI166" s="602"/>
      <c r="BJ166" s="602"/>
      <c r="BK166" s="602"/>
      <c r="BL166" s="602"/>
      <c r="BM166" s="602"/>
      <c r="BN166" s="602"/>
      <c r="BO166" s="602"/>
    </row>
    <row r="167" spans="2:67" outlineLevel="2" x14ac:dyDescent="0.2">
      <c r="B167" s="253" t="s">
        <v>44</v>
      </c>
      <c r="C167" s="254"/>
      <c r="D167" s="256"/>
      <c r="E167" s="260"/>
      <c r="F167" s="260"/>
      <c r="G167" s="451">
        <f>SUM(G165:G165)</f>
        <v>0</v>
      </c>
      <c r="AP167" s="40"/>
      <c r="BD167" s="602"/>
      <c r="BE167" s="602"/>
      <c r="BF167" s="602"/>
      <c r="BG167" s="602"/>
      <c r="BH167" s="602"/>
      <c r="BI167" s="602"/>
      <c r="BJ167" s="602"/>
      <c r="BK167" s="602"/>
      <c r="BL167" s="602"/>
      <c r="BM167" s="602"/>
      <c r="BN167" s="602"/>
      <c r="BO167" s="602"/>
    </row>
    <row r="168" spans="2:67" outlineLevel="2" x14ac:dyDescent="0.2">
      <c r="F168" s="314"/>
      <c r="BD168" s="602"/>
      <c r="BE168" s="602"/>
      <c r="BF168" s="602"/>
      <c r="BG168" s="602"/>
      <c r="BH168" s="602"/>
      <c r="BI168" s="602"/>
      <c r="BJ168" s="602"/>
      <c r="BK168" s="602"/>
      <c r="BL168" s="602"/>
      <c r="BM168" s="602"/>
      <c r="BN168" s="602"/>
      <c r="BO168" s="602"/>
    </row>
    <row r="169" spans="2:67" x14ac:dyDescent="0.2">
      <c r="BD169" s="602"/>
      <c r="BE169" s="602"/>
      <c r="BF169" s="602"/>
      <c r="BG169" s="602"/>
      <c r="BH169" s="602"/>
      <c r="BI169" s="602"/>
      <c r="BJ169" s="602"/>
      <c r="BK169" s="602"/>
      <c r="BL169" s="602"/>
      <c r="BM169" s="602"/>
      <c r="BN169" s="602"/>
      <c r="BO169" s="602"/>
    </row>
    <row r="170" spans="2:67" ht="16" x14ac:dyDescent="0.2">
      <c r="B170" s="1795" t="s">
        <v>3101</v>
      </c>
      <c r="C170" s="1795"/>
      <c r="D170" s="1795"/>
      <c r="E170" s="1795"/>
      <c r="F170" s="1795"/>
      <c r="G170" s="1795"/>
      <c r="H170" s="1795"/>
      <c r="I170" s="1795"/>
      <c r="J170" s="1795"/>
      <c r="K170" s="1795"/>
      <c r="L170" s="1795"/>
      <c r="M170" s="1795"/>
      <c r="N170" s="1795"/>
      <c r="O170" s="1795"/>
      <c r="BD170" s="602"/>
      <c r="BE170" s="602"/>
      <c r="BF170" s="602"/>
      <c r="BG170" s="602"/>
      <c r="BH170" s="602"/>
      <c r="BI170" s="602"/>
      <c r="BJ170" s="602"/>
      <c r="BK170" s="602"/>
      <c r="BL170" s="602"/>
      <c r="BM170" s="602"/>
      <c r="BN170" s="602"/>
      <c r="BO170" s="602"/>
    </row>
    <row r="171" spans="2:67" outlineLevel="1" x14ac:dyDescent="0.2">
      <c r="BD171" s="602"/>
      <c r="BE171" s="602"/>
      <c r="BF171" s="602"/>
      <c r="BG171" s="602"/>
      <c r="BH171" s="602"/>
      <c r="BI171" s="602"/>
      <c r="BJ171" s="602"/>
      <c r="BK171" s="602"/>
      <c r="BL171" s="602"/>
      <c r="BM171" s="602"/>
      <c r="BN171" s="602"/>
      <c r="BO171" s="602"/>
    </row>
    <row r="172" spans="2:67" outlineLevel="1" x14ac:dyDescent="0.2">
      <c r="B172" s="195" t="s">
        <v>3102</v>
      </c>
      <c r="C172" s="196"/>
      <c r="D172" s="500"/>
      <c r="E172" s="500"/>
      <c r="F172" s="198"/>
      <c r="G172" s="198"/>
      <c r="H172" s="198"/>
      <c r="I172" s="198"/>
      <c r="J172" s="199"/>
      <c r="Y172" s="1746" t="s">
        <v>723</v>
      </c>
      <c r="Z172" s="1747"/>
      <c r="AA172" s="1748"/>
      <c r="AF172" s="1746" t="s">
        <v>2066</v>
      </c>
      <c r="AG172" s="1747"/>
      <c r="AH172" s="1747"/>
      <c r="AI172" s="1748"/>
      <c r="AP172" s="40"/>
      <c r="AQ172" s="1755" t="s">
        <v>2073</v>
      </c>
      <c r="AR172" s="1756"/>
      <c r="AS172" s="1756"/>
      <c r="AT172" s="1756"/>
      <c r="AU172" s="1756"/>
      <c r="AV172" s="1757"/>
      <c r="BD172" s="1843" t="s">
        <v>2719</v>
      </c>
      <c r="BE172" s="1844"/>
      <c r="BF172" s="1844"/>
      <c r="BG172" s="1844"/>
      <c r="BH172" s="1844"/>
      <c r="BI172" s="1844"/>
      <c r="BJ172" s="1845"/>
      <c r="BK172" s="602"/>
      <c r="BL172" s="602"/>
      <c r="BM172" s="602"/>
      <c r="BN172" s="602"/>
      <c r="BO172" s="602"/>
    </row>
    <row r="173" spans="2:67" outlineLevel="1" x14ac:dyDescent="0.2">
      <c r="B173" s="417"/>
      <c r="C173" s="225"/>
      <c r="D173" s="503"/>
      <c r="E173" s="503"/>
      <c r="F173" s="201"/>
      <c r="G173" s="201"/>
      <c r="H173" s="201"/>
      <c r="I173" s="201"/>
      <c r="J173" s="203"/>
      <c r="Y173" s="507"/>
      <c r="Z173" s="504"/>
      <c r="AA173" s="203"/>
      <c r="AF173" s="507"/>
      <c r="AG173" s="504"/>
      <c r="AH173" s="504"/>
      <c r="AI173" s="203"/>
      <c r="AP173" s="40"/>
      <c r="AQ173" s="778"/>
      <c r="AR173" s="779"/>
      <c r="AS173" s="779"/>
      <c r="AT173" s="779"/>
      <c r="AU173" s="741"/>
      <c r="AV173" s="780"/>
      <c r="BD173" s="1270"/>
      <c r="BE173" s="1271"/>
      <c r="BF173" s="1271"/>
      <c r="BG173" s="1271"/>
      <c r="BH173" s="1272"/>
      <c r="BI173" s="1273"/>
      <c r="BJ173" s="1273"/>
      <c r="BK173" s="602"/>
      <c r="BL173" s="602"/>
      <c r="BM173" s="602"/>
      <c r="BN173" s="602"/>
      <c r="BO173" s="602"/>
    </row>
    <row r="174" spans="2:67" outlineLevel="1" x14ac:dyDescent="0.2">
      <c r="B174" s="200"/>
      <c r="C174" s="201"/>
      <c r="D174" s="504" t="s">
        <v>56</v>
      </c>
      <c r="E174" s="504" t="s">
        <v>56</v>
      </c>
      <c r="F174" s="205" t="s">
        <v>2712</v>
      </c>
      <c r="G174" s="205" t="s">
        <v>2733</v>
      </c>
      <c r="H174" s="504" t="s">
        <v>61</v>
      </c>
      <c r="I174" s="205" t="s">
        <v>2715</v>
      </c>
      <c r="J174" s="509" t="s">
        <v>61</v>
      </c>
      <c r="Y174" s="1639" t="s">
        <v>2605</v>
      </c>
      <c r="Z174" s="504" t="s">
        <v>2110</v>
      </c>
      <c r="AA174" s="509" t="s">
        <v>61</v>
      </c>
      <c r="AF174" s="507" t="s">
        <v>2065</v>
      </c>
      <c r="AG174" s="503" t="s">
        <v>61</v>
      </c>
      <c r="AH174" s="504" t="s">
        <v>2558</v>
      </c>
      <c r="AI174" s="509" t="s">
        <v>61</v>
      </c>
      <c r="AP174" s="40"/>
      <c r="AQ174" s="1739" t="s">
        <v>61</v>
      </c>
      <c r="AR174" s="1740"/>
      <c r="AS174" s="1740"/>
      <c r="AT174" s="1740"/>
      <c r="AU174" s="741" t="s">
        <v>61</v>
      </c>
      <c r="AV174" s="742"/>
      <c r="BD174" s="1846" t="s">
        <v>61</v>
      </c>
      <c r="BE174" s="1847"/>
      <c r="BF174" s="1847"/>
      <c r="BG174" s="1847"/>
      <c r="BH174" s="1272" t="s">
        <v>61</v>
      </c>
      <c r="BI174" s="1274"/>
      <c r="BJ174" s="1278" t="s">
        <v>723</v>
      </c>
      <c r="BK174" s="602"/>
      <c r="BL174" s="602"/>
      <c r="BM174" s="602"/>
      <c r="BN174" s="602"/>
      <c r="BO174" s="602"/>
    </row>
    <row r="175" spans="2:67" outlineLevel="1" x14ac:dyDescent="0.2">
      <c r="B175" s="507"/>
      <c r="C175" s="504"/>
      <c r="D175" s="504" t="s">
        <v>61</v>
      </c>
      <c r="E175" s="504" t="s">
        <v>63</v>
      </c>
      <c r="F175" s="208" t="s">
        <v>2713</v>
      </c>
      <c r="G175" s="208" t="s">
        <v>20</v>
      </c>
      <c r="H175" s="504" t="s">
        <v>2058</v>
      </c>
      <c r="I175" s="208" t="s">
        <v>2716</v>
      </c>
      <c r="J175" s="509"/>
      <c r="Y175" s="1639" t="s">
        <v>2063</v>
      </c>
      <c r="Z175" s="504"/>
      <c r="AA175" s="509"/>
      <c r="AF175" s="507"/>
      <c r="AG175" s="503"/>
      <c r="AH175" s="504"/>
      <c r="AI175" s="509"/>
      <c r="AP175" s="40"/>
      <c r="AQ175" s="744" t="s">
        <v>14</v>
      </c>
      <c r="AR175" s="745" t="s">
        <v>60</v>
      </c>
      <c r="AS175" s="745" t="s">
        <v>27</v>
      </c>
      <c r="AT175" s="745" t="s">
        <v>2074</v>
      </c>
      <c r="AU175" s="746" t="s">
        <v>41</v>
      </c>
      <c r="AV175" s="747" t="s">
        <v>85</v>
      </c>
      <c r="BD175" s="1275" t="s">
        <v>14</v>
      </c>
      <c r="BE175" s="1276" t="s">
        <v>60</v>
      </c>
      <c r="BF175" s="1276" t="s">
        <v>27</v>
      </c>
      <c r="BG175" s="1276" t="s">
        <v>2074</v>
      </c>
      <c r="BH175" s="1277" t="s">
        <v>41</v>
      </c>
      <c r="BI175" s="1278" t="s">
        <v>85</v>
      </c>
      <c r="BJ175" s="1278" t="s">
        <v>61</v>
      </c>
      <c r="BK175" s="602"/>
      <c r="BL175" s="602"/>
      <c r="BM175" s="602"/>
      <c r="BN175" s="602"/>
      <c r="BO175" s="602"/>
    </row>
    <row r="176" spans="2:67" outlineLevel="1" x14ac:dyDescent="0.2">
      <c r="B176" s="200" t="s">
        <v>2023</v>
      </c>
      <c r="C176" s="201"/>
      <c r="D176" s="262">
        <f>J176</f>
        <v>0</v>
      </c>
      <c r="E176" s="265">
        <f>D176*12/44</f>
        <v>0</v>
      </c>
      <c r="F176" s="523"/>
      <c r="G176" s="182"/>
      <c r="H176" s="273">
        <f>VLOOKUP($B176,'Emissions factors'!$B$2405:$D$2408,2,FALSE)</f>
        <v>5500</v>
      </c>
      <c r="I176" s="182"/>
      <c r="J176" s="211">
        <f>IF(I176=0,0,G176*H176/I176)</f>
        <v>0</v>
      </c>
      <c r="Y176" s="282">
        <f>VLOOKUP($B176,'Emissions factors'!$B$2405:$D$2408,3,FALSE)</f>
        <v>0.5</v>
      </c>
      <c r="Z176" s="183"/>
      <c r="AA176" s="211">
        <f>J176*SQRT(Y176^2+Z176^2)</f>
        <v>0</v>
      </c>
      <c r="AF176" s="184"/>
      <c r="AG176" s="210">
        <f>AF176*J176</f>
        <v>0</v>
      </c>
      <c r="AH176" s="184"/>
      <c r="AI176" s="211">
        <f>AH176*J176</f>
        <v>0</v>
      </c>
      <c r="AP176" s="40"/>
      <c r="AQ176" s="717"/>
      <c r="AR176" s="718"/>
      <c r="AS176" s="718"/>
      <c r="AT176" s="718"/>
      <c r="AU176" s="720">
        <f>J176</f>
        <v>0</v>
      </c>
      <c r="AV176" s="748"/>
      <c r="BD176" s="1279" t="str">
        <f t="shared" ref="BD176:BI179" si="52">IF($F176="Yes",IF(AQ176="","",AQ176*$I176),"")</f>
        <v/>
      </c>
      <c r="BE176" s="1280" t="str">
        <f t="shared" si="52"/>
        <v/>
      </c>
      <c r="BF176" s="1280" t="str">
        <f t="shared" si="52"/>
        <v/>
      </c>
      <c r="BG176" s="1280" t="str">
        <f t="shared" si="52"/>
        <v/>
      </c>
      <c r="BH176" s="1281" t="str">
        <f t="shared" si="52"/>
        <v/>
      </c>
      <c r="BI176" s="1282" t="str">
        <f t="shared" si="52"/>
        <v/>
      </c>
      <c r="BJ176" s="1282" t="str">
        <f>IF($F176="Yes",IF(AA176="","",AA176*$I176),"")</f>
        <v/>
      </c>
      <c r="BK176" s="602"/>
      <c r="BL176" s="602"/>
      <c r="BM176" s="602"/>
      <c r="BN176" s="602"/>
      <c r="BO176" s="602"/>
    </row>
    <row r="177" spans="2:67" outlineLevel="1" x14ac:dyDescent="0.2">
      <c r="B177" s="200" t="s">
        <v>168</v>
      </c>
      <c r="C177" s="201"/>
      <c r="D177" s="262">
        <f>J177</f>
        <v>0</v>
      </c>
      <c r="E177" s="265">
        <f>D177*12/44</f>
        <v>0</v>
      </c>
      <c r="F177" s="524"/>
      <c r="G177" s="185"/>
      <c r="H177" s="273">
        <f>VLOOKUP($B177,'Emissions factors'!$B$2405:$D$2408,2,FALSE)</f>
        <v>3670</v>
      </c>
      <c r="I177" s="185"/>
      <c r="J177" s="211">
        <f>IF(I177=0,0,G177*H177/I177)</f>
        <v>0</v>
      </c>
      <c r="Y177" s="282">
        <f>VLOOKUP($B177,'Emissions factors'!$B$2405:$D$2408,3,FALSE)</f>
        <v>0.5</v>
      </c>
      <c r="Z177" s="186"/>
      <c r="AA177" s="211">
        <f>J177*SQRT(Y177^2+Z177^2)</f>
        <v>0</v>
      </c>
      <c r="AF177" s="187"/>
      <c r="AG177" s="210">
        <f>AF177*J177</f>
        <v>0</v>
      </c>
      <c r="AH177" s="187"/>
      <c r="AI177" s="211">
        <f>AH177*J177</f>
        <v>0</v>
      </c>
      <c r="AP177" s="40"/>
      <c r="AQ177" s="717"/>
      <c r="AR177" s="718"/>
      <c r="AS177" s="718"/>
      <c r="AT177" s="718"/>
      <c r="AU177" s="720">
        <f>J177</f>
        <v>0</v>
      </c>
      <c r="AV177" s="748"/>
      <c r="BD177" s="1279" t="str">
        <f t="shared" si="52"/>
        <v/>
      </c>
      <c r="BE177" s="1280" t="str">
        <f t="shared" si="52"/>
        <v/>
      </c>
      <c r="BF177" s="1280" t="str">
        <f t="shared" si="52"/>
        <v/>
      </c>
      <c r="BG177" s="1280" t="str">
        <f t="shared" si="52"/>
        <v/>
      </c>
      <c r="BH177" s="1281" t="str">
        <f t="shared" si="52"/>
        <v/>
      </c>
      <c r="BI177" s="1282" t="str">
        <f t="shared" si="52"/>
        <v/>
      </c>
      <c r="BJ177" s="1282" t="str">
        <f>IF($F177="Yes",IF(AA177="","",AA177*$I177),"")</f>
        <v/>
      </c>
      <c r="BK177" s="602"/>
      <c r="BL177" s="602"/>
      <c r="BM177" s="602"/>
      <c r="BN177" s="602"/>
      <c r="BO177" s="602"/>
    </row>
    <row r="178" spans="2:67" outlineLevel="1" x14ac:dyDescent="0.2">
      <c r="B178" s="200" t="s">
        <v>2024</v>
      </c>
      <c r="C178" s="201"/>
      <c r="D178" s="262">
        <f>J178</f>
        <v>0</v>
      </c>
      <c r="E178" s="265">
        <f>D178*12/44</f>
        <v>0</v>
      </c>
      <c r="F178" s="525"/>
      <c r="G178" s="188"/>
      <c r="H178" s="273">
        <f>VLOOKUP($B178,'Emissions factors'!$B$2405:$D$2408,2,FALSE)</f>
        <v>1833</v>
      </c>
      <c r="I178" s="188"/>
      <c r="J178" s="211">
        <f>IF(I178=0,0,G178*H178/I178)</f>
        <v>0</v>
      </c>
      <c r="Y178" s="282">
        <f>VLOOKUP($B178,'Emissions factors'!$B$2405:$D$2408,3,FALSE)</f>
        <v>0.5</v>
      </c>
      <c r="Z178" s="189"/>
      <c r="AA178" s="211">
        <f>J178*SQRT(Y178^2+Z178^2)</f>
        <v>0</v>
      </c>
      <c r="AF178" s="190"/>
      <c r="AG178" s="210">
        <f>AF178*J178</f>
        <v>0</v>
      </c>
      <c r="AH178" s="190"/>
      <c r="AI178" s="211">
        <f>AH178*J178</f>
        <v>0</v>
      </c>
      <c r="AP178" s="40"/>
      <c r="AQ178" s="717"/>
      <c r="AR178" s="718"/>
      <c r="AS178" s="718"/>
      <c r="AT178" s="718"/>
      <c r="AU178" s="720">
        <f>J178</f>
        <v>0</v>
      </c>
      <c r="AV178" s="748"/>
      <c r="BD178" s="1279" t="str">
        <f t="shared" si="52"/>
        <v/>
      </c>
      <c r="BE178" s="1280" t="str">
        <f t="shared" si="52"/>
        <v/>
      </c>
      <c r="BF178" s="1280" t="str">
        <f t="shared" si="52"/>
        <v/>
      </c>
      <c r="BG178" s="1280" t="str">
        <f t="shared" si="52"/>
        <v/>
      </c>
      <c r="BH178" s="1281" t="str">
        <f t="shared" si="52"/>
        <v/>
      </c>
      <c r="BI178" s="1282" t="str">
        <f t="shared" si="52"/>
        <v/>
      </c>
      <c r="BJ178" s="1282" t="str">
        <f>IF($F178="Yes",IF(AA178="","",AA178*$I178),"")</f>
        <v/>
      </c>
      <c r="BK178" s="602"/>
      <c r="BL178" s="602"/>
      <c r="BM178" s="602"/>
      <c r="BN178" s="602"/>
      <c r="BO178" s="602"/>
    </row>
    <row r="179" spans="2:67" outlineLevel="1" x14ac:dyDescent="0.2">
      <c r="B179" s="200"/>
      <c r="C179" s="201"/>
      <c r="D179" s="275"/>
      <c r="E179" s="268"/>
      <c r="F179" s="221"/>
      <c r="G179" s="221"/>
      <c r="H179" s="201"/>
      <c r="I179" s="201"/>
      <c r="J179" s="203"/>
      <c r="Y179" s="220"/>
      <c r="Z179" s="201"/>
      <c r="AA179" s="222"/>
      <c r="AF179" s="200"/>
      <c r="AG179" s="504"/>
      <c r="AH179" s="201"/>
      <c r="AI179" s="222"/>
      <c r="AP179" s="40"/>
      <c r="AQ179" s="717"/>
      <c r="AR179" s="718"/>
      <c r="AS179" s="718"/>
      <c r="AT179" s="718"/>
      <c r="AU179" s="720"/>
      <c r="AV179" s="749"/>
      <c r="BD179" s="1279" t="str">
        <f t="shared" si="52"/>
        <v/>
      </c>
      <c r="BE179" s="1280" t="str">
        <f t="shared" si="52"/>
        <v/>
      </c>
      <c r="BF179" s="1280" t="str">
        <f t="shared" si="52"/>
        <v/>
      </c>
      <c r="BG179" s="1280" t="str">
        <f t="shared" si="52"/>
        <v/>
      </c>
      <c r="BH179" s="1281" t="str">
        <f t="shared" si="52"/>
        <v/>
      </c>
      <c r="BI179" s="1283" t="str">
        <f t="shared" si="52"/>
        <v/>
      </c>
      <c r="BJ179" s="1282" t="str">
        <f>IF($F179="Yes",IF(AA179="","",AA179*$I179),"")</f>
        <v/>
      </c>
      <c r="BK179" s="602"/>
      <c r="BL179" s="602"/>
      <c r="BM179" s="602"/>
      <c r="BN179" s="602"/>
      <c r="BO179" s="602"/>
    </row>
    <row r="180" spans="2:67" outlineLevel="1" x14ac:dyDescent="0.2">
      <c r="B180" s="253" t="s">
        <v>44</v>
      </c>
      <c r="C180" s="254"/>
      <c r="D180" s="264">
        <f>SUM(D176:D179)</f>
        <v>0</v>
      </c>
      <c r="E180" s="267">
        <f>SUM(E176:E179)</f>
        <v>0</v>
      </c>
      <c r="F180" s="260"/>
      <c r="G180" s="260"/>
      <c r="H180" s="256"/>
      <c r="I180" s="256"/>
      <c r="J180" s="257">
        <f>SUM(J176:J179)</f>
        <v>0</v>
      </c>
      <c r="Y180" s="258"/>
      <c r="Z180" s="256"/>
      <c r="AA180" s="545">
        <f>SQRT(SUMSQ(AA176:AA179))</f>
        <v>0</v>
      </c>
      <c r="AF180" s="258"/>
      <c r="AG180" s="259">
        <f>SUM(AG176:AG179)</f>
        <v>0</v>
      </c>
      <c r="AH180" s="256"/>
      <c r="AI180" s="257">
        <f>SUM(AI176:AI179)</f>
        <v>0</v>
      </c>
      <c r="AP180" s="40"/>
      <c r="AQ180" s="724">
        <f t="shared" ref="AQ180:AV180" si="53">SUM(AQ175:AQ179)</f>
        <v>0</v>
      </c>
      <c r="AR180" s="725">
        <f t="shared" si="53"/>
        <v>0</v>
      </c>
      <c r="AS180" s="725">
        <f t="shared" si="53"/>
        <v>0</v>
      </c>
      <c r="AT180" s="725">
        <f t="shared" si="53"/>
        <v>0</v>
      </c>
      <c r="AU180" s="727">
        <f t="shared" si="53"/>
        <v>0</v>
      </c>
      <c r="AV180" s="750">
        <f t="shared" si="53"/>
        <v>0</v>
      </c>
      <c r="BD180" s="1284">
        <f t="shared" ref="BD180:BJ180" si="54">SUM(BD175:BD179)</f>
        <v>0</v>
      </c>
      <c r="BE180" s="1285">
        <f t="shared" si="54"/>
        <v>0</v>
      </c>
      <c r="BF180" s="1285">
        <f t="shared" si="54"/>
        <v>0</v>
      </c>
      <c r="BG180" s="1285">
        <f t="shared" si="54"/>
        <v>0</v>
      </c>
      <c r="BH180" s="1286">
        <f t="shared" si="54"/>
        <v>0</v>
      </c>
      <c r="BI180" s="1287">
        <f t="shared" si="54"/>
        <v>0</v>
      </c>
      <c r="BJ180" s="1287">
        <f t="shared" si="54"/>
        <v>0</v>
      </c>
      <c r="BK180" s="602"/>
      <c r="BL180" s="602"/>
      <c r="BM180" s="602"/>
      <c r="BN180" s="602"/>
      <c r="BO180" s="602"/>
    </row>
    <row r="181" spans="2:67" outlineLevel="1" x14ac:dyDescent="0.2">
      <c r="D181" s="314"/>
      <c r="AP181" s="40"/>
      <c r="BD181" s="602"/>
      <c r="BE181" s="602"/>
      <c r="BF181" s="602"/>
      <c r="BG181" s="602"/>
      <c r="BH181" s="602"/>
      <c r="BI181" s="602"/>
      <c r="BJ181" s="602"/>
      <c r="BK181" s="602"/>
      <c r="BL181" s="602"/>
      <c r="BM181" s="602"/>
      <c r="BN181" s="602"/>
      <c r="BO181" s="602"/>
    </row>
    <row r="182" spans="2:67" outlineLevel="2" x14ac:dyDescent="0.2">
      <c r="B182" s="195" t="s">
        <v>3103</v>
      </c>
      <c r="C182" s="196"/>
      <c r="D182" s="500"/>
      <c r="E182" s="500"/>
      <c r="F182" s="196"/>
      <c r="G182" s="196"/>
      <c r="H182" s="196"/>
      <c r="I182" s="198"/>
      <c r="J182" s="198"/>
      <c r="K182" s="198"/>
      <c r="L182" s="199"/>
      <c r="M182" s="42"/>
      <c r="Q182" s="42"/>
      <c r="Y182" s="1746" t="s">
        <v>723</v>
      </c>
      <c r="Z182" s="1747"/>
      <c r="AA182" s="1748"/>
      <c r="AF182" s="1746" t="s">
        <v>2066</v>
      </c>
      <c r="AG182" s="1747"/>
      <c r="AH182" s="1747"/>
      <c r="AI182" s="1748"/>
      <c r="AP182" s="40"/>
      <c r="AQ182" s="1755" t="s">
        <v>2073</v>
      </c>
      <c r="AR182" s="1756"/>
      <c r="AS182" s="1756"/>
      <c r="AT182" s="1756"/>
      <c r="AU182" s="1756"/>
      <c r="AV182" s="1757"/>
      <c r="BD182" s="1843" t="s">
        <v>2719</v>
      </c>
      <c r="BE182" s="1844"/>
      <c r="BF182" s="1844"/>
      <c r="BG182" s="1844"/>
      <c r="BH182" s="1844"/>
      <c r="BI182" s="1844"/>
      <c r="BJ182" s="1845"/>
      <c r="BK182" s="602"/>
      <c r="BL182" s="602"/>
      <c r="BM182" s="602"/>
      <c r="BN182" s="602"/>
      <c r="BO182" s="602"/>
    </row>
    <row r="183" spans="2:67" outlineLevel="2" x14ac:dyDescent="0.2">
      <c r="B183" s="417"/>
      <c r="C183" s="225"/>
      <c r="D183" s="503"/>
      <c r="E183" s="503"/>
      <c r="F183" s="225"/>
      <c r="G183" s="225"/>
      <c r="H183" s="225"/>
      <c r="I183" s="201"/>
      <c r="J183" s="201"/>
      <c r="K183" s="214"/>
      <c r="L183" s="203"/>
      <c r="M183" s="42"/>
      <c r="Q183" s="42"/>
      <c r="Y183" s="507"/>
      <c r="Z183" s="504"/>
      <c r="AA183" s="203"/>
      <c r="AF183" s="507"/>
      <c r="AG183" s="504"/>
      <c r="AH183" s="504"/>
      <c r="AI183" s="203"/>
      <c r="AP183" s="40"/>
      <c r="AQ183" s="778"/>
      <c r="AR183" s="779"/>
      <c r="AS183" s="779"/>
      <c r="AT183" s="779"/>
      <c r="AU183" s="741"/>
      <c r="AV183" s="780"/>
      <c r="BD183" s="1270"/>
      <c r="BE183" s="1271"/>
      <c r="BF183" s="1271"/>
      <c r="BG183" s="1271"/>
      <c r="BH183" s="1272"/>
      <c r="BI183" s="1273"/>
      <c r="BJ183" s="1273"/>
      <c r="BK183" s="602"/>
      <c r="BL183" s="602"/>
      <c r="BM183" s="602"/>
      <c r="BN183" s="602"/>
      <c r="BO183" s="602"/>
    </row>
    <row r="184" spans="2:67" outlineLevel="2" x14ac:dyDescent="0.2">
      <c r="B184" s="200"/>
      <c r="C184" s="201"/>
      <c r="D184" s="504" t="s">
        <v>56</v>
      </c>
      <c r="E184" s="504" t="s">
        <v>56</v>
      </c>
      <c r="F184" s="205" t="s">
        <v>2712</v>
      </c>
      <c r="G184" s="205" t="s">
        <v>11</v>
      </c>
      <c r="H184" s="205" t="s">
        <v>2600</v>
      </c>
      <c r="I184" s="504" t="s">
        <v>61</v>
      </c>
      <c r="J184" s="205" t="s">
        <v>2603</v>
      </c>
      <c r="K184" s="205" t="s">
        <v>2715</v>
      </c>
      <c r="L184" s="509" t="s">
        <v>61</v>
      </c>
      <c r="M184" s="42"/>
      <c r="Q184" s="32"/>
      <c r="Y184" s="1639" t="s">
        <v>2605</v>
      </c>
      <c r="Z184" s="504" t="s">
        <v>2110</v>
      </c>
      <c r="AA184" s="509" t="s">
        <v>61</v>
      </c>
      <c r="AF184" s="507" t="s">
        <v>2065</v>
      </c>
      <c r="AG184" s="503" t="s">
        <v>61</v>
      </c>
      <c r="AH184" s="504" t="s">
        <v>2558</v>
      </c>
      <c r="AI184" s="509" t="s">
        <v>61</v>
      </c>
      <c r="AP184" s="40"/>
      <c r="AQ184" s="1739" t="s">
        <v>61</v>
      </c>
      <c r="AR184" s="1740"/>
      <c r="AS184" s="1740"/>
      <c r="AT184" s="1740"/>
      <c r="AU184" s="741" t="s">
        <v>61</v>
      </c>
      <c r="AV184" s="742"/>
      <c r="BD184" s="1846" t="s">
        <v>61</v>
      </c>
      <c r="BE184" s="1847"/>
      <c r="BF184" s="1847"/>
      <c r="BG184" s="1847"/>
      <c r="BH184" s="1272" t="s">
        <v>61</v>
      </c>
      <c r="BI184" s="1274"/>
      <c r="BJ184" s="1278" t="s">
        <v>723</v>
      </c>
      <c r="BK184" s="602"/>
      <c r="BL184" s="602"/>
      <c r="BM184" s="602"/>
      <c r="BN184" s="602"/>
      <c r="BO184" s="602"/>
    </row>
    <row r="185" spans="2:67" outlineLevel="2" x14ac:dyDescent="0.2">
      <c r="B185" s="507"/>
      <c r="C185" s="504"/>
      <c r="D185" s="504" t="s">
        <v>61</v>
      </c>
      <c r="E185" s="504" t="s">
        <v>63</v>
      </c>
      <c r="F185" s="208" t="s">
        <v>2713</v>
      </c>
      <c r="G185" s="208" t="s">
        <v>2601</v>
      </c>
      <c r="H185" s="208" t="s">
        <v>2602</v>
      </c>
      <c r="I185" s="504" t="s">
        <v>2058</v>
      </c>
      <c r="J185" s="208" t="s">
        <v>2720</v>
      </c>
      <c r="K185" s="208" t="s">
        <v>2716</v>
      </c>
      <c r="L185" s="509"/>
      <c r="M185" s="32"/>
      <c r="Q185" s="32"/>
      <c r="Y185" s="1639" t="s">
        <v>2063</v>
      </c>
      <c r="Z185" s="504"/>
      <c r="AA185" s="509"/>
      <c r="AF185" s="507"/>
      <c r="AG185" s="503"/>
      <c r="AH185" s="504"/>
      <c r="AI185" s="509"/>
      <c r="AP185" s="40"/>
      <c r="AQ185" s="744" t="s">
        <v>14</v>
      </c>
      <c r="AR185" s="745" t="s">
        <v>60</v>
      </c>
      <c r="AS185" s="745" t="s">
        <v>27</v>
      </c>
      <c r="AT185" s="745" t="s">
        <v>2074</v>
      </c>
      <c r="AU185" s="746" t="s">
        <v>41</v>
      </c>
      <c r="AV185" s="747" t="s">
        <v>85</v>
      </c>
      <c r="BD185" s="1275" t="s">
        <v>14</v>
      </c>
      <c r="BE185" s="1276" t="s">
        <v>60</v>
      </c>
      <c r="BF185" s="1276" t="s">
        <v>27</v>
      </c>
      <c r="BG185" s="1276" t="s">
        <v>2074</v>
      </c>
      <c r="BH185" s="1277" t="s">
        <v>41</v>
      </c>
      <c r="BI185" s="1278" t="s">
        <v>85</v>
      </c>
      <c r="BJ185" s="1278" t="s">
        <v>61</v>
      </c>
      <c r="BK185" s="602"/>
      <c r="BL185" s="602"/>
      <c r="BM185" s="602"/>
      <c r="BN185" s="602"/>
      <c r="BO185" s="602"/>
    </row>
    <row r="186" spans="2:67" outlineLevel="2" x14ac:dyDescent="0.2">
      <c r="B186" s="200" t="s">
        <v>159</v>
      </c>
      <c r="C186" s="201"/>
      <c r="D186" s="262">
        <f>L186</f>
        <v>0</v>
      </c>
      <c r="E186" s="265">
        <f>D186*12/44</f>
        <v>0</v>
      </c>
      <c r="F186" s="523"/>
      <c r="G186" s="182"/>
      <c r="H186" s="436"/>
      <c r="I186" s="273">
        <f>VLOOKUP($B186,'Emissions factors'!$B$1692:$D$1699,2,FALSE)*(1-H186)+VLOOKUP($B186,'Emissions factors'!$B$1692:$D$1699,3,FALSE)*H186</f>
        <v>9830</v>
      </c>
      <c r="J186" s="436"/>
      <c r="K186" s="182"/>
      <c r="L186" s="211">
        <f>IF(K186=0,0,(G186*I186*(1+J186))/K186)</f>
        <v>0</v>
      </c>
      <c r="Q186" s="314"/>
      <c r="Y186" s="282">
        <f>VLOOKUP($B186,'Emissions factors'!$B$1692:$E$1699,4,FALSE)</f>
        <v>0.3</v>
      </c>
      <c r="Z186" s="183"/>
      <c r="AA186" s="211">
        <f>L186*SQRT(Y186^2+Z186^2)</f>
        <v>0</v>
      </c>
      <c r="AF186" s="184"/>
      <c r="AG186" s="210">
        <f>L186*AF186</f>
        <v>0</v>
      </c>
      <c r="AH186" s="184"/>
      <c r="AI186" s="211">
        <f>L186*AH186</f>
        <v>0</v>
      </c>
      <c r="AP186" s="40"/>
      <c r="AQ186" s="717"/>
      <c r="AR186" s="718"/>
      <c r="AS186" s="718"/>
      <c r="AT186" s="718"/>
      <c r="AU186" s="720">
        <f>L186</f>
        <v>0</v>
      </c>
      <c r="AV186" s="748"/>
      <c r="BD186" s="1279" t="str">
        <f t="shared" ref="BD186:BI189" si="55">IF($F186="Yes",IF(AQ186="","",AQ186*$K186),"")</f>
        <v/>
      </c>
      <c r="BE186" s="1280" t="str">
        <f t="shared" si="55"/>
        <v/>
      </c>
      <c r="BF186" s="1280" t="str">
        <f t="shared" si="55"/>
        <v/>
      </c>
      <c r="BG186" s="1280" t="str">
        <f t="shared" si="55"/>
        <v/>
      </c>
      <c r="BH186" s="1281" t="str">
        <f t="shared" si="55"/>
        <v/>
      </c>
      <c r="BI186" s="1282" t="str">
        <f t="shared" si="55"/>
        <v/>
      </c>
      <c r="BJ186" s="1282" t="str">
        <f>IF($F186="Yes",IF(AA186="","",AA186*$K186),"")</f>
        <v/>
      </c>
      <c r="BK186" s="602"/>
      <c r="BL186" s="602"/>
      <c r="BM186" s="602"/>
      <c r="BN186" s="602"/>
      <c r="BO186" s="602"/>
    </row>
    <row r="187" spans="2:67" outlineLevel="2" x14ac:dyDescent="0.2">
      <c r="B187" s="200" t="s">
        <v>1524</v>
      </c>
      <c r="C187" s="201"/>
      <c r="D187" s="262">
        <f>L187</f>
        <v>0</v>
      </c>
      <c r="E187" s="265">
        <f>D187*12/44</f>
        <v>0</v>
      </c>
      <c r="F187" s="524"/>
      <c r="G187" s="185"/>
      <c r="H187" s="437"/>
      <c r="I187" s="273">
        <f>VLOOKUP($B187,'Emissions factors'!$B$1692:$D$1699,2,FALSE)*(1-H187)+VLOOKUP($B187,'Emissions factors'!$B$1692:$D$1699,3,FALSE)*H187</f>
        <v>3190</v>
      </c>
      <c r="J187" s="437"/>
      <c r="K187" s="185"/>
      <c r="L187" s="211">
        <f>IF(K187=0,0,(G187*I187*(1+J187))/K187)</f>
        <v>0</v>
      </c>
      <c r="Q187" s="314"/>
      <c r="Y187" s="282">
        <f>VLOOKUP($B187,'Emissions factors'!$B$1692:$E$1699,4,FALSE)</f>
        <v>0.1</v>
      </c>
      <c r="Z187" s="186"/>
      <c r="AA187" s="211">
        <f>L187*SQRT(Y187^2+Z187^2)</f>
        <v>0</v>
      </c>
      <c r="AF187" s="187"/>
      <c r="AG187" s="210">
        <f>L187*AF187</f>
        <v>0</v>
      </c>
      <c r="AH187" s="187"/>
      <c r="AI187" s="211">
        <f>L187*AH187</f>
        <v>0</v>
      </c>
      <c r="AP187" s="40"/>
      <c r="AQ187" s="717"/>
      <c r="AR187" s="718"/>
      <c r="AS187" s="718"/>
      <c r="AT187" s="718"/>
      <c r="AU187" s="720">
        <f>L187</f>
        <v>0</v>
      </c>
      <c r="AV187" s="748"/>
      <c r="BD187" s="1279" t="str">
        <f t="shared" si="55"/>
        <v/>
      </c>
      <c r="BE187" s="1280" t="str">
        <f t="shared" si="55"/>
        <v/>
      </c>
      <c r="BF187" s="1280" t="str">
        <f t="shared" si="55"/>
        <v/>
      </c>
      <c r="BG187" s="1280" t="str">
        <f t="shared" si="55"/>
        <v/>
      </c>
      <c r="BH187" s="1281" t="str">
        <f t="shared" si="55"/>
        <v/>
      </c>
      <c r="BI187" s="1282" t="str">
        <f t="shared" si="55"/>
        <v/>
      </c>
      <c r="BJ187" s="1282" t="str">
        <f>IF($F187="Yes",IF(AA187="","",AA187*$K187),"")</f>
        <v/>
      </c>
      <c r="BK187" s="602"/>
      <c r="BL187" s="602"/>
      <c r="BM187" s="602"/>
      <c r="BN187" s="602"/>
      <c r="BO187" s="602"/>
    </row>
    <row r="188" spans="2:67" outlineLevel="2" x14ac:dyDescent="0.2">
      <c r="B188" s="200" t="s">
        <v>1525</v>
      </c>
      <c r="C188" s="201"/>
      <c r="D188" s="262">
        <f>L188</f>
        <v>0</v>
      </c>
      <c r="E188" s="265">
        <f>D188*12/44</f>
        <v>0</v>
      </c>
      <c r="F188" s="525"/>
      <c r="G188" s="188"/>
      <c r="H188" s="438"/>
      <c r="I188" s="273">
        <f>VLOOKUP($B188,'Emissions factors'!$B$1692:$D$1699,2,FALSE)*(1-H188)+VLOOKUP($B188,'Emissions factors'!$B$1692:$D$1699,3,FALSE)*H188</f>
        <v>3670</v>
      </c>
      <c r="J188" s="438"/>
      <c r="K188" s="188"/>
      <c r="L188" s="211">
        <f>IF(K188=0,0,(G188*I188*(1+J188))/K188)</f>
        <v>0</v>
      </c>
      <c r="Q188" s="314"/>
      <c r="Y188" s="282">
        <f>VLOOKUP($B188,'Emissions factors'!$B$1692:$E$1699,4,FALSE)</f>
        <v>0.8</v>
      </c>
      <c r="Z188" s="189"/>
      <c r="AA188" s="211">
        <f>L188*SQRT(Y188^2+Z188^2)</f>
        <v>0</v>
      </c>
      <c r="AF188" s="190"/>
      <c r="AG188" s="210">
        <f>L188*AF188</f>
        <v>0</v>
      </c>
      <c r="AH188" s="190"/>
      <c r="AI188" s="211">
        <f>L188*AH188</f>
        <v>0</v>
      </c>
      <c r="AP188" s="40"/>
      <c r="AQ188" s="717"/>
      <c r="AR188" s="718"/>
      <c r="AS188" s="718"/>
      <c r="AT188" s="718"/>
      <c r="AU188" s="720">
        <f>L188</f>
        <v>0</v>
      </c>
      <c r="AV188" s="748"/>
      <c r="BD188" s="1279" t="str">
        <f t="shared" si="55"/>
        <v/>
      </c>
      <c r="BE188" s="1280" t="str">
        <f t="shared" si="55"/>
        <v/>
      </c>
      <c r="BF188" s="1280" t="str">
        <f t="shared" si="55"/>
        <v/>
      </c>
      <c r="BG188" s="1280" t="str">
        <f t="shared" si="55"/>
        <v/>
      </c>
      <c r="BH188" s="1281" t="str">
        <f t="shared" si="55"/>
        <v/>
      </c>
      <c r="BI188" s="1282" t="str">
        <f t="shared" si="55"/>
        <v/>
      </c>
      <c r="BJ188" s="1282" t="str">
        <f>IF($F188="Yes",IF(AA188="","",AA188*$K188),"")</f>
        <v/>
      </c>
      <c r="BK188" s="602"/>
      <c r="BL188" s="602"/>
      <c r="BM188" s="602"/>
      <c r="BN188" s="602"/>
      <c r="BO188" s="602"/>
    </row>
    <row r="189" spans="2:67" outlineLevel="2" x14ac:dyDescent="0.2">
      <c r="B189" s="213"/>
      <c r="C189" s="214"/>
      <c r="D189" s="275"/>
      <c r="E189" s="268"/>
      <c r="F189" s="214"/>
      <c r="G189" s="214"/>
      <c r="H189" s="214"/>
      <c r="I189" s="214"/>
      <c r="J189" s="214"/>
      <c r="K189" s="214"/>
      <c r="L189" s="433"/>
      <c r="Y189" s="200"/>
      <c r="Z189" s="201"/>
      <c r="AA189" s="222"/>
      <c r="AF189" s="200"/>
      <c r="AG189" s="504"/>
      <c r="AH189" s="201"/>
      <c r="AI189" s="222"/>
      <c r="AP189" s="40"/>
      <c r="AQ189" s="717"/>
      <c r="AR189" s="718"/>
      <c r="AS189" s="718"/>
      <c r="AT189" s="718"/>
      <c r="AU189" s="720"/>
      <c r="AV189" s="749"/>
      <c r="BD189" s="1279" t="str">
        <f t="shared" si="55"/>
        <v/>
      </c>
      <c r="BE189" s="1280" t="str">
        <f t="shared" si="55"/>
        <v/>
      </c>
      <c r="BF189" s="1280" t="str">
        <f t="shared" si="55"/>
        <v/>
      </c>
      <c r="BG189" s="1280" t="str">
        <f t="shared" si="55"/>
        <v/>
      </c>
      <c r="BH189" s="1281" t="str">
        <f t="shared" si="55"/>
        <v/>
      </c>
      <c r="BI189" s="1283" t="str">
        <f t="shared" si="55"/>
        <v/>
      </c>
      <c r="BJ189" s="1282" t="str">
        <f>IF($F189="Yes",IF(AA189="","",AA189*$K189),"")</f>
        <v/>
      </c>
      <c r="BK189" s="602"/>
      <c r="BL189" s="602"/>
      <c r="BM189" s="602"/>
      <c r="BN189" s="602"/>
      <c r="BO189" s="602"/>
    </row>
    <row r="190" spans="2:67" outlineLevel="2" x14ac:dyDescent="0.2">
      <c r="B190" s="253" t="s">
        <v>44</v>
      </c>
      <c r="C190" s="254"/>
      <c r="D190" s="264">
        <f>SUM(D186:D189)</f>
        <v>0</v>
      </c>
      <c r="E190" s="267">
        <f>SUM(E186:E189)</f>
        <v>0</v>
      </c>
      <c r="F190" s="254"/>
      <c r="G190" s="254"/>
      <c r="H190" s="254"/>
      <c r="I190" s="254"/>
      <c r="J190" s="254"/>
      <c r="K190" s="254"/>
      <c r="L190" s="257">
        <f>SUM(L186:L189)</f>
        <v>0</v>
      </c>
      <c r="M190" s="42"/>
      <c r="Q190" s="42"/>
      <c r="Y190" s="258"/>
      <c r="Z190" s="256"/>
      <c r="AA190" s="545">
        <f>SQRT(SUMSQ(AA186:AA189))</f>
        <v>0</v>
      </c>
      <c r="AF190" s="258"/>
      <c r="AG190" s="259">
        <f>SUM(AG186:AG189)</f>
        <v>0</v>
      </c>
      <c r="AH190" s="256"/>
      <c r="AI190" s="257">
        <f>SUM(AI186:AI189)</f>
        <v>0</v>
      </c>
      <c r="AP190" s="40"/>
      <c r="AQ190" s="724">
        <f t="shared" ref="AQ190:AV190" si="56">SUM(AQ186:AQ189)</f>
        <v>0</v>
      </c>
      <c r="AR190" s="725">
        <f t="shared" si="56"/>
        <v>0</v>
      </c>
      <c r="AS190" s="725">
        <f t="shared" si="56"/>
        <v>0</v>
      </c>
      <c r="AT190" s="725">
        <f t="shared" si="56"/>
        <v>0</v>
      </c>
      <c r="AU190" s="727">
        <f t="shared" si="56"/>
        <v>0</v>
      </c>
      <c r="AV190" s="750">
        <f t="shared" si="56"/>
        <v>0</v>
      </c>
      <c r="BD190" s="1284">
        <f t="shared" ref="BD190:BI190" si="57">SUM(BD186:BD189)</f>
        <v>0</v>
      </c>
      <c r="BE190" s="1285">
        <f t="shared" si="57"/>
        <v>0</v>
      </c>
      <c r="BF190" s="1285">
        <f t="shared" si="57"/>
        <v>0</v>
      </c>
      <c r="BG190" s="1285">
        <f t="shared" si="57"/>
        <v>0</v>
      </c>
      <c r="BH190" s="1286">
        <f t="shared" si="57"/>
        <v>0</v>
      </c>
      <c r="BI190" s="1287">
        <f t="shared" si="57"/>
        <v>0</v>
      </c>
      <c r="BJ190" s="1287">
        <f>SUM(BJ185:BJ189)</f>
        <v>0</v>
      </c>
      <c r="BK190" s="602"/>
      <c r="BL190" s="602"/>
      <c r="BM190" s="602"/>
      <c r="BN190" s="602"/>
      <c r="BO190" s="602"/>
    </row>
    <row r="191" spans="2:67" outlineLevel="2" x14ac:dyDescent="0.2">
      <c r="AF191" s="42"/>
      <c r="AG191" s="42"/>
      <c r="AH191" s="42"/>
      <c r="AI191" s="42"/>
      <c r="AP191" s="40"/>
      <c r="BD191" s="602"/>
      <c r="BE191" s="602"/>
      <c r="BF191" s="602"/>
      <c r="BG191" s="602"/>
      <c r="BH191" s="602"/>
      <c r="BI191" s="602"/>
      <c r="BJ191" s="602"/>
      <c r="BK191" s="602"/>
      <c r="BL191" s="602"/>
      <c r="BM191" s="602"/>
      <c r="BN191" s="602"/>
      <c r="BO191" s="602"/>
    </row>
    <row r="192" spans="2:67" outlineLevel="2" x14ac:dyDescent="0.2">
      <c r="B192" s="195" t="s">
        <v>3104</v>
      </c>
      <c r="C192" s="196"/>
      <c r="D192" s="500"/>
      <c r="E192" s="500"/>
      <c r="F192" s="196"/>
      <c r="G192" s="196"/>
      <c r="H192" s="196"/>
      <c r="I192" s="198"/>
      <c r="J192" s="198"/>
      <c r="K192" s="198"/>
      <c r="L192" s="199"/>
      <c r="Y192" s="1746" t="s">
        <v>723</v>
      </c>
      <c r="Z192" s="1747"/>
      <c r="AA192" s="1748"/>
      <c r="AF192" s="1746" t="s">
        <v>2066</v>
      </c>
      <c r="AG192" s="1747"/>
      <c r="AH192" s="1747"/>
      <c r="AI192" s="1748"/>
      <c r="AP192" s="40"/>
      <c r="AQ192" s="1755" t="s">
        <v>2073</v>
      </c>
      <c r="AR192" s="1756"/>
      <c r="AS192" s="1756"/>
      <c r="AT192" s="1756"/>
      <c r="AU192" s="1756"/>
      <c r="AV192" s="1757"/>
      <c r="BD192" s="1843" t="s">
        <v>2719</v>
      </c>
      <c r="BE192" s="1844"/>
      <c r="BF192" s="1844"/>
      <c r="BG192" s="1844"/>
      <c r="BH192" s="1844"/>
      <c r="BI192" s="1844"/>
      <c r="BJ192" s="1845"/>
      <c r="BK192" s="602"/>
      <c r="BL192" s="602"/>
      <c r="BM192" s="602"/>
      <c r="BN192" s="602"/>
      <c r="BO192" s="602"/>
    </row>
    <row r="193" spans="2:67" outlineLevel="2" x14ac:dyDescent="0.2">
      <c r="B193" s="417"/>
      <c r="C193" s="225"/>
      <c r="D193" s="503"/>
      <c r="E193" s="503"/>
      <c r="F193" s="225"/>
      <c r="G193" s="225"/>
      <c r="H193" s="225"/>
      <c r="I193" s="201"/>
      <c r="J193" s="201"/>
      <c r="K193" s="214"/>
      <c r="L193" s="203"/>
      <c r="Y193" s="507"/>
      <c r="Z193" s="504"/>
      <c r="AA193" s="203"/>
      <c r="AF193" s="507"/>
      <c r="AG193" s="504"/>
      <c r="AH193" s="504"/>
      <c r="AI193" s="203"/>
      <c r="AP193" s="40"/>
      <c r="AQ193" s="778"/>
      <c r="AR193" s="779"/>
      <c r="AS193" s="779"/>
      <c r="AT193" s="779"/>
      <c r="AU193" s="741"/>
      <c r="AV193" s="780"/>
      <c r="BD193" s="1270"/>
      <c r="BE193" s="1271"/>
      <c r="BF193" s="1271"/>
      <c r="BG193" s="1271"/>
      <c r="BH193" s="1272"/>
      <c r="BI193" s="1273"/>
      <c r="BJ193" s="1273"/>
      <c r="BK193" s="602"/>
      <c r="BL193" s="602"/>
      <c r="BM193" s="602"/>
      <c r="BN193" s="602"/>
      <c r="BO193" s="602"/>
    </row>
    <row r="194" spans="2:67" outlineLevel="2" x14ac:dyDescent="0.2">
      <c r="B194" s="507"/>
      <c r="C194" s="504"/>
      <c r="D194" s="504" t="s">
        <v>56</v>
      </c>
      <c r="E194" s="504" t="s">
        <v>56</v>
      </c>
      <c r="F194" s="205" t="s">
        <v>2712</v>
      </c>
      <c r="G194" s="205" t="s">
        <v>11</v>
      </c>
      <c r="H194" s="205" t="s">
        <v>2600</v>
      </c>
      <c r="I194" s="504" t="s">
        <v>61</v>
      </c>
      <c r="J194" s="205" t="s">
        <v>2603</v>
      </c>
      <c r="K194" s="205" t="s">
        <v>2715</v>
      </c>
      <c r="L194" s="509" t="s">
        <v>61</v>
      </c>
      <c r="M194" s="32"/>
      <c r="Q194" s="32"/>
      <c r="Y194" s="1639" t="s">
        <v>2605</v>
      </c>
      <c r="Z194" s="504" t="s">
        <v>2110</v>
      </c>
      <c r="AA194" s="509" t="s">
        <v>61</v>
      </c>
      <c r="AF194" s="507" t="s">
        <v>2065</v>
      </c>
      <c r="AG194" s="503" t="s">
        <v>61</v>
      </c>
      <c r="AH194" s="504" t="s">
        <v>2558</v>
      </c>
      <c r="AI194" s="509" t="s">
        <v>61</v>
      </c>
      <c r="AP194" s="40"/>
      <c r="AQ194" s="1739" t="s">
        <v>61</v>
      </c>
      <c r="AR194" s="1740"/>
      <c r="AS194" s="1740"/>
      <c r="AT194" s="1740"/>
      <c r="AU194" s="741" t="s">
        <v>61</v>
      </c>
      <c r="AV194" s="742"/>
      <c r="BD194" s="1846" t="s">
        <v>61</v>
      </c>
      <c r="BE194" s="1847"/>
      <c r="BF194" s="1847"/>
      <c r="BG194" s="1847"/>
      <c r="BH194" s="1272" t="s">
        <v>61</v>
      </c>
      <c r="BI194" s="1274"/>
      <c r="BJ194" s="1278" t="s">
        <v>723</v>
      </c>
      <c r="BK194" s="602"/>
      <c r="BL194" s="602"/>
      <c r="BM194" s="602"/>
      <c r="BN194" s="602"/>
      <c r="BO194" s="602"/>
    </row>
    <row r="195" spans="2:67" outlineLevel="2" x14ac:dyDescent="0.2">
      <c r="B195" s="507"/>
      <c r="C195" s="504"/>
      <c r="D195" s="504" t="s">
        <v>61</v>
      </c>
      <c r="E195" s="504" t="s">
        <v>63</v>
      </c>
      <c r="F195" s="208" t="s">
        <v>2713</v>
      </c>
      <c r="G195" s="208" t="s">
        <v>2601</v>
      </c>
      <c r="H195" s="208" t="s">
        <v>2602</v>
      </c>
      <c r="I195" s="504" t="s">
        <v>2058</v>
      </c>
      <c r="J195" s="208" t="s">
        <v>2720</v>
      </c>
      <c r="K195" s="208" t="s">
        <v>2716</v>
      </c>
      <c r="L195" s="509"/>
      <c r="M195" s="32"/>
      <c r="Q195" s="32"/>
      <c r="Y195" s="1639" t="s">
        <v>2063</v>
      </c>
      <c r="Z195" s="504"/>
      <c r="AA195" s="509"/>
      <c r="AF195" s="507"/>
      <c r="AG195" s="503"/>
      <c r="AH195" s="504"/>
      <c r="AI195" s="509"/>
      <c r="AP195" s="40"/>
      <c r="AQ195" s="744" t="s">
        <v>14</v>
      </c>
      <c r="AR195" s="745" t="s">
        <v>60</v>
      </c>
      <c r="AS195" s="745" t="s">
        <v>27</v>
      </c>
      <c r="AT195" s="745" t="s">
        <v>2074</v>
      </c>
      <c r="AU195" s="746" t="s">
        <v>41</v>
      </c>
      <c r="AV195" s="747" t="s">
        <v>85</v>
      </c>
      <c r="BD195" s="1275" t="s">
        <v>14</v>
      </c>
      <c r="BE195" s="1276" t="s">
        <v>60</v>
      </c>
      <c r="BF195" s="1276" t="s">
        <v>27</v>
      </c>
      <c r="BG195" s="1276" t="s">
        <v>2074</v>
      </c>
      <c r="BH195" s="1277" t="s">
        <v>41</v>
      </c>
      <c r="BI195" s="1278" t="s">
        <v>85</v>
      </c>
      <c r="BJ195" s="1278" t="s">
        <v>61</v>
      </c>
      <c r="BK195" s="602"/>
      <c r="BL195" s="602"/>
      <c r="BM195" s="602"/>
      <c r="BN195" s="602"/>
      <c r="BO195" s="602"/>
    </row>
    <row r="196" spans="2:67" outlineLevel="2" x14ac:dyDescent="0.2">
      <c r="B196" s="200" t="s">
        <v>161</v>
      </c>
      <c r="C196" s="201"/>
      <c r="D196" s="262">
        <f>L196</f>
        <v>0</v>
      </c>
      <c r="E196" s="265">
        <f>D196*12/44</f>
        <v>0</v>
      </c>
      <c r="F196" s="523"/>
      <c r="G196" s="182"/>
      <c r="H196" s="436"/>
      <c r="I196" s="273">
        <f>VLOOKUP($B196,'Emissions factors'!$B$1719:$E$1730,2,FALSE)*(1-H196)+VLOOKUP($B196,'Emissions factors'!$B$1719:$E$1730,3,FALSE)*H196</f>
        <v>1870</v>
      </c>
      <c r="J196" s="436"/>
      <c r="K196" s="182"/>
      <c r="L196" s="211">
        <f>IF(K196=0,0,(G196*I196*(1+J196))/K196)</f>
        <v>0</v>
      </c>
      <c r="Q196" s="314"/>
      <c r="Y196" s="282">
        <f>VLOOKUP(B196,'Emissions factors'!$B$1719:$E$1730,4,FALSE)</f>
        <v>0.2</v>
      </c>
      <c r="Z196" s="183"/>
      <c r="AA196" s="211">
        <f>L196*SQRT(Y196^2+Z196^2)</f>
        <v>0</v>
      </c>
      <c r="AF196" s="184"/>
      <c r="AG196" s="210">
        <f>L196*AF196</f>
        <v>0</v>
      </c>
      <c r="AH196" s="184"/>
      <c r="AI196" s="211">
        <f>L196*AH196</f>
        <v>0</v>
      </c>
      <c r="AP196" s="40"/>
      <c r="AQ196" s="717"/>
      <c r="AR196" s="718"/>
      <c r="AS196" s="718"/>
      <c r="AT196" s="718"/>
      <c r="AU196" s="720">
        <f>L196</f>
        <v>0</v>
      </c>
      <c r="AV196" s="748"/>
      <c r="BD196" s="1279" t="str">
        <f t="shared" ref="BD196:BI199" si="58">IF($F196="Yes",IF(AQ196="","",AQ196*$K196),"")</f>
        <v/>
      </c>
      <c r="BE196" s="1280" t="str">
        <f t="shared" si="58"/>
        <v/>
      </c>
      <c r="BF196" s="1280" t="str">
        <f t="shared" si="58"/>
        <v/>
      </c>
      <c r="BG196" s="1280" t="str">
        <f t="shared" si="58"/>
        <v/>
      </c>
      <c r="BH196" s="1281" t="str">
        <f t="shared" si="58"/>
        <v/>
      </c>
      <c r="BI196" s="1282" t="str">
        <f t="shared" si="58"/>
        <v/>
      </c>
      <c r="BJ196" s="1282" t="str">
        <f>IF($F196="Yes",IF(AA196="","",AA196*$K196),"")</f>
        <v/>
      </c>
      <c r="BK196" s="602"/>
      <c r="BL196" s="602"/>
      <c r="BM196" s="602"/>
      <c r="BN196" s="602"/>
      <c r="BO196" s="602"/>
    </row>
    <row r="197" spans="2:67" outlineLevel="2" x14ac:dyDescent="0.2">
      <c r="B197" s="200" t="s">
        <v>160</v>
      </c>
      <c r="C197" s="201"/>
      <c r="D197" s="262">
        <f>L197</f>
        <v>0</v>
      </c>
      <c r="E197" s="265">
        <f>D197*12/44</f>
        <v>0</v>
      </c>
      <c r="F197" s="524"/>
      <c r="G197" s="185"/>
      <c r="H197" s="437"/>
      <c r="I197" s="273">
        <f>VLOOKUP($B197,'Emissions factors'!$B$1719:$E$1730,2,FALSE)*(1-H197)+VLOOKUP($B197,'Emissions factors'!$B$1719:$E$1730,3,FALSE)*H197</f>
        <v>3270</v>
      </c>
      <c r="J197" s="437"/>
      <c r="K197" s="185"/>
      <c r="L197" s="211">
        <f>IF(K197=0,0,(G197*I197*(1+J197))/K197)</f>
        <v>0</v>
      </c>
      <c r="Q197" s="314"/>
      <c r="Y197" s="282">
        <f>VLOOKUP(B197,'Emissions factors'!$B$1719:$E$1730,4,FALSE)</f>
        <v>0.2</v>
      </c>
      <c r="Z197" s="186"/>
      <c r="AA197" s="211">
        <f>L197*SQRT(Y197^2+Z197^2)</f>
        <v>0</v>
      </c>
      <c r="AF197" s="187"/>
      <c r="AG197" s="210">
        <f>L197*AF197</f>
        <v>0</v>
      </c>
      <c r="AH197" s="187"/>
      <c r="AI197" s="211">
        <f>L197*AH197</f>
        <v>0</v>
      </c>
      <c r="AP197" s="40"/>
      <c r="AQ197" s="717"/>
      <c r="AR197" s="718"/>
      <c r="AS197" s="718"/>
      <c r="AT197" s="718"/>
      <c r="AU197" s="720">
        <f>L197</f>
        <v>0</v>
      </c>
      <c r="AV197" s="748"/>
      <c r="BD197" s="1279" t="str">
        <f t="shared" si="58"/>
        <v/>
      </c>
      <c r="BE197" s="1280" t="str">
        <f t="shared" si="58"/>
        <v/>
      </c>
      <c r="BF197" s="1280" t="str">
        <f t="shared" si="58"/>
        <v/>
      </c>
      <c r="BG197" s="1280" t="str">
        <f t="shared" si="58"/>
        <v/>
      </c>
      <c r="BH197" s="1281" t="str">
        <f t="shared" si="58"/>
        <v/>
      </c>
      <c r="BI197" s="1282" t="str">
        <f t="shared" si="58"/>
        <v/>
      </c>
      <c r="BJ197" s="1282" t="str">
        <f>IF($F197="Yes",IF(AA197="","",AA197*$K197),"")</f>
        <v/>
      </c>
      <c r="BK197" s="602"/>
      <c r="BL197" s="602"/>
      <c r="BM197" s="602"/>
      <c r="BN197" s="602"/>
      <c r="BO197" s="602"/>
    </row>
    <row r="198" spans="2:67" outlineLevel="2" x14ac:dyDescent="0.2">
      <c r="B198" s="200" t="s">
        <v>1546</v>
      </c>
      <c r="C198" s="201"/>
      <c r="D198" s="262">
        <f>L198</f>
        <v>0</v>
      </c>
      <c r="E198" s="265">
        <f>D198*12/44</f>
        <v>0</v>
      </c>
      <c r="F198" s="525"/>
      <c r="G198" s="188"/>
      <c r="H198" s="438"/>
      <c r="I198" s="273">
        <f>VLOOKUP($B198,'Emissions factors'!$B$1719:$E$1730,2,FALSE)*(1-H198)+VLOOKUP($B198,'Emissions factors'!$B$1719:$E$1730,3,FALSE)*H198</f>
        <v>2380</v>
      </c>
      <c r="J198" s="438"/>
      <c r="K198" s="188"/>
      <c r="L198" s="211">
        <f>IF(K198=0,0,(G198*I198*(1+J198))/K198)</f>
        <v>0</v>
      </c>
      <c r="Q198" s="314"/>
      <c r="Y198" s="282">
        <f>VLOOKUP(B198,'Emissions factors'!$B$1719:$E$1730,4,FALSE)</f>
        <v>0.2</v>
      </c>
      <c r="Z198" s="189"/>
      <c r="AA198" s="211">
        <f>L198*SQRT(Y198^2+Z198^2)</f>
        <v>0</v>
      </c>
      <c r="AF198" s="190"/>
      <c r="AG198" s="210">
        <f>L198*AF198</f>
        <v>0</v>
      </c>
      <c r="AH198" s="190"/>
      <c r="AI198" s="211">
        <f>L198*AH198</f>
        <v>0</v>
      </c>
      <c r="AP198" s="40"/>
      <c r="AQ198" s="717"/>
      <c r="AR198" s="718"/>
      <c r="AS198" s="718"/>
      <c r="AT198" s="718"/>
      <c r="AU198" s="720">
        <f>L198</f>
        <v>0</v>
      </c>
      <c r="AV198" s="748"/>
      <c r="BD198" s="1279" t="str">
        <f t="shared" si="58"/>
        <v/>
      </c>
      <c r="BE198" s="1280" t="str">
        <f t="shared" si="58"/>
        <v/>
      </c>
      <c r="BF198" s="1280" t="str">
        <f t="shared" si="58"/>
        <v/>
      </c>
      <c r="BG198" s="1280" t="str">
        <f t="shared" si="58"/>
        <v/>
      </c>
      <c r="BH198" s="1281" t="str">
        <f t="shared" si="58"/>
        <v/>
      </c>
      <c r="BI198" s="1282" t="str">
        <f t="shared" si="58"/>
        <v/>
      </c>
      <c r="BJ198" s="1282" t="str">
        <f>IF($F198="Yes",IF(AA198="","",AA198*$K198),"")</f>
        <v/>
      </c>
      <c r="BK198" s="602"/>
      <c r="BL198" s="602"/>
      <c r="BM198" s="602"/>
      <c r="BN198" s="602"/>
      <c r="BO198" s="602"/>
    </row>
    <row r="199" spans="2:67" outlineLevel="2" x14ac:dyDescent="0.2">
      <c r="B199" s="213"/>
      <c r="C199" s="214"/>
      <c r="D199" s="275"/>
      <c r="E199" s="268"/>
      <c r="F199" s="214"/>
      <c r="G199" s="214"/>
      <c r="H199" s="214"/>
      <c r="I199" s="214"/>
      <c r="J199" s="214"/>
      <c r="K199" s="214"/>
      <c r="L199" s="433"/>
      <c r="Y199" s="200"/>
      <c r="Z199" s="201"/>
      <c r="AA199" s="222"/>
      <c r="AF199" s="200"/>
      <c r="AG199" s="504"/>
      <c r="AH199" s="201"/>
      <c r="AI199" s="222"/>
      <c r="AP199" s="40"/>
      <c r="AQ199" s="717"/>
      <c r="AR199" s="718"/>
      <c r="AS199" s="718"/>
      <c r="AT199" s="718"/>
      <c r="AU199" s="720"/>
      <c r="AV199" s="749"/>
      <c r="BD199" s="1279" t="str">
        <f t="shared" si="58"/>
        <v/>
      </c>
      <c r="BE199" s="1280" t="str">
        <f t="shared" si="58"/>
        <v/>
      </c>
      <c r="BF199" s="1280" t="str">
        <f t="shared" si="58"/>
        <v/>
      </c>
      <c r="BG199" s="1280" t="str">
        <f t="shared" si="58"/>
        <v/>
      </c>
      <c r="BH199" s="1281" t="str">
        <f t="shared" si="58"/>
        <v/>
      </c>
      <c r="BI199" s="1283" t="str">
        <f t="shared" si="58"/>
        <v/>
      </c>
      <c r="BJ199" s="1282" t="str">
        <f>IF($F199="Yes",IF(AA199="","",AA199*$K199),"")</f>
        <v/>
      </c>
      <c r="BK199" s="602"/>
      <c r="BL199" s="602"/>
      <c r="BM199" s="602"/>
      <c r="BN199" s="602"/>
      <c r="BO199" s="602"/>
    </row>
    <row r="200" spans="2:67" outlineLevel="2" x14ac:dyDescent="0.2">
      <c r="B200" s="253" t="s">
        <v>44</v>
      </c>
      <c r="C200" s="254"/>
      <c r="D200" s="264">
        <f>SUM(D196:D199)</f>
        <v>0</v>
      </c>
      <c r="E200" s="267">
        <f>SUM(E196:E199)</f>
        <v>0</v>
      </c>
      <c r="F200" s="254"/>
      <c r="G200" s="254"/>
      <c r="H200" s="254"/>
      <c r="I200" s="254"/>
      <c r="J200" s="254"/>
      <c r="K200" s="254"/>
      <c r="L200" s="257">
        <f>SUM(L196:L199)</f>
        <v>0</v>
      </c>
      <c r="M200" s="42"/>
      <c r="Q200" s="42"/>
      <c r="Y200" s="258"/>
      <c r="Z200" s="256"/>
      <c r="AA200" s="545">
        <f>SQRT(SUMSQ(AA196:AA199))</f>
        <v>0</v>
      </c>
      <c r="AF200" s="258"/>
      <c r="AG200" s="259">
        <f>SUM(AG196:AG199)</f>
        <v>0</v>
      </c>
      <c r="AH200" s="256"/>
      <c r="AI200" s="257">
        <f>SUM(AI196:AI199)</f>
        <v>0</v>
      </c>
      <c r="AP200" s="40"/>
      <c r="AQ200" s="724">
        <f t="shared" ref="AQ200:AV200" si="59">SUM(AQ196:AQ199)</f>
        <v>0</v>
      </c>
      <c r="AR200" s="725">
        <f t="shared" si="59"/>
        <v>0</v>
      </c>
      <c r="AS200" s="725">
        <f t="shared" si="59"/>
        <v>0</v>
      </c>
      <c r="AT200" s="725">
        <f t="shared" si="59"/>
        <v>0</v>
      </c>
      <c r="AU200" s="727">
        <f t="shared" si="59"/>
        <v>0</v>
      </c>
      <c r="AV200" s="750">
        <f t="shared" si="59"/>
        <v>0</v>
      </c>
      <c r="BD200" s="1284">
        <f t="shared" ref="BD200:BI200" si="60">SUM(BD196:BD199)</f>
        <v>0</v>
      </c>
      <c r="BE200" s="1285">
        <f t="shared" si="60"/>
        <v>0</v>
      </c>
      <c r="BF200" s="1285">
        <f t="shared" si="60"/>
        <v>0</v>
      </c>
      <c r="BG200" s="1285">
        <f t="shared" si="60"/>
        <v>0</v>
      </c>
      <c r="BH200" s="1286">
        <f t="shared" si="60"/>
        <v>0</v>
      </c>
      <c r="BI200" s="1287">
        <f t="shared" si="60"/>
        <v>0</v>
      </c>
      <c r="BJ200" s="1287">
        <f>SUM(BJ195:BJ199)</f>
        <v>0</v>
      </c>
      <c r="BK200" s="602"/>
      <c r="BL200" s="602"/>
      <c r="BM200" s="602"/>
      <c r="BN200" s="602"/>
      <c r="BO200" s="602"/>
    </row>
    <row r="201" spans="2:67" outlineLevel="2" x14ac:dyDescent="0.2">
      <c r="AF201" s="42"/>
      <c r="AG201" s="42"/>
      <c r="AH201" s="42"/>
      <c r="AI201" s="42"/>
      <c r="AP201" s="40"/>
      <c r="BD201" s="602"/>
      <c r="BE201" s="602"/>
      <c r="BF201" s="602"/>
      <c r="BG201" s="602"/>
      <c r="BH201" s="602"/>
      <c r="BI201" s="602"/>
      <c r="BJ201" s="602"/>
      <c r="BK201" s="602"/>
      <c r="BL201" s="602"/>
      <c r="BM201" s="602"/>
      <c r="BN201" s="602"/>
      <c r="BO201" s="602"/>
    </row>
    <row r="202" spans="2:67" outlineLevel="2" x14ac:dyDescent="0.2">
      <c r="B202" s="195" t="s">
        <v>3105</v>
      </c>
      <c r="C202" s="196"/>
      <c r="D202" s="500"/>
      <c r="E202" s="500"/>
      <c r="F202" s="196"/>
      <c r="G202" s="196"/>
      <c r="H202" s="196"/>
      <c r="I202" s="198"/>
      <c r="J202" s="198"/>
      <c r="K202" s="198"/>
      <c r="L202" s="235"/>
      <c r="Y202" s="1746" t="s">
        <v>723</v>
      </c>
      <c r="Z202" s="1747"/>
      <c r="AA202" s="1748"/>
      <c r="AF202" s="1746" t="s">
        <v>2066</v>
      </c>
      <c r="AG202" s="1747"/>
      <c r="AH202" s="1747"/>
      <c r="AI202" s="1748"/>
      <c r="AP202" s="40"/>
      <c r="AQ202" s="1755" t="s">
        <v>2073</v>
      </c>
      <c r="AR202" s="1756"/>
      <c r="AS202" s="1756"/>
      <c r="AT202" s="1756"/>
      <c r="AU202" s="1756"/>
      <c r="AV202" s="1757"/>
      <c r="BD202" s="1843" t="s">
        <v>2719</v>
      </c>
      <c r="BE202" s="1844"/>
      <c r="BF202" s="1844"/>
      <c r="BG202" s="1844"/>
      <c r="BH202" s="1844"/>
      <c r="BI202" s="1844"/>
      <c r="BJ202" s="1845"/>
      <c r="BK202" s="602"/>
      <c r="BL202" s="602"/>
      <c r="BM202" s="602"/>
      <c r="BN202" s="602"/>
      <c r="BO202" s="602"/>
    </row>
    <row r="203" spans="2:67" outlineLevel="2" x14ac:dyDescent="0.2">
      <c r="B203" s="417"/>
      <c r="C203" s="225"/>
      <c r="D203" s="503"/>
      <c r="E203" s="503"/>
      <c r="F203" s="225"/>
      <c r="G203" s="225"/>
      <c r="H203" s="225"/>
      <c r="I203" s="201"/>
      <c r="J203" s="201"/>
      <c r="K203" s="214"/>
      <c r="L203" s="226"/>
      <c r="Y203" s="507"/>
      <c r="Z203" s="504"/>
      <c r="AA203" s="203"/>
      <c r="AF203" s="507"/>
      <c r="AG203" s="504"/>
      <c r="AH203" s="504"/>
      <c r="AI203" s="203"/>
      <c r="AP203" s="40"/>
      <c r="AQ203" s="778"/>
      <c r="AR203" s="779"/>
      <c r="AS203" s="779"/>
      <c r="AT203" s="779"/>
      <c r="AU203" s="741"/>
      <c r="AV203" s="780"/>
      <c r="BD203" s="1270"/>
      <c r="BE203" s="1271"/>
      <c r="BF203" s="1271"/>
      <c r="BG203" s="1271"/>
      <c r="BH203" s="1272"/>
      <c r="BI203" s="1273"/>
      <c r="BJ203" s="1273"/>
      <c r="BK203" s="602"/>
      <c r="BL203" s="602"/>
      <c r="BM203" s="602"/>
      <c r="BN203" s="602"/>
      <c r="BO203" s="602"/>
    </row>
    <row r="204" spans="2:67" outlineLevel="2" x14ac:dyDescent="0.2">
      <c r="B204" s="507"/>
      <c r="C204" s="504"/>
      <c r="D204" s="504" t="s">
        <v>56</v>
      </c>
      <c r="E204" s="504" t="s">
        <v>56</v>
      </c>
      <c r="F204" s="205" t="s">
        <v>2712</v>
      </c>
      <c r="G204" s="205" t="s">
        <v>11</v>
      </c>
      <c r="H204" s="205" t="s">
        <v>2600</v>
      </c>
      <c r="I204" s="504" t="s">
        <v>61</v>
      </c>
      <c r="J204" s="205" t="s">
        <v>2603</v>
      </c>
      <c r="K204" s="205" t="s">
        <v>2715</v>
      </c>
      <c r="L204" s="509" t="s">
        <v>61</v>
      </c>
      <c r="M204" s="32"/>
      <c r="Q204" s="32"/>
      <c r="Y204" s="1639" t="s">
        <v>2605</v>
      </c>
      <c r="Z204" s="504" t="s">
        <v>2110</v>
      </c>
      <c r="AA204" s="509" t="s">
        <v>61</v>
      </c>
      <c r="AF204" s="507" t="s">
        <v>2065</v>
      </c>
      <c r="AG204" s="503" t="s">
        <v>61</v>
      </c>
      <c r="AH204" s="504" t="s">
        <v>2558</v>
      </c>
      <c r="AI204" s="509" t="s">
        <v>61</v>
      </c>
      <c r="AP204" s="40"/>
      <c r="AQ204" s="1739" t="s">
        <v>61</v>
      </c>
      <c r="AR204" s="1740"/>
      <c r="AS204" s="1740"/>
      <c r="AT204" s="1740"/>
      <c r="AU204" s="741" t="s">
        <v>61</v>
      </c>
      <c r="AV204" s="742"/>
      <c r="BD204" s="1846" t="s">
        <v>61</v>
      </c>
      <c r="BE204" s="1847"/>
      <c r="BF204" s="1847"/>
      <c r="BG204" s="1847"/>
      <c r="BH204" s="1272" t="s">
        <v>61</v>
      </c>
      <c r="BI204" s="1274"/>
      <c r="BJ204" s="1278" t="s">
        <v>723</v>
      </c>
      <c r="BK204" s="602"/>
      <c r="BL204" s="602"/>
      <c r="BM204" s="602"/>
      <c r="BN204" s="602"/>
      <c r="BO204" s="602"/>
    </row>
    <row r="205" spans="2:67" outlineLevel="2" x14ac:dyDescent="0.2">
      <c r="B205" s="507"/>
      <c r="C205" s="504"/>
      <c r="D205" s="504" t="s">
        <v>61</v>
      </c>
      <c r="E205" s="504" t="s">
        <v>63</v>
      </c>
      <c r="F205" s="208" t="s">
        <v>2713</v>
      </c>
      <c r="G205" s="208" t="s">
        <v>2601</v>
      </c>
      <c r="H205" s="208" t="s">
        <v>2602</v>
      </c>
      <c r="I205" s="504" t="s">
        <v>2058</v>
      </c>
      <c r="J205" s="208" t="s">
        <v>2720</v>
      </c>
      <c r="K205" s="208" t="s">
        <v>2716</v>
      </c>
      <c r="L205" s="509"/>
      <c r="M205" s="32"/>
      <c r="Q205" s="32"/>
      <c r="Y205" s="1639" t="s">
        <v>2063</v>
      </c>
      <c r="Z205" s="504"/>
      <c r="AA205" s="509"/>
      <c r="AF205" s="507"/>
      <c r="AG205" s="503"/>
      <c r="AH205" s="504"/>
      <c r="AI205" s="509"/>
      <c r="AP205" s="40"/>
      <c r="AQ205" s="744" t="s">
        <v>14</v>
      </c>
      <c r="AR205" s="745" t="s">
        <v>60</v>
      </c>
      <c r="AS205" s="745" t="s">
        <v>27</v>
      </c>
      <c r="AT205" s="745" t="s">
        <v>2074</v>
      </c>
      <c r="AU205" s="746" t="s">
        <v>41</v>
      </c>
      <c r="AV205" s="747" t="s">
        <v>85</v>
      </c>
      <c r="BD205" s="1275" t="s">
        <v>14</v>
      </c>
      <c r="BE205" s="1276" t="s">
        <v>60</v>
      </c>
      <c r="BF205" s="1276" t="s">
        <v>27</v>
      </c>
      <c r="BG205" s="1276" t="s">
        <v>2074</v>
      </c>
      <c r="BH205" s="1277" t="s">
        <v>41</v>
      </c>
      <c r="BI205" s="1278" t="s">
        <v>85</v>
      </c>
      <c r="BJ205" s="1278" t="s">
        <v>61</v>
      </c>
      <c r="BK205" s="602"/>
      <c r="BL205" s="602"/>
      <c r="BM205" s="602"/>
      <c r="BN205" s="602"/>
      <c r="BO205" s="602"/>
    </row>
    <row r="206" spans="2:67" outlineLevel="2" x14ac:dyDescent="0.2">
      <c r="B206" s="236" t="s">
        <v>1534</v>
      </c>
      <c r="C206" s="237"/>
      <c r="D206" s="262">
        <f>L206</f>
        <v>0</v>
      </c>
      <c r="E206" s="265">
        <f>D206*12/44</f>
        <v>0</v>
      </c>
      <c r="F206" s="523"/>
      <c r="G206" s="182"/>
      <c r="H206" s="436"/>
      <c r="I206" s="273">
        <f>VLOOKUP($B206,'Emissions factors'!$B$1704:$E$1714,2,FALSE)*(1-H206)+VLOOKUP($B206,'Emissions factors'!$B$1704:$E$1714,3,FALSE)*H206</f>
        <v>3670</v>
      </c>
      <c r="J206" s="436"/>
      <c r="K206" s="182"/>
      <c r="L206" s="211">
        <f>IF(K206=0,0,(G206*I206*(1+J206))/K206)</f>
        <v>0</v>
      </c>
      <c r="Q206" s="314"/>
      <c r="Y206" s="282">
        <f>VLOOKUP(B206,'Emissions factors'!$B$1704:$E$1714,4,FALSE)</f>
        <v>0.2</v>
      </c>
      <c r="Z206" s="183"/>
      <c r="AA206" s="211">
        <f>L206*SQRT(Y206^2+Z206^2)</f>
        <v>0</v>
      </c>
      <c r="AF206" s="184"/>
      <c r="AG206" s="210">
        <f>L206*AF206</f>
        <v>0</v>
      </c>
      <c r="AH206" s="184"/>
      <c r="AI206" s="211">
        <f>L206*AH206</f>
        <v>0</v>
      </c>
      <c r="AP206" s="40"/>
      <c r="AQ206" s="717"/>
      <c r="AR206" s="718"/>
      <c r="AS206" s="718"/>
      <c r="AT206" s="718"/>
      <c r="AU206" s="720">
        <f>L206</f>
        <v>0</v>
      </c>
      <c r="AV206" s="748"/>
      <c r="BD206" s="1279" t="str">
        <f t="shared" ref="BD206:BI209" si="61">IF($F206="Yes",IF(AQ206="","",AQ206*$K206),"")</f>
        <v/>
      </c>
      <c r="BE206" s="1280" t="str">
        <f t="shared" si="61"/>
        <v/>
      </c>
      <c r="BF206" s="1280" t="str">
        <f t="shared" si="61"/>
        <v/>
      </c>
      <c r="BG206" s="1280" t="str">
        <f t="shared" si="61"/>
        <v/>
      </c>
      <c r="BH206" s="1281" t="str">
        <f t="shared" si="61"/>
        <v/>
      </c>
      <c r="BI206" s="1282" t="str">
        <f t="shared" si="61"/>
        <v/>
      </c>
      <c r="BJ206" s="1282" t="str">
        <f>IF($F206="Yes",IF(AA206="","",AA206*$K206),"")</f>
        <v/>
      </c>
      <c r="BK206" s="602"/>
      <c r="BL206" s="602"/>
      <c r="BM206" s="602"/>
      <c r="BN206" s="602"/>
      <c r="BO206" s="602"/>
    </row>
    <row r="207" spans="2:67" outlineLevel="2" x14ac:dyDescent="0.2">
      <c r="B207" s="236" t="s">
        <v>1533</v>
      </c>
      <c r="C207" s="237"/>
      <c r="D207" s="262">
        <f>L207</f>
        <v>0</v>
      </c>
      <c r="E207" s="265">
        <f>D207*12/44</f>
        <v>0</v>
      </c>
      <c r="F207" s="524"/>
      <c r="G207" s="185"/>
      <c r="H207" s="437"/>
      <c r="I207" s="273">
        <f>VLOOKUP($B207,'Emissions factors'!$B$1704:$E$1714,2,FALSE)*(1-H207)+VLOOKUP($B207,'Emissions factors'!$B$1704:$E$1714,3,FALSE)*H207</f>
        <v>1027</v>
      </c>
      <c r="J207" s="437"/>
      <c r="K207" s="185"/>
      <c r="L207" s="211">
        <f>IF(K207=0,0,(G207*I207*(1+J207))/K207)</f>
        <v>0</v>
      </c>
      <c r="Q207" s="314"/>
      <c r="Y207" s="282">
        <f>VLOOKUP(B207,'Emissions factors'!$B$1704:$E$1714,4,FALSE)</f>
        <v>0.2</v>
      </c>
      <c r="Z207" s="186"/>
      <c r="AA207" s="211">
        <f>L207*SQRT(Y207^2+Z207^2)</f>
        <v>0</v>
      </c>
      <c r="AF207" s="187"/>
      <c r="AG207" s="210">
        <f>L207*AF207</f>
        <v>0</v>
      </c>
      <c r="AH207" s="187"/>
      <c r="AI207" s="211">
        <f>L207*AH207</f>
        <v>0</v>
      </c>
      <c r="AP207" s="40"/>
      <c r="AQ207" s="717"/>
      <c r="AR207" s="718"/>
      <c r="AS207" s="718"/>
      <c r="AT207" s="718"/>
      <c r="AU207" s="720">
        <f>L207</f>
        <v>0</v>
      </c>
      <c r="AV207" s="748"/>
      <c r="BD207" s="1279" t="str">
        <f t="shared" si="61"/>
        <v/>
      </c>
      <c r="BE207" s="1280" t="str">
        <f t="shared" si="61"/>
        <v/>
      </c>
      <c r="BF207" s="1280" t="str">
        <f t="shared" si="61"/>
        <v/>
      </c>
      <c r="BG207" s="1280" t="str">
        <f t="shared" si="61"/>
        <v/>
      </c>
      <c r="BH207" s="1281" t="str">
        <f t="shared" si="61"/>
        <v/>
      </c>
      <c r="BI207" s="1282" t="str">
        <f t="shared" si="61"/>
        <v/>
      </c>
      <c r="BJ207" s="1282" t="str">
        <f>IF($F207="Yes",IF(AA207="","",AA207*$K207),"")</f>
        <v/>
      </c>
      <c r="BK207" s="602"/>
      <c r="BL207" s="602"/>
      <c r="BM207" s="602"/>
      <c r="BN207" s="602"/>
      <c r="BO207" s="602"/>
    </row>
    <row r="208" spans="2:67" outlineLevel="2" x14ac:dyDescent="0.2">
      <c r="B208" s="236" t="s">
        <v>1532</v>
      </c>
      <c r="C208" s="237"/>
      <c r="D208" s="262">
        <f>L208</f>
        <v>0</v>
      </c>
      <c r="E208" s="265">
        <f>D208*12/44</f>
        <v>0</v>
      </c>
      <c r="F208" s="525"/>
      <c r="G208" s="188"/>
      <c r="H208" s="438"/>
      <c r="I208" s="273">
        <f>VLOOKUP($B208,'Emissions factors'!$B$1704:$E$1714,2,FALSE)*(1-H208)+VLOOKUP($B208,'Emissions factors'!$B$1704:$E$1714,3,FALSE)*H208</f>
        <v>1519</v>
      </c>
      <c r="J208" s="438"/>
      <c r="K208" s="188"/>
      <c r="L208" s="211">
        <f>IF(K208=0,0,(G208*I208*(1+J208))/K208)</f>
        <v>0</v>
      </c>
      <c r="Q208" s="314"/>
      <c r="Y208" s="282">
        <f>VLOOKUP(B208,'Emissions factors'!$B$1704:$E$1714,4,FALSE)</f>
        <v>0.2</v>
      </c>
      <c r="Z208" s="189"/>
      <c r="AA208" s="211">
        <f>L208*SQRT(Y208^2+Z208^2)</f>
        <v>0</v>
      </c>
      <c r="AF208" s="190"/>
      <c r="AG208" s="210">
        <f>L208*AF208</f>
        <v>0</v>
      </c>
      <c r="AH208" s="190"/>
      <c r="AI208" s="211">
        <f>L208*AH208</f>
        <v>0</v>
      </c>
      <c r="AP208" s="40"/>
      <c r="AQ208" s="717"/>
      <c r="AR208" s="718"/>
      <c r="AS208" s="718"/>
      <c r="AT208" s="718"/>
      <c r="AU208" s="720">
        <f>L208</f>
        <v>0</v>
      </c>
      <c r="AV208" s="748"/>
      <c r="BD208" s="1279" t="str">
        <f t="shared" si="61"/>
        <v/>
      </c>
      <c r="BE208" s="1280" t="str">
        <f t="shared" si="61"/>
        <v/>
      </c>
      <c r="BF208" s="1280" t="str">
        <f t="shared" si="61"/>
        <v/>
      </c>
      <c r="BG208" s="1280" t="str">
        <f t="shared" si="61"/>
        <v/>
      </c>
      <c r="BH208" s="1281" t="str">
        <f t="shared" si="61"/>
        <v/>
      </c>
      <c r="BI208" s="1282" t="str">
        <f t="shared" si="61"/>
        <v/>
      </c>
      <c r="BJ208" s="1282" t="str">
        <f>IF($F208="Yes",IF(AA208="","",AA208*$K208),"")</f>
        <v/>
      </c>
      <c r="BK208" s="602"/>
      <c r="BL208" s="602"/>
      <c r="BM208" s="602"/>
      <c r="BN208" s="602"/>
      <c r="BO208" s="602"/>
    </row>
    <row r="209" spans="2:67" outlineLevel="2" x14ac:dyDescent="0.2">
      <c r="B209" s="213"/>
      <c r="C209" s="214"/>
      <c r="D209" s="275"/>
      <c r="E209" s="268"/>
      <c r="F209" s="214"/>
      <c r="G209" s="214"/>
      <c r="H209" s="214"/>
      <c r="I209" s="214"/>
      <c r="J209" s="214"/>
      <c r="K209" s="214"/>
      <c r="L209" s="433"/>
      <c r="Y209" s="200"/>
      <c r="Z209" s="201"/>
      <c r="AA209" s="222"/>
      <c r="AF209" s="200"/>
      <c r="AG209" s="504"/>
      <c r="AH209" s="201"/>
      <c r="AI209" s="222"/>
      <c r="AP209" s="40"/>
      <c r="AQ209" s="717"/>
      <c r="AR209" s="718"/>
      <c r="AS209" s="718"/>
      <c r="AT209" s="718"/>
      <c r="AU209" s="720"/>
      <c r="AV209" s="749"/>
      <c r="BD209" s="1279" t="str">
        <f t="shared" si="61"/>
        <v/>
      </c>
      <c r="BE209" s="1280" t="str">
        <f t="shared" si="61"/>
        <v/>
      </c>
      <c r="BF209" s="1280" t="str">
        <f t="shared" si="61"/>
        <v/>
      </c>
      <c r="BG209" s="1280" t="str">
        <f t="shared" si="61"/>
        <v/>
      </c>
      <c r="BH209" s="1281" t="str">
        <f t="shared" si="61"/>
        <v/>
      </c>
      <c r="BI209" s="1283" t="str">
        <f t="shared" si="61"/>
        <v/>
      </c>
      <c r="BJ209" s="1282" t="str">
        <f>IF($F209="Yes",IF(AA209="","",AA209*$K209),"")</f>
        <v/>
      </c>
      <c r="BK209" s="602"/>
      <c r="BL209" s="602"/>
      <c r="BM209" s="602"/>
      <c r="BN209" s="602"/>
      <c r="BO209" s="602"/>
    </row>
    <row r="210" spans="2:67" outlineLevel="2" x14ac:dyDescent="0.2">
      <c r="B210" s="253" t="s">
        <v>44</v>
      </c>
      <c r="C210" s="254"/>
      <c r="D210" s="264">
        <f>SUM(D206:D209)</f>
        <v>0</v>
      </c>
      <c r="E210" s="267">
        <f>SUM(E206:E209)</f>
        <v>0</v>
      </c>
      <c r="F210" s="254"/>
      <c r="G210" s="254"/>
      <c r="H210" s="254"/>
      <c r="I210" s="254"/>
      <c r="J210" s="254"/>
      <c r="K210" s="254"/>
      <c r="L210" s="257">
        <f>SUM(L206:L209)</f>
        <v>0</v>
      </c>
      <c r="M210" s="42"/>
      <c r="Q210" s="42"/>
      <c r="Y210" s="258"/>
      <c r="Z210" s="256"/>
      <c r="AA210" s="545">
        <f>SQRT(SUMSQ(AA206:AA209))</f>
        <v>0</v>
      </c>
      <c r="AF210" s="258"/>
      <c r="AG210" s="259">
        <f>SUM(AG206:AG209)</f>
        <v>0</v>
      </c>
      <c r="AH210" s="256"/>
      <c r="AI210" s="257">
        <f>SUM(AI206:AI209)</f>
        <v>0</v>
      </c>
      <c r="AP210" s="40"/>
      <c r="AQ210" s="724">
        <f t="shared" ref="AQ210:AV210" si="62">SUM(AQ206:AQ209)</f>
        <v>0</v>
      </c>
      <c r="AR210" s="725">
        <f t="shared" si="62"/>
        <v>0</v>
      </c>
      <c r="AS210" s="725">
        <f t="shared" si="62"/>
        <v>0</v>
      </c>
      <c r="AT210" s="725">
        <f t="shared" si="62"/>
        <v>0</v>
      </c>
      <c r="AU210" s="727">
        <f t="shared" si="62"/>
        <v>0</v>
      </c>
      <c r="AV210" s="750">
        <f t="shared" si="62"/>
        <v>0</v>
      </c>
      <c r="BD210" s="1284">
        <f t="shared" ref="BD210:BI210" si="63">SUM(BD206:BD209)</f>
        <v>0</v>
      </c>
      <c r="BE210" s="1285">
        <f t="shared" si="63"/>
        <v>0</v>
      </c>
      <c r="BF210" s="1285">
        <f t="shared" si="63"/>
        <v>0</v>
      </c>
      <c r="BG210" s="1285">
        <f t="shared" si="63"/>
        <v>0</v>
      </c>
      <c r="BH210" s="1286">
        <f t="shared" si="63"/>
        <v>0</v>
      </c>
      <c r="BI210" s="1287">
        <f t="shared" si="63"/>
        <v>0</v>
      </c>
      <c r="BJ210" s="1287">
        <f>SUM(BJ205:BJ209)</f>
        <v>0</v>
      </c>
      <c r="BK210" s="602"/>
      <c r="BL210" s="602"/>
      <c r="BM210" s="602"/>
      <c r="BN210" s="602"/>
      <c r="BO210" s="602"/>
    </row>
    <row r="211" spans="2:67" outlineLevel="2" x14ac:dyDescent="0.2">
      <c r="AP211" s="40"/>
      <c r="BD211" s="602"/>
      <c r="BE211" s="602"/>
      <c r="BF211" s="602"/>
      <c r="BG211" s="602"/>
      <c r="BH211" s="602"/>
      <c r="BI211" s="602"/>
      <c r="BJ211" s="602"/>
      <c r="BK211" s="602"/>
      <c r="BL211" s="602"/>
      <c r="BM211" s="602"/>
      <c r="BN211" s="602"/>
      <c r="BO211" s="602"/>
    </row>
    <row r="212" spans="2:67" outlineLevel="2" x14ac:dyDescent="0.2">
      <c r="B212" s="195" t="s">
        <v>3106</v>
      </c>
      <c r="C212" s="196"/>
      <c r="D212" s="500"/>
      <c r="E212" s="500"/>
      <c r="F212" s="198"/>
      <c r="G212" s="198"/>
      <c r="H212" s="198"/>
      <c r="I212" s="198"/>
      <c r="J212" s="198"/>
      <c r="K212" s="199"/>
      <c r="P212" s="42"/>
      <c r="Y212" s="1746" t="s">
        <v>723</v>
      </c>
      <c r="Z212" s="1747"/>
      <c r="AA212" s="1748"/>
      <c r="AF212" s="1746" t="s">
        <v>2066</v>
      </c>
      <c r="AG212" s="1747"/>
      <c r="AH212" s="1747"/>
      <c r="AI212" s="1748"/>
      <c r="AP212" s="40"/>
      <c r="AQ212" s="1755" t="s">
        <v>2073</v>
      </c>
      <c r="AR212" s="1756"/>
      <c r="AS212" s="1756"/>
      <c r="AT212" s="1756"/>
      <c r="AU212" s="1756"/>
      <c r="AV212" s="1757"/>
      <c r="BD212" s="1843" t="s">
        <v>2719</v>
      </c>
      <c r="BE212" s="1844"/>
      <c r="BF212" s="1844"/>
      <c r="BG212" s="1844"/>
      <c r="BH212" s="1844"/>
      <c r="BI212" s="1844"/>
      <c r="BJ212" s="1845"/>
      <c r="BK212" s="602"/>
      <c r="BL212" s="602"/>
      <c r="BM212" s="602"/>
      <c r="BN212" s="602"/>
      <c r="BO212" s="602"/>
    </row>
    <row r="213" spans="2:67" outlineLevel="2" x14ac:dyDescent="0.2">
      <c r="B213" s="417"/>
      <c r="C213" s="225"/>
      <c r="D213" s="503"/>
      <c r="E213" s="503"/>
      <c r="F213" s="201"/>
      <c r="G213" s="201"/>
      <c r="H213" s="201"/>
      <c r="I213" s="201"/>
      <c r="J213" s="214"/>
      <c r="K213" s="203"/>
      <c r="P213" s="42"/>
      <c r="Y213" s="507"/>
      <c r="Z213" s="504"/>
      <c r="AA213" s="203"/>
      <c r="AF213" s="507"/>
      <c r="AG213" s="504"/>
      <c r="AH213" s="504"/>
      <c r="AI213" s="203"/>
      <c r="AP213" s="40"/>
      <c r="AQ213" s="778"/>
      <c r="AR213" s="779"/>
      <c r="AS213" s="779"/>
      <c r="AT213" s="779"/>
      <c r="AU213" s="741"/>
      <c r="AV213" s="780"/>
      <c r="BD213" s="1270"/>
      <c r="BE213" s="1271"/>
      <c r="BF213" s="1271"/>
      <c r="BG213" s="1271"/>
      <c r="BH213" s="1272"/>
      <c r="BI213" s="1273"/>
      <c r="BJ213" s="1273"/>
      <c r="BK213" s="602"/>
      <c r="BL213" s="602"/>
      <c r="BM213" s="602"/>
      <c r="BN213" s="602"/>
      <c r="BO213" s="602"/>
    </row>
    <row r="214" spans="2:67" outlineLevel="2" x14ac:dyDescent="0.2">
      <c r="B214" s="200"/>
      <c r="C214" s="201"/>
      <c r="D214" s="504" t="s">
        <v>56</v>
      </c>
      <c r="E214" s="504" t="s">
        <v>56</v>
      </c>
      <c r="F214" s="205" t="s">
        <v>2712</v>
      </c>
      <c r="G214" s="205" t="s">
        <v>79</v>
      </c>
      <c r="H214" s="504" t="s">
        <v>61</v>
      </c>
      <c r="I214" s="205" t="s">
        <v>2732</v>
      </c>
      <c r="J214" s="205" t="s">
        <v>2715</v>
      </c>
      <c r="K214" s="509" t="s">
        <v>61</v>
      </c>
      <c r="P214" s="42"/>
      <c r="Y214" s="1639" t="s">
        <v>2605</v>
      </c>
      <c r="Z214" s="504" t="s">
        <v>2110</v>
      </c>
      <c r="AA214" s="509" t="s">
        <v>61</v>
      </c>
      <c r="AF214" s="507" t="s">
        <v>2065</v>
      </c>
      <c r="AG214" s="503" t="s">
        <v>61</v>
      </c>
      <c r="AH214" s="504" t="s">
        <v>2558</v>
      </c>
      <c r="AI214" s="509" t="s">
        <v>61</v>
      </c>
      <c r="AP214" s="40"/>
      <c r="AQ214" s="1739" t="s">
        <v>61</v>
      </c>
      <c r="AR214" s="1740"/>
      <c r="AS214" s="1740"/>
      <c r="AT214" s="1740"/>
      <c r="AU214" s="741" t="s">
        <v>61</v>
      </c>
      <c r="AV214" s="742"/>
      <c r="BD214" s="1846" t="s">
        <v>61</v>
      </c>
      <c r="BE214" s="1847"/>
      <c r="BF214" s="1847"/>
      <c r="BG214" s="1847"/>
      <c r="BH214" s="1272" t="s">
        <v>61</v>
      </c>
      <c r="BI214" s="1274"/>
      <c r="BJ214" s="1278" t="s">
        <v>723</v>
      </c>
      <c r="BK214" s="602"/>
      <c r="BL214" s="602"/>
      <c r="BM214" s="602"/>
      <c r="BN214" s="602"/>
      <c r="BO214" s="602"/>
    </row>
    <row r="215" spans="2:67" outlineLevel="2" x14ac:dyDescent="0.2">
      <c r="B215" s="507"/>
      <c r="C215" s="504"/>
      <c r="D215" s="504" t="s">
        <v>61</v>
      </c>
      <c r="E215" s="504" t="s">
        <v>63</v>
      </c>
      <c r="F215" s="208" t="s">
        <v>2713</v>
      </c>
      <c r="G215" s="212" t="s">
        <v>2613</v>
      </c>
      <c r="H215" s="504" t="s">
        <v>2536</v>
      </c>
      <c r="I215" s="208" t="s">
        <v>2609</v>
      </c>
      <c r="J215" s="208" t="s">
        <v>2716</v>
      </c>
      <c r="K215" s="509"/>
      <c r="P215" s="42"/>
      <c r="Y215" s="1639" t="s">
        <v>2063</v>
      </c>
      <c r="Z215" s="504"/>
      <c r="AA215" s="509"/>
      <c r="AF215" s="507"/>
      <c r="AG215" s="503"/>
      <c r="AH215" s="504"/>
      <c r="AI215" s="509"/>
      <c r="AP215" s="40"/>
      <c r="AQ215" s="744" t="s">
        <v>14</v>
      </c>
      <c r="AR215" s="745" t="s">
        <v>60</v>
      </c>
      <c r="AS215" s="745" t="s">
        <v>27</v>
      </c>
      <c r="AT215" s="745" t="s">
        <v>2074</v>
      </c>
      <c r="AU215" s="746" t="s">
        <v>41</v>
      </c>
      <c r="AV215" s="747" t="s">
        <v>85</v>
      </c>
      <c r="BD215" s="1275" t="s">
        <v>14</v>
      </c>
      <c r="BE215" s="1276" t="s">
        <v>60</v>
      </c>
      <c r="BF215" s="1276" t="s">
        <v>27</v>
      </c>
      <c r="BG215" s="1276" t="s">
        <v>2074</v>
      </c>
      <c r="BH215" s="1277" t="s">
        <v>41</v>
      </c>
      <c r="BI215" s="1278" t="s">
        <v>85</v>
      </c>
      <c r="BJ215" s="1278" t="s">
        <v>61</v>
      </c>
      <c r="BK215" s="602"/>
      <c r="BL215" s="602"/>
      <c r="BM215" s="602"/>
      <c r="BN215" s="602"/>
      <c r="BO215" s="602"/>
    </row>
    <row r="216" spans="2:67" outlineLevel="2" x14ac:dyDescent="0.2">
      <c r="B216" s="200" t="s">
        <v>1651</v>
      </c>
      <c r="C216" s="201"/>
      <c r="D216" s="262">
        <f>K216</f>
        <v>0</v>
      </c>
      <c r="E216" s="265">
        <f>D216*12/44</f>
        <v>0</v>
      </c>
      <c r="F216" s="523"/>
      <c r="G216" s="182"/>
      <c r="H216" s="273">
        <f>VLOOKUP($B216,'Emissions factors'!$B$1894:$D$1906,2,FALSE)</f>
        <v>36.700000000000003</v>
      </c>
      <c r="I216" s="439"/>
      <c r="J216" s="182"/>
      <c r="K216" s="211">
        <f>IF(J216=0,0,(G216*H216*(1+I216))/J216)</f>
        <v>0</v>
      </c>
      <c r="P216" s="42"/>
      <c r="Y216" s="282">
        <f>VLOOKUP($B216,'Emissions factors'!$B$1894:$D$1906,3,FALSE)</f>
        <v>0.5</v>
      </c>
      <c r="Z216" s="183"/>
      <c r="AA216" s="211">
        <f>K216*SQRT(Y216^2+Z216^2)</f>
        <v>0</v>
      </c>
      <c r="AF216" s="184"/>
      <c r="AG216" s="210">
        <f>AF216*K216</f>
        <v>0</v>
      </c>
      <c r="AH216" s="184"/>
      <c r="AI216" s="211">
        <f>AH216*K216</f>
        <v>0</v>
      </c>
      <c r="AP216" s="40"/>
      <c r="AQ216" s="717"/>
      <c r="AR216" s="718"/>
      <c r="AS216" s="718"/>
      <c r="AT216" s="718"/>
      <c r="AU216" s="720">
        <f>K216</f>
        <v>0</v>
      </c>
      <c r="AV216" s="748"/>
      <c r="BD216" s="1279" t="str">
        <f t="shared" ref="BD216:BI219" si="64">IF($F216="Yes",IF(AQ216="","",AQ216*$J216),"")</f>
        <v/>
      </c>
      <c r="BE216" s="1280" t="str">
        <f t="shared" si="64"/>
        <v/>
      </c>
      <c r="BF216" s="1280" t="str">
        <f t="shared" si="64"/>
        <v/>
      </c>
      <c r="BG216" s="1280" t="str">
        <f t="shared" si="64"/>
        <v/>
      </c>
      <c r="BH216" s="1281" t="str">
        <f t="shared" si="64"/>
        <v/>
      </c>
      <c r="BI216" s="1282" t="str">
        <f t="shared" si="64"/>
        <v/>
      </c>
      <c r="BJ216" s="1282" t="str">
        <f>IF($F216="Yes",IF(AA216="","",AA216*$J216),"")</f>
        <v/>
      </c>
      <c r="BK216" s="602"/>
      <c r="BL216" s="602"/>
      <c r="BM216" s="602"/>
      <c r="BN216" s="602"/>
      <c r="BO216" s="602"/>
    </row>
    <row r="217" spans="2:67" outlineLevel="2" x14ac:dyDescent="0.2">
      <c r="B217" s="200" t="s">
        <v>1654</v>
      </c>
      <c r="C217" s="201"/>
      <c r="D217" s="262">
        <f>K217</f>
        <v>0</v>
      </c>
      <c r="E217" s="265">
        <f>D217*12/44</f>
        <v>0</v>
      </c>
      <c r="F217" s="524"/>
      <c r="G217" s="185"/>
      <c r="H217" s="273">
        <f>VLOOKUP($B217,'Emissions factors'!$B$1894:$D$1906,2,FALSE)</f>
        <v>917</v>
      </c>
      <c r="I217" s="440"/>
      <c r="J217" s="185"/>
      <c r="K217" s="211">
        <f>IF(J217=0,0,(G217*H217*(1+I217))/J217)</f>
        <v>0</v>
      </c>
      <c r="P217" s="42"/>
      <c r="Y217" s="282">
        <f>VLOOKUP($B217,'Emissions factors'!$B$1894:$D$1906,3,FALSE)</f>
        <v>0.5</v>
      </c>
      <c r="Z217" s="186"/>
      <c r="AA217" s="211">
        <f>K217*SQRT(Y217^2+Z217^2)</f>
        <v>0</v>
      </c>
      <c r="AF217" s="187"/>
      <c r="AG217" s="210">
        <f>AF217*K217</f>
        <v>0</v>
      </c>
      <c r="AH217" s="187"/>
      <c r="AI217" s="211">
        <f>AH217*K217</f>
        <v>0</v>
      </c>
      <c r="AP217" s="40"/>
      <c r="AQ217" s="717"/>
      <c r="AR217" s="718"/>
      <c r="AS217" s="718"/>
      <c r="AT217" s="718"/>
      <c r="AU217" s="720">
        <f>K217</f>
        <v>0</v>
      </c>
      <c r="AV217" s="748"/>
      <c r="BD217" s="1279" t="str">
        <f t="shared" si="64"/>
        <v/>
      </c>
      <c r="BE217" s="1280" t="str">
        <f t="shared" si="64"/>
        <v/>
      </c>
      <c r="BF217" s="1280" t="str">
        <f t="shared" si="64"/>
        <v/>
      </c>
      <c r="BG217" s="1280" t="str">
        <f t="shared" si="64"/>
        <v/>
      </c>
      <c r="BH217" s="1281" t="str">
        <f t="shared" si="64"/>
        <v/>
      </c>
      <c r="BI217" s="1282" t="str">
        <f t="shared" si="64"/>
        <v/>
      </c>
      <c r="BJ217" s="1282" t="str">
        <f>IF($F217="Yes",IF(AA217="","",AA217*$J217),"")</f>
        <v/>
      </c>
      <c r="BK217" s="602"/>
      <c r="BL217" s="602"/>
      <c r="BM217" s="602"/>
      <c r="BN217" s="602"/>
      <c r="BO217" s="602"/>
    </row>
    <row r="218" spans="2:67" outlineLevel="2" x14ac:dyDescent="0.2">
      <c r="B218" s="200" t="s">
        <v>1654</v>
      </c>
      <c r="C218" s="201"/>
      <c r="D218" s="262">
        <f>K218</f>
        <v>0</v>
      </c>
      <c r="E218" s="265">
        <f>D218*12/44</f>
        <v>0</v>
      </c>
      <c r="F218" s="525"/>
      <c r="G218" s="188"/>
      <c r="H218" s="273">
        <f>VLOOKUP($B218,'Emissions factors'!$B$1894:$D$1906,2,FALSE)</f>
        <v>917</v>
      </c>
      <c r="I218" s="441"/>
      <c r="J218" s="188"/>
      <c r="K218" s="211">
        <f>IF(J218=0,0,(G218*H218*(1+I218))/J218)</f>
        <v>0</v>
      </c>
      <c r="P218" s="42"/>
      <c r="Y218" s="282">
        <f>VLOOKUP($B218,'Emissions factors'!$B$1894:$D$1906,3,FALSE)</f>
        <v>0.5</v>
      </c>
      <c r="Z218" s="189"/>
      <c r="AA218" s="211">
        <f>K218*SQRT(Y218^2+Z218^2)</f>
        <v>0</v>
      </c>
      <c r="AF218" s="190"/>
      <c r="AG218" s="210">
        <f>AF218*K218</f>
        <v>0</v>
      </c>
      <c r="AH218" s="190"/>
      <c r="AI218" s="211">
        <f>AH218*K218</f>
        <v>0</v>
      </c>
      <c r="AP218" s="40"/>
      <c r="AQ218" s="717"/>
      <c r="AR218" s="718"/>
      <c r="AS218" s="718"/>
      <c r="AT218" s="718"/>
      <c r="AU218" s="720">
        <f>K218</f>
        <v>0</v>
      </c>
      <c r="AV218" s="748"/>
      <c r="BD218" s="1279" t="str">
        <f t="shared" si="64"/>
        <v/>
      </c>
      <c r="BE218" s="1280" t="str">
        <f t="shared" si="64"/>
        <v/>
      </c>
      <c r="BF218" s="1280" t="str">
        <f t="shared" si="64"/>
        <v/>
      </c>
      <c r="BG218" s="1280" t="str">
        <f t="shared" si="64"/>
        <v/>
      </c>
      <c r="BH218" s="1281" t="str">
        <f t="shared" si="64"/>
        <v/>
      </c>
      <c r="BI218" s="1282" t="str">
        <f t="shared" si="64"/>
        <v/>
      </c>
      <c r="BJ218" s="1282" t="str">
        <f>IF($F218="Yes",IF(AA218="","",AA218*$J218),"")</f>
        <v/>
      </c>
      <c r="BK218" s="602"/>
      <c r="BL218" s="602"/>
      <c r="BM218" s="602"/>
      <c r="BN218" s="602"/>
      <c r="BO218" s="602"/>
    </row>
    <row r="219" spans="2:67" outlineLevel="2" x14ac:dyDescent="0.2">
      <c r="B219" s="200"/>
      <c r="C219" s="201"/>
      <c r="D219" s="263"/>
      <c r="E219" s="266"/>
      <c r="F219" s="201"/>
      <c r="G219" s="201"/>
      <c r="H219" s="201"/>
      <c r="I219" s="201"/>
      <c r="J219" s="214"/>
      <c r="K219" s="203"/>
      <c r="P219" s="42"/>
      <c r="Y219" s="220"/>
      <c r="Z219" s="201"/>
      <c r="AA219" s="222"/>
      <c r="AF219" s="200"/>
      <c r="AG219" s="504"/>
      <c r="AH219" s="201"/>
      <c r="AI219" s="222"/>
      <c r="AP219" s="40"/>
      <c r="AQ219" s="717"/>
      <c r="AR219" s="718"/>
      <c r="AS219" s="718"/>
      <c r="AT219" s="718"/>
      <c r="AU219" s="720"/>
      <c r="AV219" s="749"/>
      <c r="BD219" s="1279" t="str">
        <f t="shared" si="64"/>
        <v/>
      </c>
      <c r="BE219" s="1280" t="str">
        <f t="shared" si="64"/>
        <v/>
      </c>
      <c r="BF219" s="1280" t="str">
        <f t="shared" si="64"/>
        <v/>
      </c>
      <c r="BG219" s="1280" t="str">
        <f t="shared" si="64"/>
        <v/>
      </c>
      <c r="BH219" s="1281" t="str">
        <f t="shared" si="64"/>
        <v/>
      </c>
      <c r="BI219" s="1283" t="str">
        <f t="shared" si="64"/>
        <v/>
      </c>
      <c r="BJ219" s="1282" t="str">
        <f>IF($F219="Yes",IF(AA219="","",AA219*$J219),"")</f>
        <v/>
      </c>
      <c r="BK219" s="602"/>
      <c r="BL219" s="602"/>
      <c r="BM219" s="602"/>
      <c r="BN219" s="602"/>
      <c r="BO219" s="602"/>
    </row>
    <row r="220" spans="2:67" outlineLevel="2" x14ac:dyDescent="0.2">
      <c r="B220" s="253" t="s">
        <v>44</v>
      </c>
      <c r="C220" s="254"/>
      <c r="D220" s="264">
        <f>SUM(D216:D219)</f>
        <v>0</v>
      </c>
      <c r="E220" s="267">
        <f>SUM(E216:E219)</f>
        <v>0</v>
      </c>
      <c r="F220" s="261"/>
      <c r="G220" s="261"/>
      <c r="H220" s="256"/>
      <c r="I220" s="256"/>
      <c r="J220" s="254"/>
      <c r="K220" s="257">
        <f>SUM(K216:K219)</f>
        <v>0</v>
      </c>
      <c r="P220" s="42"/>
      <c r="Y220" s="258"/>
      <c r="Z220" s="256"/>
      <c r="AA220" s="545">
        <f>SQRT(SUMSQ(AA216:AA219))</f>
        <v>0</v>
      </c>
      <c r="AF220" s="258"/>
      <c r="AG220" s="259">
        <f>SUM(AG216:AG219)</f>
        <v>0</v>
      </c>
      <c r="AH220" s="256"/>
      <c r="AI220" s="257">
        <f>SUM(AI216:AI219)</f>
        <v>0</v>
      </c>
      <c r="AP220" s="40"/>
      <c r="AQ220" s="724">
        <f t="shared" ref="AQ220:AV220" si="65">SUM(AQ216:AQ219)</f>
        <v>0</v>
      </c>
      <c r="AR220" s="725">
        <f t="shared" si="65"/>
        <v>0</v>
      </c>
      <c r="AS220" s="725">
        <f t="shared" si="65"/>
        <v>0</v>
      </c>
      <c r="AT220" s="725">
        <f t="shared" si="65"/>
        <v>0</v>
      </c>
      <c r="AU220" s="727">
        <f t="shared" si="65"/>
        <v>0</v>
      </c>
      <c r="AV220" s="750">
        <f t="shared" si="65"/>
        <v>0</v>
      </c>
      <c r="BD220" s="1284">
        <f t="shared" ref="BD220:BI220" si="66">SUM(BD216:BD219)</f>
        <v>0</v>
      </c>
      <c r="BE220" s="1285">
        <f t="shared" si="66"/>
        <v>0</v>
      </c>
      <c r="BF220" s="1285">
        <f t="shared" si="66"/>
        <v>0</v>
      </c>
      <c r="BG220" s="1285">
        <f t="shared" si="66"/>
        <v>0</v>
      </c>
      <c r="BH220" s="1286">
        <f t="shared" si="66"/>
        <v>0</v>
      </c>
      <c r="BI220" s="1287">
        <f t="shared" si="66"/>
        <v>0</v>
      </c>
      <c r="BJ220" s="1287">
        <f>SUM(BJ215:BJ219)</f>
        <v>0</v>
      </c>
      <c r="BK220" s="602"/>
      <c r="BL220" s="602"/>
      <c r="BM220" s="602"/>
      <c r="BN220" s="602"/>
      <c r="BO220" s="602"/>
    </row>
    <row r="221" spans="2:67" outlineLevel="2" x14ac:dyDescent="0.2">
      <c r="AP221" s="40"/>
      <c r="BD221" s="602"/>
      <c r="BE221" s="602"/>
      <c r="BF221" s="602"/>
      <c r="BG221" s="602"/>
      <c r="BH221" s="602"/>
      <c r="BI221" s="602"/>
      <c r="BJ221" s="602"/>
      <c r="BK221" s="602"/>
      <c r="BL221" s="602"/>
      <c r="BM221" s="602"/>
      <c r="BN221" s="602"/>
      <c r="BO221" s="602"/>
    </row>
    <row r="222" spans="2:67" outlineLevel="2" x14ac:dyDescent="0.2">
      <c r="B222" s="195" t="s">
        <v>2851</v>
      </c>
      <c r="C222" s="196"/>
      <c r="D222" s="198"/>
      <c r="E222" s="198"/>
      <c r="F222" s="198"/>
      <c r="G222" s="198"/>
      <c r="H222" s="416"/>
      <c r="AP222" s="40"/>
      <c r="BD222" s="602"/>
      <c r="BE222" s="602"/>
      <c r="BF222" s="602"/>
      <c r="BG222" s="602"/>
      <c r="BH222" s="602"/>
      <c r="BI222" s="602"/>
      <c r="BJ222" s="602"/>
      <c r="BK222" s="602"/>
      <c r="BL222" s="602"/>
      <c r="BM222" s="602"/>
      <c r="BN222" s="602"/>
      <c r="BO222" s="602"/>
    </row>
    <row r="223" spans="2:67" outlineLevel="2" x14ac:dyDescent="0.2">
      <c r="B223" s="200"/>
      <c r="C223" s="203"/>
      <c r="D223" s="205" t="s">
        <v>20</v>
      </c>
      <c r="E223" s="504" t="s">
        <v>61</v>
      </c>
      <c r="F223" s="205" t="s">
        <v>2730</v>
      </c>
      <c r="G223" s="205" t="s">
        <v>2715</v>
      </c>
      <c r="H223" s="445" t="s">
        <v>61</v>
      </c>
      <c r="AP223" s="40"/>
      <c r="BD223" s="602"/>
      <c r="BE223" s="602"/>
      <c r="BF223" s="602"/>
      <c r="BG223" s="602"/>
      <c r="BH223" s="602"/>
      <c r="BI223" s="602"/>
      <c r="BJ223" s="602"/>
      <c r="BK223" s="602"/>
      <c r="BL223" s="602"/>
      <c r="BM223" s="602"/>
      <c r="BN223" s="602"/>
      <c r="BO223" s="602"/>
    </row>
    <row r="224" spans="2:67" outlineLevel="2" x14ac:dyDescent="0.2">
      <c r="B224" s="507"/>
      <c r="C224" s="508"/>
      <c r="D224" s="208" t="s">
        <v>2601</v>
      </c>
      <c r="E224" s="504" t="s">
        <v>2058</v>
      </c>
      <c r="F224" s="208" t="s">
        <v>2731</v>
      </c>
      <c r="G224" s="208" t="s">
        <v>2716</v>
      </c>
      <c r="H224" s="445"/>
      <c r="AP224" s="40"/>
      <c r="BD224" s="602"/>
      <c r="BE224" s="602"/>
      <c r="BF224" s="602"/>
      <c r="BG224" s="602"/>
      <c r="BH224" s="602"/>
      <c r="BI224" s="602"/>
      <c r="BJ224" s="602"/>
      <c r="BK224" s="602"/>
      <c r="BL224" s="602"/>
      <c r="BM224" s="602"/>
      <c r="BN224" s="602"/>
      <c r="BO224" s="602"/>
    </row>
    <row r="225" spans="2:67" outlineLevel="2" x14ac:dyDescent="0.2">
      <c r="B225" s="200" t="str">
        <f>'Emissions factors'!$B$1807</f>
        <v>Lumber [1]</v>
      </c>
      <c r="C225" s="203"/>
      <c r="D225" s="338"/>
      <c r="E225" s="446">
        <f>-500*44/12</f>
        <v>-1833.3333333333333</v>
      </c>
      <c r="F225" s="479">
        <v>-0.1</v>
      </c>
      <c r="G225" s="337"/>
      <c r="H225" s="447">
        <f>IF(G225=0,0,(D225*E225*(1+F225))/G225)</f>
        <v>0</v>
      </c>
      <c r="AP225" s="40"/>
      <c r="BD225" s="602"/>
      <c r="BE225" s="602"/>
      <c r="BF225" s="602"/>
      <c r="BG225" s="602"/>
      <c r="BH225" s="602"/>
      <c r="BI225" s="602"/>
      <c r="BJ225" s="602"/>
      <c r="BK225" s="602"/>
      <c r="BL225" s="602"/>
      <c r="BM225" s="602"/>
      <c r="BN225" s="602"/>
      <c r="BO225" s="602"/>
    </row>
    <row r="226" spans="2:67" outlineLevel="2" x14ac:dyDescent="0.2">
      <c r="B226" s="213"/>
      <c r="C226" s="214"/>
      <c r="D226" s="214"/>
      <c r="E226" s="214"/>
      <c r="F226" s="214"/>
      <c r="G226" s="214"/>
      <c r="H226" s="540"/>
      <c r="AP226" s="40"/>
      <c r="BD226" s="602"/>
      <c r="BE226" s="602"/>
      <c r="BF226" s="602"/>
      <c r="BG226" s="602"/>
      <c r="BH226" s="602"/>
      <c r="BI226" s="602"/>
      <c r="BJ226" s="602"/>
      <c r="BK226" s="602"/>
      <c r="BL226" s="602"/>
      <c r="BM226" s="602"/>
      <c r="BN226" s="602"/>
      <c r="BO226" s="602"/>
    </row>
    <row r="227" spans="2:67" outlineLevel="2" x14ac:dyDescent="0.2">
      <c r="B227" s="253" t="s">
        <v>44</v>
      </c>
      <c r="C227" s="254"/>
      <c r="D227" s="256"/>
      <c r="E227" s="256"/>
      <c r="F227" s="260"/>
      <c r="G227" s="260"/>
      <c r="H227" s="451">
        <f>SUM(H225:H225)</f>
        <v>0</v>
      </c>
      <c r="AP227" s="40"/>
      <c r="BD227" s="602"/>
      <c r="BE227" s="602"/>
      <c r="BF227" s="602"/>
      <c r="BG227" s="602"/>
      <c r="BH227" s="602"/>
      <c r="BI227" s="602"/>
      <c r="BJ227" s="602"/>
      <c r="BK227" s="602"/>
      <c r="BL227" s="602"/>
      <c r="BM227" s="602"/>
      <c r="BN227" s="602"/>
      <c r="BO227" s="602"/>
    </row>
    <row r="228" spans="2:67" outlineLevel="2" x14ac:dyDescent="0.2">
      <c r="F228" s="314"/>
      <c r="BD228" s="602"/>
      <c r="BE228" s="602"/>
      <c r="BF228" s="602"/>
      <c r="BG228" s="602"/>
      <c r="BH228" s="602"/>
      <c r="BI228" s="602"/>
      <c r="BJ228" s="602"/>
      <c r="BK228" s="602"/>
      <c r="BL228" s="602"/>
      <c r="BM228" s="602"/>
      <c r="BN228" s="602"/>
      <c r="BO228" s="602"/>
    </row>
    <row r="229" spans="2:67" x14ac:dyDescent="0.2">
      <c r="K229" s="339"/>
      <c r="L229" s="339"/>
      <c r="M229" s="315"/>
      <c r="BD229" s="602"/>
      <c r="BE229" s="602"/>
      <c r="BF229" s="602"/>
      <c r="BG229" s="602"/>
      <c r="BH229" s="602"/>
      <c r="BI229" s="602"/>
      <c r="BJ229" s="602"/>
      <c r="BK229" s="602"/>
      <c r="BL229" s="602"/>
      <c r="BM229" s="602"/>
      <c r="BN229" s="602"/>
      <c r="BO229" s="602"/>
    </row>
    <row r="230" spans="2:67" ht="16" x14ac:dyDescent="0.2">
      <c r="B230" s="1795" t="s">
        <v>2711</v>
      </c>
      <c r="C230" s="1795"/>
      <c r="D230" s="1795"/>
      <c r="E230" s="1795"/>
      <c r="F230" s="1795"/>
      <c r="G230" s="1795"/>
      <c r="H230" s="1795"/>
      <c r="I230" s="1795"/>
      <c r="J230" s="1795"/>
      <c r="K230" s="1795"/>
      <c r="L230" s="1795"/>
      <c r="M230" s="1795"/>
      <c r="N230" s="1795"/>
      <c r="O230" s="1795"/>
      <c r="BD230" s="602"/>
      <c r="BE230" s="602"/>
      <c r="BF230" s="602"/>
      <c r="BG230" s="602"/>
      <c r="BH230" s="602"/>
      <c r="BI230" s="602"/>
      <c r="BJ230" s="602"/>
      <c r="BK230" s="602"/>
      <c r="BL230" s="602"/>
      <c r="BM230" s="602"/>
      <c r="BN230" s="602"/>
      <c r="BO230" s="602"/>
    </row>
    <row r="231" spans="2:67" outlineLevel="1" x14ac:dyDescent="0.2">
      <c r="K231" s="339"/>
      <c r="BD231" s="602"/>
      <c r="BE231" s="602"/>
      <c r="BF231" s="602"/>
      <c r="BG231" s="602"/>
      <c r="BH231" s="602"/>
      <c r="BI231" s="602"/>
      <c r="BJ231" s="602"/>
      <c r="BK231" s="602"/>
      <c r="BL231" s="602"/>
      <c r="BM231" s="602"/>
      <c r="BN231" s="602"/>
      <c r="BO231" s="602"/>
    </row>
    <row r="232" spans="2:67" outlineLevel="1" x14ac:dyDescent="0.2">
      <c r="B232" s="195" t="s">
        <v>3085</v>
      </c>
      <c r="C232" s="196"/>
      <c r="D232" s="500"/>
      <c r="E232" s="500"/>
      <c r="F232" s="198"/>
      <c r="G232" s="198"/>
      <c r="H232" s="198"/>
      <c r="I232" s="198"/>
      <c r="J232" s="199"/>
      <c r="O232" s="339"/>
      <c r="Y232" s="1746" t="s">
        <v>723</v>
      </c>
      <c r="Z232" s="1747"/>
      <c r="AA232" s="1748"/>
      <c r="AF232" s="1746" t="s">
        <v>2066</v>
      </c>
      <c r="AG232" s="1747"/>
      <c r="AH232" s="1747"/>
      <c r="AI232" s="1748"/>
      <c r="AP232" s="40"/>
      <c r="AQ232" s="1755" t="s">
        <v>2073</v>
      </c>
      <c r="AR232" s="1756"/>
      <c r="AS232" s="1756"/>
      <c r="AT232" s="1756"/>
      <c r="AU232" s="1756"/>
      <c r="AV232" s="1757"/>
      <c r="BD232" s="1843" t="s">
        <v>2719</v>
      </c>
      <c r="BE232" s="1844"/>
      <c r="BF232" s="1844"/>
      <c r="BG232" s="1844"/>
      <c r="BH232" s="1844"/>
      <c r="BI232" s="1844"/>
      <c r="BJ232" s="1845"/>
      <c r="BK232" s="602"/>
      <c r="BL232" s="602"/>
      <c r="BM232" s="602"/>
      <c r="BN232" s="602"/>
      <c r="BO232" s="602"/>
    </row>
    <row r="233" spans="2:67" outlineLevel="1" x14ac:dyDescent="0.2">
      <c r="B233" s="417"/>
      <c r="C233" s="225"/>
      <c r="D233" s="503"/>
      <c r="E233" s="503"/>
      <c r="F233" s="201"/>
      <c r="G233" s="201"/>
      <c r="H233" s="201"/>
      <c r="I233" s="214"/>
      <c r="J233" s="203"/>
      <c r="O233" s="339"/>
      <c r="Y233" s="507"/>
      <c r="Z233" s="504"/>
      <c r="AA233" s="203"/>
      <c r="AF233" s="507"/>
      <c r="AG233" s="504"/>
      <c r="AH233" s="504"/>
      <c r="AI233" s="203"/>
      <c r="AP233" s="40"/>
      <c r="AQ233" s="778"/>
      <c r="AR233" s="779"/>
      <c r="AS233" s="779"/>
      <c r="AT233" s="779"/>
      <c r="AU233" s="741"/>
      <c r="AV233" s="780"/>
      <c r="BD233" s="1270"/>
      <c r="BE233" s="1271"/>
      <c r="BF233" s="1271"/>
      <c r="BG233" s="1271"/>
      <c r="BH233" s="1272"/>
      <c r="BI233" s="1273"/>
      <c r="BJ233" s="1273"/>
      <c r="BK233" s="602"/>
      <c r="BL233" s="602"/>
      <c r="BM233" s="602"/>
      <c r="BN233" s="602"/>
      <c r="BO233" s="602"/>
    </row>
    <row r="234" spans="2:67" outlineLevel="1" x14ac:dyDescent="0.2">
      <c r="B234" s="200"/>
      <c r="C234" s="201"/>
      <c r="D234" s="504" t="s">
        <v>56</v>
      </c>
      <c r="E234" s="504" t="s">
        <v>56</v>
      </c>
      <c r="F234" s="205" t="s">
        <v>2712</v>
      </c>
      <c r="G234" s="205" t="s">
        <v>1426</v>
      </c>
      <c r="H234" s="504" t="s">
        <v>61</v>
      </c>
      <c r="I234" s="205" t="s">
        <v>2715</v>
      </c>
      <c r="J234" s="509" t="s">
        <v>61</v>
      </c>
      <c r="O234" s="339"/>
      <c r="Y234" s="507" t="s">
        <v>2557</v>
      </c>
      <c r="Z234" s="504" t="s">
        <v>2110</v>
      </c>
      <c r="AA234" s="509" t="s">
        <v>61</v>
      </c>
      <c r="AF234" s="507" t="s">
        <v>2065</v>
      </c>
      <c r="AG234" s="503" t="s">
        <v>61</v>
      </c>
      <c r="AH234" s="504" t="s">
        <v>2558</v>
      </c>
      <c r="AI234" s="509" t="s">
        <v>61</v>
      </c>
      <c r="AP234" s="40"/>
      <c r="AQ234" s="1739" t="s">
        <v>61</v>
      </c>
      <c r="AR234" s="1740"/>
      <c r="AS234" s="1740"/>
      <c r="AT234" s="1740"/>
      <c r="AU234" s="741" t="s">
        <v>61</v>
      </c>
      <c r="AV234" s="742"/>
      <c r="BD234" s="1846" t="s">
        <v>61</v>
      </c>
      <c r="BE234" s="1847"/>
      <c r="BF234" s="1847"/>
      <c r="BG234" s="1847"/>
      <c r="BH234" s="1272" t="s">
        <v>61</v>
      </c>
      <c r="BI234" s="1274"/>
      <c r="BJ234" s="1278" t="s">
        <v>723</v>
      </c>
      <c r="BK234" s="602"/>
      <c r="BL234" s="602"/>
      <c r="BM234" s="602"/>
      <c r="BN234" s="602"/>
      <c r="BO234" s="602"/>
    </row>
    <row r="235" spans="2:67" outlineLevel="1" x14ac:dyDescent="0.2">
      <c r="B235" s="507"/>
      <c r="C235" s="504"/>
      <c r="D235" s="504" t="s">
        <v>61</v>
      </c>
      <c r="E235" s="504" t="s">
        <v>63</v>
      </c>
      <c r="F235" s="208" t="s">
        <v>2713</v>
      </c>
      <c r="G235" s="212" t="s">
        <v>2734</v>
      </c>
      <c r="H235" s="504" t="s">
        <v>2736</v>
      </c>
      <c r="I235" s="208" t="s">
        <v>2716</v>
      </c>
      <c r="J235" s="509"/>
      <c r="O235" s="339"/>
      <c r="Y235" s="507" t="s">
        <v>2109</v>
      </c>
      <c r="Z235" s="504"/>
      <c r="AA235" s="509"/>
      <c r="AF235" s="507"/>
      <c r="AG235" s="503"/>
      <c r="AH235" s="504"/>
      <c r="AI235" s="509"/>
      <c r="AP235" s="40"/>
      <c r="AQ235" s="744" t="s">
        <v>14</v>
      </c>
      <c r="AR235" s="745" t="s">
        <v>60</v>
      </c>
      <c r="AS235" s="745" t="s">
        <v>27</v>
      </c>
      <c r="AT235" s="745" t="s">
        <v>2074</v>
      </c>
      <c r="AU235" s="746" t="s">
        <v>41</v>
      </c>
      <c r="AV235" s="747" t="s">
        <v>85</v>
      </c>
      <c r="BD235" s="1275" t="s">
        <v>14</v>
      </c>
      <c r="BE235" s="1276" t="s">
        <v>60</v>
      </c>
      <c r="BF235" s="1276" t="s">
        <v>27</v>
      </c>
      <c r="BG235" s="1276" t="s">
        <v>2074</v>
      </c>
      <c r="BH235" s="1277" t="s">
        <v>41</v>
      </c>
      <c r="BI235" s="1278" t="s">
        <v>85</v>
      </c>
      <c r="BJ235" s="1278" t="s">
        <v>61</v>
      </c>
      <c r="BK235" s="602"/>
      <c r="BL235" s="602"/>
      <c r="BM235" s="602"/>
      <c r="BN235" s="602"/>
      <c r="BO235" s="602"/>
    </row>
    <row r="236" spans="2:67" outlineLevel="1" x14ac:dyDescent="0.2">
      <c r="B236" s="200" t="s">
        <v>2017</v>
      </c>
      <c r="C236" s="201"/>
      <c r="D236" s="262">
        <f>J236</f>
        <v>0</v>
      </c>
      <c r="E236" s="265">
        <f>D236*12/44</f>
        <v>0</v>
      </c>
      <c r="F236" s="523" t="s">
        <v>2438</v>
      </c>
      <c r="G236" s="182"/>
      <c r="H236" s="276">
        <f>VLOOKUP($B236,'Emissions factors'!$B$2388:$D$2397,2,FALSE)</f>
        <v>767</v>
      </c>
      <c r="I236" s="182">
        <v>3</v>
      </c>
      <c r="J236" s="211">
        <f>IF(I236=0,0,G236*H236/I236)</f>
        <v>0</v>
      </c>
      <c r="O236" s="339"/>
      <c r="Y236" s="282">
        <f>VLOOKUP($B236,'Emissions factors'!$B$2388:$D$2397,3,FALSE)</f>
        <v>0.5</v>
      </c>
      <c r="Z236" s="183"/>
      <c r="AA236" s="211">
        <f>J236*SQRT(Y236^2+Z236^2)</f>
        <v>0</v>
      </c>
      <c r="AF236" s="184"/>
      <c r="AG236" s="210">
        <f>AF236*J236</f>
        <v>0</v>
      </c>
      <c r="AH236" s="184"/>
      <c r="AI236" s="211">
        <f>AH236*J236</f>
        <v>0</v>
      </c>
      <c r="AP236" s="40"/>
      <c r="AQ236" s="717"/>
      <c r="AR236" s="718"/>
      <c r="AS236" s="718"/>
      <c r="AT236" s="718"/>
      <c r="AU236" s="720">
        <f>J236</f>
        <v>0</v>
      </c>
      <c r="AV236" s="748"/>
      <c r="BD236" s="1279" t="str">
        <f t="shared" ref="BD236:BI241" si="67">IF($F236="Yes",IF(AQ236="","",AQ236*$I236),"")</f>
        <v/>
      </c>
      <c r="BE236" s="1280" t="str">
        <f t="shared" si="67"/>
        <v/>
      </c>
      <c r="BF236" s="1280" t="str">
        <f t="shared" si="67"/>
        <v/>
      </c>
      <c r="BG236" s="1280" t="str">
        <f t="shared" si="67"/>
        <v/>
      </c>
      <c r="BH236" s="1281" t="str">
        <f t="shared" si="67"/>
        <v/>
      </c>
      <c r="BI236" s="1282" t="str">
        <f t="shared" si="67"/>
        <v/>
      </c>
      <c r="BJ236" s="1282" t="str">
        <f t="shared" ref="BJ236:BJ241" si="68">IF($F236="Yes",IF(AA236="","",AA236*$I236),"")</f>
        <v/>
      </c>
      <c r="BK236" s="602"/>
      <c r="BL236" s="602"/>
      <c r="BM236" s="602"/>
      <c r="BN236" s="602"/>
      <c r="BO236" s="602"/>
    </row>
    <row r="237" spans="2:67" outlineLevel="1" x14ac:dyDescent="0.2">
      <c r="B237" s="200" t="s">
        <v>2017</v>
      </c>
      <c r="C237" s="201"/>
      <c r="D237" s="262">
        <f>J237</f>
        <v>0</v>
      </c>
      <c r="E237" s="265">
        <f>D237*12/44</f>
        <v>0</v>
      </c>
      <c r="F237" s="524" t="s">
        <v>2437</v>
      </c>
      <c r="G237" s="185"/>
      <c r="H237" s="276">
        <f>VLOOKUP($B237,'Emissions factors'!$B$2388:$D$2397,2,FALSE)</f>
        <v>767</v>
      </c>
      <c r="I237" s="185">
        <v>3</v>
      </c>
      <c r="J237" s="211">
        <f>IF(I237=0,0,G237*H237/I237)</f>
        <v>0</v>
      </c>
      <c r="O237" s="339"/>
      <c r="Y237" s="282">
        <f>VLOOKUP($B237,'Emissions factors'!$B$2388:$D$2397,3,FALSE)</f>
        <v>0.5</v>
      </c>
      <c r="Z237" s="186"/>
      <c r="AA237" s="211">
        <f>J237*SQRT(Y237^2+Z237^2)</f>
        <v>0</v>
      </c>
      <c r="AF237" s="187"/>
      <c r="AG237" s="210">
        <f>AF237*J237</f>
        <v>0</v>
      </c>
      <c r="AH237" s="187"/>
      <c r="AI237" s="211">
        <f>AH237*J237</f>
        <v>0</v>
      </c>
      <c r="AP237" s="40"/>
      <c r="AQ237" s="717"/>
      <c r="AR237" s="718"/>
      <c r="AS237" s="718"/>
      <c r="AT237" s="718"/>
      <c r="AU237" s="720">
        <f>J237</f>
        <v>0</v>
      </c>
      <c r="AV237" s="748"/>
      <c r="BD237" s="1279" t="str">
        <f t="shared" si="67"/>
        <v/>
      </c>
      <c r="BE237" s="1280" t="str">
        <f t="shared" si="67"/>
        <v/>
      </c>
      <c r="BF237" s="1280" t="str">
        <f t="shared" si="67"/>
        <v/>
      </c>
      <c r="BG237" s="1280" t="str">
        <f t="shared" si="67"/>
        <v/>
      </c>
      <c r="BH237" s="1281">
        <f t="shared" si="67"/>
        <v>0</v>
      </c>
      <c r="BI237" s="1282" t="str">
        <f t="shared" si="67"/>
        <v/>
      </c>
      <c r="BJ237" s="1282">
        <f t="shared" si="68"/>
        <v>0</v>
      </c>
      <c r="BK237" s="602"/>
      <c r="BL237" s="602"/>
      <c r="BM237" s="602"/>
      <c r="BN237" s="602"/>
      <c r="BO237" s="602"/>
    </row>
    <row r="238" spans="2:67" outlineLevel="1" x14ac:dyDescent="0.2">
      <c r="B238" s="200" t="s">
        <v>2015</v>
      </c>
      <c r="C238" s="201"/>
      <c r="D238" s="262">
        <f>J238</f>
        <v>0</v>
      </c>
      <c r="E238" s="265">
        <f>D238*12/44</f>
        <v>0</v>
      </c>
      <c r="F238" s="524" t="s">
        <v>2438</v>
      </c>
      <c r="G238" s="185"/>
      <c r="H238" s="276">
        <f>VLOOKUP($B238,'Emissions factors'!$B$2388:$D$2397,2,FALSE)</f>
        <v>513</v>
      </c>
      <c r="I238" s="185">
        <v>3</v>
      </c>
      <c r="J238" s="211">
        <f>IF(I238=0,0,G238*H238/I238)</f>
        <v>0</v>
      </c>
      <c r="O238" s="339"/>
      <c r="Y238" s="282">
        <f>VLOOKUP($B238,'Emissions factors'!$B$2388:$D$2397,3,FALSE)</f>
        <v>0.5</v>
      </c>
      <c r="Z238" s="186"/>
      <c r="AA238" s="211">
        <f>J238*SQRT(Y238^2+Z238^2)</f>
        <v>0</v>
      </c>
      <c r="AF238" s="187"/>
      <c r="AG238" s="210">
        <f>AF238*J238</f>
        <v>0</v>
      </c>
      <c r="AH238" s="187"/>
      <c r="AI238" s="211">
        <f>AH238*J238</f>
        <v>0</v>
      </c>
      <c r="AP238" s="40"/>
      <c r="AQ238" s="717"/>
      <c r="AR238" s="718"/>
      <c r="AS238" s="718"/>
      <c r="AT238" s="718"/>
      <c r="AU238" s="720">
        <f>J238</f>
        <v>0</v>
      </c>
      <c r="AV238" s="748"/>
      <c r="BD238" s="1279" t="str">
        <f t="shared" si="67"/>
        <v/>
      </c>
      <c r="BE238" s="1280" t="str">
        <f t="shared" si="67"/>
        <v/>
      </c>
      <c r="BF238" s="1280" t="str">
        <f t="shared" si="67"/>
        <v/>
      </c>
      <c r="BG238" s="1280" t="str">
        <f t="shared" si="67"/>
        <v/>
      </c>
      <c r="BH238" s="1281" t="str">
        <f t="shared" si="67"/>
        <v/>
      </c>
      <c r="BI238" s="1282" t="str">
        <f t="shared" si="67"/>
        <v/>
      </c>
      <c r="BJ238" s="1282" t="str">
        <f t="shared" si="68"/>
        <v/>
      </c>
      <c r="BK238" s="602"/>
      <c r="BL238" s="602"/>
      <c r="BM238" s="602"/>
      <c r="BN238" s="602"/>
      <c r="BO238" s="602"/>
    </row>
    <row r="239" spans="2:67" outlineLevel="1" x14ac:dyDescent="0.2">
      <c r="B239" s="200" t="s">
        <v>2015</v>
      </c>
      <c r="C239" s="201"/>
      <c r="D239" s="262">
        <f>J239</f>
        <v>0</v>
      </c>
      <c r="E239" s="265">
        <f>D239*12/44</f>
        <v>0</v>
      </c>
      <c r="F239" s="524" t="s">
        <v>2437</v>
      </c>
      <c r="G239" s="185"/>
      <c r="H239" s="276">
        <f>VLOOKUP($B239,'Emissions factors'!$B$2388:$D$2397,2,FALSE)</f>
        <v>513</v>
      </c>
      <c r="I239" s="185">
        <v>3</v>
      </c>
      <c r="J239" s="211">
        <f>IF(I239=0,0,G239*H239/I239)</f>
        <v>0</v>
      </c>
      <c r="K239" s="340"/>
      <c r="O239" s="339"/>
      <c r="Y239" s="282">
        <f>VLOOKUP($B239,'Emissions factors'!$B$2388:$D$2397,3,FALSE)</f>
        <v>0.5</v>
      </c>
      <c r="Z239" s="186"/>
      <c r="AA239" s="211">
        <f>J239*SQRT(Y239^2+Z239^2)</f>
        <v>0</v>
      </c>
      <c r="AF239" s="187"/>
      <c r="AG239" s="210">
        <f>AF239*J239</f>
        <v>0</v>
      </c>
      <c r="AH239" s="187"/>
      <c r="AI239" s="211">
        <f>AH239*J239</f>
        <v>0</v>
      </c>
      <c r="AP239" s="40"/>
      <c r="AQ239" s="717"/>
      <c r="AR239" s="718"/>
      <c r="AS239" s="718"/>
      <c r="AT239" s="718"/>
      <c r="AU239" s="720">
        <f>J239</f>
        <v>0</v>
      </c>
      <c r="AV239" s="748"/>
      <c r="BD239" s="1279" t="str">
        <f t="shared" si="67"/>
        <v/>
      </c>
      <c r="BE239" s="1280" t="str">
        <f t="shared" si="67"/>
        <v/>
      </c>
      <c r="BF239" s="1280" t="str">
        <f t="shared" si="67"/>
        <v/>
      </c>
      <c r="BG239" s="1280" t="str">
        <f t="shared" si="67"/>
        <v/>
      </c>
      <c r="BH239" s="1281">
        <f t="shared" si="67"/>
        <v>0</v>
      </c>
      <c r="BI239" s="1282" t="str">
        <f t="shared" si="67"/>
        <v/>
      </c>
      <c r="BJ239" s="1282">
        <f t="shared" si="68"/>
        <v>0</v>
      </c>
      <c r="BK239" s="602"/>
      <c r="BL239" s="602"/>
      <c r="BM239" s="602"/>
      <c r="BN239" s="602"/>
      <c r="BO239" s="602"/>
    </row>
    <row r="240" spans="2:67" outlineLevel="1" x14ac:dyDescent="0.2">
      <c r="B240" s="200" t="s">
        <v>2014</v>
      </c>
      <c r="C240" s="201"/>
      <c r="D240" s="262">
        <f>J240</f>
        <v>0</v>
      </c>
      <c r="E240" s="265">
        <f>D240*12/44</f>
        <v>0</v>
      </c>
      <c r="F240" s="525" t="s">
        <v>2438</v>
      </c>
      <c r="G240" s="185"/>
      <c r="H240" s="276">
        <f>VLOOKUP($B240,'Emissions factors'!$B$2388:$D$2397,2,FALSE)</f>
        <v>1280</v>
      </c>
      <c r="I240" s="188">
        <v>3</v>
      </c>
      <c r="J240" s="211">
        <f>IF(I240=0,0,G240*H240/I240)</f>
        <v>0</v>
      </c>
      <c r="O240" s="339"/>
      <c r="Y240" s="282">
        <f>VLOOKUP($B240,'Emissions factors'!$B$2388:$D$2397,3,FALSE)</f>
        <v>0.5</v>
      </c>
      <c r="Z240" s="189"/>
      <c r="AA240" s="211">
        <f>J240*SQRT(Y240^2+Z240^2)</f>
        <v>0</v>
      </c>
      <c r="AF240" s="190"/>
      <c r="AG240" s="210">
        <f>AF240*J240</f>
        <v>0</v>
      </c>
      <c r="AH240" s="190"/>
      <c r="AI240" s="211">
        <f>AH240*J240</f>
        <v>0</v>
      </c>
      <c r="AP240" s="40"/>
      <c r="AQ240" s="717"/>
      <c r="AR240" s="718"/>
      <c r="AS240" s="718"/>
      <c r="AT240" s="718"/>
      <c r="AU240" s="720">
        <f>J240</f>
        <v>0</v>
      </c>
      <c r="AV240" s="748"/>
      <c r="BD240" s="1279" t="str">
        <f t="shared" si="67"/>
        <v/>
      </c>
      <c r="BE240" s="1280" t="str">
        <f t="shared" si="67"/>
        <v/>
      </c>
      <c r="BF240" s="1280" t="str">
        <f t="shared" si="67"/>
        <v/>
      </c>
      <c r="BG240" s="1280" t="str">
        <f t="shared" si="67"/>
        <v/>
      </c>
      <c r="BH240" s="1281" t="str">
        <f t="shared" si="67"/>
        <v/>
      </c>
      <c r="BI240" s="1282" t="str">
        <f t="shared" si="67"/>
        <v/>
      </c>
      <c r="BJ240" s="1282" t="str">
        <f t="shared" si="68"/>
        <v/>
      </c>
      <c r="BK240" s="602"/>
      <c r="BL240" s="602"/>
      <c r="BM240" s="602"/>
      <c r="BN240" s="602"/>
      <c r="BO240" s="602"/>
    </row>
    <row r="241" spans="2:67" outlineLevel="1" x14ac:dyDescent="0.2">
      <c r="B241" s="200"/>
      <c r="C241" s="201"/>
      <c r="D241" s="263"/>
      <c r="E241" s="266"/>
      <c r="F241" s="201"/>
      <c r="G241" s="201"/>
      <c r="H241" s="201"/>
      <c r="I241" s="201"/>
      <c r="J241" s="222"/>
      <c r="O241" s="339"/>
      <c r="Y241" s="220"/>
      <c r="Z241" s="201"/>
      <c r="AA241" s="222"/>
      <c r="AF241" s="200"/>
      <c r="AG241" s="504"/>
      <c r="AH241" s="201"/>
      <c r="AI241" s="222"/>
      <c r="AP241" s="40"/>
      <c r="AQ241" s="717"/>
      <c r="AR241" s="718"/>
      <c r="AS241" s="718"/>
      <c r="AT241" s="718"/>
      <c r="AU241" s="720"/>
      <c r="AV241" s="749"/>
      <c r="BD241" s="1279" t="str">
        <f t="shared" si="67"/>
        <v/>
      </c>
      <c r="BE241" s="1280" t="str">
        <f t="shared" si="67"/>
        <v/>
      </c>
      <c r="BF241" s="1280" t="str">
        <f t="shared" si="67"/>
        <v/>
      </c>
      <c r="BG241" s="1280" t="str">
        <f t="shared" si="67"/>
        <v/>
      </c>
      <c r="BH241" s="1281" t="str">
        <f t="shared" si="67"/>
        <v/>
      </c>
      <c r="BI241" s="1283" t="str">
        <f t="shared" si="67"/>
        <v/>
      </c>
      <c r="BJ241" s="1282" t="str">
        <f t="shared" si="68"/>
        <v/>
      </c>
      <c r="BK241" s="602"/>
      <c r="BL241" s="602"/>
      <c r="BM241" s="602"/>
      <c r="BN241" s="602"/>
      <c r="BO241" s="602"/>
    </row>
    <row r="242" spans="2:67" outlineLevel="1" x14ac:dyDescent="0.2">
      <c r="B242" s="253" t="s">
        <v>44</v>
      </c>
      <c r="C242" s="254"/>
      <c r="D242" s="264">
        <f>SUM(D236:D241)</f>
        <v>0</v>
      </c>
      <c r="E242" s="267">
        <f>SUM(E236:E241)</f>
        <v>0</v>
      </c>
      <c r="F242" s="256"/>
      <c r="G242" s="256"/>
      <c r="H242" s="256"/>
      <c r="I242" s="256"/>
      <c r="J242" s="257">
        <f>SUM(J236:J241)</f>
        <v>0</v>
      </c>
      <c r="O242" s="339"/>
      <c r="Y242" s="258"/>
      <c r="Z242" s="256"/>
      <c r="AA242" s="545">
        <f>SQRT(SUMSQ(AA236:AA241))</f>
        <v>0</v>
      </c>
      <c r="AF242" s="258"/>
      <c r="AG242" s="259">
        <f>SUM(AG236:AG241)</f>
        <v>0</v>
      </c>
      <c r="AH242" s="256"/>
      <c r="AI242" s="257">
        <f>SUM(AI236:AI241)</f>
        <v>0</v>
      </c>
      <c r="AP242" s="40"/>
      <c r="AQ242" s="724">
        <f t="shared" ref="AQ242:AV242" si="69">SUM(AQ236:AQ241)</f>
        <v>0</v>
      </c>
      <c r="AR242" s="725">
        <f t="shared" si="69"/>
        <v>0</v>
      </c>
      <c r="AS242" s="725">
        <f t="shared" si="69"/>
        <v>0</v>
      </c>
      <c r="AT242" s="725">
        <f t="shared" si="69"/>
        <v>0</v>
      </c>
      <c r="AU242" s="727">
        <f t="shared" si="69"/>
        <v>0</v>
      </c>
      <c r="AV242" s="750">
        <f t="shared" si="69"/>
        <v>0</v>
      </c>
      <c r="BD242" s="1284">
        <f t="shared" ref="BD242:BJ242" si="70">SUM(BD236:BD241)</f>
        <v>0</v>
      </c>
      <c r="BE242" s="1285">
        <f t="shared" si="70"/>
        <v>0</v>
      </c>
      <c r="BF242" s="1285">
        <f t="shared" si="70"/>
        <v>0</v>
      </c>
      <c r="BG242" s="1285">
        <f t="shared" si="70"/>
        <v>0</v>
      </c>
      <c r="BH242" s="1286">
        <f t="shared" si="70"/>
        <v>0</v>
      </c>
      <c r="BI242" s="1287">
        <f t="shared" si="70"/>
        <v>0</v>
      </c>
      <c r="BJ242" s="1287">
        <f t="shared" si="70"/>
        <v>0</v>
      </c>
      <c r="BK242" s="602"/>
      <c r="BL242" s="602"/>
      <c r="BM242" s="602"/>
      <c r="BN242" s="602"/>
      <c r="BO242" s="602"/>
    </row>
    <row r="243" spans="2:67" outlineLevel="1" x14ac:dyDescent="0.2">
      <c r="B243" s="42"/>
      <c r="C243" s="42"/>
      <c r="D243" s="42"/>
      <c r="E243" s="42"/>
      <c r="F243" s="42"/>
      <c r="G243" s="42"/>
      <c r="H243" s="324"/>
      <c r="Z243" s="339"/>
      <c r="AP243" s="40"/>
      <c r="BD243" s="602"/>
      <c r="BE243" s="602"/>
      <c r="BF243" s="602"/>
      <c r="BG243" s="602"/>
      <c r="BH243" s="602"/>
      <c r="BI243" s="602"/>
      <c r="BJ243" s="602"/>
      <c r="BK243" s="602"/>
      <c r="BL243" s="602"/>
      <c r="BM243" s="602"/>
      <c r="BN243" s="602"/>
      <c r="BO243" s="602"/>
    </row>
    <row r="244" spans="2:67" outlineLevel="1" x14ac:dyDescent="0.2">
      <c r="B244" s="195" t="s">
        <v>3086</v>
      </c>
      <c r="C244" s="196"/>
      <c r="D244" s="500"/>
      <c r="E244" s="500"/>
      <c r="F244" s="198"/>
      <c r="G244" s="198"/>
      <c r="H244" s="198"/>
      <c r="I244" s="198"/>
      <c r="J244" s="199"/>
      <c r="O244" s="339"/>
      <c r="Y244" s="1746" t="s">
        <v>723</v>
      </c>
      <c r="Z244" s="1747"/>
      <c r="AA244" s="1748"/>
      <c r="AF244" s="1746" t="s">
        <v>2066</v>
      </c>
      <c r="AG244" s="1747"/>
      <c r="AH244" s="1747"/>
      <c r="AI244" s="1748"/>
      <c r="AP244" s="40"/>
      <c r="AQ244" s="1755" t="s">
        <v>2073</v>
      </c>
      <c r="AR244" s="1756"/>
      <c r="AS244" s="1756"/>
      <c r="AT244" s="1756"/>
      <c r="AU244" s="1756"/>
      <c r="AV244" s="1757"/>
      <c r="BD244" s="1843" t="s">
        <v>2719</v>
      </c>
      <c r="BE244" s="1844"/>
      <c r="BF244" s="1844"/>
      <c r="BG244" s="1844"/>
      <c r="BH244" s="1844"/>
      <c r="BI244" s="1844"/>
      <c r="BJ244" s="1845"/>
      <c r="BK244" s="602"/>
      <c r="BL244" s="602"/>
      <c r="BM244" s="602"/>
      <c r="BN244" s="602"/>
      <c r="BO244" s="602"/>
    </row>
    <row r="245" spans="2:67" outlineLevel="1" x14ac:dyDescent="0.2">
      <c r="B245" s="417"/>
      <c r="C245" s="225"/>
      <c r="D245" s="503"/>
      <c r="E245" s="503"/>
      <c r="F245" s="201"/>
      <c r="G245" s="201"/>
      <c r="H245" s="201"/>
      <c r="I245" s="214"/>
      <c r="J245" s="203"/>
      <c r="O245" s="339"/>
      <c r="Y245" s="507"/>
      <c r="Z245" s="504"/>
      <c r="AA245" s="203"/>
      <c r="AF245" s="507"/>
      <c r="AG245" s="504"/>
      <c r="AH245" s="504"/>
      <c r="AI245" s="203"/>
      <c r="AP245" s="40"/>
      <c r="AQ245" s="778"/>
      <c r="AR245" s="779"/>
      <c r="AS245" s="779"/>
      <c r="AT245" s="779"/>
      <c r="AU245" s="741"/>
      <c r="AV245" s="780"/>
      <c r="BD245" s="1270"/>
      <c r="BE245" s="1271"/>
      <c r="BF245" s="1271"/>
      <c r="BG245" s="1271"/>
      <c r="BH245" s="1272"/>
      <c r="BI245" s="1273"/>
      <c r="BJ245" s="1273"/>
      <c r="BK245" s="602"/>
      <c r="BL245" s="602"/>
      <c r="BM245" s="602"/>
      <c r="BN245" s="602"/>
      <c r="BO245" s="602"/>
    </row>
    <row r="246" spans="2:67" outlineLevel="1" x14ac:dyDescent="0.2">
      <c r="B246" s="200"/>
      <c r="C246" s="201"/>
      <c r="D246" s="504" t="s">
        <v>56</v>
      </c>
      <c r="E246" s="504" t="s">
        <v>56</v>
      </c>
      <c r="F246" s="205" t="s">
        <v>2712</v>
      </c>
      <c r="G246" s="205" t="s">
        <v>79</v>
      </c>
      <c r="H246" s="504" t="s">
        <v>61</v>
      </c>
      <c r="I246" s="205" t="s">
        <v>2715</v>
      </c>
      <c r="J246" s="509" t="s">
        <v>61</v>
      </c>
      <c r="O246" s="339"/>
      <c r="Y246" s="1639" t="s">
        <v>2557</v>
      </c>
      <c r="Z246" s="504" t="s">
        <v>2110</v>
      </c>
      <c r="AA246" s="509" t="s">
        <v>61</v>
      </c>
      <c r="AF246" s="507" t="s">
        <v>2065</v>
      </c>
      <c r="AG246" s="503" t="s">
        <v>61</v>
      </c>
      <c r="AH246" s="504" t="s">
        <v>2558</v>
      </c>
      <c r="AI246" s="509" t="s">
        <v>61</v>
      </c>
      <c r="AP246" s="40"/>
      <c r="AQ246" s="1739" t="s">
        <v>61</v>
      </c>
      <c r="AR246" s="1740"/>
      <c r="AS246" s="1740"/>
      <c r="AT246" s="1740"/>
      <c r="AU246" s="741" t="s">
        <v>61</v>
      </c>
      <c r="AV246" s="742"/>
      <c r="BD246" s="1846" t="s">
        <v>61</v>
      </c>
      <c r="BE246" s="1847"/>
      <c r="BF246" s="1847"/>
      <c r="BG246" s="1847"/>
      <c r="BH246" s="1272" t="s">
        <v>61</v>
      </c>
      <c r="BI246" s="1274"/>
      <c r="BJ246" s="1278" t="s">
        <v>723</v>
      </c>
      <c r="BK246" s="602"/>
      <c r="BL246" s="602"/>
      <c r="BM246" s="602"/>
      <c r="BN246" s="602"/>
      <c r="BO246" s="602"/>
    </row>
    <row r="247" spans="2:67" outlineLevel="1" x14ac:dyDescent="0.2">
      <c r="B247" s="507"/>
      <c r="C247" s="504"/>
      <c r="D247" s="504" t="s">
        <v>61</v>
      </c>
      <c r="E247" s="504" t="s">
        <v>63</v>
      </c>
      <c r="F247" s="208" t="s">
        <v>2713</v>
      </c>
      <c r="G247" s="212" t="s">
        <v>2735</v>
      </c>
      <c r="H247" s="504" t="s">
        <v>2536</v>
      </c>
      <c r="I247" s="208" t="s">
        <v>2716</v>
      </c>
      <c r="J247" s="509"/>
      <c r="O247" s="339"/>
      <c r="Y247" s="1639" t="s">
        <v>2109</v>
      </c>
      <c r="Z247" s="504"/>
      <c r="AA247" s="509"/>
      <c r="AF247" s="507"/>
      <c r="AG247" s="503"/>
      <c r="AH247" s="504"/>
      <c r="AI247" s="509"/>
      <c r="AP247" s="40"/>
      <c r="AQ247" s="744" t="s">
        <v>14</v>
      </c>
      <c r="AR247" s="745" t="s">
        <v>60</v>
      </c>
      <c r="AS247" s="745" t="s">
        <v>27</v>
      </c>
      <c r="AT247" s="745" t="s">
        <v>2074</v>
      </c>
      <c r="AU247" s="746" t="s">
        <v>41</v>
      </c>
      <c r="AV247" s="747" t="s">
        <v>85</v>
      </c>
      <c r="BD247" s="1275" t="s">
        <v>14</v>
      </c>
      <c r="BE247" s="1276" t="s">
        <v>60</v>
      </c>
      <c r="BF247" s="1276" t="s">
        <v>27</v>
      </c>
      <c r="BG247" s="1276" t="s">
        <v>2074</v>
      </c>
      <c r="BH247" s="1277" t="s">
        <v>41</v>
      </c>
      <c r="BI247" s="1278" t="s">
        <v>85</v>
      </c>
      <c r="BJ247" s="1278" t="s">
        <v>61</v>
      </c>
      <c r="BK247" s="602"/>
      <c r="BL247" s="602"/>
      <c r="BM247" s="602"/>
      <c r="BN247" s="602"/>
      <c r="BO247" s="602"/>
    </row>
    <row r="248" spans="2:67" outlineLevel="1" x14ac:dyDescent="0.2">
      <c r="B248" s="200" t="s">
        <v>2497</v>
      </c>
      <c r="C248" s="201"/>
      <c r="D248" s="262">
        <f>J248</f>
        <v>0</v>
      </c>
      <c r="E248" s="265">
        <f>D248*12/44</f>
        <v>0</v>
      </c>
      <c r="F248" s="1269" t="s">
        <v>2438</v>
      </c>
      <c r="G248" s="325"/>
      <c r="H248" s="273">
        <f>'Emissions factors'!$C$2400</f>
        <v>917</v>
      </c>
      <c r="I248" s="325">
        <v>1</v>
      </c>
      <c r="J248" s="211">
        <f>IF(I248=0,0,G248*H248/I248)</f>
        <v>0</v>
      </c>
      <c r="O248" s="339"/>
      <c r="Y248" s="282">
        <f>'Emissions factors'!D2400</f>
        <v>0.5</v>
      </c>
      <c r="Z248" s="326"/>
      <c r="AA248" s="211">
        <f>J248*SQRT(Y248^2+Z248^2)</f>
        <v>0</v>
      </c>
      <c r="AF248" s="327"/>
      <c r="AG248" s="210">
        <f>AF248*J248</f>
        <v>0</v>
      </c>
      <c r="AH248" s="327"/>
      <c r="AI248" s="211">
        <f>AH248*J248</f>
        <v>0</v>
      </c>
      <c r="AP248" s="40"/>
      <c r="AQ248" s="717"/>
      <c r="AR248" s="718"/>
      <c r="AS248" s="718"/>
      <c r="AT248" s="718"/>
      <c r="AU248" s="720">
        <f>J248</f>
        <v>0</v>
      </c>
      <c r="AV248" s="748"/>
      <c r="BD248" s="1279" t="str">
        <f t="shared" ref="BD248:BI249" si="71">IF($F248="Yes",IF(AQ248="","",AQ248*$I248),"")</f>
        <v/>
      </c>
      <c r="BE248" s="1280" t="str">
        <f t="shared" si="71"/>
        <v/>
      </c>
      <c r="BF248" s="1280" t="str">
        <f t="shared" si="71"/>
        <v/>
      </c>
      <c r="BG248" s="1280" t="str">
        <f t="shared" si="71"/>
        <v/>
      </c>
      <c r="BH248" s="1281" t="str">
        <f t="shared" si="71"/>
        <v/>
      </c>
      <c r="BI248" s="1282" t="str">
        <f t="shared" si="71"/>
        <v/>
      </c>
      <c r="BJ248" s="1282" t="str">
        <f>IF($F248="Yes",IF(AA248="","",AA248*$I248),"")</f>
        <v/>
      </c>
      <c r="BK248" s="602"/>
      <c r="BL248" s="602"/>
      <c r="BM248" s="602"/>
      <c r="BN248" s="602"/>
      <c r="BO248" s="602"/>
    </row>
    <row r="249" spans="2:67" outlineLevel="1" x14ac:dyDescent="0.2">
      <c r="B249" s="200"/>
      <c r="C249" s="201"/>
      <c r="D249" s="262"/>
      <c r="E249" s="265"/>
      <c r="F249" s="201"/>
      <c r="G249" s="201"/>
      <c r="H249" s="201"/>
      <c r="I249" s="201"/>
      <c r="J249" s="222"/>
      <c r="O249" s="339"/>
      <c r="Y249" s="220"/>
      <c r="Z249" s="201"/>
      <c r="AA249" s="222"/>
      <c r="AF249" s="200"/>
      <c r="AG249" s="504"/>
      <c r="AH249" s="201"/>
      <c r="AI249" s="222"/>
      <c r="AP249" s="40"/>
      <c r="AQ249" s="717"/>
      <c r="AR249" s="718"/>
      <c r="AS249" s="718"/>
      <c r="AT249" s="718"/>
      <c r="AU249" s="720"/>
      <c r="AV249" s="749"/>
      <c r="BD249" s="1279" t="str">
        <f t="shared" si="71"/>
        <v/>
      </c>
      <c r="BE249" s="1280" t="str">
        <f t="shared" si="71"/>
        <v/>
      </c>
      <c r="BF249" s="1280" t="str">
        <f t="shared" si="71"/>
        <v/>
      </c>
      <c r="BG249" s="1280" t="str">
        <f t="shared" si="71"/>
        <v/>
      </c>
      <c r="BH249" s="1281" t="str">
        <f t="shared" si="71"/>
        <v/>
      </c>
      <c r="BI249" s="1283" t="str">
        <f t="shared" si="71"/>
        <v/>
      </c>
      <c r="BJ249" s="1282" t="str">
        <f>IF($F249="Yes",IF(AA249="","",AA249*$I249),"")</f>
        <v/>
      </c>
      <c r="BK249" s="602"/>
      <c r="BL249" s="602"/>
      <c r="BM249" s="602"/>
      <c r="BN249" s="602"/>
      <c r="BO249" s="602"/>
    </row>
    <row r="250" spans="2:67" outlineLevel="1" x14ac:dyDescent="0.2">
      <c r="B250" s="253" t="s">
        <v>44</v>
      </c>
      <c r="C250" s="254"/>
      <c r="D250" s="264">
        <f>SUM(D248:D249)</f>
        <v>0</v>
      </c>
      <c r="E250" s="267">
        <f>SUM(E248:E249)</f>
        <v>0</v>
      </c>
      <c r="F250" s="256"/>
      <c r="G250" s="256"/>
      <c r="H250" s="256"/>
      <c r="I250" s="256"/>
      <c r="J250" s="257">
        <f>SUM(J248:J249)</f>
        <v>0</v>
      </c>
      <c r="O250" s="339"/>
      <c r="Y250" s="258"/>
      <c r="Z250" s="256"/>
      <c r="AA250" s="257">
        <f>SQRT(SUMSQ(AA248:AA249))</f>
        <v>0</v>
      </c>
      <c r="AF250" s="258"/>
      <c r="AG250" s="259">
        <f>SUM(AG248:AG249)</f>
        <v>0</v>
      </c>
      <c r="AH250" s="256"/>
      <c r="AI250" s="257">
        <f>SUM(AI248:AI249)</f>
        <v>0</v>
      </c>
      <c r="AP250" s="40"/>
      <c r="AQ250" s="724">
        <f t="shared" ref="AQ250:AV250" si="72">SUM(AQ248:AQ249)</f>
        <v>0</v>
      </c>
      <c r="AR250" s="725">
        <f t="shared" si="72"/>
        <v>0</v>
      </c>
      <c r="AS250" s="725">
        <f t="shared" si="72"/>
        <v>0</v>
      </c>
      <c r="AT250" s="725">
        <f t="shared" si="72"/>
        <v>0</v>
      </c>
      <c r="AU250" s="727">
        <f t="shared" si="72"/>
        <v>0</v>
      </c>
      <c r="AV250" s="750">
        <f t="shared" si="72"/>
        <v>0</v>
      </c>
      <c r="BD250" s="1284">
        <f t="shared" ref="BD250:BJ250" si="73">SUM(BD248:BD249)</f>
        <v>0</v>
      </c>
      <c r="BE250" s="1285">
        <f t="shared" si="73"/>
        <v>0</v>
      </c>
      <c r="BF250" s="1285">
        <f t="shared" si="73"/>
        <v>0</v>
      </c>
      <c r="BG250" s="1285">
        <f t="shared" si="73"/>
        <v>0</v>
      </c>
      <c r="BH250" s="1286">
        <f t="shared" si="73"/>
        <v>0</v>
      </c>
      <c r="BI250" s="1287">
        <f t="shared" si="73"/>
        <v>0</v>
      </c>
      <c r="BJ250" s="1287">
        <f t="shared" si="73"/>
        <v>0</v>
      </c>
      <c r="BK250" s="602"/>
      <c r="BL250" s="602"/>
      <c r="BM250" s="602"/>
      <c r="BN250" s="602"/>
      <c r="BO250" s="602"/>
    </row>
    <row r="251" spans="2:67" outlineLevel="1" x14ac:dyDescent="0.2">
      <c r="B251" s="42"/>
      <c r="C251" s="42"/>
      <c r="D251" s="42"/>
      <c r="E251" s="42"/>
      <c r="F251" s="324"/>
      <c r="K251" s="339"/>
    </row>
    <row r="252" spans="2:67" x14ac:dyDescent="0.2">
      <c r="H252" s="49"/>
      <c r="K252" s="328"/>
      <c r="L252" s="331"/>
      <c r="M252" s="331"/>
    </row>
    <row r="253" spans="2:67" x14ac:dyDescent="0.2">
      <c r="H253" s="49"/>
      <c r="K253" s="328"/>
      <c r="L253" s="331"/>
      <c r="M253" s="331"/>
    </row>
    <row r="254" spans="2:67" x14ac:dyDescent="0.2">
      <c r="H254" s="49"/>
      <c r="K254" s="328"/>
      <c r="L254" s="331"/>
      <c r="M254" s="331"/>
    </row>
    <row r="255" spans="2:67" ht="20" customHeight="1" x14ac:dyDescent="0.2">
      <c r="B255" s="1780" t="str">
        <f>+Energia!B137</f>
        <v>Panoramica delle sorgenti di emissione di CO2e</v>
      </c>
      <c r="C255" s="1780"/>
      <c r="D255" s="1780"/>
      <c r="E255" s="1780"/>
      <c r="F255" s="1780"/>
      <c r="G255" s="1780"/>
      <c r="H255" s="1780"/>
      <c r="I255" s="1780"/>
      <c r="J255" s="1780"/>
      <c r="K255" s="1780"/>
      <c r="L255" s="1780"/>
      <c r="M255" s="1780"/>
      <c r="N255" s="1780"/>
      <c r="O255" s="1780"/>
    </row>
    <row r="256" spans="2:67" x14ac:dyDescent="0.2">
      <c r="H256" s="314"/>
    </row>
    <row r="257" spans="2:57" x14ac:dyDescent="0.2">
      <c r="B257" s="1781" t="str">
        <f>Description!C23</f>
        <v>Beni di durevoli</v>
      </c>
      <c r="C257" s="1782"/>
      <c r="D257" s="1794" t="s">
        <v>56</v>
      </c>
      <c r="E257" s="1794"/>
      <c r="F257" s="1794"/>
      <c r="G257" s="52"/>
      <c r="H257" s="1794" t="s">
        <v>723</v>
      </c>
      <c r="I257" s="1794"/>
      <c r="J257" s="228"/>
      <c r="K257" s="1792" t="s">
        <v>2489</v>
      </c>
      <c r="L257" s="1793"/>
      <c r="M257" s="228"/>
      <c r="N257" s="194" t="s">
        <v>2491</v>
      </c>
      <c r="O257" s="194" t="s">
        <v>2492</v>
      </c>
      <c r="P257" s="229"/>
      <c r="Q257" s="1812" t="s">
        <v>2493</v>
      </c>
      <c r="R257" s="1812"/>
      <c r="S257" s="1812"/>
      <c r="T257" s="1812"/>
    </row>
    <row r="258" spans="2:57" ht="16" x14ac:dyDescent="0.2">
      <c r="B258" s="1783"/>
      <c r="C258" s="1784"/>
      <c r="D258" s="346" t="s">
        <v>61</v>
      </c>
      <c r="E258" s="345" t="s">
        <v>66</v>
      </c>
      <c r="F258" s="346" t="s">
        <v>73</v>
      </c>
      <c r="G258" s="52"/>
      <c r="H258" s="346" t="s">
        <v>61</v>
      </c>
      <c r="I258" s="346" t="s">
        <v>47</v>
      </c>
      <c r="J258" s="228"/>
      <c r="K258" s="346" t="s">
        <v>2065</v>
      </c>
      <c r="L258" s="346" t="s">
        <v>2558</v>
      </c>
      <c r="M258" s="228"/>
      <c r="N258" s="230" t="s">
        <v>66</v>
      </c>
      <c r="O258" s="230" t="s">
        <v>66</v>
      </c>
      <c r="P258" s="229"/>
      <c r="Q258" s="347" t="s">
        <v>2494</v>
      </c>
      <c r="R258" s="347" t="s">
        <v>72</v>
      </c>
      <c r="S258" s="347" t="s">
        <v>72</v>
      </c>
      <c r="T258" s="347" t="s">
        <v>2495</v>
      </c>
      <c r="AP258" s="751"/>
      <c r="AQ258" s="751"/>
      <c r="AR258" s="751"/>
      <c r="AS258" s="751"/>
      <c r="AT258" s="751"/>
      <c r="BB258" s="751"/>
      <c r="BC258" s="751"/>
      <c r="BD258" s="191"/>
      <c r="BE258" s="191"/>
    </row>
    <row r="259" spans="2:57" s="4" customFormat="1" x14ac:dyDescent="0.15">
      <c r="B259" s="1788" t="str">
        <f>+B9</f>
        <v>Edifici</v>
      </c>
      <c r="C259" s="1789"/>
      <c r="D259" s="241">
        <f>D20+D30+D40+D50+D60+D70+D80</f>
        <v>9680.0000000000018</v>
      </c>
      <c r="E259" s="242">
        <f>D259/1000</f>
        <v>9.6800000000000015</v>
      </c>
      <c r="F259" s="243">
        <f>IF($D$263=0,"",D259/$D$263)</f>
        <v>1</v>
      </c>
      <c r="G259" s="51"/>
      <c r="H259" s="193">
        <f>SQRT(AA20^2+AC30^2+AA40^2+AA50^2+AA60^2+AA70^2+AA80^2)</f>
        <v>1936.0000000000005</v>
      </c>
      <c r="I259" s="243">
        <f>IF(D259=0,"",H259/D259)</f>
        <v>0.2</v>
      </c>
      <c r="J259" s="229"/>
      <c r="K259" s="193">
        <f>AG20+AI30+AG40+AG50+AG60+AG70+AG80</f>
        <v>0</v>
      </c>
      <c r="L259" s="193">
        <f>AI20+AN30+AI40+AI50+AI60+AI70+AI80</f>
        <v>0</v>
      </c>
      <c r="M259" s="229"/>
      <c r="N259" s="193">
        <f>L259/1000</f>
        <v>0</v>
      </c>
      <c r="O259" s="233">
        <f>E259-N259</f>
        <v>9.6800000000000015</v>
      </c>
      <c r="P259" s="229"/>
      <c r="Q259" s="245">
        <f>(D259-H259)/1000</f>
        <v>7.7440000000000015</v>
      </c>
      <c r="R259" s="245">
        <f>E259</f>
        <v>9.6800000000000015</v>
      </c>
      <c r="S259" s="245">
        <f>E259</f>
        <v>9.6800000000000015</v>
      </c>
      <c r="T259" s="245">
        <f>(D259+H259)/1000</f>
        <v>11.616000000000001</v>
      </c>
      <c r="AP259" s="754"/>
      <c r="AQ259" s="754"/>
      <c r="AR259" s="754"/>
      <c r="AS259" s="754"/>
      <c r="AT259" s="754"/>
      <c r="AU259" s="754"/>
      <c r="AV259" s="754"/>
      <c r="AW259" s="754"/>
      <c r="AX259" s="754"/>
      <c r="AY259" s="754"/>
      <c r="AZ259" s="754"/>
      <c r="BA259" s="754"/>
      <c r="BB259" s="754"/>
      <c r="BC259" s="754"/>
    </row>
    <row r="260" spans="2:57" s="4" customFormat="1" x14ac:dyDescent="0.15">
      <c r="B260" s="1788" t="s">
        <v>3100</v>
      </c>
      <c r="C260" s="1789"/>
      <c r="D260" s="241">
        <f>D100+D110+D120+D130+D140+D150+D160</f>
        <v>0</v>
      </c>
      <c r="E260" s="242">
        <f>D260/1000</f>
        <v>0</v>
      </c>
      <c r="F260" s="243">
        <f>IF($D$263=0,"",D260/$D$263)</f>
        <v>0</v>
      </c>
      <c r="G260" s="51"/>
      <c r="H260" s="193">
        <f>SQRT(AC100^2+AA110^2+AA120^2+AA130^2+AA140^2+AA150^2+AA160^2)</f>
        <v>0</v>
      </c>
      <c r="I260" s="243" t="str">
        <f>IF(D260=0,"",H260/D260)</f>
        <v/>
      </c>
      <c r="J260" s="229"/>
      <c r="K260" s="193">
        <f>AI100+AG110+AG120+AG130+AG140+AG150+AG160</f>
        <v>0</v>
      </c>
      <c r="L260" s="193">
        <f>AN100+AI110+AI120+AI130+AI140+AI150+AI160</f>
        <v>0</v>
      </c>
      <c r="M260" s="229"/>
      <c r="N260" s="193">
        <f>L260/1000</f>
        <v>0</v>
      </c>
      <c r="O260" s="233">
        <f>E260-N260</f>
        <v>0</v>
      </c>
      <c r="P260" s="229"/>
      <c r="Q260" s="245">
        <f>(D260-H260)/1000</f>
        <v>0</v>
      </c>
      <c r="R260" s="245">
        <f>E260</f>
        <v>0</v>
      </c>
      <c r="S260" s="245">
        <f>E260</f>
        <v>0</v>
      </c>
      <c r="T260" s="245">
        <f>(D260+H260)/1000</f>
        <v>0</v>
      </c>
      <c r="AP260" s="754"/>
      <c r="AQ260" s="754"/>
      <c r="AR260" s="754"/>
      <c r="AS260" s="754"/>
      <c r="AT260" s="754"/>
      <c r="AU260" s="754"/>
      <c r="AV260" s="754"/>
      <c r="AW260" s="754"/>
      <c r="AX260" s="754"/>
      <c r="AY260" s="754"/>
      <c r="AZ260" s="754"/>
      <c r="BA260" s="754"/>
      <c r="BB260" s="754"/>
      <c r="BC260" s="754"/>
    </row>
    <row r="261" spans="2:57" s="4" customFormat="1" x14ac:dyDescent="0.15">
      <c r="B261" s="1788" t="str">
        <f>+B170</f>
        <v>Veicoli, macchinari e strumentazioni</v>
      </c>
      <c r="C261" s="1789"/>
      <c r="D261" s="241">
        <f>D180+D190+D200+D210+D220</f>
        <v>0</v>
      </c>
      <c r="E261" s="242">
        <f>D261/1000</f>
        <v>0</v>
      </c>
      <c r="F261" s="243">
        <f>IF($D$263=0,"",D261/$D$263)</f>
        <v>0</v>
      </c>
      <c r="G261" s="51"/>
      <c r="H261" s="193">
        <f>SQRT(AA180^2+AA190^2+AA200^2+AA210^2+AA220^2)</f>
        <v>0</v>
      </c>
      <c r="I261" s="243" t="str">
        <f>IF(D261=0,"",H261/D261)</f>
        <v/>
      </c>
      <c r="J261" s="229"/>
      <c r="K261" s="193">
        <f>AG180+AG190+AG200+AG210+AG220</f>
        <v>0</v>
      </c>
      <c r="L261" s="193">
        <f>AI180+AI190+AI200+AI210+AI220</f>
        <v>0</v>
      </c>
      <c r="M261" s="229"/>
      <c r="N261" s="193">
        <f>L261/1000</f>
        <v>0</v>
      </c>
      <c r="O261" s="233">
        <f>E261-N261</f>
        <v>0</v>
      </c>
      <c r="P261" s="229"/>
      <c r="Q261" s="245">
        <f>(D261-H261)/1000</f>
        <v>0</v>
      </c>
      <c r="R261" s="245">
        <f>E261</f>
        <v>0</v>
      </c>
      <c r="S261" s="245">
        <f>E261</f>
        <v>0</v>
      </c>
      <c r="T261" s="245">
        <f>(D261+H261)/1000</f>
        <v>0</v>
      </c>
      <c r="AP261" s="754"/>
      <c r="AQ261" s="754"/>
      <c r="AR261" s="754"/>
      <c r="AS261" s="754"/>
      <c r="AT261" s="754"/>
      <c r="AU261" s="754"/>
      <c r="AV261" s="754"/>
      <c r="AW261" s="754"/>
      <c r="AX261" s="754"/>
      <c r="AY261" s="754"/>
      <c r="AZ261" s="754"/>
      <c r="BA261" s="754"/>
      <c r="BB261" s="754"/>
      <c r="BC261" s="754"/>
    </row>
    <row r="262" spans="2:57" s="4" customFormat="1" x14ac:dyDescent="0.15">
      <c r="B262" s="1788" t="s">
        <v>2711</v>
      </c>
      <c r="C262" s="1789"/>
      <c r="D262" s="241">
        <f>D242+D250</f>
        <v>0</v>
      </c>
      <c r="E262" s="242">
        <f>D262/1000</f>
        <v>0</v>
      </c>
      <c r="F262" s="243">
        <f>IF($D$263=0,"",D262/$D$263)</f>
        <v>0</v>
      </c>
      <c r="G262" s="51"/>
      <c r="H262" s="193">
        <f>SQRT(AA250^2+AA242^2)</f>
        <v>0</v>
      </c>
      <c r="I262" s="243" t="str">
        <f>IF(D262=0,"",H262/D262)</f>
        <v/>
      </c>
      <c r="J262" s="229"/>
      <c r="K262" s="193">
        <f>AG242+AG250</f>
        <v>0</v>
      </c>
      <c r="L262" s="193">
        <f>AI242+AI250</f>
        <v>0</v>
      </c>
      <c r="M262" s="229"/>
      <c r="N262" s="193">
        <f>L262/1000</f>
        <v>0</v>
      </c>
      <c r="O262" s="233">
        <f>E262-N262</f>
        <v>0</v>
      </c>
      <c r="P262" s="229"/>
      <c r="Q262" s="245">
        <f>(D262-H262)/1000</f>
        <v>0</v>
      </c>
      <c r="R262" s="245">
        <f>E262</f>
        <v>0</v>
      </c>
      <c r="S262" s="245">
        <f>E262</f>
        <v>0</v>
      </c>
      <c r="T262" s="245">
        <f>(D262+H262)/1000</f>
        <v>0</v>
      </c>
      <c r="AP262" s="754"/>
      <c r="AQ262" s="754"/>
      <c r="AR262" s="754"/>
      <c r="AS262" s="754"/>
      <c r="AT262" s="754"/>
      <c r="AU262" s="754"/>
      <c r="AV262" s="754"/>
      <c r="AW262" s="754"/>
      <c r="AX262" s="754"/>
      <c r="AY262" s="754"/>
      <c r="AZ262" s="754"/>
      <c r="BA262" s="754"/>
      <c r="BB262" s="754"/>
      <c r="BC262" s="754"/>
    </row>
    <row r="263" spans="2:57" s="14" customFormat="1" ht="16" x14ac:dyDescent="0.2">
      <c r="B263" s="1790" t="s">
        <v>44</v>
      </c>
      <c r="C263" s="1791"/>
      <c r="D263" s="246">
        <f>SUM(D259:D262)</f>
        <v>9680.0000000000018</v>
      </c>
      <c r="E263" s="247">
        <f>SUM(E259:E262)</f>
        <v>9.6800000000000015</v>
      </c>
      <c r="F263" s="248">
        <f>IF($D$263=0,"",D263/$D$263)</f>
        <v>1</v>
      </c>
      <c r="G263" s="249"/>
      <c r="H263" s="246">
        <f>SQRT(SUMSQ(H259:H262))</f>
        <v>1936.0000000000005</v>
      </c>
      <c r="I263" s="248">
        <f>IF(D263=0,"",H263/D263)</f>
        <v>0.2</v>
      </c>
      <c r="J263" s="229"/>
      <c r="K263" s="246">
        <f>SUM(K259:K262)</f>
        <v>0</v>
      </c>
      <c r="L263" s="246">
        <f>SUM(L259:L262)</f>
        <v>0</v>
      </c>
      <c r="M263" s="250"/>
      <c r="N263" s="246">
        <f>SUM(N259:N262)</f>
        <v>0</v>
      </c>
      <c r="O263" s="251">
        <f>SUM(O259:O262)</f>
        <v>9.6800000000000015</v>
      </c>
      <c r="P263" s="252"/>
      <c r="Q263" s="245">
        <f>(D263-H263)/1000</f>
        <v>7.7440000000000015</v>
      </c>
      <c r="R263" s="245">
        <f>E263</f>
        <v>9.6800000000000015</v>
      </c>
      <c r="S263" s="245">
        <f>E263</f>
        <v>9.6800000000000015</v>
      </c>
      <c r="T263" s="245">
        <f>(D263+H263)/1000</f>
        <v>11.616000000000001</v>
      </c>
      <c r="AP263" s="776"/>
      <c r="AQ263" s="776"/>
      <c r="AR263" s="776"/>
      <c r="AS263" s="776"/>
      <c r="AT263" s="776"/>
      <c r="AU263" s="776"/>
      <c r="AV263" s="776"/>
      <c r="AW263" s="776"/>
      <c r="AX263" s="776"/>
      <c r="AY263" s="776"/>
      <c r="AZ263" s="776"/>
      <c r="BA263" s="776"/>
      <c r="BB263" s="776"/>
      <c r="BC263" s="776"/>
    </row>
    <row r="264" spans="2:57" x14ac:dyDescent="0.2">
      <c r="B264" s="293"/>
      <c r="C264" s="293"/>
      <c r="D264" s="293"/>
      <c r="E264" s="293"/>
      <c r="F264" s="293"/>
      <c r="G264" s="293"/>
      <c r="H264" s="293"/>
      <c r="I264" s="293"/>
      <c r="J264" s="287" t="s">
        <v>2496</v>
      </c>
      <c r="K264" s="288">
        <f>IF($D263=0,"",K263/$D263)</f>
        <v>0</v>
      </c>
      <c r="L264" s="288">
        <f>IF($D263=0,"",L263/$D263)</f>
        <v>0</v>
      </c>
      <c r="M264" s="293"/>
      <c r="N264" s="293"/>
      <c r="O264" s="293"/>
    </row>
    <row r="265" spans="2:57" x14ac:dyDescent="0.2">
      <c r="B265" s="293"/>
      <c r="C265" s="293"/>
      <c r="D265" s="293"/>
      <c r="E265" s="293"/>
      <c r="F265" s="293"/>
      <c r="G265" s="293"/>
      <c r="H265" s="39"/>
      <c r="I265" s="39"/>
      <c r="J265" s="293"/>
      <c r="K265" s="293"/>
      <c r="L265" s="293"/>
      <c r="M265" s="293"/>
      <c r="N265" s="293"/>
      <c r="O265" s="293"/>
    </row>
    <row r="266" spans="2:57" ht="16" x14ac:dyDescent="0.2">
      <c r="B266" s="1816" t="s">
        <v>3107</v>
      </c>
      <c r="C266" s="1817"/>
      <c r="D266" s="595" t="s">
        <v>61</v>
      </c>
      <c r="E266" s="595" t="s">
        <v>66</v>
      </c>
      <c r="F266" s="293"/>
      <c r="H266" s="39"/>
      <c r="I266" s="39"/>
      <c r="J266" s="293"/>
      <c r="K266" s="293"/>
      <c r="L266" s="293"/>
      <c r="M266" s="293"/>
      <c r="N266" s="293"/>
      <c r="O266" s="293"/>
      <c r="AU266" s="751"/>
    </row>
    <row r="267" spans="2:57" x14ac:dyDescent="0.2">
      <c r="B267" s="1818" t="s">
        <v>2851</v>
      </c>
      <c r="C267" s="1819"/>
      <c r="D267" s="596">
        <f>G87+G167+H227</f>
        <v>0</v>
      </c>
      <c r="E267" s="597">
        <f>D267/1000</f>
        <v>0</v>
      </c>
      <c r="F267" s="293"/>
      <c r="G267" s="293"/>
      <c r="H267" s="39"/>
      <c r="I267" s="39"/>
      <c r="J267" s="293"/>
      <c r="K267" s="293"/>
      <c r="L267" s="293"/>
      <c r="M267" s="293"/>
      <c r="N267" s="293"/>
      <c r="O267" s="293"/>
    </row>
    <row r="268" spans="2:57" x14ac:dyDescent="0.2">
      <c r="B268" s="293"/>
      <c r="C268" s="293"/>
      <c r="D268" s="293"/>
      <c r="E268" s="293"/>
      <c r="F268" s="293"/>
      <c r="G268" s="293"/>
      <c r="H268" s="293"/>
      <c r="I268" s="293"/>
      <c r="J268" s="293"/>
      <c r="K268" s="293"/>
      <c r="L268" s="293"/>
      <c r="M268" s="293"/>
      <c r="N268" s="293"/>
    </row>
    <row r="270" spans="2:57" s="39" customFormat="1" ht="16" x14ac:dyDescent="0.2">
      <c r="B270" s="1774" t="str">
        <f>+Energia!B150</f>
        <v>Panoramica delle categorie definite nel  GHG Protocol</v>
      </c>
      <c r="C270" s="1775"/>
      <c r="D270" s="1775"/>
      <c r="E270" s="1775"/>
      <c r="F270" s="1775"/>
      <c r="G270" s="1775"/>
      <c r="H270" s="1775"/>
      <c r="I270" s="1775"/>
      <c r="J270" s="1775"/>
      <c r="K270" s="1775"/>
      <c r="L270" s="1775"/>
      <c r="M270" s="1775"/>
      <c r="N270" s="1775"/>
      <c r="O270" s="1776"/>
      <c r="W270" s="1162"/>
      <c r="AB270" s="1162"/>
      <c r="AF270" s="1162"/>
      <c r="AK270" s="729"/>
      <c r="AL270" s="729"/>
      <c r="AM270" s="729"/>
      <c r="AN270" s="729"/>
      <c r="AO270" s="729"/>
      <c r="AP270" s="729"/>
      <c r="AQ270" s="729"/>
      <c r="AR270" s="729"/>
      <c r="AS270" s="729"/>
      <c r="AT270" s="729"/>
      <c r="AU270" s="729"/>
      <c r="AV270" s="729"/>
    </row>
    <row r="271" spans="2:57" s="39" customFormat="1" ht="12" outlineLevel="1" x14ac:dyDescent="0.2">
      <c r="W271" s="1162"/>
      <c r="AB271" s="1162"/>
      <c r="AF271" s="1162"/>
      <c r="AK271" s="729"/>
      <c r="AL271" s="729"/>
      <c r="AM271" s="729"/>
      <c r="AN271" s="729"/>
      <c r="AO271" s="729"/>
      <c r="AP271" s="729"/>
      <c r="AQ271" s="729"/>
      <c r="AR271" s="729"/>
      <c r="AS271" s="729"/>
      <c r="AT271" s="729"/>
      <c r="AU271" s="729"/>
      <c r="AV271" s="729"/>
    </row>
    <row r="272" spans="2:57" s="39" customFormat="1" ht="28" outlineLevel="1" x14ac:dyDescent="0.2">
      <c r="B272" s="118"/>
      <c r="C272" s="118"/>
      <c r="D272" s="118"/>
      <c r="E272" s="1777" t="s">
        <v>2498</v>
      </c>
      <c r="F272" s="1779"/>
      <c r="G272" s="1779"/>
      <c r="H272" s="1779"/>
      <c r="I272" s="1779"/>
      <c r="J272" s="1779"/>
      <c r="K272" s="1779"/>
      <c r="L272" s="1779"/>
      <c r="M272" s="1779"/>
      <c r="N272" s="1778"/>
      <c r="O272" s="1249" t="s">
        <v>2517</v>
      </c>
      <c r="W272" s="1162"/>
      <c r="AB272" s="1162"/>
      <c r="AF272" s="1162"/>
      <c r="AK272" s="729"/>
      <c r="AL272" s="729"/>
      <c r="AM272" s="729"/>
      <c r="AN272" s="729"/>
      <c r="AO272" s="729"/>
      <c r="AP272" s="729"/>
      <c r="AQ272" s="729"/>
      <c r="AR272" s="729"/>
      <c r="AS272" s="729"/>
      <c r="AT272" s="729"/>
      <c r="AU272" s="729"/>
      <c r="AV272" s="729"/>
    </row>
    <row r="273" spans="2:51" s="39" customFormat="1" ht="28" outlineLevel="1" x14ac:dyDescent="0.2">
      <c r="B273" s="1777" t="str">
        <f>+Energia!B153</f>
        <v>Sorgenti di emissione</v>
      </c>
      <c r="C273" s="1778"/>
      <c r="D273" s="1251" t="s">
        <v>2500</v>
      </c>
      <c r="E273" s="1250" t="s">
        <v>666</v>
      </c>
      <c r="F273" s="1250" t="s">
        <v>667</v>
      </c>
      <c r="G273" s="1250" t="s">
        <v>668</v>
      </c>
      <c r="H273" s="1250" t="s">
        <v>670</v>
      </c>
      <c r="I273" s="1250" t="s">
        <v>671</v>
      </c>
      <c r="J273" s="1250" t="s">
        <v>672</v>
      </c>
      <c r="K273" s="1250" t="s">
        <v>2584</v>
      </c>
      <c r="L273" s="1251" t="s">
        <v>69</v>
      </c>
      <c r="M273" s="1250" t="s">
        <v>669</v>
      </c>
      <c r="N273" s="1250" t="s">
        <v>2586</v>
      </c>
      <c r="O273" s="1251" t="s">
        <v>69</v>
      </c>
      <c r="Z273" s="1162"/>
      <c r="AE273" s="1162"/>
      <c r="AI273" s="1162"/>
      <c r="AN273" s="729"/>
      <c r="AO273" s="729"/>
      <c r="AP273" s="729"/>
      <c r="AQ273" s="729"/>
      <c r="AR273" s="729"/>
      <c r="AS273" s="729"/>
      <c r="AT273" s="729"/>
      <c r="AU273" s="729"/>
      <c r="AV273" s="729"/>
      <c r="AW273" s="729"/>
      <c r="AX273" s="729"/>
      <c r="AY273" s="729"/>
    </row>
    <row r="274" spans="2:51" s="39" customFormat="1" ht="14" outlineLevel="1" x14ac:dyDescent="0.2">
      <c r="B274" s="1749" t="str">
        <f>+Energia!B154</f>
        <v xml:space="preserve">Emissioni dirette da sorgenti di combustione stazionarie </v>
      </c>
      <c r="C274" s="1749"/>
      <c r="D274" s="1245" t="s">
        <v>99</v>
      </c>
      <c r="E274" s="1239"/>
      <c r="F274" s="1239"/>
      <c r="G274" s="1239"/>
      <c r="H274" s="1239"/>
      <c r="I274" s="1239"/>
      <c r="J274" s="1239"/>
      <c r="K274" s="1239"/>
      <c r="L274" s="1248"/>
      <c r="M274" s="1237"/>
      <c r="N274" s="1242"/>
      <c r="O274" s="1241"/>
      <c r="Z274" s="1162"/>
      <c r="AE274" s="1162"/>
      <c r="AI274" s="1162"/>
      <c r="AN274" s="729"/>
      <c r="AO274" s="729"/>
      <c r="AP274" s="729"/>
      <c r="AQ274" s="729"/>
      <c r="AR274" s="729"/>
      <c r="AS274" s="729"/>
      <c r="AT274" s="729"/>
      <c r="AU274" s="729"/>
      <c r="AV274" s="729"/>
      <c r="AW274" s="729"/>
      <c r="AX274" s="729"/>
      <c r="AY274" s="729"/>
    </row>
    <row r="275" spans="2:51" s="39" customFormat="1" ht="14" outlineLevel="1" x14ac:dyDescent="0.2">
      <c r="B275" s="1749" t="str">
        <f>+Energia!B155</f>
        <v>Emissioni dirette da sorgenti di combustione mobili</v>
      </c>
      <c r="C275" s="1749"/>
      <c r="D275" s="1246" t="s">
        <v>100</v>
      </c>
      <c r="E275" s="1239">
        <f>SUMIF($G$22:$G$30,'Info utili'!$K$532,'Beni durevoli'!BE22:BE30)+SUMIF($G$92:$G$100,'Info utili'!$K$532,'Beni durevoli'!BE92:BE100)+SUMIF($G$22:$G$30,'Info utili'!$K$537,'Beni durevoli'!BE22:BE30)+SUMIF($G$92:$G$100,'Info utili'!$K$537,'Beni durevoli'!BE92:BE100)</f>
        <v>0</v>
      </c>
      <c r="F275" s="1239">
        <f>SUMIF($G$22:$G$30,'Info utili'!$K$532,'Beni durevoli'!BG22:BG30)+SUMIF($G$92:$G$100,'Info utili'!$K$532,'Beni durevoli'!BG92:BG100)+SUMIF($G$22:$G$30,'Info utili'!$K$537,'Beni durevoli'!BG22:BG30)+SUMIF($G$92:$G$100,'Info utili'!$K$537,'Beni durevoli'!BG92:BG100)</f>
        <v>0</v>
      </c>
      <c r="G275" s="1239">
        <f>SUMIF($G$22:$G$30,'Info utili'!$K$532,'Beni durevoli'!BI22:BI30)+SUMIF($G$92:$G$100,'Info utili'!$K$532,'Beni durevoli'!BI92:BI100)+SUMIF($G$22:$G$30,'Info utili'!$K$537,'Beni durevoli'!BI22:BI30)+SUMIF($G$92:$G$100,'Info utili'!$K$537,'Beni durevoli'!BI92:BI100)</f>
        <v>0</v>
      </c>
      <c r="H275" s="1239">
        <v>0</v>
      </c>
      <c r="I275" s="1239">
        <v>0</v>
      </c>
      <c r="J275" s="1239">
        <v>0</v>
      </c>
      <c r="K275" s="1239">
        <v>0</v>
      </c>
      <c r="L275" s="1248">
        <f>SUMIF($G$22:$G$30,'Info utili'!$K$532,'Beni durevoli'!BM22:BM30)+SUMIF($G$92:$G$100,'Info utili'!$K$532,'Beni durevoli'!BM92:BM100)+SUMIF($G$22:$G$30,'Info utili'!$K$537,'Beni durevoli'!BM22:BM30)+SUMIF($G$92:$G$100,'Info utili'!$K$537,'Beni durevoli'!BM92:BM100)</f>
        <v>0</v>
      </c>
      <c r="M275" s="1237">
        <f>SUMIF($G$22:$G$30,'Info utili'!$K$532,'Beni durevoli'!BO22:BO30)+SUMIF($G$92:$G$100,'Info utili'!$K$532,'Beni durevoli'!BO92:BO100)+SUMIF($G$22:$G$30,'Info utili'!$K$537,'Beni durevoli'!BO22:BO30)+SUMIF($G$92:$G$100,'Info utili'!$K$537,'Beni durevoli'!BO92:BO100)</f>
        <v>0</v>
      </c>
      <c r="N275" s="1242">
        <f>SQRT(SUMPRODUCT(($G$22:$G$30='Info utili'!$K$532)*1,BQ22:BQ30,BQ22:BQ30)+SUMPRODUCT(($G$92:$G$100='Info utili'!$K$532)*1,BQ92:BQ100,BQ92:BQ100)+SUMPRODUCT(($G$22:$G$30='Info utili'!$K$537)*1,BQ22:BQ30,BQ22:BQ30)+SUMPRODUCT(($G$92:$G$100='Info utili'!$K$537)*1,BQ92:BQ100,BQ92:BQ100))</f>
        <v>0</v>
      </c>
      <c r="O275" s="1241"/>
      <c r="Z275" s="1162"/>
      <c r="AE275" s="1162"/>
      <c r="AI275" s="1162"/>
      <c r="AN275" s="729"/>
      <c r="AO275" s="729"/>
      <c r="AP275" s="729"/>
      <c r="AQ275" s="729"/>
      <c r="AR275" s="729"/>
      <c r="AS275" s="729"/>
      <c r="AT275" s="729"/>
      <c r="AU275" s="729"/>
      <c r="AV275" s="729"/>
      <c r="AW275" s="729"/>
      <c r="AX275" s="729"/>
      <c r="AY275" s="729"/>
    </row>
    <row r="276" spans="2:51" s="39" customFormat="1" ht="14" outlineLevel="1" x14ac:dyDescent="0.2">
      <c r="B276" s="1749" t="str">
        <f>+Energia!B156</f>
        <v>Emissioni dirette da  processi</v>
      </c>
      <c r="C276" s="1749"/>
      <c r="D276" s="1246" t="s">
        <v>101</v>
      </c>
      <c r="E276" s="1239"/>
      <c r="F276" s="1239"/>
      <c r="G276" s="1239"/>
      <c r="H276" s="1239"/>
      <c r="I276" s="1239"/>
      <c r="J276" s="1239"/>
      <c r="K276" s="1239"/>
      <c r="L276" s="1248"/>
      <c r="M276" s="1237"/>
      <c r="N276" s="1242"/>
      <c r="O276" s="1241"/>
      <c r="Z276" s="1162"/>
      <c r="AE276" s="1162"/>
      <c r="AI276" s="1162"/>
      <c r="AN276" s="729"/>
      <c r="AO276" s="729"/>
      <c r="AP276" s="729"/>
      <c r="AQ276" s="729"/>
      <c r="AR276" s="729"/>
      <c r="AS276" s="729"/>
      <c r="AT276" s="729"/>
      <c r="AU276" s="729"/>
      <c r="AV276" s="729"/>
      <c r="AW276" s="729"/>
      <c r="AX276" s="729"/>
      <c r="AY276" s="729"/>
    </row>
    <row r="277" spans="2:51" s="39" customFormat="1" ht="14" outlineLevel="1" x14ac:dyDescent="0.2">
      <c r="B277" s="1749" t="str">
        <f>+Energia!B157</f>
        <v>Emissioni dirette da  fonti fugitive</v>
      </c>
      <c r="C277" s="1749"/>
      <c r="D277" s="1246" t="s">
        <v>102</v>
      </c>
      <c r="E277" s="1239"/>
      <c r="F277" s="1239"/>
      <c r="G277" s="1239"/>
      <c r="H277" s="1239"/>
      <c r="I277" s="1239"/>
      <c r="J277" s="1239"/>
      <c r="K277" s="1239"/>
      <c r="L277" s="1248"/>
      <c r="M277" s="1237"/>
      <c r="N277" s="1242"/>
      <c r="O277" s="1241"/>
      <c r="Z277" s="1162"/>
      <c r="AE277" s="1162"/>
      <c r="AI277" s="1162"/>
      <c r="AN277" s="729"/>
      <c r="AO277" s="729"/>
      <c r="AP277" s="729"/>
      <c r="AQ277" s="729"/>
      <c r="AR277" s="729"/>
      <c r="AS277" s="729"/>
      <c r="AT277" s="729"/>
      <c r="AU277" s="729"/>
      <c r="AV277" s="729"/>
      <c r="AW277" s="729"/>
      <c r="AX277" s="729"/>
      <c r="AY277" s="729"/>
    </row>
    <row r="278" spans="2:51" s="39" customFormat="1" outlineLevel="1" x14ac:dyDescent="0.2">
      <c r="B278" s="1766" t="s">
        <v>98</v>
      </c>
      <c r="C278" s="1767"/>
      <c r="D278" s="1768"/>
      <c r="E278" s="1236">
        <f t="shared" ref="E278:O278" si="74">SUM(E274:E277)</f>
        <v>0</v>
      </c>
      <c r="F278" s="1236">
        <f t="shared" si="74"/>
        <v>0</v>
      </c>
      <c r="G278" s="1236">
        <f t="shared" si="74"/>
        <v>0</v>
      </c>
      <c r="H278" s="1236">
        <f t="shared" si="74"/>
        <v>0</v>
      </c>
      <c r="I278" s="1236">
        <f t="shared" si="74"/>
        <v>0</v>
      </c>
      <c r="J278" s="1236">
        <f t="shared" si="74"/>
        <v>0</v>
      </c>
      <c r="K278" s="1236">
        <f t="shared" si="74"/>
        <v>0</v>
      </c>
      <c r="L278" s="1236">
        <f t="shared" si="74"/>
        <v>0</v>
      </c>
      <c r="M278" s="1247">
        <f t="shared" si="74"/>
        <v>0</v>
      </c>
      <c r="N278" s="1243">
        <f>SQRT(SUMSQ(N274:N277))</f>
        <v>0</v>
      </c>
      <c r="O278" s="1244">
        <f t="shared" si="74"/>
        <v>0</v>
      </c>
      <c r="Z278" s="1162"/>
      <c r="AE278" s="1162"/>
      <c r="AI278" s="1162"/>
      <c r="AN278" s="729"/>
      <c r="AO278" s="729"/>
      <c r="AP278" s="729"/>
      <c r="AQ278" s="729"/>
      <c r="AR278" s="729"/>
      <c r="AS278" s="729"/>
      <c r="AT278" s="729"/>
      <c r="AU278" s="729"/>
      <c r="AV278" s="729"/>
      <c r="AW278" s="729"/>
      <c r="AX278" s="729"/>
      <c r="AY278" s="729"/>
    </row>
    <row r="279" spans="2:51" s="39" customFormat="1" ht="14" outlineLevel="1" x14ac:dyDescent="0.2">
      <c r="B279" s="1749" t="str">
        <f>+Energia!B159</f>
        <v xml:space="preserve">Emissioni indirette da consumo di elettricità </v>
      </c>
      <c r="C279" s="1749"/>
      <c r="D279" s="1246" t="s">
        <v>103</v>
      </c>
      <c r="E279" s="1239"/>
      <c r="F279" s="1239"/>
      <c r="G279" s="1239"/>
      <c r="H279" s="1239"/>
      <c r="I279" s="1239"/>
      <c r="J279" s="1239"/>
      <c r="K279" s="1239"/>
      <c r="L279" s="1248"/>
      <c r="M279" s="1237"/>
      <c r="N279" s="1242"/>
      <c r="O279" s="1240"/>
      <c r="Z279" s="1162"/>
      <c r="AE279" s="1162"/>
      <c r="AI279" s="1162"/>
      <c r="AN279" s="729"/>
      <c r="AO279" s="729"/>
      <c r="AP279" s="729"/>
      <c r="AQ279" s="729"/>
      <c r="AR279" s="729"/>
      <c r="AS279" s="729"/>
      <c r="AT279" s="729"/>
      <c r="AU279" s="729"/>
      <c r="AV279" s="729"/>
      <c r="AW279" s="729"/>
      <c r="AX279" s="729"/>
      <c r="AY279" s="729"/>
    </row>
    <row r="280" spans="2:51" s="39" customFormat="1" ht="12.75" customHeight="1" outlineLevel="1" x14ac:dyDescent="0.2">
      <c r="B280" s="1749" t="str">
        <f>+Energia!B160</f>
        <v xml:space="preserve">Emissioni indirette da consumo di vapore, calore o raffrescamento </v>
      </c>
      <c r="C280" s="1749"/>
      <c r="D280" s="1246" t="s">
        <v>104</v>
      </c>
      <c r="E280" s="1239"/>
      <c r="F280" s="1239"/>
      <c r="G280" s="1239"/>
      <c r="H280" s="1239"/>
      <c r="I280" s="1239"/>
      <c r="J280" s="1239"/>
      <c r="K280" s="1239"/>
      <c r="L280" s="1248"/>
      <c r="M280" s="1237"/>
      <c r="N280" s="1242"/>
      <c r="O280" s="1240"/>
      <c r="Z280" s="1162"/>
      <c r="AE280" s="1162"/>
      <c r="AI280" s="1162"/>
      <c r="AN280" s="729"/>
      <c r="AO280" s="729"/>
      <c r="AP280" s="729"/>
      <c r="AQ280" s="729"/>
      <c r="AR280" s="729"/>
      <c r="AS280" s="729"/>
      <c r="AT280" s="729"/>
      <c r="AU280" s="729"/>
      <c r="AV280" s="729"/>
      <c r="AW280" s="729"/>
      <c r="AX280" s="729"/>
      <c r="AY280" s="729"/>
    </row>
    <row r="281" spans="2:51" s="39" customFormat="1" outlineLevel="1" x14ac:dyDescent="0.2">
      <c r="B281" s="1766" t="s">
        <v>97</v>
      </c>
      <c r="C281" s="1767"/>
      <c r="D281" s="1768"/>
      <c r="E281" s="1236">
        <f t="shared" ref="E281:L281" si="75">SUM(E279:E280)</f>
        <v>0</v>
      </c>
      <c r="F281" s="1236">
        <f t="shared" si="75"/>
        <v>0</v>
      </c>
      <c r="G281" s="1236">
        <f t="shared" si="75"/>
        <v>0</v>
      </c>
      <c r="H281" s="1236">
        <f t="shared" si="75"/>
        <v>0</v>
      </c>
      <c r="I281" s="1236">
        <f t="shared" si="75"/>
        <v>0</v>
      </c>
      <c r="J281" s="1236">
        <f t="shared" si="75"/>
        <v>0</v>
      </c>
      <c r="K281" s="1236">
        <f t="shared" si="75"/>
        <v>0</v>
      </c>
      <c r="L281" s="1236">
        <f t="shared" si="75"/>
        <v>0</v>
      </c>
      <c r="M281" s="1247">
        <f>SUM(M279:M280)</f>
        <v>0</v>
      </c>
      <c r="N281" s="1243">
        <f>SQRT(SUMSQ(N279:N280))</f>
        <v>0</v>
      </c>
      <c r="O281" s="1244">
        <f>SUM(O279:O280)</f>
        <v>0</v>
      </c>
      <c r="Z281" s="1162"/>
      <c r="AE281" s="1162"/>
      <c r="AI281" s="1162"/>
      <c r="AN281" s="729"/>
      <c r="AO281" s="729"/>
      <c r="AP281" s="729"/>
      <c r="AQ281" s="729"/>
      <c r="AR281" s="729"/>
      <c r="AS281" s="729"/>
      <c r="AT281" s="729"/>
      <c r="AU281" s="729"/>
      <c r="AV281" s="729"/>
      <c r="AW281" s="729"/>
      <c r="AX281" s="729"/>
      <c r="AY281" s="729"/>
    </row>
    <row r="282" spans="2:51" s="39" customFormat="1" outlineLevel="1" x14ac:dyDescent="0.2">
      <c r="B282" s="1771" t="s">
        <v>2527</v>
      </c>
      <c r="C282" s="1772"/>
      <c r="D282" s="1772"/>
      <c r="E282" s="1772"/>
      <c r="F282" s="1772"/>
      <c r="G282" s="1772"/>
      <c r="H282" s="1772"/>
      <c r="I282" s="1772"/>
      <c r="J282" s="1772"/>
      <c r="K282" s="1772"/>
      <c r="L282" s="1772"/>
      <c r="M282" s="1772"/>
      <c r="N282" s="1772"/>
      <c r="O282" s="1773"/>
      <c r="Z282" s="1162"/>
      <c r="AE282" s="1162"/>
      <c r="AI282" s="1162"/>
      <c r="AN282" s="729"/>
      <c r="AO282" s="729"/>
      <c r="AP282" s="729"/>
      <c r="AQ282" s="729"/>
      <c r="AR282" s="729"/>
      <c r="AS282" s="729"/>
      <c r="AT282" s="729"/>
      <c r="AU282" s="729"/>
      <c r="AV282" s="729"/>
      <c r="AW282" s="729"/>
      <c r="AX282" s="729"/>
      <c r="AY282" s="729"/>
    </row>
    <row r="283" spans="2:51" s="39" customFormat="1" ht="14" outlineLevel="1" x14ac:dyDescent="0.2">
      <c r="B283" s="1749" t="str">
        <f>+Energia!B163</f>
        <v xml:space="preserve">Beni o servizi acquistati </v>
      </c>
      <c r="C283" s="1749"/>
      <c r="D283" s="1246" t="s">
        <v>106</v>
      </c>
      <c r="E283" s="1239"/>
      <c r="F283" s="1239"/>
      <c r="G283" s="1239"/>
      <c r="H283" s="1239"/>
      <c r="I283" s="1239"/>
      <c r="J283" s="1239"/>
      <c r="K283" s="1239"/>
      <c r="L283" s="1248"/>
      <c r="M283" s="1237"/>
      <c r="N283" s="1242"/>
      <c r="O283" s="1240"/>
      <c r="Z283" s="1162"/>
      <c r="AE283" s="1162"/>
      <c r="AI283" s="1162"/>
      <c r="AN283" s="729"/>
      <c r="AO283" s="729"/>
      <c r="AP283" s="729"/>
      <c r="AQ283" s="729"/>
      <c r="AR283" s="729"/>
      <c r="AS283" s="729"/>
      <c r="AT283" s="729"/>
      <c r="AU283" s="729"/>
      <c r="AV283" s="729"/>
      <c r="AW283" s="729"/>
      <c r="AX283" s="729"/>
      <c r="AY283" s="729"/>
    </row>
    <row r="284" spans="2:51" s="39" customFormat="1" ht="14" outlineLevel="1" x14ac:dyDescent="0.2">
      <c r="B284" s="1749" t="str">
        <f>+Energia!B164</f>
        <v xml:space="preserve">Beni di consumo </v>
      </c>
      <c r="C284" s="1749"/>
      <c r="D284" s="1246" t="s">
        <v>107</v>
      </c>
      <c r="E284" s="1239">
        <f>SUMIF($G$22:$G$30,'Info utili'!$K$533,'Beni durevoli'!BE22:BE30)+SUMIF($G$92:$G$100,'Info utili'!$K$533,'Beni durevoli'!BE92:BE100)+SUMIF($G$22:$G$30,'Info utili'!$K$533,'Beni durevoli'!BD22:BD30)+SUMIF($G$92:$G$100,'Info utili'!$K$533,'Beni durevoli'!BD92:BD100)+SUMIF($G$22:$G$30,'Info utili'!$K$538,'Beni durevoli'!BE22:BE30)+SUMIF($G$92:$G$100,'Info utili'!$K$538,'Beni durevoli'!BE92:BE100)+SUMIF($G$22:$G$30,'Info utili'!$K$538,'Beni durevoli'!BD22:BD30)+SUMIF($G$92:$G$100,'Info utili'!$K$538,'Beni durevoli'!BD92:BD100)+BD20+BD40+BD50+BD60+BD70+BD80+BD110+BD120+BD130+BD140+BD150+BD160+BD180+BD190+BD200+BD210+BD220+BD242+BD250</f>
        <v>0</v>
      </c>
      <c r="F284" s="1239">
        <f>SUMIF($G$22:$G$30,'Info utili'!$K$533,'Beni durevoli'!BG22:BG30)+SUMIF($G$92:$G$100,'Info utili'!$K$533,'Beni durevoli'!BG92:BG100)+SUMIF($G$22:$G$30,'Info utili'!$K$533,'Beni durevoli'!BF22:BF30)+SUMIF($G$92:$G$100,'Info utili'!$K$533,'Beni durevoli'!BF92:BF100)+SUMIF($G$22:$G$30,'Info utili'!$K$538,'Beni durevoli'!BG22:BG30)+SUMIF($G$92:$G$100,'Info utili'!$K$538,'Beni durevoli'!BG92:BG100)+SUMIF($G$22:$G$30,'Info utili'!$K$538,'Beni durevoli'!BF22:BF30)+SUMIF($G$92:$G$100,'Info utili'!$K$538,'Beni durevoli'!BF92:BF100)+BE20+BE40+BE50+BE60+BE70+BE80+BE110+BE120+BE130+BE140+BE150+BE160+BE180+BE190+BE200+BE210+BE220+BE242+BE250</f>
        <v>0</v>
      </c>
      <c r="G284" s="1239">
        <f>SUMIF($G$22:$G$30,'Info utili'!$K$533,'Beni durevoli'!BI22:BI30)+SUMIF($G$92:$G$100,'Info utili'!$K$533,'Beni durevoli'!BI92:BI100)+SUMIF($G$22:$G$30,'Info utili'!$K$533,'Beni durevoli'!BH22:BH30)+SUMIF($G$92:$G$100,'Info utili'!$K$533,'Beni durevoli'!BH92:BH100)+SUMIF($G$22:$G$30,'Info utili'!$K$538,'Beni durevoli'!BI22:BI30)+SUMIF($G$92:$G$100,'Info utili'!$K$538,'Beni durevoli'!BI92:BI100)+SUMIF($G$22:$G$30,'Info utili'!$K$538,'Beni durevoli'!BH22:BH30)+SUMIF($G$92:$G$100,'Info utili'!$K$538,'Beni durevoli'!BH92:BH100)+BF20+BF40+BF50+BF60+BF70+BF80+BF110+BF120+BF130+BF140+BF150+BF160+BF180+BF190+BF200+BF210+BF220+BF242+BF250</f>
        <v>0</v>
      </c>
      <c r="H284" s="1239">
        <v>0</v>
      </c>
      <c r="I284" s="1239">
        <v>0</v>
      </c>
      <c r="J284" s="1239">
        <v>0</v>
      </c>
      <c r="K284" s="1239">
        <v>0</v>
      </c>
      <c r="L284" s="1248">
        <f>SUMIF($G$22:$G$30,'Info utili'!$K$533,'Beni durevoli'!BM22:BM30)+SUMIF($G$92:$G$100,'Info utili'!$K$533,'Beni durevoli'!BM92:BM100)+SUMIF($G$22:$G$30,'Info utili'!$K$533,'Beni durevoli'!BL22:BL30)+SUMIF($G$92:$G$100,'Info utili'!$K$533,'Beni durevoli'!BL92:BL100)+SUMIF($G$22:$G$30,'Info utili'!$K$538,'Beni durevoli'!BM22:BM30)+SUMIF($G$92:$G$100,'Info utili'!$K$538,'Beni durevoli'!BM92:BM100)+SUMIF($G$22:$G$30,'Info utili'!$K$538,'Beni durevoli'!BL22:BL30)+SUMIF($G$92:$G$100,'Info utili'!$K$538,'Beni durevoli'!BL92:BL100)+BH20+BH40+BH50+BH60+BH70+BH80+BH110+BH120+BH130+BH140+BH150+BH160+BH180+BH190+BH200+BH210+BH220+BH242+BH250</f>
        <v>96800.000000000015</v>
      </c>
      <c r="M284" s="1237">
        <f>SUMIF($G$22:$G$30,'Info utili'!$K$533,'Beni durevoli'!BO22:BO30)+SUMIF($G$92:$G$100,'Info utili'!$K$533,'Beni durevoli'!BO92:BO100)+SUMIF($G$22:$G$30,'Info utili'!$K$533,'Beni durevoli'!BN22:BN30)+SUMIF($G$92:$G$100,'Info utili'!$K$533,'Beni durevoli'!BN92:BN100)+SUMIF($G$22:$G$30,'Info utili'!$K$538,'Beni durevoli'!BO22:BO30)+SUMIF($G$92:$G$100,'Info utili'!$K$538,'Beni durevoli'!BO92:BO100)+SUMIF($G$22:$G$30,'Info utili'!$K$538,'Beni durevoli'!BN22:BN30)+SUMIF($G$92:$G$100,'Info utili'!$K$538,'Beni durevoli'!BN92:BN100)+BI20+BI40+BI50+BI60+BI70+BI80+BI110+BI120+BI130+BI140+BI150+BI160+BI180+BI190+BI200+BI210+BI220+BI242+BI250</f>
        <v>0</v>
      </c>
      <c r="N284" s="1242">
        <f>SQRT(SUMPRODUCT(($G$22:$G$30='Info utili'!$K$533)*1,BQ22:BQ30,BQ22:BQ30)+SUMPRODUCT(($G$92:$G$100='Info utili'!$K$533)*1,BQ92:BQ100,BQ92:BQ100)+SUMPRODUCT(($G$22:$G$30='Info utili'!$K$533)*1,BP22:BP30,BP22:BP30)+SUMPRODUCT(($G$92:$G$100='Info utili'!$K$533)*1,BP92:BP100,BP92:BP100)+SUMPRODUCT(($G$22:$G$30='Info utili'!$K$538)*1,BQ22:BQ30,BQ22:BQ30)+SUMPRODUCT(($G$92:$G$100='Info utili'!$K$538)*1,BQ92:BQ100,BQ92:BQ100)+SUMPRODUCT(($G$22:$G$30='Info utili'!$K$538)*1,BP22:BP30,BP22:BP30)+SUMPRODUCT(($G$92:$G$100='Info utili'!$K$538)*1,BP92:BP100,BP92:BP100)+BJ20^2+BJ40^2+BJ50^2+BJ60^2+BJ70^2+BJ80^2+BJ110^2+BJ120^2+BJ130^2+BJ140^2+BJ150^2+BJ160^2+BJ180^2+BJ190^2+BJ200^2+BJ210^2+BJ220^2+BJ242^2+BJ250^2)</f>
        <v>19360.000000000004</v>
      </c>
      <c r="O284" s="1240"/>
      <c r="Z284" s="1162"/>
      <c r="AE284" s="1162"/>
      <c r="AI284" s="1162"/>
      <c r="AN284" s="729"/>
      <c r="AO284" s="729"/>
      <c r="AP284" s="729"/>
      <c r="AQ284" s="729"/>
      <c r="AR284" s="729"/>
      <c r="AS284" s="729"/>
      <c r="AT284" s="729"/>
      <c r="AU284" s="729"/>
      <c r="AV284" s="729"/>
      <c r="AW284" s="729"/>
      <c r="AX284" s="729"/>
      <c r="AY284" s="729"/>
    </row>
    <row r="285" spans="2:51" s="39" customFormat="1" ht="14" outlineLevel="1" x14ac:dyDescent="0.2">
      <c r="B285" s="1749" t="str">
        <f>+Energia!B165</f>
        <v xml:space="preserve">Emissioni dovute a combustibili e energia (non incluse nello scope 1 e 2) </v>
      </c>
      <c r="C285" s="1749"/>
      <c r="D285" s="1246" t="s">
        <v>108</v>
      </c>
      <c r="E285" s="1239">
        <f>SUMIF($G$22:$G$30,'Info utili'!$K$532,'Beni durevoli'!BD22:BD30)+SUMIF($G$92:$G$100,'Info utili'!$K$532,'Beni durevoli'!BD92:BD100)+SUMIF($G$22:$G$30,'Info utili'!$K$537,'Beni durevoli'!BD22:BD30)+SUMIF($G$92:$G$100,'Info utili'!$K$537,'Beni durevoli'!BD92:BD100)</f>
        <v>0</v>
      </c>
      <c r="F285" s="1239">
        <f>SUMIF($G$22:$G$30,'Info utili'!$K$532,'Beni durevoli'!BF22:BF30)+SUMIF($G$92:$G$100,'Info utili'!$K$532,'Beni durevoli'!BF92:BF100)+SUMIF($G$22:$G$30,'Info utili'!$K$537,'Beni durevoli'!BF22:BF30)+SUMIF($G$92:$G$100,'Info utili'!$K$537,'Beni durevoli'!BF92:BF100)</f>
        <v>0</v>
      </c>
      <c r="G285" s="1239">
        <f>SUMIF($G$22:$G$30,'Info utili'!$K$532,'Beni durevoli'!BH22:BH30)+SUMIF($G$92:$G$100,'Info utili'!$K$532,'Beni durevoli'!BH92:BH100)+SUMIF($G$22:$G$30,'Info utili'!$K$537,'Beni durevoli'!BH22:BH30)+SUMIF($G$92:$G$100,'Info utili'!$K$537,'Beni durevoli'!BH92:BH100)</f>
        <v>0</v>
      </c>
      <c r="H285" s="1239">
        <v>0</v>
      </c>
      <c r="I285" s="1239">
        <v>0</v>
      </c>
      <c r="J285" s="1239">
        <v>0</v>
      </c>
      <c r="K285" s="1239">
        <v>0</v>
      </c>
      <c r="L285" s="1248">
        <f>SUMIF($G$22:$G$30,'Info utili'!$K$532,'Beni durevoli'!BL22:BL30)+SUMIF($G$92:$G$100,'Info utili'!$K$532,'Beni durevoli'!BL92:BL100)+SUMIF($G$22:$G$30,'Info utili'!$K$537,'Beni durevoli'!BL22:BL30)+SUMIF($G$92:$G$100,'Info utili'!$K$537,'Beni durevoli'!BL92:BL100)</f>
        <v>0</v>
      </c>
      <c r="M285" s="1237">
        <f>SUMIF($G$22:$G$30,'Info utili'!$K$532,'Beni durevoli'!BN22:BN30)+SUMIF($G$92:$G$100,'Info utili'!$K$532,'Beni durevoli'!BN92:BN100)+SUMIF($G$22:$G$30,'Info utili'!$K$537,'Beni durevoli'!BN22:BN30)+SUMIF($G$92:$G$100,'Info utili'!$K$537,'Beni durevoli'!BN92:BN100)</f>
        <v>0</v>
      </c>
      <c r="N285" s="1242">
        <f>SQRT(SUMPRODUCT(($G$22:$G$30='Info utili'!$K$532)*1,BP22:BP30,BP22:BP30)+SUMPRODUCT(($G$92:$G$100='Info utili'!$K$532)*1,BP92:BP100,BP92:BP100)+SUMPRODUCT(($G$22:$G$30='Info utili'!$K$537)*1,BP22:BP30,BP22:BP30)+SUMPRODUCT(($G$92:$G$100='Info utili'!$K$537)*1,BP92:BP100,BP92:BP100))</f>
        <v>0</v>
      </c>
      <c r="O285" s="1240"/>
      <c r="Z285" s="1162"/>
      <c r="AE285" s="1162"/>
      <c r="AI285" s="1162"/>
      <c r="AN285" s="729"/>
      <c r="AO285" s="729"/>
      <c r="AP285" s="729"/>
      <c r="AQ285" s="729"/>
      <c r="AR285" s="729"/>
      <c r="AS285" s="729"/>
      <c r="AT285" s="729"/>
      <c r="AU285" s="729"/>
      <c r="AV285" s="729"/>
      <c r="AW285" s="729"/>
      <c r="AX285" s="729"/>
      <c r="AY285" s="729"/>
    </row>
    <row r="286" spans="2:51" s="39" customFormat="1" ht="14" outlineLevel="1" x14ac:dyDescent="0.2">
      <c r="B286" s="1749" t="str">
        <f>+Energia!B166</f>
        <v>Trasporto e distribuzione premanifattura</v>
      </c>
      <c r="C286" s="1749"/>
      <c r="D286" s="1246" t="s">
        <v>109</v>
      </c>
      <c r="E286" s="1239"/>
      <c r="F286" s="1239"/>
      <c r="G286" s="1239"/>
      <c r="H286" s="1239"/>
      <c r="I286" s="1239"/>
      <c r="J286" s="1239"/>
      <c r="K286" s="1239"/>
      <c r="L286" s="1248"/>
      <c r="M286" s="1237"/>
      <c r="N286" s="1242"/>
      <c r="O286" s="1240"/>
      <c r="Z286" s="1162"/>
      <c r="AE286" s="1162"/>
      <c r="AI286" s="1162"/>
      <c r="AN286" s="729"/>
      <c r="AO286" s="729"/>
      <c r="AP286" s="729"/>
      <c r="AQ286" s="729"/>
      <c r="AR286" s="729"/>
      <c r="AS286" s="729"/>
      <c r="AT286" s="729"/>
      <c r="AU286" s="729"/>
      <c r="AV286" s="729"/>
      <c r="AW286" s="729"/>
      <c r="AX286" s="729"/>
      <c r="AY286" s="729"/>
    </row>
    <row r="287" spans="2:51" s="39" customFormat="1" ht="14" outlineLevel="1" x14ac:dyDescent="0.2">
      <c r="B287" s="1749" t="str">
        <f>+Energia!B167</f>
        <v>Rifiuti prodotti</v>
      </c>
      <c r="C287" s="1749"/>
      <c r="D287" s="1246" t="s">
        <v>110</v>
      </c>
      <c r="E287" s="1239"/>
      <c r="F287" s="1239"/>
      <c r="G287" s="1239"/>
      <c r="H287" s="1239"/>
      <c r="I287" s="1239"/>
      <c r="J287" s="1239"/>
      <c r="K287" s="1239"/>
      <c r="L287" s="1248"/>
      <c r="M287" s="1237"/>
      <c r="N287" s="1242"/>
      <c r="O287" s="1240"/>
      <c r="Z287" s="1162"/>
      <c r="AE287" s="1162"/>
      <c r="AI287" s="1162"/>
      <c r="AN287" s="729"/>
      <c r="AO287" s="729"/>
      <c r="AP287" s="729"/>
      <c r="AQ287" s="729"/>
      <c r="AR287" s="729"/>
      <c r="AS287" s="729"/>
      <c r="AT287" s="729"/>
      <c r="AU287" s="729"/>
      <c r="AV287" s="729"/>
      <c r="AW287" s="729"/>
      <c r="AX287" s="729"/>
      <c r="AY287" s="729"/>
    </row>
    <row r="288" spans="2:51" s="39" customFormat="1" ht="14" outlineLevel="1" x14ac:dyDescent="0.2">
      <c r="B288" s="1749" t="str">
        <f>+Energia!B168</f>
        <v>Viaggi di lavoro</v>
      </c>
      <c r="C288" s="1749"/>
      <c r="D288" s="1246" t="s">
        <v>111</v>
      </c>
      <c r="E288" s="1239"/>
      <c r="F288" s="1239"/>
      <c r="G288" s="1239"/>
      <c r="H288" s="1239"/>
      <c r="I288" s="1239"/>
      <c r="J288" s="1239"/>
      <c r="K288" s="1239"/>
      <c r="L288" s="1248"/>
      <c r="M288" s="1237"/>
      <c r="N288" s="1242"/>
      <c r="O288" s="1240"/>
      <c r="Z288" s="1162"/>
      <c r="AE288" s="1162"/>
      <c r="AI288" s="1162"/>
      <c r="AN288" s="729"/>
      <c r="AO288" s="729"/>
      <c r="AP288" s="729"/>
      <c r="AQ288" s="729"/>
      <c r="AR288" s="729"/>
      <c r="AS288" s="729"/>
      <c r="AT288" s="729"/>
      <c r="AU288" s="729"/>
      <c r="AV288" s="729"/>
      <c r="AW288" s="729"/>
      <c r="AX288" s="729"/>
      <c r="AY288" s="729"/>
    </row>
    <row r="289" spans="2:51" s="39" customFormat="1" ht="14" outlineLevel="1" x14ac:dyDescent="0.2">
      <c r="B289" s="1749" t="str">
        <f>+Energia!B169</f>
        <v>Impiegati pendolari</v>
      </c>
      <c r="C289" s="1749"/>
      <c r="D289" s="1246" t="s">
        <v>112</v>
      </c>
      <c r="E289" s="1239"/>
      <c r="F289" s="1239"/>
      <c r="G289" s="1239"/>
      <c r="H289" s="1239"/>
      <c r="I289" s="1239"/>
      <c r="J289" s="1239"/>
      <c r="K289" s="1239"/>
      <c r="L289" s="1248"/>
      <c r="M289" s="1237"/>
      <c r="N289" s="1242"/>
      <c r="O289" s="1240"/>
      <c r="Z289" s="1162"/>
      <c r="AE289" s="1162"/>
      <c r="AI289" s="1162"/>
      <c r="AN289" s="729"/>
      <c r="AO289" s="729"/>
      <c r="AP289" s="729"/>
      <c r="AQ289" s="729"/>
      <c r="AR289" s="729"/>
      <c r="AS289" s="729"/>
      <c r="AT289" s="729"/>
      <c r="AU289" s="729"/>
      <c r="AV289" s="729"/>
      <c r="AW289" s="729"/>
      <c r="AX289" s="729"/>
      <c r="AY289" s="729"/>
    </row>
    <row r="290" spans="2:51" s="39" customFormat="1" ht="14" outlineLevel="1" x14ac:dyDescent="0.2">
      <c r="B290" s="1749" t="str">
        <f>+Energia!B170</f>
        <v>Upstream leased assets</v>
      </c>
      <c r="C290" s="1749"/>
      <c r="D290" s="1246" t="s">
        <v>113</v>
      </c>
      <c r="E290" s="1239"/>
      <c r="F290" s="1239"/>
      <c r="G290" s="1239"/>
      <c r="H290" s="1239"/>
      <c r="I290" s="1239"/>
      <c r="J290" s="1239"/>
      <c r="K290" s="1239"/>
      <c r="L290" s="1248"/>
      <c r="M290" s="1237"/>
      <c r="N290" s="1242"/>
      <c r="O290" s="1240"/>
      <c r="Z290" s="1162"/>
      <c r="AE290" s="1162"/>
      <c r="AI290" s="1162"/>
      <c r="AN290" s="729"/>
      <c r="AO290" s="729"/>
      <c r="AP290" s="729"/>
      <c r="AQ290" s="729"/>
      <c r="AR290" s="729"/>
      <c r="AS290" s="729"/>
      <c r="AT290" s="729"/>
      <c r="AU290" s="729"/>
      <c r="AV290" s="729"/>
      <c r="AW290" s="729"/>
      <c r="AX290" s="729"/>
      <c r="AY290" s="729"/>
    </row>
    <row r="291" spans="2:51" s="39" customFormat="1" outlineLevel="1" x14ac:dyDescent="0.2">
      <c r="B291" s="1749" t="str">
        <f>+Energia!B171</f>
        <v>Altre emissioni indirette premanifattura</v>
      </c>
      <c r="C291" s="1749"/>
      <c r="D291" s="1238"/>
      <c r="E291" s="1239"/>
      <c r="F291" s="1239"/>
      <c r="G291" s="1239"/>
      <c r="H291" s="1239"/>
      <c r="I291" s="1239"/>
      <c r="J291" s="1239"/>
      <c r="K291" s="1239"/>
      <c r="L291" s="1248"/>
      <c r="M291" s="1237"/>
      <c r="N291" s="1242"/>
      <c r="O291" s="1240"/>
      <c r="Z291" s="1162"/>
      <c r="AE291" s="1162"/>
      <c r="AI291" s="1162"/>
      <c r="AN291" s="729"/>
      <c r="AO291" s="729"/>
      <c r="AP291" s="729"/>
      <c r="AQ291" s="729"/>
      <c r="AR291" s="729"/>
      <c r="AS291" s="729"/>
      <c r="AT291" s="729"/>
      <c r="AU291" s="729"/>
      <c r="AV291" s="729"/>
      <c r="AW291" s="729"/>
      <c r="AX291" s="729"/>
      <c r="AY291" s="729"/>
    </row>
    <row r="292" spans="2:51" s="39" customFormat="1" outlineLevel="1" x14ac:dyDescent="0.2">
      <c r="B292" s="1771" t="s">
        <v>2744</v>
      </c>
      <c r="C292" s="1772"/>
      <c r="D292" s="1772"/>
      <c r="E292" s="1772"/>
      <c r="F292" s="1772"/>
      <c r="G292" s="1772"/>
      <c r="H292" s="1772"/>
      <c r="I292" s="1772"/>
      <c r="J292" s="1772"/>
      <c r="K292" s="1772"/>
      <c r="L292" s="1772"/>
      <c r="M292" s="1772"/>
      <c r="N292" s="1772"/>
      <c r="O292" s="1773"/>
      <c r="Z292" s="1162"/>
      <c r="AE292" s="1162"/>
      <c r="AI292" s="1162"/>
      <c r="AN292" s="729"/>
      <c r="AO292" s="729"/>
      <c r="AP292" s="729"/>
      <c r="AQ292" s="729"/>
      <c r="AR292" s="729"/>
      <c r="AS292" s="729"/>
      <c r="AT292" s="729"/>
      <c r="AU292" s="729"/>
      <c r="AV292" s="729"/>
      <c r="AW292" s="729"/>
      <c r="AX292" s="729"/>
      <c r="AY292" s="729"/>
    </row>
    <row r="293" spans="2:51" s="39" customFormat="1" ht="14" outlineLevel="1" x14ac:dyDescent="0.2">
      <c r="B293" s="1749" t="str">
        <f>+Energia!B173</f>
        <v>Trasporto di merci e distribuzione in fase d’uso e fine vita</v>
      </c>
      <c r="C293" s="1749"/>
      <c r="D293" s="1246" t="s">
        <v>114</v>
      </c>
      <c r="E293" s="1239"/>
      <c r="F293" s="1239"/>
      <c r="G293" s="1239"/>
      <c r="H293" s="1239"/>
      <c r="I293" s="1239"/>
      <c r="J293" s="1239"/>
      <c r="K293" s="1239"/>
      <c r="L293" s="1248"/>
      <c r="M293" s="1237"/>
      <c r="N293" s="1242"/>
      <c r="O293" s="1240"/>
      <c r="Z293" s="1162"/>
      <c r="AE293" s="1162"/>
      <c r="AI293" s="1162"/>
      <c r="AN293" s="729"/>
      <c r="AO293" s="729"/>
      <c r="AP293" s="729"/>
      <c r="AQ293" s="729"/>
      <c r="AR293" s="729"/>
      <c r="AS293" s="729"/>
      <c r="AT293" s="729"/>
      <c r="AU293" s="729"/>
      <c r="AV293" s="729"/>
      <c r="AW293" s="729"/>
      <c r="AX293" s="729"/>
      <c r="AY293" s="729"/>
    </row>
    <row r="294" spans="2:51" s="39" customFormat="1" ht="14" outlineLevel="1" x14ac:dyDescent="0.2">
      <c r="B294" s="1749" t="str">
        <f>+Energia!B174</f>
        <v>Lavorazioni dei prodotti venduti</v>
      </c>
      <c r="C294" s="1749"/>
      <c r="D294" s="1246" t="s">
        <v>115</v>
      </c>
      <c r="E294" s="1239"/>
      <c r="F294" s="1239"/>
      <c r="G294" s="1239"/>
      <c r="H294" s="1239"/>
      <c r="I294" s="1239"/>
      <c r="J294" s="1239"/>
      <c r="K294" s="1239"/>
      <c r="L294" s="1248"/>
      <c r="M294" s="1237"/>
      <c r="N294" s="1242"/>
      <c r="O294" s="1240"/>
      <c r="Z294" s="1162"/>
      <c r="AE294" s="1162"/>
      <c r="AI294" s="1162"/>
      <c r="AN294" s="729"/>
      <c r="AO294" s="729"/>
      <c r="AP294" s="729"/>
      <c r="AQ294" s="729"/>
      <c r="AR294" s="729"/>
      <c r="AS294" s="729"/>
      <c r="AT294" s="729"/>
      <c r="AU294" s="729"/>
      <c r="AV294" s="729"/>
      <c r="AW294" s="729"/>
      <c r="AX294" s="729"/>
      <c r="AY294" s="729"/>
    </row>
    <row r="295" spans="2:51" s="39" customFormat="1" ht="14" outlineLevel="1" x14ac:dyDescent="0.2">
      <c r="B295" s="1749" t="str">
        <f>+Energia!B175</f>
        <v xml:space="preserve">Uso dei prodotto venduti  </v>
      </c>
      <c r="C295" s="1749"/>
      <c r="D295" s="1246" t="s">
        <v>116</v>
      </c>
      <c r="E295" s="1239"/>
      <c r="F295" s="1239"/>
      <c r="G295" s="1239"/>
      <c r="H295" s="1239"/>
      <c r="I295" s="1239"/>
      <c r="J295" s="1239"/>
      <c r="K295" s="1239"/>
      <c r="L295" s="1248"/>
      <c r="M295" s="1237"/>
      <c r="N295" s="1242"/>
      <c r="O295" s="1240"/>
      <c r="Z295" s="1162"/>
      <c r="AE295" s="1162"/>
      <c r="AI295" s="1162"/>
      <c r="AN295" s="729"/>
      <c r="AO295" s="729"/>
      <c r="AP295" s="729"/>
      <c r="AQ295" s="729"/>
      <c r="AR295" s="729"/>
      <c r="AS295" s="729"/>
      <c r="AT295" s="729"/>
      <c r="AU295" s="729"/>
      <c r="AV295" s="729"/>
      <c r="AW295" s="729"/>
      <c r="AX295" s="729"/>
      <c r="AY295" s="729"/>
    </row>
    <row r="296" spans="2:51" s="39" customFormat="1" ht="14" outlineLevel="1" x14ac:dyDescent="0.2">
      <c r="B296" s="1749" t="str">
        <f>+Energia!B176</f>
        <v>Fine vita dei prodotti venduti</v>
      </c>
      <c r="C296" s="1749"/>
      <c r="D296" s="1246" t="s">
        <v>117</v>
      </c>
      <c r="E296" s="1239"/>
      <c r="F296" s="1239"/>
      <c r="G296" s="1239"/>
      <c r="H296" s="1239"/>
      <c r="I296" s="1239"/>
      <c r="J296" s="1239"/>
      <c r="K296" s="1239"/>
      <c r="L296" s="1248"/>
      <c r="M296" s="1237"/>
      <c r="N296" s="1242"/>
      <c r="O296" s="1240"/>
      <c r="Z296" s="1162"/>
      <c r="AE296" s="1162"/>
      <c r="AI296" s="1162"/>
      <c r="AN296" s="729"/>
      <c r="AO296" s="729"/>
      <c r="AP296" s="729"/>
      <c r="AQ296" s="729"/>
      <c r="AR296" s="729"/>
      <c r="AS296" s="729"/>
      <c r="AT296" s="729"/>
      <c r="AU296" s="729"/>
      <c r="AV296" s="729"/>
      <c r="AW296" s="729"/>
      <c r="AX296" s="729"/>
      <c r="AY296" s="729"/>
    </row>
    <row r="297" spans="2:51" s="39" customFormat="1" ht="14" outlineLevel="1" x14ac:dyDescent="0.2">
      <c r="B297" s="1749" t="str">
        <f>+Energia!B177</f>
        <v>Downstream leased assets</v>
      </c>
      <c r="C297" s="1749"/>
      <c r="D297" s="1246" t="s">
        <v>118</v>
      </c>
      <c r="E297" s="1239"/>
      <c r="F297" s="1239"/>
      <c r="G297" s="1239"/>
      <c r="H297" s="1239"/>
      <c r="I297" s="1239"/>
      <c r="J297" s="1239"/>
      <c r="K297" s="1239"/>
      <c r="L297" s="1248"/>
      <c r="M297" s="1237"/>
      <c r="N297" s="1242"/>
      <c r="O297" s="1240"/>
      <c r="Z297" s="1162"/>
      <c r="AE297" s="1162"/>
      <c r="AI297" s="1162"/>
      <c r="AN297" s="729"/>
      <c r="AO297" s="729"/>
      <c r="AP297" s="729"/>
      <c r="AQ297" s="729"/>
      <c r="AR297" s="729"/>
      <c r="AS297" s="729"/>
      <c r="AT297" s="729"/>
      <c r="AU297" s="729"/>
      <c r="AV297" s="729"/>
      <c r="AW297" s="729"/>
      <c r="AX297" s="729"/>
      <c r="AY297" s="729"/>
    </row>
    <row r="298" spans="2:51" s="39" customFormat="1" ht="14" outlineLevel="1" x14ac:dyDescent="0.2">
      <c r="B298" s="1749" t="str">
        <f>+Energia!B178</f>
        <v>Franchises</v>
      </c>
      <c r="C298" s="1749"/>
      <c r="D298" s="1246" t="s">
        <v>119</v>
      </c>
      <c r="E298" s="1239"/>
      <c r="F298" s="1239"/>
      <c r="G298" s="1239"/>
      <c r="H298" s="1239"/>
      <c r="I298" s="1239"/>
      <c r="J298" s="1239"/>
      <c r="K298" s="1239"/>
      <c r="L298" s="1248"/>
      <c r="M298" s="1237"/>
      <c r="N298" s="1242"/>
      <c r="O298" s="1240"/>
      <c r="Z298" s="1162"/>
      <c r="AE298" s="1162"/>
      <c r="AI298" s="1162"/>
      <c r="AN298" s="729"/>
      <c r="AO298" s="729"/>
      <c r="AP298" s="729"/>
      <c r="AQ298" s="729"/>
      <c r="AR298" s="729"/>
      <c r="AS298" s="729"/>
      <c r="AT298" s="729"/>
      <c r="AU298" s="729"/>
      <c r="AV298" s="729"/>
      <c r="AW298" s="729"/>
      <c r="AX298" s="729"/>
      <c r="AY298" s="729"/>
    </row>
    <row r="299" spans="2:51" s="39" customFormat="1" ht="14" outlineLevel="1" x14ac:dyDescent="0.2">
      <c r="B299" s="1749" t="str">
        <f>+Energia!B179</f>
        <v>Investimenti</v>
      </c>
      <c r="C299" s="1749"/>
      <c r="D299" s="1246" t="s">
        <v>120</v>
      </c>
      <c r="E299" s="1239"/>
      <c r="F299" s="1239"/>
      <c r="G299" s="1239"/>
      <c r="H299" s="1239"/>
      <c r="I299" s="1239"/>
      <c r="J299" s="1239"/>
      <c r="K299" s="1239"/>
      <c r="L299" s="1248"/>
      <c r="M299" s="1237"/>
      <c r="N299" s="1242"/>
      <c r="O299" s="1240"/>
      <c r="Z299" s="1162"/>
      <c r="AE299" s="1162"/>
      <c r="AI299" s="1162"/>
      <c r="AN299" s="729"/>
      <c r="AO299" s="729"/>
      <c r="AP299" s="729"/>
      <c r="AQ299" s="729"/>
      <c r="AR299" s="729"/>
      <c r="AS299" s="729"/>
      <c r="AT299" s="729"/>
      <c r="AU299" s="729"/>
      <c r="AV299" s="729"/>
      <c r="AW299" s="729"/>
      <c r="AX299" s="729"/>
      <c r="AY299" s="729"/>
    </row>
    <row r="300" spans="2:51" s="39" customFormat="1" outlineLevel="1" x14ac:dyDescent="0.2">
      <c r="B300" s="1749" t="str">
        <f>+Energia!B180</f>
        <v xml:space="preserve">Altre emissioni indirette in fase d'uso e fine vita </v>
      </c>
      <c r="C300" s="1749"/>
      <c r="D300" s="1238"/>
      <c r="E300" s="1239"/>
      <c r="F300" s="1239"/>
      <c r="G300" s="1239"/>
      <c r="H300" s="1239"/>
      <c r="I300" s="1239"/>
      <c r="J300" s="1239"/>
      <c r="K300" s="1239"/>
      <c r="L300" s="1248"/>
      <c r="M300" s="1237"/>
      <c r="N300" s="1242"/>
      <c r="O300" s="1240"/>
      <c r="Z300" s="1162"/>
      <c r="AE300" s="1162"/>
      <c r="AI300" s="1162"/>
      <c r="AN300" s="729"/>
      <c r="AO300" s="729"/>
      <c r="AP300" s="729"/>
      <c r="AQ300" s="729"/>
      <c r="AR300" s="729"/>
      <c r="AS300" s="729"/>
      <c r="AT300" s="729"/>
      <c r="AU300" s="729"/>
      <c r="AV300" s="729"/>
      <c r="AW300" s="729"/>
      <c r="AX300" s="729"/>
      <c r="AY300" s="729"/>
    </row>
    <row r="301" spans="2:51" s="39" customFormat="1" outlineLevel="1" x14ac:dyDescent="0.2">
      <c r="B301" s="1766" t="s">
        <v>96</v>
      </c>
      <c r="C301" s="1767"/>
      <c r="D301" s="1768"/>
      <c r="E301" s="1236">
        <f t="shared" ref="E301:O301" si="76">SUM(E283:E300)</f>
        <v>0</v>
      </c>
      <c r="F301" s="1236">
        <f t="shared" si="76"/>
        <v>0</v>
      </c>
      <c r="G301" s="1236">
        <f t="shared" si="76"/>
        <v>0</v>
      </c>
      <c r="H301" s="1236">
        <f t="shared" si="76"/>
        <v>0</v>
      </c>
      <c r="I301" s="1236">
        <f t="shared" si="76"/>
        <v>0</v>
      </c>
      <c r="J301" s="1236">
        <f t="shared" si="76"/>
        <v>0</v>
      </c>
      <c r="K301" s="1236">
        <f t="shared" si="76"/>
        <v>0</v>
      </c>
      <c r="L301" s="1236">
        <f t="shared" si="76"/>
        <v>96800.000000000015</v>
      </c>
      <c r="M301" s="1247">
        <f t="shared" si="76"/>
        <v>0</v>
      </c>
      <c r="N301" s="1243">
        <f>SQRT(SUMSQ(N283:N300))</f>
        <v>19360.000000000004</v>
      </c>
      <c r="O301" s="1244">
        <f t="shared" si="76"/>
        <v>0</v>
      </c>
      <c r="Z301" s="1162"/>
      <c r="AE301" s="1162"/>
      <c r="AI301" s="1162"/>
      <c r="AN301" s="729"/>
      <c r="AO301" s="729"/>
      <c r="AP301" s="729"/>
      <c r="AQ301" s="729"/>
      <c r="AR301" s="729"/>
      <c r="AS301" s="729"/>
      <c r="AT301" s="729"/>
      <c r="AU301" s="729"/>
      <c r="AV301" s="729"/>
      <c r="AW301" s="729"/>
      <c r="AX301" s="729"/>
      <c r="AY301" s="729"/>
    </row>
    <row r="302" spans="2:51" s="39" customFormat="1" ht="12" outlineLevel="1" x14ac:dyDescent="0.2">
      <c r="W302" s="1162"/>
      <c r="AB302" s="1162"/>
      <c r="AF302" s="1162"/>
      <c r="AK302" s="729"/>
      <c r="AL302" s="729"/>
      <c r="AM302" s="729"/>
      <c r="AN302" s="729"/>
      <c r="AO302" s="729"/>
      <c r="AP302" s="729"/>
      <c r="AQ302" s="729"/>
      <c r="AR302" s="729"/>
      <c r="AS302" s="729"/>
      <c r="AT302" s="729"/>
      <c r="AU302" s="729"/>
      <c r="AV302" s="729"/>
    </row>
    <row r="304" spans="2:51" s="39" customFormat="1" ht="15.75" customHeight="1" x14ac:dyDescent="0.2">
      <c r="B304" s="1741" t="str">
        <f>+Energia!B184</f>
        <v xml:space="preserve">Panoramica delle categorie definite nella  ISO/TR 14069:2013 </v>
      </c>
      <c r="C304" s="1742"/>
      <c r="D304" s="1742"/>
      <c r="E304" s="1742"/>
      <c r="F304" s="1742"/>
      <c r="G304" s="1742"/>
      <c r="H304" s="1742"/>
      <c r="I304" s="1742"/>
      <c r="J304" s="1742"/>
      <c r="K304" s="1742"/>
      <c r="L304" s="1742"/>
      <c r="M304" s="1742"/>
      <c r="N304" s="1742"/>
      <c r="O304" s="1743"/>
      <c r="W304" s="1162"/>
      <c r="AB304" s="1162"/>
      <c r="AF304" s="1162"/>
      <c r="AK304" s="729"/>
      <c r="AL304" s="729"/>
      <c r="AM304" s="729"/>
      <c r="AN304" s="729"/>
      <c r="AO304" s="729"/>
      <c r="AP304" s="729"/>
      <c r="AQ304" s="729"/>
      <c r="AR304" s="729"/>
      <c r="AS304" s="729"/>
      <c r="AT304" s="729"/>
      <c r="AU304" s="729"/>
      <c r="AV304" s="729"/>
    </row>
    <row r="305" spans="2:48" s="39" customFormat="1" ht="12" outlineLevel="1" x14ac:dyDescent="0.2">
      <c r="Q305" s="1317"/>
      <c r="R305" s="1317"/>
      <c r="W305" s="1162"/>
      <c r="AB305" s="1162"/>
      <c r="AF305" s="1162"/>
      <c r="AK305" s="729"/>
      <c r="AL305" s="729"/>
      <c r="AM305" s="729"/>
      <c r="AN305" s="729"/>
      <c r="AO305" s="729"/>
      <c r="AP305" s="729"/>
      <c r="AQ305" s="729"/>
      <c r="AR305" s="729"/>
      <c r="AS305" s="729"/>
      <c r="AT305" s="729"/>
      <c r="AU305" s="729"/>
      <c r="AV305" s="729"/>
    </row>
    <row r="306" spans="2:48" s="39" customFormat="1" ht="28" outlineLevel="1" x14ac:dyDescent="0.2">
      <c r="B306" s="118"/>
      <c r="C306" s="118"/>
      <c r="D306" s="118"/>
      <c r="E306" s="1735" t="s">
        <v>2498</v>
      </c>
      <c r="F306" s="1737"/>
      <c r="G306" s="1737"/>
      <c r="H306" s="1737"/>
      <c r="I306" s="1737"/>
      <c r="J306" s="1737"/>
      <c r="K306" s="1737"/>
      <c r="L306" s="1737"/>
      <c r="M306" s="1736"/>
      <c r="N306" s="1433" t="s">
        <v>2743</v>
      </c>
      <c r="O306" s="1430" t="s">
        <v>2517</v>
      </c>
      <c r="Q306" s="1317"/>
      <c r="R306" s="1317"/>
      <c r="W306" s="1162"/>
      <c r="AB306" s="1162"/>
      <c r="AF306" s="1162"/>
      <c r="AK306" s="729"/>
      <c r="AL306" s="729"/>
      <c r="AM306" s="729"/>
      <c r="AN306" s="729"/>
      <c r="AO306" s="729"/>
      <c r="AP306" s="729"/>
      <c r="AQ306" s="729"/>
      <c r="AR306" s="729"/>
      <c r="AS306" s="729"/>
      <c r="AT306" s="729"/>
      <c r="AU306" s="729"/>
      <c r="AV306" s="729"/>
    </row>
    <row r="307" spans="2:48" s="39" customFormat="1" ht="42" outlineLevel="1" x14ac:dyDescent="0.2">
      <c r="B307" s="1735" t="str">
        <f>+Energia!B187</f>
        <v>Sorgenti di emissione</v>
      </c>
      <c r="C307" s="1736"/>
      <c r="D307" s="1432" t="s">
        <v>2500</v>
      </c>
      <c r="E307" s="1431" t="s">
        <v>666</v>
      </c>
      <c r="F307" s="1431" t="s">
        <v>667</v>
      </c>
      <c r="G307" s="1431" t="s">
        <v>668</v>
      </c>
      <c r="H307" s="1431" t="s">
        <v>2582</v>
      </c>
      <c r="I307" s="1431" t="s">
        <v>2584</v>
      </c>
      <c r="J307" s="1432" t="s">
        <v>69</v>
      </c>
      <c r="K307" s="1431" t="s">
        <v>2520</v>
      </c>
      <c r="L307" s="1431" t="s">
        <v>2588</v>
      </c>
      <c r="M307" s="1431" t="s">
        <v>2586</v>
      </c>
      <c r="N307" s="1434" t="s">
        <v>669</v>
      </c>
      <c r="O307" s="1436" t="s">
        <v>69</v>
      </c>
      <c r="Q307" s="1317"/>
      <c r="R307" s="1317"/>
      <c r="W307" s="1162"/>
      <c r="AB307" s="1162"/>
      <c r="AF307" s="1162"/>
      <c r="AK307" s="729"/>
      <c r="AL307" s="729"/>
      <c r="AM307" s="729"/>
      <c r="AN307" s="729"/>
      <c r="AO307" s="729"/>
      <c r="AP307" s="729"/>
      <c r="AQ307" s="729"/>
      <c r="AR307" s="729"/>
      <c r="AS307" s="729"/>
      <c r="AT307" s="729"/>
      <c r="AU307" s="729"/>
      <c r="AV307" s="729"/>
    </row>
    <row r="308" spans="2:48" s="39" customFormat="1" ht="12.75" customHeight="1" outlineLevel="1" x14ac:dyDescent="0.2">
      <c r="B308" s="1733" t="str">
        <f>+Energia!B188</f>
        <v xml:space="preserve">Emissioni dirette da sorgenti di combustione stazionarie </v>
      </c>
      <c r="C308" s="1734"/>
      <c r="D308" s="1435">
        <v>1</v>
      </c>
      <c r="E308" s="1441"/>
      <c r="F308" s="1441"/>
      <c r="G308" s="1441"/>
      <c r="H308" s="1441"/>
      <c r="I308" s="1441"/>
      <c r="J308" s="1442"/>
      <c r="K308" s="1443"/>
      <c r="L308" s="1443"/>
      <c r="M308" s="1444"/>
      <c r="N308" s="1445"/>
      <c r="O308" s="1730" t="s">
        <v>2785</v>
      </c>
      <c r="Q308" s="1317"/>
      <c r="R308" s="1317"/>
      <c r="W308" s="1162"/>
      <c r="AB308" s="1162"/>
      <c r="AF308" s="1162"/>
      <c r="AK308" s="729"/>
      <c r="AL308" s="729"/>
      <c r="AM308" s="729"/>
      <c r="AN308" s="729"/>
      <c r="AO308" s="729"/>
      <c r="AP308" s="729"/>
      <c r="AQ308" s="729"/>
      <c r="AR308" s="729"/>
      <c r="AS308" s="729"/>
      <c r="AT308" s="729"/>
      <c r="AU308" s="729"/>
      <c r="AV308" s="729"/>
    </row>
    <row r="309" spans="2:48" s="39" customFormat="1" outlineLevel="1" x14ac:dyDescent="0.2">
      <c r="B309" s="1733" t="str">
        <f>+Energia!B189</f>
        <v>Emissioni dirette da sorgenti di combustione mobili</v>
      </c>
      <c r="C309" s="1734"/>
      <c r="D309" s="1435">
        <v>2</v>
      </c>
      <c r="E309" s="1441">
        <f>IF(D7="Yes",
SUMIF($G$22:$G$30,'Info utili'!$K$532,'Beni durevoli'!AR22:AR30)+SUMIF($G$92:$G$100,'Info utili'!$K$532,'Beni durevoli'!AR92:AR100)+SUMIF($G$22:$G$30,'Info utili'!$K$537,'Beni durevoli'!AR22:AR30)+SUMIF($G$92:$G$100,'Info utili'!$K$537,'Beni durevoli'!AR92:AR100),
SUMIF($G$22:$G$30,'Info utili'!$K$532,'Beni durevoli'!BE22:BE30)+SUMIF($G$92:$G$100,'Info utili'!$K$532,'Beni durevoli'!BE92:BE100)+SUMIF($G$22:$G$30,'Info utili'!$K$537,'Beni durevoli'!BE22:BE30)+SUMIF($G$92:$G$100,'Info utili'!$K$537,'Beni durevoli'!BE92:BE100))</f>
        <v>0</v>
      </c>
      <c r="F309" s="1441">
        <f>IF(D7="Yes",
SUMIF($G$22:$G$30,'Info utili'!$K$532,'Beni durevoli'!AT22:AT30)+SUMIF($G$92:$G$100,'Info utili'!$K$532,'Beni durevoli'!AT92:AT100)+SUMIF($G$22:$G$30,'Info utili'!$K$537,'Beni durevoli'!AT22:AT30)+SUMIF($G$92:$G$100,'Info utili'!$K$537,'Beni durevoli'!AT92:AT100),
SUMIF($G$22:$G$30,'Info utili'!$K$532,'Beni durevoli'!BG22:BG30)+SUMIF($G$92:$G$100,'Info utili'!$K$532,'Beni durevoli'!BG92:BG100)+SUMIF($G$22:$G$30,'Info utili'!$K$537,'Beni durevoli'!BG22:BG30)+SUMIF($G$92:$G$100,'Info utili'!$K$537,'Beni durevoli'!BG92:BG100))</f>
        <v>0</v>
      </c>
      <c r="G309" s="1441">
        <f>IF(D7="Yes",
SUMIF($G$22:$G$30,'Info utili'!$K$532,'Beni durevoli'!AV22:AV30)+SUMIF($G$92:$G$100,'Info utili'!$K$532,'Beni durevoli'!AV92:AV100)+SUMIF($G$22:$G$30,'Info utili'!$K$537,'Beni durevoli'!AV22:AV30)+SUMIF($G$92:$G$100,'Info utili'!$K$537,'Beni durevoli'!AV92:AV100),
SUMIF($G$22:$G$30,'Info utili'!$K$532,'Beni durevoli'!BI22:BI30)+SUMIF($G$92:$G$100,'Info utili'!$K$532,'Beni durevoli'!BI92:BI100)+SUMIF($G$22:$G$30,'Info utili'!$K$537,'Beni durevoli'!BI22:BI30)+SUMIF($G$92:$G$100,'Info utili'!$K$537,'Beni durevoli'!BI92:BI100))</f>
        <v>0</v>
      </c>
      <c r="H309" s="1441">
        <f>0</f>
        <v>0</v>
      </c>
      <c r="I309" s="1441">
        <v>0</v>
      </c>
      <c r="J309" s="1442">
        <f>IF(D7="Yes",
SUMIF($G$22:$G$30,'Info utili'!$K$532,'Beni durevoli'!AZ22:AZ30)+SUMIF($G$92:$G$100,'Info utili'!$K$532,'Beni durevoli'!AZ92:AZ100)+SUMIF($G$22:$G$30,'Info utili'!$K$537,'Beni durevoli'!AZ22:AZ30)+SUMIF($G$92:$G$100,'Info utili'!$K$537,'Beni durevoli'!AZ92:AZ100),
SUMIF($G$22:$G$30,'Info utili'!$K$532,'Beni durevoli'!BM22:BM30)+SUMIF($G$92:$G$100,'Info utili'!$K$532,'Beni durevoli'!BM92:BM100)+SUMIF($G$22:$G$30,'Info utili'!$K$537,'Beni durevoli'!BM22:BM30)+SUMIF($G$92:$G$100,'Info utili'!$K$537,'Beni durevoli'!BM92:BM100))</f>
        <v>0</v>
      </c>
      <c r="K309" s="1443">
        <f>IF(D7="Yes",
SUMIF($G$22:$G$30,'Info utili'!$K$532,'Beni durevoli'!BB22:BB30)+SUMIF($G$92:$G$100,'Info utili'!$K$532,'Beni durevoli'!BB92:BB100)+SUMIF($G$22:$G$30,'Info utili'!$K$537,'Beni durevoli'!BB22:BB30)+SUMIF($G$92:$G$100,'Info utili'!$K$537,'Beni durevoli'!BB92:BB100),
SUMIF($G$22:$G$30,'Info utili'!$K$532,'Beni durevoli'!BO22:BO30)+SUMIF($G$92:$G$100,'Info utili'!$K$532,'Beni durevoli'!BO92:BO100)+SUMIF($G$22:$G$30,'Info utili'!$K$537,'Beni durevoli'!BO22:BO30)+SUMIF($G$92:$G$100,'Info utili'!$K$537,'Beni durevoli'!BO92:BO100))</f>
        <v>0</v>
      </c>
      <c r="L309" s="1443">
        <v>0</v>
      </c>
      <c r="M309" s="1444">
        <f>IF(D7="Yes",
SQRT(SUMPRODUCT(($G$22:$G$30='Info utili'!$K$532)*1,AB22:AB30,AB22:AB30)+SUMPRODUCT(($G$92:$G$100='Info utili'!$K$532)*1,AB92:AB100,AB92:AB100)+SUMPRODUCT(($G$22:$G$30='Info utili'!$K$537)*1,AB22:AB30,AB22:AB30)+SUMPRODUCT(($G$92:$G$100='Info utili'!$K$537)*1,AB92:AB100,AB92:AB100)),
SQRT(SUMPRODUCT(($G$22:$G$30='Info utili'!$K$532)*1,BQ22:BQ30,BQ22:BQ30)+SUMPRODUCT(($G$92:$G$100='Info utili'!$K$532)*1,BQ92:BQ100,BQ92:BQ100)+SUMPRODUCT(($G$22:$G$30='Info utili'!$K$537)*1,BQ22:BQ30,BQ22:BQ30)+SUMPRODUCT(($G$92:$G$100='Info utili'!$K$537)*1,BQ92:BQ100,BQ92:BQ100)))</f>
        <v>0</v>
      </c>
      <c r="N309" s="1445"/>
      <c r="O309" s="1731"/>
      <c r="Q309" s="1317"/>
      <c r="R309" s="1317"/>
      <c r="W309" s="1162"/>
      <c r="AB309" s="1162"/>
      <c r="AF309" s="1162"/>
      <c r="AK309" s="729"/>
      <c r="AL309" s="729"/>
      <c r="AM309" s="729"/>
      <c r="AN309" s="729"/>
      <c r="AO309" s="729"/>
      <c r="AP309" s="729"/>
      <c r="AQ309" s="729"/>
      <c r="AR309" s="729"/>
      <c r="AS309" s="729"/>
      <c r="AT309" s="729"/>
      <c r="AU309" s="729"/>
      <c r="AV309" s="729"/>
    </row>
    <row r="310" spans="2:48" s="39" customFormat="1" outlineLevel="1" x14ac:dyDescent="0.2">
      <c r="B310" s="1733" t="str">
        <f>+Energia!B190</f>
        <v>Emissioni dirette da  processi</v>
      </c>
      <c r="C310" s="1734"/>
      <c r="D310" s="1435">
        <v>3</v>
      </c>
      <c r="E310" s="1441"/>
      <c r="F310" s="1441"/>
      <c r="G310" s="1441"/>
      <c r="H310" s="1441"/>
      <c r="I310" s="1441"/>
      <c r="J310" s="1442"/>
      <c r="K310" s="1443"/>
      <c r="L310" s="1443"/>
      <c r="M310" s="1444"/>
      <c r="N310" s="1445"/>
      <c r="O310" s="1731"/>
      <c r="Q310" s="1317"/>
      <c r="R310" s="1317"/>
      <c r="W310" s="1162"/>
      <c r="AB310" s="1162"/>
      <c r="AF310" s="1162"/>
      <c r="AK310" s="729"/>
      <c r="AL310" s="729"/>
      <c r="AM310" s="729"/>
      <c r="AN310" s="729"/>
      <c r="AO310" s="729"/>
      <c r="AP310" s="729"/>
      <c r="AQ310" s="729"/>
      <c r="AR310" s="729"/>
      <c r="AS310" s="729"/>
      <c r="AT310" s="729"/>
      <c r="AU310" s="729"/>
      <c r="AV310" s="729"/>
    </row>
    <row r="311" spans="2:48" s="39" customFormat="1" outlineLevel="1" x14ac:dyDescent="0.2">
      <c r="B311" s="1733" t="str">
        <f>+Energia!B191</f>
        <v>Emissioni dirette da  fonti fugitive</v>
      </c>
      <c r="C311" s="1734"/>
      <c r="D311" s="1435">
        <v>4</v>
      </c>
      <c r="E311" s="1441"/>
      <c r="F311" s="1441"/>
      <c r="G311" s="1441"/>
      <c r="H311" s="1441"/>
      <c r="I311" s="1441"/>
      <c r="J311" s="1442"/>
      <c r="K311" s="1443"/>
      <c r="L311" s="1443"/>
      <c r="M311" s="1444"/>
      <c r="N311" s="1445"/>
      <c r="O311" s="1731"/>
      <c r="Q311" s="1317"/>
      <c r="R311" s="1317"/>
      <c r="W311" s="1162"/>
      <c r="AB311" s="1162"/>
      <c r="AF311" s="1162"/>
      <c r="AK311" s="729"/>
      <c r="AL311" s="729"/>
      <c r="AM311" s="729"/>
      <c r="AN311" s="729"/>
      <c r="AO311" s="729"/>
      <c r="AP311" s="729"/>
      <c r="AQ311" s="729"/>
      <c r="AR311" s="729"/>
      <c r="AS311" s="729"/>
      <c r="AT311" s="729"/>
      <c r="AU311" s="729"/>
      <c r="AV311" s="729"/>
    </row>
    <row r="312" spans="2:48" s="39" customFormat="1" outlineLevel="1" x14ac:dyDescent="0.2">
      <c r="B312" s="1733" t="str">
        <f>+Energia!B192</f>
        <v>Emissioni dirette da LULUCF</v>
      </c>
      <c r="C312" s="1734"/>
      <c r="D312" s="1435">
        <v>5</v>
      </c>
      <c r="E312" s="1441"/>
      <c r="F312" s="1441"/>
      <c r="G312" s="1441"/>
      <c r="H312" s="1441"/>
      <c r="I312" s="1441"/>
      <c r="J312" s="1442"/>
      <c r="K312" s="1443"/>
      <c r="L312" s="1443"/>
      <c r="M312" s="1444"/>
      <c r="N312" s="1446"/>
      <c r="O312" s="1731"/>
      <c r="Q312" s="1317"/>
      <c r="R312" s="1317"/>
      <c r="W312" s="1162"/>
      <c r="AB312" s="1162"/>
      <c r="AF312" s="1162"/>
      <c r="AK312" s="729"/>
      <c r="AL312" s="729"/>
      <c r="AM312" s="729"/>
      <c r="AN312" s="729"/>
      <c r="AO312" s="729"/>
      <c r="AP312" s="729"/>
      <c r="AQ312" s="729"/>
      <c r="AR312" s="729"/>
      <c r="AS312" s="729"/>
      <c r="AT312" s="729"/>
      <c r="AU312" s="729"/>
      <c r="AV312" s="729"/>
    </row>
    <row r="313" spans="2:48" s="39" customFormat="1" outlineLevel="1" x14ac:dyDescent="0.2">
      <c r="B313" s="1738" t="s">
        <v>98</v>
      </c>
      <c r="C313" s="1738"/>
      <c r="D313" s="1738"/>
      <c r="E313" s="1447">
        <f>SUM(E308:E312)</f>
        <v>0</v>
      </c>
      <c r="F313" s="1447">
        <f t="shared" ref="F313:N313" si="77">SUM(F308:F312)</f>
        <v>0</v>
      </c>
      <c r="G313" s="1447">
        <f t="shared" si="77"/>
        <v>0</v>
      </c>
      <c r="H313" s="1447">
        <f t="shared" si="77"/>
        <v>0</v>
      </c>
      <c r="I313" s="1447">
        <f t="shared" si="77"/>
        <v>0</v>
      </c>
      <c r="J313" s="1447">
        <f t="shared" si="77"/>
        <v>0</v>
      </c>
      <c r="K313" s="1448">
        <f t="shared" si="77"/>
        <v>0</v>
      </c>
      <c r="L313" s="1448">
        <f t="shared" si="77"/>
        <v>0</v>
      </c>
      <c r="M313" s="1449">
        <f>SQRT(SUMSQ(M308:M312))</f>
        <v>0</v>
      </c>
      <c r="N313" s="1450">
        <f t="shared" si="77"/>
        <v>0</v>
      </c>
      <c r="O313" s="1732"/>
      <c r="Q313" s="1317"/>
      <c r="R313" s="1317"/>
      <c r="W313" s="1162"/>
      <c r="AB313" s="1162"/>
      <c r="AF313" s="1162"/>
      <c r="AK313" s="729"/>
      <c r="AL313" s="729"/>
      <c r="AM313" s="729"/>
      <c r="AN313" s="729"/>
      <c r="AO313" s="729"/>
      <c r="AP313" s="729"/>
      <c r="AQ313" s="729"/>
      <c r="AR313" s="729"/>
      <c r="AS313" s="729"/>
      <c r="AT313" s="729"/>
      <c r="AU313" s="729"/>
      <c r="AV313" s="729"/>
    </row>
    <row r="314" spans="2:48" s="39" customFormat="1" outlineLevel="1" x14ac:dyDescent="0.2">
      <c r="B314" s="1733" t="str">
        <f>+Energia!B194</f>
        <v xml:space="preserve">Emissioni indirette da consumo di elettricità </v>
      </c>
      <c r="C314" s="1734"/>
      <c r="D314" s="1435">
        <v>6</v>
      </c>
      <c r="E314" s="1441"/>
      <c r="F314" s="1441"/>
      <c r="G314" s="1441"/>
      <c r="H314" s="1441"/>
      <c r="I314" s="1441"/>
      <c r="J314" s="1442"/>
      <c r="K314" s="1443"/>
      <c r="L314" s="1443"/>
      <c r="M314" s="1444"/>
      <c r="N314" s="1445"/>
      <c r="O314" s="1451"/>
      <c r="Q314" s="1317"/>
      <c r="R314" s="1317"/>
      <c r="W314" s="1162"/>
      <c r="AB314" s="1162"/>
      <c r="AF314" s="1162"/>
      <c r="AK314" s="729"/>
      <c r="AL314" s="729"/>
      <c r="AM314" s="729"/>
      <c r="AN314" s="729"/>
      <c r="AO314" s="729"/>
      <c r="AP314" s="729"/>
      <c r="AQ314" s="729"/>
      <c r="AR314" s="729"/>
      <c r="AS314" s="729"/>
      <c r="AT314" s="729"/>
      <c r="AU314" s="729"/>
      <c r="AV314" s="729"/>
    </row>
    <row r="315" spans="2:48" s="39" customFormat="1" outlineLevel="1" x14ac:dyDescent="0.2">
      <c r="B315" s="1733" t="str">
        <f>+Energia!B195</f>
        <v xml:space="preserve">Emissioni indirette da consumi di energia di rete (senza l'eletricita) </v>
      </c>
      <c r="C315" s="1734"/>
      <c r="D315" s="1435">
        <v>7</v>
      </c>
      <c r="E315" s="1441"/>
      <c r="F315" s="1441"/>
      <c r="G315" s="1441"/>
      <c r="H315" s="1441"/>
      <c r="I315" s="1441"/>
      <c r="J315" s="1442"/>
      <c r="K315" s="1443"/>
      <c r="L315" s="1443"/>
      <c r="M315" s="1444"/>
      <c r="N315" s="1445"/>
      <c r="O315" s="1445"/>
      <c r="Q315" s="1317"/>
      <c r="R315" s="1317"/>
      <c r="W315" s="1162"/>
      <c r="AB315" s="1162"/>
      <c r="AF315" s="1162"/>
      <c r="AK315" s="729"/>
      <c r="AL315" s="729"/>
      <c r="AM315" s="729"/>
      <c r="AN315" s="729"/>
      <c r="AO315" s="729"/>
      <c r="AP315" s="729"/>
      <c r="AQ315" s="729"/>
      <c r="AR315" s="729"/>
      <c r="AS315" s="729"/>
      <c r="AT315" s="729"/>
      <c r="AU315" s="729"/>
      <c r="AV315" s="729"/>
    </row>
    <row r="316" spans="2:48" s="39" customFormat="1" outlineLevel="1" x14ac:dyDescent="0.2">
      <c r="B316" s="1738" t="s">
        <v>97</v>
      </c>
      <c r="C316" s="1738"/>
      <c r="D316" s="1738"/>
      <c r="E316" s="1447">
        <f>SUM(E314:E315)</f>
        <v>0</v>
      </c>
      <c r="F316" s="1447">
        <f t="shared" ref="F316:O316" si="78">SUM(F314:F315)</f>
        <v>0</v>
      </c>
      <c r="G316" s="1447">
        <f t="shared" si="78"/>
        <v>0</v>
      </c>
      <c r="H316" s="1447">
        <f t="shared" si="78"/>
        <v>0</v>
      </c>
      <c r="I316" s="1447">
        <f t="shared" si="78"/>
        <v>0</v>
      </c>
      <c r="J316" s="1447">
        <f t="shared" si="78"/>
        <v>0</v>
      </c>
      <c r="K316" s="1448">
        <f t="shared" si="78"/>
        <v>0</v>
      </c>
      <c r="L316" s="1448">
        <f t="shared" si="78"/>
        <v>0</v>
      </c>
      <c r="M316" s="1449">
        <f>SQRT(SUMSQ(M314:M315))</f>
        <v>0</v>
      </c>
      <c r="N316" s="1450">
        <f t="shared" si="78"/>
        <v>0</v>
      </c>
      <c r="O316" s="1450">
        <f t="shared" si="78"/>
        <v>0</v>
      </c>
      <c r="Q316" s="1317"/>
      <c r="R316" s="1317"/>
      <c r="W316" s="1162"/>
      <c r="AB316" s="1162"/>
      <c r="AF316" s="1162"/>
      <c r="AK316" s="729"/>
      <c r="AL316" s="729"/>
      <c r="AM316" s="729"/>
      <c r="AN316" s="729"/>
      <c r="AO316" s="729"/>
      <c r="AP316" s="729"/>
      <c r="AQ316" s="729"/>
      <c r="AR316" s="729"/>
      <c r="AS316" s="729"/>
      <c r="AT316" s="729"/>
      <c r="AU316" s="729"/>
      <c r="AV316" s="729"/>
    </row>
    <row r="317" spans="2:48" s="39" customFormat="1" outlineLevel="1" x14ac:dyDescent="0.2">
      <c r="B317" s="1733" t="str">
        <f>+Energia!B197</f>
        <v>Emissioni dovute all'energia non coperte dalle sorgenti da 1 a 7</v>
      </c>
      <c r="C317" s="1734"/>
      <c r="D317" s="1435">
        <v>8</v>
      </c>
      <c r="E317" s="1441">
        <f>IF(D7="Yes",
SUMIF($G$22:$G$30,'Info utili'!$K$532,'Beni durevoli'!AQ22:AQ30)+SUMIF($G$92:$G$100,'Info utili'!$K$532,'Beni durevoli'!AQ92:AQ100)+SUMIF($G$22:$G$30,'Info utili'!$K$537,'Beni durevoli'!AQ22:AQ30)+SUMIF($G$92:$G$100,'Info utili'!$K$537,'Beni durevoli'!AQ92:AQ100),
SUMIF($G$22:$G$30,'Info utili'!$K$532,'Beni durevoli'!BD22:BD30)+SUMIF($G$92:$G$100,'Info utili'!$K$532,'Beni durevoli'!BD92:BD100)+SUMIF($G$22:$G$30,'Info utili'!$K$537,'Beni durevoli'!BD22:BD30)+SUMIF($G$92:$G$100,'Info utili'!$K$537,'Beni durevoli'!BD92:BD100))</f>
        <v>0</v>
      </c>
      <c r="F317" s="1441">
        <f>IF(D7="Yes",
SUMIF($G$22:$G$30,'Info utili'!$K$532,'Beni durevoli'!AS22:AS30)+SUMIF($G$92:$G$100,'Info utili'!$K$532,'Beni durevoli'!AS92:AS100)+SUMIF($G$22:$G$30,'Info utili'!$K$537,'Beni durevoli'!AS22:AS30)+SUMIF($G$92:$G$100,'Info utili'!$K$537,'Beni durevoli'!AS92:AS100),
SUMIF($G$22:$G$30,'Info utili'!$K$532,'Beni durevoli'!BF22:BF30)+SUMIF($G$92:$G$100,'Info utili'!$K$532,'Beni durevoli'!BF92:BF100)+SUMIF($G$22:$G$30,'Info utili'!$K$537,'Beni durevoli'!BF22:BF30)+SUMIF($G$92:$G$100,'Info utili'!$K$537,'Beni durevoli'!BF92:BF100))</f>
        <v>0</v>
      </c>
      <c r="G317" s="1441">
        <f>IF(D7="Yes",
SUMIF($G$22:$G$30,'Info utili'!$K$532,'Beni durevoli'!AU22:AU30)+SUMIF($G$92:$G$100,'Info utili'!$K$532,'Beni durevoli'!AU92:AU100)+SUMIF($G$22:$G$30,'Info utili'!$K$537,'Beni durevoli'!AU22:AU30)+SUMIF($G$92:$G$100,'Info utili'!$K$537,'Beni durevoli'!AU92:AU100),
SUMIF($G$22:$G$30,'Info utili'!$K$532,'Beni durevoli'!BH22:BH30)+SUMIF($G$92:$G$100,'Info utili'!$K$532,'Beni durevoli'!BH92:BH100)+SUMIF($G$22:$G$30,'Info utili'!$K$537,'Beni durevoli'!BH22:BH30)+SUMIF($G$92:$G$100,'Info utili'!$K$537,'Beni durevoli'!BH92:BH100))</f>
        <v>0</v>
      </c>
      <c r="H317" s="1441">
        <v>0</v>
      </c>
      <c r="I317" s="1441">
        <v>0</v>
      </c>
      <c r="J317" s="1442">
        <f>IF(D7="Yes",
SUMIF($G$22:$G$30,'Info utili'!$K$532,'Beni durevoli'!AY22:AY30)+SUMIF($G$92:$G$100,'Info utili'!$K$532,'Beni durevoli'!AY92:AY100)+SUMIF($G$22:$G$30,'Info utili'!$K$537,'Beni durevoli'!AY22:AY30)+SUMIF($G$92:$G$100,'Info utili'!$K$537,'Beni durevoli'!AY92:AY100),
SUMIF($G$22:$G$30,'Info utili'!$K$532,'Beni durevoli'!BL22:BL30)+SUMIF($G$92:$G$100,'Info utili'!$K$532,'Beni durevoli'!BL92:BL100)+SUMIF($G$22:$G$30,'Info utili'!$K$537,'Beni durevoli'!BL22:BL30)+SUMIF($G$92:$G$100,'Info utili'!$K$537,'Beni durevoli'!BL92:BL100))</f>
        <v>0</v>
      </c>
      <c r="K317" s="1443">
        <f>IF(D7="Yes",
SUMIF($G$22:$G$30,'Info utili'!$K$532,'Beni durevoli'!BA22:BA30)+SUMIF($G$92:$G$100,'Info utili'!$K$532,'Beni durevoli'!BA92:BA100)+SUMIF($G$22:$G$30,'Info utili'!$K$537,'Beni durevoli'!BA22:BA30)+SUMIF($G$92:$G$100,'Info utili'!$K$537,'Beni durevoli'!BA92:BA100),
SUMIF($G$22:$G$30,'Info utili'!$K$532,'Beni durevoli'!BN22:BN30)+SUMIF($G$92:$G$100,'Info utili'!$K$532,'Beni durevoli'!BN92:BN100)+SUMIF($G$22:$G$30,'Info utili'!$K$537,'Beni durevoli'!BN22:BN30)+SUMIF($G$92:$G$100,'Info utili'!$K$537,'Beni durevoli'!BN92:BN100))</f>
        <v>0</v>
      </c>
      <c r="L317" s="1443">
        <v>0</v>
      </c>
      <c r="M317" s="1444">
        <f>IF(D7="Yes",
SQRT(SUMPRODUCT(($G$22:$G$30='Info utili'!$K$532)*1,AA22:AA30,AA22:AA30)+SUMPRODUCT(($G$92:$G$100='Info utili'!$K$532)*1,AA92:AA100,AA92:AA100)+SUMPRODUCT(($G$22:$G$30='Info utili'!$K$537)*1,AA22:AA30,AA22:AA30)+SUMPRODUCT(($G$92:$G$100='Info utili'!$K$537)*1,AA92:AA100,AA92:AA100)),
SQRT(SUMPRODUCT(($G$22:$G$30='Info utili'!$K$532)*1,BP22:BP30,BP22:BP30)+SUMPRODUCT(($G$92:$G$100='Info utili'!$K$532)*1,BP92:BP100,BP92:BP100)+SUMPRODUCT(($G$22:$G$30='Info utili'!$K$537)*1,BP22:BP30,BP22:BP30)+SUMPRODUCT(($G$92:$G$100='Info utili'!$K$537)*1,BP92:BP100,BP92:BP100)))</f>
        <v>0</v>
      </c>
      <c r="N317" s="1445"/>
      <c r="O317" s="1445"/>
      <c r="Q317" s="1317"/>
      <c r="R317" s="1317"/>
      <c r="W317" s="1162"/>
      <c r="AB317" s="1162"/>
      <c r="AF317" s="1162"/>
      <c r="AK317" s="729"/>
      <c r="AL317" s="729"/>
      <c r="AM317" s="729"/>
      <c r="AN317" s="729"/>
      <c r="AO317" s="729"/>
      <c r="AP317" s="729"/>
      <c r="AQ317" s="729"/>
      <c r="AR317" s="729"/>
      <c r="AS317" s="729"/>
      <c r="AT317" s="729"/>
      <c r="AU317" s="729"/>
      <c r="AV317" s="729"/>
    </row>
    <row r="318" spans="2:48" s="39" customFormat="1" outlineLevel="1" x14ac:dyDescent="0.2">
      <c r="B318" s="1733" t="str">
        <f>+Energia!B198</f>
        <v>Beni acquistati</v>
      </c>
      <c r="C318" s="1734"/>
      <c r="D318" s="1435">
        <v>9</v>
      </c>
      <c r="E318" s="1441"/>
      <c r="F318" s="1441"/>
      <c r="G318" s="1441"/>
      <c r="H318" s="1441"/>
      <c r="I318" s="1441"/>
      <c r="J318" s="1442"/>
      <c r="K318" s="1443"/>
      <c r="L318" s="1443"/>
      <c r="M318" s="1444"/>
      <c r="N318" s="1445"/>
      <c r="O318" s="1445"/>
      <c r="Q318" s="1317"/>
      <c r="R318" s="1317"/>
      <c r="W318" s="1162"/>
      <c r="AB318" s="1162"/>
      <c r="AF318" s="1162"/>
      <c r="AK318" s="729"/>
      <c r="AL318" s="729"/>
      <c r="AM318" s="729"/>
      <c r="AN318" s="729"/>
      <c r="AO318" s="729"/>
      <c r="AP318" s="729"/>
      <c r="AQ318" s="729"/>
      <c r="AR318" s="729"/>
      <c r="AS318" s="729"/>
      <c r="AT318" s="729"/>
      <c r="AU318" s="729"/>
      <c r="AV318" s="729"/>
    </row>
    <row r="319" spans="2:48" s="39" customFormat="1" outlineLevel="1" x14ac:dyDescent="0.2">
      <c r="B319" s="1733" t="str">
        <f>+Energia!B199</f>
        <v>Beni di consumo</v>
      </c>
      <c r="C319" s="1734"/>
      <c r="D319" s="1435">
        <v>10</v>
      </c>
      <c r="E319" s="1441">
        <f>IF(D7="Yes",
SUMIF($G$22:$G$30,'Info utili'!$K$533,'Beni durevoli'!AR22:AR30)+SUMIF($G$92:$G$100,'Info utili'!$K$533,'Beni durevoli'!AR92:AR100)+SUMIF($G$22:$G$30,'Info utili'!$K$533,'Beni durevoli'!AQ22:AQ30)+SUMIF($G$92:$G$100,'Info utili'!$K$533,'Beni durevoli'!AQ92:AQ100)+SUMIF($G$22:$G$30,'Info utili'!$K$538,'Beni durevoli'!AR22:AR30)+SUMIF($G$92:$G$100,'Info utili'!$K$538,'Beni durevoli'!AR92:AR100)+SUMIF($G$22:$G$30,'Info utili'!$K$538,'Beni durevoli'!AQ22:AQ30)+SUMIF($G$92:$G$100,'Info utili'!$K$538,'Beni durevoli'!AQ92:AQ100)+AQ20+AQ40+AQ50+AQ60+AQ70+AQ80+AQ110+AQ120+AQ130+AQ140+AQ150+AQ160+AQ180+AQ190+AQ200+AQ210+AQ220+AQ242+AQ250,
SUMIF($G$22:$G$30,'Info utili'!$K$533,'Beni durevoli'!BE22:BE30)+SUMIF($G$92:$G$100,'Info utili'!$K$533,'Beni durevoli'!BE92:BE100)+SUMIF($G$22:$G$30,'Info utili'!$K$533,'Beni durevoli'!BD22:BD30)+SUMIF($G$92:$G$100,'Info utili'!$K$533,'Beni durevoli'!BD92:BD100)+SUMIF($G$22:$G$30,'Info utili'!$K$538,'Beni durevoli'!BE22:BE30)+SUMIF($G$92:$G$100,'Info utili'!$K$538,'Beni durevoli'!BE92:BE100)+SUMIF($G$22:$G$30,'Info utili'!$K$538,'Beni durevoli'!BD22:BD30)+SUMIF($G$92:$G$100,'Info utili'!$K$538,'Beni durevoli'!BD92:BD100)+BD20+BD40+BD50+BD60+BD70+BD80+BD110+BD120+BD130+BD140+BD150+BD160+BD180+BD190+BD200+BD210+BD220+BD242+BD250)</f>
        <v>0</v>
      </c>
      <c r="F319" s="1441">
        <f>IF(D7="Yes",
SUMIF($G$22:$G$30,'Info utili'!$K$533,'Beni durevoli'!AT22:AT30)+SUMIF($G$92:$G$100,'Info utili'!$K$533,'Beni durevoli'!AT92:AT100)+SUMIF($G$22:$G$30,'Info utili'!$K$533,'Beni durevoli'!AS22:AS30)+SUMIF($G$92:$G$100,'Info utili'!$K$533,'Beni durevoli'!AS92:AS100)+SUMIF($G$22:$G$30,'Info utili'!$K$538,'Beni durevoli'!AT22:AT30)+SUMIF($G$92:$G$100,'Info utili'!$K$538,'Beni durevoli'!AT92:AT100)+SUMIF($G$22:$G$30,'Info utili'!$K$538,'Beni durevoli'!AS22:AS30)+SUMIF($G$92:$G$100,'Info utili'!$K$538,'Beni durevoli'!AS92:AS100)+AR20+AR40+AR50+AR60+AR70+AR80+AR110+AR120+AR130+AR140+AR150+AR160+AR180+AR190+AR200+AR210+AR220+AR242+AR250,
SUMIF($G$22:$G$30,'Info utili'!$K$533,'Beni durevoli'!BG22:BG30)+SUMIF($G$92:$G$100,'Info utili'!$K$533,'Beni durevoli'!BG92:BG100)+SUMIF($G$22:$G$30,'Info utili'!$K$533,'Beni durevoli'!BF22:BF30)+SUMIF($G$92:$G$100,'Info utili'!$K$533,'Beni durevoli'!BF92:BF100)+SUMIF($G$22:$G$30,'Info utili'!$K$538,'Beni durevoli'!BG22:BG30)+SUMIF($G$92:$G$100,'Info utili'!$K$538,'Beni durevoli'!BG92:BG100)+SUMIF($G$22:$G$30,'Info utili'!$K$538,'Beni durevoli'!BF22:BF30)+SUMIF($G$92:$G$100,'Info utili'!$K$538,'Beni durevoli'!BF92:BF100)+BE20+BE40+BE50+BE60+BE70+BE80+BE110+BE120+BE130+BE140+BE150+BE160+BE180+BE190+BE200+BE210+BE220+BE242+BE250)</f>
        <v>0</v>
      </c>
      <c r="G319" s="1441">
        <f>IF(D7="Yes",
SUMIF($G$22:$G$30,'Info utili'!$K$533,'Beni durevoli'!AV22:AV30)+SUMIF($G$92:$G$100,'Info utili'!$K$533,'Beni durevoli'!AV92:AV100)+SUMIF($G$22:$G$30,'Info utili'!$K$533,'Beni durevoli'!AU22:AU30)+SUMIF($G$92:$G$100,'Info utili'!$K$533,'Beni durevoli'!AU92:AU100)+SUMIF($G$22:$G$30,'Info utili'!$K$538,'Beni durevoli'!AV22:AV30)+SUMIF($G$92:$G$100,'Info utili'!$K$538,'Beni durevoli'!AV92:AV100)+SUMIF($G$22:$G$30,'Info utili'!$K$538,'Beni durevoli'!AU22:AU30)+SUMIF($G$92:$G$100,'Info utili'!$K$538,'Beni durevoli'!AU92:AU100)+AS20+AS40+AS50+AS60+AS70+AS80+AS110+AS120+AS130+AS140+AS150+AS160+AS180+AS190+AS200+AS210+AS220+AS242+AS250,
SUMIF($G$22:$G$30,'Info utili'!$K$533,'Beni durevoli'!BI22:BI30)+SUMIF($G$92:$G$100,'Info utili'!$K$533,'Beni durevoli'!BI92:BI100)+SUMIF($G$22:$G$30,'Info utili'!$K$533,'Beni durevoli'!BH22:BH30)+SUMIF($G$92:$G$100,'Info utili'!$K$533,'Beni durevoli'!BH92:BH100)+SUMIF($G$22:$G$30,'Info utili'!$K$538,'Beni durevoli'!BI22:BI30)+SUMIF($G$92:$G$100,'Info utili'!$K$538,'Beni durevoli'!BI92:BI100)+SUMIF($G$22:$G$30,'Info utili'!$K$538,'Beni durevoli'!BH22:BH30)+SUMIF($G$92:$G$100,'Info utili'!$K$538,'Beni durevoli'!BH92:BH100)+BF20+BF40+BF50+BF60+BF70+BF80+BF110+BF120+BF130+BF140+BF150+BF160+BF180+BF190+BF200+BF210+BF220+BF242+BF250)</f>
        <v>0</v>
      </c>
      <c r="H319" s="1441">
        <v>0</v>
      </c>
      <c r="I319" s="1441">
        <v>0</v>
      </c>
      <c r="J319" s="1442">
        <f>IF(D7="Yes",
SUMIF($G$22:$G$30,'Info utili'!$K$533,'Beni durevoli'!AZ22:AZ30)+SUMIF($G$92:$G$100,'Info utili'!$K$533,'Beni durevoli'!AZ92:AZ100)+SUMIF($G$22:$G$30,'Info utili'!$K$533,'Beni durevoli'!AY22:AY30)+SUMIF($G$92:$G$100,'Info utili'!$K$533,'Beni durevoli'!AY92:AY100)+SUMIF($G$22:$G$30,'Info utili'!$K$538,'Beni durevoli'!AZ22:AZ30)+SUMIF($G$92:$G$100,'Info utili'!$K$538,'Beni durevoli'!AZ92:AZ100)+SUMIF($G$22:$G$30,'Info utili'!$K$538,'Beni durevoli'!AY22:AY30)+SUMIF($G$92:$G$100,'Info utili'!$K$538,'Beni durevoli'!AY92:AY100)+AU20+AU40+AU50+AU60+AU70+AU80+AU110+AU120+AU130+AU140+AU150+AU160+AU180+AU190+AU200+AU210+AU220+AU242+AU250,
SUMIF($G$22:$G$30,'Info utili'!$K$533,'Beni durevoli'!BM22:BM30)+SUMIF($G$92:$G$100,'Info utili'!$K$533,'Beni durevoli'!BM92:BM100)+SUMIF($G$22:$G$30,'Info utili'!$K$533,'Beni durevoli'!BL22:BL30)+SUMIF($G$92:$G$100,'Info utili'!$K$533,'Beni durevoli'!BL92:BL100)+SUMIF($G$22:$G$30,'Info utili'!$K$538,'Beni durevoli'!BM22:BM30)+SUMIF($G$92:$G$100,'Info utili'!$K$538,'Beni durevoli'!BM92:BM100)+SUMIF($G$22:$G$30,'Info utili'!$K$538,'Beni durevoli'!BL22:BL30)+SUMIF($G$92:$G$100,'Info utili'!$K$538,'Beni durevoli'!BL92:BL100)+BH20+BH40+BH50+BH60+BH70+BH80+BH110+BH120+BH130+BH140+BH150+BH160+BH180+BH190+BH200+BH210+BH220+BH242+BH250)</f>
        <v>9680.0000000000018</v>
      </c>
      <c r="K319" s="1443">
        <f>IF(D7="Yes",
SUMIF($G$22:$G$30,'Info utili'!$K$533,'Beni durevoli'!BB22:BB30)+SUMIF($G$92:$G$100,'Info utili'!$K$533,'Beni durevoli'!BB92:BB100)+SUMIF($G$22:$G$30,'Info utili'!$K$533,'Beni durevoli'!BA22:BA30)+SUMIF($G$92:$G$100,'Info utili'!$K$533,'Beni durevoli'!BA92:BA100)+SUMIF($G$22:$G$30,'Info utili'!$K$538,'Beni durevoli'!BB22:BB30)+SUMIF($G$92:$G$100,'Info utili'!$K$538,'Beni durevoli'!BB92:BB100)+SUMIF($G$22:$G$30,'Info utili'!$K$538,'Beni durevoli'!BA22:BA30)+SUMIF($G$92:$G$100,'Info utili'!$K$538,'Beni durevoli'!BA92:BA100)+AV20+AV40+AV50+AV60+AV70+AV80+AV110+AV120+AV130+AV140+AV150+AV160+AV180+AV190+AV200+AV210+AV220+AV242+AV250,
SUMIF($G$22:$G$30,'Info utili'!$K$533,'Beni durevoli'!BO22:BO30)+SUMIF($G$92:$G$100,'Info utili'!$K$533,'Beni durevoli'!BO92:BO100)+SUMIF($G$22:$G$30,'Info utili'!$K$533,'Beni durevoli'!BN22:BN30)+SUMIF($G$92:$G$100,'Info utili'!$K$533,'Beni durevoli'!BN92:BN100)+SUMIF($G$22:$G$30,'Info utili'!$K$538,'Beni durevoli'!BO22:BO30)+SUMIF($G$92:$G$100,'Info utili'!$K$538,'Beni durevoli'!BO92:BO100)+SUMIF($G$22:$G$30,'Info utili'!$K$538,'Beni durevoli'!BN22:BN30)+SUMIF($G$92:$G$100,'Info utili'!$K$538,'Beni durevoli'!BN92:BN100)+BI20+BI40+BI50+BI60+BI70+BI80+BI110+BI120+BI130+BI140+BI150+BI160+BI180+BI190+BI200+BI210+BI220+BI242+BI250)</f>
        <v>0</v>
      </c>
      <c r="L319" s="1443">
        <v>0</v>
      </c>
      <c r="M319" s="1444">
        <f>IF(D7="Yes",
SQRT(SUMPRODUCT(($G$22:$G$30='Info utili'!$K$533)*1,AB22:AB30,AB22:AB30)+SUMPRODUCT(($G$92:$G$100='Info utili'!$K$533)*1,AB92:AB100,AB92:AB100)+SUMPRODUCT(($G$22:$G$30='Info utili'!$K$533)*1,AA22:AA30,AA22:AA30)+SUMPRODUCT(($G$92:$G$100='Info utili'!$K$533)*1,AA92:AA100,AA92:AA100)+SUMPRODUCT(($G$22:$G$30='Info utili'!$K$538)*1,AB22:AB30,AB22:AB30)+SUMPRODUCT(($G$92:$G$100='Info utili'!$K$538)*1,AB92:AB100,AB92:AB100)+SUMPRODUCT(($G$22:$G$30='Info utili'!$K$538)*1,AA22:AA30,AA22:AA30)+SUMPRODUCT(($G$92:$G$100='Info utili'!$K$538)*1,AA92:AA100,AA92:AA100)+AA20^2+AA40^2+AA50^2+AA60^2+AA70^2+AA80^2+AA110^2+AA120^2+AA130^2+AA140^2+AA150^2+AA160^2+AA180^2+AA190^2+AA200^2+AA210^2+AA220^2+AA242^2+AA250^2),
SQRT(SUMPRODUCT(($G$22:$G$30='Info utili'!$K$533)*1,BQ22:BQ30,BQ22:BQ30)+SUMPRODUCT(($G$92:$G$100='Info utili'!$K$533)*1,BQ92:BQ100,BQ92:BQ100)+SUMPRODUCT(($G$22:$G$30='Info utili'!$K$533)*1,BP22:BP30,BP22:BP30)+SUMPRODUCT(($G$92:$G$100='Info utili'!$K$533)*1,BP92:BP100,BP92:BP100)+SUMPRODUCT(($G$22:$G$30='Info utili'!$K$538)*1,BQ22:BQ30,BQ22:BQ30)+SUMPRODUCT(($G$92:$G$100='Info utili'!$K$538)*1,BQ92:BQ100,BQ92:BQ100)+SUMPRODUCT(($G$22:$G$30='Info utili'!$K$538)*1,BP22:BP30,BP22:BP30)+SUMPRODUCT(($G$92:$G$100='Info utili'!$K$538)*1,BP92:BP100,BP92:BP100)+BJ20^2+BJ40^2+BJ50^2+BJ60^2+BJ70^2+BJ80^2+BJ110^2+BJ120^2+BJ130^2+BJ140^2+BJ150^2+BJ160^2+BJ180^2+BJ190^2+BJ200^2+BJ210^2+BJ220^2+BJ242^2+BJ250^2))</f>
        <v>1936.0000000000005</v>
      </c>
      <c r="N319" s="1445">
        <f>D267</f>
        <v>0</v>
      </c>
      <c r="O319" s="1445"/>
      <c r="Q319" s="1317"/>
      <c r="R319" s="1317"/>
      <c r="W319" s="1162"/>
      <c r="AB319" s="1162"/>
      <c r="AF319" s="1162"/>
      <c r="AK319" s="729"/>
      <c r="AL319" s="729"/>
      <c r="AM319" s="729"/>
      <c r="AN319" s="729"/>
      <c r="AO319" s="729"/>
      <c r="AP319" s="729"/>
      <c r="AQ319" s="729"/>
      <c r="AR319" s="729"/>
      <c r="AS319" s="729"/>
      <c r="AT319" s="729"/>
      <c r="AU319" s="729"/>
      <c r="AV319" s="729"/>
    </row>
    <row r="320" spans="2:48" s="39" customFormat="1" outlineLevel="1" x14ac:dyDescent="0.2">
      <c r="B320" s="1733" t="str">
        <f>+Energia!B200</f>
        <v xml:space="preserve">Rifiuti prodotti </v>
      </c>
      <c r="C320" s="1734"/>
      <c r="D320" s="1435">
        <v>11</v>
      </c>
      <c r="E320" s="1441"/>
      <c r="F320" s="1441"/>
      <c r="G320" s="1441"/>
      <c r="H320" s="1441"/>
      <c r="I320" s="1441"/>
      <c r="J320" s="1442"/>
      <c r="K320" s="1443"/>
      <c r="L320" s="1443"/>
      <c r="M320" s="1444"/>
      <c r="N320" s="1445"/>
      <c r="O320" s="1445"/>
      <c r="Q320" s="1317"/>
      <c r="R320" s="1317"/>
      <c r="W320" s="1162"/>
      <c r="AB320" s="1162"/>
      <c r="AF320" s="1162"/>
      <c r="AK320" s="729"/>
      <c r="AL320" s="729"/>
      <c r="AM320" s="729"/>
      <c r="AN320" s="729"/>
      <c r="AO320" s="729"/>
      <c r="AP320" s="729"/>
      <c r="AQ320" s="729"/>
      <c r="AR320" s="729"/>
      <c r="AS320" s="729"/>
      <c r="AT320" s="729"/>
      <c r="AU320" s="729"/>
      <c r="AV320" s="729"/>
    </row>
    <row r="321" spans="2:48" s="39" customFormat="1" outlineLevel="1" x14ac:dyDescent="0.2">
      <c r="B321" s="1733" t="str">
        <f>+Energia!B201</f>
        <v>Trasporto e distribuzione premanifattura</v>
      </c>
      <c r="C321" s="1734"/>
      <c r="D321" s="1435">
        <v>12</v>
      </c>
      <c r="E321" s="1441"/>
      <c r="F321" s="1441"/>
      <c r="G321" s="1441"/>
      <c r="H321" s="1441"/>
      <c r="I321" s="1441"/>
      <c r="J321" s="1442"/>
      <c r="K321" s="1443"/>
      <c r="L321" s="1443"/>
      <c r="M321" s="1444"/>
      <c r="N321" s="1445"/>
      <c r="O321" s="1445"/>
      <c r="Q321" s="1317"/>
      <c r="R321" s="1317"/>
      <c r="W321" s="1162"/>
      <c r="AB321" s="1162"/>
      <c r="AF321" s="1162"/>
      <c r="AK321" s="729"/>
      <c r="AL321" s="729"/>
      <c r="AM321" s="729"/>
      <c r="AN321" s="729"/>
      <c r="AO321" s="729"/>
      <c r="AP321" s="729"/>
      <c r="AQ321" s="729"/>
      <c r="AR321" s="729"/>
      <c r="AS321" s="729"/>
      <c r="AT321" s="729"/>
      <c r="AU321" s="729"/>
      <c r="AV321" s="729"/>
    </row>
    <row r="322" spans="2:48" s="39" customFormat="1" outlineLevel="1" x14ac:dyDescent="0.2">
      <c r="B322" s="1733" t="str">
        <f>+Energia!B202</f>
        <v>Viaggi di lavoro</v>
      </c>
      <c r="C322" s="1734"/>
      <c r="D322" s="1435">
        <v>13</v>
      </c>
      <c r="E322" s="1441"/>
      <c r="F322" s="1441"/>
      <c r="G322" s="1441"/>
      <c r="H322" s="1441"/>
      <c r="I322" s="1441"/>
      <c r="J322" s="1442"/>
      <c r="K322" s="1443"/>
      <c r="L322" s="1443"/>
      <c r="M322" s="1444"/>
      <c r="N322" s="1445"/>
      <c r="O322" s="1445"/>
      <c r="Q322" s="1317"/>
      <c r="R322" s="1317"/>
      <c r="W322" s="1162"/>
      <c r="AB322" s="1162"/>
      <c r="AF322" s="1162"/>
      <c r="AK322" s="729"/>
      <c r="AL322" s="729"/>
      <c r="AM322" s="729"/>
      <c r="AN322" s="729"/>
      <c r="AO322" s="729"/>
      <c r="AP322" s="729"/>
      <c r="AQ322" s="729"/>
      <c r="AR322" s="729"/>
      <c r="AS322" s="729"/>
      <c r="AT322" s="729"/>
      <c r="AU322" s="729"/>
      <c r="AV322" s="729"/>
    </row>
    <row r="323" spans="2:48" s="39" customFormat="1" outlineLevel="1" x14ac:dyDescent="0.2">
      <c r="B323" s="1733" t="str">
        <f>+Energia!B203</f>
        <v>Upstream leased assets</v>
      </c>
      <c r="C323" s="1734"/>
      <c r="D323" s="1435">
        <v>14</v>
      </c>
      <c r="E323" s="1441"/>
      <c r="F323" s="1441"/>
      <c r="G323" s="1441"/>
      <c r="H323" s="1441"/>
      <c r="I323" s="1441"/>
      <c r="J323" s="1442"/>
      <c r="K323" s="1443"/>
      <c r="L323" s="1443"/>
      <c r="M323" s="1444"/>
      <c r="N323" s="1445"/>
      <c r="O323" s="1445"/>
      <c r="Q323" s="1317"/>
      <c r="R323" s="1317"/>
      <c r="W323" s="1162"/>
      <c r="AB323" s="1162"/>
      <c r="AF323" s="1162"/>
      <c r="AK323" s="729"/>
      <c r="AL323" s="729"/>
      <c r="AM323" s="729"/>
      <c r="AN323" s="729"/>
      <c r="AO323" s="729"/>
      <c r="AP323" s="729"/>
      <c r="AQ323" s="729"/>
      <c r="AR323" s="729"/>
      <c r="AS323" s="729"/>
      <c r="AT323" s="729"/>
      <c r="AU323" s="729"/>
      <c r="AV323" s="729"/>
    </row>
    <row r="324" spans="2:48" s="39" customFormat="1" outlineLevel="1" x14ac:dyDescent="0.2">
      <c r="B324" s="1733" t="str">
        <f>+Energia!B204</f>
        <v>Investimenti</v>
      </c>
      <c r="C324" s="1734"/>
      <c r="D324" s="1435">
        <v>15</v>
      </c>
      <c r="E324" s="1441"/>
      <c r="F324" s="1441"/>
      <c r="G324" s="1441"/>
      <c r="H324" s="1441"/>
      <c r="I324" s="1441"/>
      <c r="J324" s="1442"/>
      <c r="K324" s="1443"/>
      <c r="L324" s="1443"/>
      <c r="M324" s="1444"/>
      <c r="N324" s="1445"/>
      <c r="O324" s="1445"/>
      <c r="Q324" s="1317"/>
      <c r="R324" s="1317"/>
      <c r="W324" s="1162"/>
      <c r="AB324" s="1162"/>
      <c r="AF324" s="1162"/>
      <c r="AK324" s="729"/>
      <c r="AL324" s="729"/>
      <c r="AM324" s="729"/>
      <c r="AN324" s="729"/>
      <c r="AO324" s="729"/>
      <c r="AP324" s="729"/>
      <c r="AQ324" s="729"/>
      <c r="AR324" s="729"/>
      <c r="AS324" s="729"/>
      <c r="AT324" s="729"/>
      <c r="AU324" s="729"/>
      <c r="AV324" s="729"/>
    </row>
    <row r="325" spans="2:48" s="39" customFormat="1" outlineLevel="1" x14ac:dyDescent="0.2">
      <c r="B325" s="1733" t="str">
        <f>+Energia!B205</f>
        <v xml:space="preserve">Trasporto di clienti e visitatori </v>
      </c>
      <c r="C325" s="1734"/>
      <c r="D325" s="1435">
        <v>16</v>
      </c>
      <c r="E325" s="1441"/>
      <c r="F325" s="1441"/>
      <c r="G325" s="1441"/>
      <c r="H325" s="1441"/>
      <c r="I325" s="1441"/>
      <c r="J325" s="1442"/>
      <c r="K325" s="1443"/>
      <c r="L325" s="1443"/>
      <c r="M325" s="1444"/>
      <c r="N325" s="1445"/>
      <c r="O325" s="1445"/>
      <c r="Q325" s="1317"/>
      <c r="R325" s="1317"/>
      <c r="W325" s="1162"/>
      <c r="AB325" s="1162"/>
      <c r="AF325" s="1162"/>
      <c r="AK325" s="729"/>
      <c r="AL325" s="729"/>
      <c r="AM325" s="729"/>
      <c r="AN325" s="729"/>
      <c r="AO325" s="729"/>
      <c r="AP325" s="729"/>
      <c r="AQ325" s="729"/>
      <c r="AR325" s="729"/>
      <c r="AS325" s="729"/>
      <c r="AT325" s="729"/>
      <c r="AU325" s="729"/>
      <c r="AV325" s="729"/>
    </row>
    <row r="326" spans="2:48" s="39" customFormat="1" outlineLevel="1" x14ac:dyDescent="0.2">
      <c r="B326" s="1733" t="str">
        <f>+Energia!B206</f>
        <v>Trasporto di merci e distribuzione in fase d’uso e fine vita</v>
      </c>
      <c r="C326" s="1734"/>
      <c r="D326" s="1435">
        <v>17</v>
      </c>
      <c r="E326" s="1441"/>
      <c r="F326" s="1441"/>
      <c r="G326" s="1441"/>
      <c r="H326" s="1441"/>
      <c r="I326" s="1441"/>
      <c r="J326" s="1442"/>
      <c r="K326" s="1443"/>
      <c r="L326" s="1443"/>
      <c r="M326" s="1444"/>
      <c r="N326" s="1445"/>
      <c r="O326" s="1445"/>
      <c r="Q326" s="1317"/>
      <c r="R326" s="1317"/>
      <c r="W326" s="1162"/>
      <c r="AB326" s="1162"/>
      <c r="AF326" s="1162"/>
      <c r="AK326" s="729"/>
      <c r="AL326" s="729"/>
      <c r="AM326" s="729"/>
      <c r="AN326" s="729"/>
      <c r="AO326" s="729"/>
      <c r="AP326" s="729"/>
      <c r="AQ326" s="729"/>
      <c r="AR326" s="729"/>
      <c r="AS326" s="729"/>
      <c r="AT326" s="729"/>
      <c r="AU326" s="729"/>
      <c r="AV326" s="729"/>
    </row>
    <row r="327" spans="2:48" s="39" customFormat="1" outlineLevel="1" x14ac:dyDescent="0.2">
      <c r="B327" s="1733" t="str">
        <f>+Energia!B207</f>
        <v xml:space="preserve">Uso dei prodotto venduti  </v>
      </c>
      <c r="C327" s="1734"/>
      <c r="D327" s="1435">
        <v>18</v>
      </c>
      <c r="E327" s="1441"/>
      <c r="F327" s="1441"/>
      <c r="G327" s="1441"/>
      <c r="H327" s="1441"/>
      <c r="I327" s="1441"/>
      <c r="J327" s="1442"/>
      <c r="K327" s="1443"/>
      <c r="L327" s="1443"/>
      <c r="M327" s="1444"/>
      <c r="N327" s="1445"/>
      <c r="O327" s="1445"/>
      <c r="Q327" s="1317"/>
      <c r="R327" s="1317"/>
      <c r="W327" s="1162"/>
      <c r="AB327" s="1162"/>
      <c r="AF327" s="1162"/>
      <c r="AK327" s="729"/>
      <c r="AL327" s="729"/>
      <c r="AM327" s="729"/>
      <c r="AN327" s="729"/>
      <c r="AO327" s="729"/>
      <c r="AP327" s="729"/>
      <c r="AQ327" s="729"/>
      <c r="AR327" s="729"/>
      <c r="AS327" s="729"/>
      <c r="AT327" s="729"/>
      <c r="AU327" s="729"/>
      <c r="AV327" s="729"/>
    </row>
    <row r="328" spans="2:48" s="39" customFormat="1" outlineLevel="1" x14ac:dyDescent="0.2">
      <c r="B328" s="1733" t="str">
        <f>+Energia!B208</f>
        <v>Fine vita dei prodotti venduti</v>
      </c>
      <c r="C328" s="1734"/>
      <c r="D328" s="1435">
        <v>19</v>
      </c>
      <c r="E328" s="1441"/>
      <c r="F328" s="1441"/>
      <c r="G328" s="1441"/>
      <c r="H328" s="1441"/>
      <c r="I328" s="1441"/>
      <c r="J328" s="1442"/>
      <c r="K328" s="1443"/>
      <c r="L328" s="1443"/>
      <c r="M328" s="1444"/>
      <c r="N328" s="1445"/>
      <c r="O328" s="1445"/>
      <c r="Q328" s="1317"/>
      <c r="R328" s="1317"/>
      <c r="W328" s="1162"/>
      <c r="AB328" s="1162"/>
      <c r="AF328" s="1162"/>
      <c r="AK328" s="729"/>
      <c r="AL328" s="729"/>
      <c r="AM328" s="729"/>
      <c r="AN328" s="729"/>
      <c r="AO328" s="729"/>
      <c r="AP328" s="729"/>
      <c r="AQ328" s="729"/>
      <c r="AR328" s="729"/>
      <c r="AS328" s="729"/>
      <c r="AT328" s="729"/>
      <c r="AU328" s="729"/>
      <c r="AV328" s="729"/>
    </row>
    <row r="329" spans="2:48" s="39" customFormat="1" outlineLevel="1" x14ac:dyDescent="0.2">
      <c r="B329" s="1733" t="str">
        <f>+Energia!B209</f>
        <v xml:space="preserve">Downstream franchises </v>
      </c>
      <c r="C329" s="1734"/>
      <c r="D329" s="1435">
        <v>20</v>
      </c>
      <c r="E329" s="1441"/>
      <c r="F329" s="1441"/>
      <c r="G329" s="1441"/>
      <c r="H329" s="1441"/>
      <c r="I329" s="1441"/>
      <c r="J329" s="1442"/>
      <c r="K329" s="1443"/>
      <c r="L329" s="1443"/>
      <c r="M329" s="1444"/>
      <c r="N329" s="1445"/>
      <c r="O329" s="1445"/>
      <c r="Q329" s="1317"/>
      <c r="R329" s="1317"/>
      <c r="W329" s="1162"/>
      <c r="AB329" s="1162"/>
      <c r="AF329" s="1162"/>
      <c r="AK329" s="729"/>
      <c r="AL329" s="729"/>
      <c r="AM329" s="729"/>
      <c r="AN329" s="729"/>
      <c r="AO329" s="729"/>
      <c r="AP329" s="729"/>
      <c r="AQ329" s="729"/>
      <c r="AR329" s="729"/>
      <c r="AS329" s="729"/>
      <c r="AT329" s="729"/>
      <c r="AU329" s="729"/>
      <c r="AV329" s="729"/>
    </row>
    <row r="330" spans="2:48" s="39" customFormat="1" outlineLevel="1" x14ac:dyDescent="0.2">
      <c r="B330" s="1733" t="str">
        <f>+Energia!B210</f>
        <v>Downstream leased assets</v>
      </c>
      <c r="C330" s="1734"/>
      <c r="D330" s="1435">
        <v>21</v>
      </c>
      <c r="E330" s="1441"/>
      <c r="F330" s="1441"/>
      <c r="G330" s="1441"/>
      <c r="H330" s="1441"/>
      <c r="I330" s="1441"/>
      <c r="J330" s="1442"/>
      <c r="K330" s="1443"/>
      <c r="L330" s="1443"/>
      <c r="M330" s="1444"/>
      <c r="N330" s="1445"/>
      <c r="O330" s="1445"/>
      <c r="Q330" s="1317"/>
      <c r="R330" s="1317"/>
      <c r="W330" s="1162"/>
      <c r="AB330" s="1162"/>
      <c r="AF330" s="1162"/>
      <c r="AK330" s="729"/>
      <c r="AL330" s="729"/>
      <c r="AM330" s="729"/>
      <c r="AN330" s="729"/>
      <c r="AO330" s="729"/>
      <c r="AP330" s="729"/>
      <c r="AQ330" s="729"/>
      <c r="AR330" s="729"/>
      <c r="AS330" s="729"/>
      <c r="AT330" s="729"/>
      <c r="AU330" s="729"/>
      <c r="AV330" s="729"/>
    </row>
    <row r="331" spans="2:48" s="39" customFormat="1" outlineLevel="1" x14ac:dyDescent="0.2">
      <c r="B331" s="1733" t="str">
        <f>+Energia!B211</f>
        <v>Impiegati pendolari</v>
      </c>
      <c r="C331" s="1734"/>
      <c r="D331" s="1435">
        <v>22</v>
      </c>
      <c r="E331" s="1441"/>
      <c r="F331" s="1441"/>
      <c r="G331" s="1441"/>
      <c r="H331" s="1441"/>
      <c r="I331" s="1441"/>
      <c r="J331" s="1442"/>
      <c r="K331" s="1443"/>
      <c r="L331" s="1443"/>
      <c r="M331" s="1444"/>
      <c r="N331" s="1445"/>
      <c r="O331" s="1445"/>
      <c r="Q331" s="1317"/>
      <c r="R331" s="1317"/>
      <c r="W331" s="1162"/>
      <c r="AB331" s="1162"/>
      <c r="AF331" s="1162"/>
      <c r="AK331" s="729"/>
      <c r="AL331" s="729"/>
      <c r="AM331" s="729"/>
      <c r="AN331" s="729"/>
      <c r="AO331" s="729"/>
      <c r="AP331" s="729"/>
      <c r="AQ331" s="729"/>
      <c r="AR331" s="729"/>
      <c r="AS331" s="729"/>
      <c r="AT331" s="729"/>
      <c r="AU331" s="729"/>
      <c r="AV331" s="729"/>
    </row>
    <row r="332" spans="2:48" s="39" customFormat="1" outlineLevel="1" x14ac:dyDescent="0.2">
      <c r="B332" s="1733" t="str">
        <f>+Energia!B212</f>
        <v xml:space="preserve">Altre emissioni indirette </v>
      </c>
      <c r="C332" s="1734"/>
      <c r="D332" s="1435">
        <v>23</v>
      </c>
      <c r="E332" s="1441"/>
      <c r="F332" s="1441"/>
      <c r="G332" s="1441"/>
      <c r="H332" s="1441"/>
      <c r="I332" s="1441"/>
      <c r="J332" s="1442"/>
      <c r="K332" s="1443"/>
      <c r="L332" s="1443"/>
      <c r="M332" s="1444"/>
      <c r="N332" s="1445"/>
      <c r="O332" s="1445"/>
      <c r="Q332" s="1317"/>
      <c r="R332" s="1317"/>
      <c r="W332" s="1162"/>
      <c r="AB332" s="1162"/>
      <c r="AF332" s="1162"/>
      <c r="AK332" s="729"/>
      <c r="AL332" s="729"/>
      <c r="AM332" s="729"/>
      <c r="AN332" s="729"/>
      <c r="AO332" s="729"/>
      <c r="AP332" s="729"/>
      <c r="AQ332" s="729"/>
      <c r="AR332" s="729"/>
      <c r="AS332" s="729"/>
      <c r="AT332" s="729"/>
      <c r="AU332" s="729"/>
      <c r="AV332" s="729"/>
    </row>
    <row r="333" spans="2:48" s="39" customFormat="1" outlineLevel="1" x14ac:dyDescent="0.2">
      <c r="B333" s="1738" t="s">
        <v>96</v>
      </c>
      <c r="C333" s="1738"/>
      <c r="D333" s="1738"/>
      <c r="E333" s="1447">
        <f>SUM(E317:E332)</f>
        <v>0</v>
      </c>
      <c r="F333" s="1447">
        <f t="shared" ref="F333:O333" si="79">SUM(F317:F332)</f>
        <v>0</v>
      </c>
      <c r="G333" s="1447">
        <f t="shared" si="79"/>
        <v>0</v>
      </c>
      <c r="H333" s="1447">
        <f t="shared" si="79"/>
        <v>0</v>
      </c>
      <c r="I333" s="1447">
        <f t="shared" si="79"/>
        <v>0</v>
      </c>
      <c r="J333" s="1447">
        <f t="shared" si="79"/>
        <v>9680.0000000000018</v>
      </c>
      <c r="K333" s="1448">
        <f t="shared" si="79"/>
        <v>0</v>
      </c>
      <c r="L333" s="1448">
        <f t="shared" si="79"/>
        <v>0</v>
      </c>
      <c r="M333" s="1449">
        <f>SQRT(SUMSQ(M317:M332))</f>
        <v>1936.0000000000005</v>
      </c>
      <c r="N333" s="1450">
        <f t="shared" si="79"/>
        <v>0</v>
      </c>
      <c r="O333" s="1450">
        <f t="shared" si="79"/>
        <v>0</v>
      </c>
      <c r="Q333" s="1317"/>
      <c r="R333" s="1317"/>
      <c r="W333" s="1162"/>
      <c r="AB333" s="1162"/>
      <c r="AF333" s="1162"/>
      <c r="AK333" s="729"/>
      <c r="AL333" s="729"/>
      <c r="AM333" s="729"/>
      <c r="AN333" s="729"/>
      <c r="AO333" s="729"/>
      <c r="AP333" s="729"/>
      <c r="AQ333" s="729"/>
      <c r="AR333" s="729"/>
      <c r="AS333" s="729"/>
      <c r="AT333" s="729"/>
      <c r="AU333" s="729"/>
      <c r="AV333" s="729"/>
    </row>
    <row r="334" spans="2:48" s="39" customFormat="1" ht="12" outlineLevel="1" x14ac:dyDescent="0.2">
      <c r="Q334" s="1317"/>
      <c r="R334" s="1317"/>
      <c r="W334" s="1162"/>
      <c r="AB334" s="1162"/>
      <c r="AF334" s="1162"/>
      <c r="AK334" s="729"/>
      <c r="AL334" s="729"/>
      <c r="AM334" s="729"/>
      <c r="AN334" s="729"/>
      <c r="AO334" s="729"/>
      <c r="AP334" s="729"/>
      <c r="AQ334" s="729"/>
      <c r="AR334" s="729"/>
      <c r="AS334" s="729"/>
      <c r="AT334" s="729"/>
      <c r="AU334" s="729"/>
      <c r="AV334" s="729"/>
    </row>
    <row r="337" spans="2:2" ht="17" x14ac:dyDescent="0.2">
      <c r="B337" s="1649" t="s">
        <v>2768</v>
      </c>
    </row>
    <row r="338" spans="2:2" ht="17" x14ac:dyDescent="0.2">
      <c r="B338" s="1649" t="s">
        <v>2769</v>
      </c>
    </row>
    <row r="339" spans="2:2" ht="17" x14ac:dyDescent="0.2">
      <c r="B339" s="1650" t="s">
        <v>2770</v>
      </c>
    </row>
    <row r="340" spans="2:2" ht="16" x14ac:dyDescent="0.2">
      <c r="B340" s="1651" t="s">
        <v>2771</v>
      </c>
    </row>
    <row r="341" spans="2:2" ht="17" x14ac:dyDescent="0.2">
      <c r="B341" s="1649" t="s">
        <v>2772</v>
      </c>
    </row>
  </sheetData>
  <mergeCells count="253">
    <mergeCell ref="BD11:BJ11"/>
    <mergeCell ref="BD32:BJ32"/>
    <mergeCell ref="BD42:BJ42"/>
    <mergeCell ref="BD52:BJ52"/>
    <mergeCell ref="BD62:BJ62"/>
    <mergeCell ref="AQ32:AV32"/>
    <mergeCell ref="BL93:BM93"/>
    <mergeCell ref="BJ94:BK94"/>
    <mergeCell ref="BD72:BJ72"/>
    <mergeCell ref="BD13:BG13"/>
    <mergeCell ref="BD22:BQ22"/>
    <mergeCell ref="BD64:BG64"/>
    <mergeCell ref="BL24:BM24"/>
    <mergeCell ref="BP93:BQ93"/>
    <mergeCell ref="BP94:BQ94"/>
    <mergeCell ref="BD92:BQ92"/>
    <mergeCell ref="BP24:BQ24"/>
    <mergeCell ref="BP23:BQ23"/>
    <mergeCell ref="BD23:BK23"/>
    <mergeCell ref="BL23:BM23"/>
    <mergeCell ref="AY24:AZ24"/>
    <mergeCell ref="AQ13:AT13"/>
    <mergeCell ref="AQ23:AX23"/>
    <mergeCell ref="AQ34:AT34"/>
    <mergeCell ref="BL94:BM94"/>
    <mergeCell ref="BN94:BO94"/>
    <mergeCell ref="BD74:BG74"/>
    <mergeCell ref="BN24:BO24"/>
    <mergeCell ref="BD24:BE24"/>
    <mergeCell ref="BF24:BG24"/>
    <mergeCell ref="BH24:BI24"/>
    <mergeCell ref="BJ24:BK24"/>
    <mergeCell ref="BD34:BG34"/>
    <mergeCell ref="BD44:BG44"/>
    <mergeCell ref="BD54:BG54"/>
    <mergeCell ref="AQ64:AT64"/>
    <mergeCell ref="AQ93:AX93"/>
    <mergeCell ref="AY93:AZ93"/>
    <mergeCell ref="AQ94:AR94"/>
    <mergeCell ref="BA94:BB94"/>
    <mergeCell ref="AQ92:BB92"/>
    <mergeCell ref="BD132:BJ132"/>
    <mergeCell ref="BD142:BJ142"/>
    <mergeCell ref="BD152:BJ152"/>
    <mergeCell ref="AQ72:AV72"/>
    <mergeCell ref="BD144:BG144"/>
    <mergeCell ref="BD154:BG154"/>
    <mergeCell ref="BD174:BG174"/>
    <mergeCell ref="BD93:BK93"/>
    <mergeCell ref="BD94:BE94"/>
    <mergeCell ref="BF94:BG94"/>
    <mergeCell ref="BH94:BI94"/>
    <mergeCell ref="BD172:BJ172"/>
    <mergeCell ref="AS94:AT94"/>
    <mergeCell ref="AU94:AV94"/>
    <mergeCell ref="AW94:AX94"/>
    <mergeCell ref="AY94:AZ94"/>
    <mergeCell ref="AQ152:AV152"/>
    <mergeCell ref="AQ172:AV172"/>
    <mergeCell ref="BD192:BJ192"/>
    <mergeCell ref="BD202:BJ202"/>
    <mergeCell ref="BD212:BJ212"/>
    <mergeCell ref="AQ194:AT194"/>
    <mergeCell ref="AQ202:AV202"/>
    <mergeCell ref="AQ212:AV212"/>
    <mergeCell ref="AQ232:AV232"/>
    <mergeCell ref="AQ192:AV192"/>
    <mergeCell ref="Y72:AA72"/>
    <mergeCell ref="Y142:AA142"/>
    <mergeCell ref="BD232:BJ232"/>
    <mergeCell ref="Y192:AA192"/>
    <mergeCell ref="BD122:BJ122"/>
    <mergeCell ref="BD104:BG104"/>
    <mergeCell ref="BD114:BG114"/>
    <mergeCell ref="BD102:BJ102"/>
    <mergeCell ref="BD112:BJ112"/>
    <mergeCell ref="AQ74:AT74"/>
    <mergeCell ref="BD182:BJ182"/>
    <mergeCell ref="Y92:AD92"/>
    <mergeCell ref="AQ102:AV102"/>
    <mergeCell ref="AQ104:AT104"/>
    <mergeCell ref="AQ114:AT114"/>
    <mergeCell ref="AQ124:AT124"/>
    <mergeCell ref="I94:J94"/>
    <mergeCell ref="I24:J24"/>
    <mergeCell ref="L24:M24"/>
    <mergeCell ref="O24:P24"/>
    <mergeCell ref="L94:M94"/>
    <mergeCell ref="O94:P94"/>
    <mergeCell ref="B257:C258"/>
    <mergeCell ref="B7:C7"/>
    <mergeCell ref="D257:F257"/>
    <mergeCell ref="B170:O170"/>
    <mergeCell ref="B230:O230"/>
    <mergeCell ref="H257:I257"/>
    <mergeCell ref="K257:L257"/>
    <mergeCell ref="AQ182:AV182"/>
    <mergeCell ref="AQ174:AT174"/>
    <mergeCell ref="Y182:AA182"/>
    <mergeCell ref="AF122:AI122"/>
    <mergeCell ref="AF182:AI182"/>
    <mergeCell ref="Y132:AA132"/>
    <mergeCell ref="AQ134:AT134"/>
    <mergeCell ref="AQ144:AT144"/>
    <mergeCell ref="AQ154:AT154"/>
    <mergeCell ref="AQ142:AV142"/>
    <mergeCell ref="AF132:AI132"/>
    <mergeCell ref="AF142:AI142"/>
    <mergeCell ref="AF172:AI172"/>
    <mergeCell ref="D4:E4"/>
    <mergeCell ref="F4:G4"/>
    <mergeCell ref="H4:I4"/>
    <mergeCell ref="D5:E5"/>
    <mergeCell ref="AQ11:AV11"/>
    <mergeCell ref="AQ42:AV42"/>
    <mergeCell ref="AQ52:AV52"/>
    <mergeCell ref="H5:I5"/>
    <mergeCell ref="AQ62:AV62"/>
    <mergeCell ref="AQ22:BB22"/>
    <mergeCell ref="AY23:AZ23"/>
    <mergeCell ref="AQ24:AR24"/>
    <mergeCell ref="BA24:BB24"/>
    <mergeCell ref="AS24:AT24"/>
    <mergeCell ref="AQ44:AT44"/>
    <mergeCell ref="AQ54:AT54"/>
    <mergeCell ref="AU24:AV24"/>
    <mergeCell ref="AW24:AX24"/>
    <mergeCell ref="Y42:AA42"/>
    <mergeCell ref="AF42:AI42"/>
    <mergeCell ref="AQ184:AT184"/>
    <mergeCell ref="AQ112:AV112"/>
    <mergeCell ref="AQ122:AV122"/>
    <mergeCell ref="AQ132:AV132"/>
    <mergeCell ref="B2:O2"/>
    <mergeCell ref="B9:O9"/>
    <mergeCell ref="B90:O90"/>
    <mergeCell ref="Y102:AA102"/>
    <mergeCell ref="J4:K4"/>
    <mergeCell ref="AF112:AI112"/>
    <mergeCell ref="AF102:AI102"/>
    <mergeCell ref="Y112:AA112"/>
    <mergeCell ref="AF11:AI11"/>
    <mergeCell ref="AF32:AI32"/>
    <mergeCell ref="AF22:AO22"/>
    <mergeCell ref="Y32:AA32"/>
    <mergeCell ref="Y11:AA11"/>
    <mergeCell ref="Y22:AD22"/>
    <mergeCell ref="R24:S24"/>
    <mergeCell ref="AF72:AI72"/>
    <mergeCell ref="Y62:AA62"/>
    <mergeCell ref="Y52:AA52"/>
    <mergeCell ref="R94:S94"/>
    <mergeCell ref="AF52:AI52"/>
    <mergeCell ref="AF92:AO92"/>
    <mergeCell ref="AF192:AI192"/>
    <mergeCell ref="Y202:AA202"/>
    <mergeCell ref="AF202:AI202"/>
    <mergeCell ref="Y212:AA212"/>
    <mergeCell ref="Q257:T257"/>
    <mergeCell ref="AF232:AI232"/>
    <mergeCell ref="AF244:AI244"/>
    <mergeCell ref="Y232:AA232"/>
    <mergeCell ref="Y244:AA244"/>
    <mergeCell ref="AF212:AI212"/>
    <mergeCell ref="Y122:AA122"/>
    <mergeCell ref="Y152:AA152"/>
    <mergeCell ref="AF152:AI152"/>
    <mergeCell ref="Y172:AA172"/>
    <mergeCell ref="BD184:BG184"/>
    <mergeCell ref="BD194:BG194"/>
    <mergeCell ref="BD124:BG124"/>
    <mergeCell ref="BD134:BG134"/>
    <mergeCell ref="B300:C300"/>
    <mergeCell ref="B301:D301"/>
    <mergeCell ref="F5:G5"/>
    <mergeCell ref="B289:C289"/>
    <mergeCell ref="B290:C290"/>
    <mergeCell ref="B291:C291"/>
    <mergeCell ref="B292:O292"/>
    <mergeCell ref="B293:C293"/>
    <mergeCell ref="B278:D278"/>
    <mergeCell ref="B279:C279"/>
    <mergeCell ref="B294:C294"/>
    <mergeCell ref="B295:C295"/>
    <mergeCell ref="B296:C296"/>
    <mergeCell ref="B297:C297"/>
    <mergeCell ref="B280:C280"/>
    <mergeCell ref="B281:D281"/>
    <mergeCell ref="B282:O282"/>
    <mergeCell ref="B283:C283"/>
    <mergeCell ref="B284:C284"/>
    <mergeCell ref="AF62:AI62"/>
    <mergeCell ref="AQ204:AT204"/>
    <mergeCell ref="AQ214:AT214"/>
    <mergeCell ref="BD204:BG204"/>
    <mergeCell ref="BD214:BG214"/>
    <mergeCell ref="B288:C288"/>
    <mergeCell ref="B270:O270"/>
    <mergeCell ref="E272:N272"/>
    <mergeCell ref="B273:C273"/>
    <mergeCell ref="BD246:BG246"/>
    <mergeCell ref="BD234:BG234"/>
    <mergeCell ref="B286:C286"/>
    <mergeCell ref="B287:C287"/>
    <mergeCell ref="B263:C263"/>
    <mergeCell ref="B266:C266"/>
    <mergeCell ref="B267:C267"/>
    <mergeCell ref="B262:C262"/>
    <mergeCell ref="B255:O255"/>
    <mergeCell ref="B259:C259"/>
    <mergeCell ref="B260:C260"/>
    <mergeCell ref="AQ246:AT246"/>
    <mergeCell ref="B285:C285"/>
    <mergeCell ref="AQ234:AT234"/>
    <mergeCell ref="AQ244:AV244"/>
    <mergeCell ref="B261:C261"/>
    <mergeCell ref="BD244:BJ244"/>
    <mergeCell ref="B314:C314"/>
    <mergeCell ref="B315:C315"/>
    <mergeCell ref="B316:D316"/>
    <mergeCell ref="B317:C317"/>
    <mergeCell ref="B274:C274"/>
    <mergeCell ref="B275:C275"/>
    <mergeCell ref="B276:C276"/>
    <mergeCell ref="B277:C277"/>
    <mergeCell ref="B304:O304"/>
    <mergeCell ref="E306:M306"/>
    <mergeCell ref="B307:C307"/>
    <mergeCell ref="B308:C308"/>
    <mergeCell ref="O308:O313"/>
    <mergeCell ref="B309:C309"/>
    <mergeCell ref="B310:C310"/>
    <mergeCell ref="B311:C311"/>
    <mergeCell ref="B298:C298"/>
    <mergeCell ref="B299:C299"/>
    <mergeCell ref="B312:C312"/>
    <mergeCell ref="B313:D313"/>
    <mergeCell ref="B318:C318"/>
    <mergeCell ref="B319:C319"/>
    <mergeCell ref="B320:C320"/>
    <mergeCell ref="B329:C329"/>
    <mergeCell ref="B330:C330"/>
    <mergeCell ref="B321:C321"/>
    <mergeCell ref="B322:C322"/>
    <mergeCell ref="B332:C332"/>
    <mergeCell ref="B333:D333"/>
    <mergeCell ref="B323:C323"/>
    <mergeCell ref="B324:C324"/>
    <mergeCell ref="B325:C325"/>
    <mergeCell ref="B326:C326"/>
    <mergeCell ref="B327:C327"/>
    <mergeCell ref="B328:C328"/>
    <mergeCell ref="B331:C331"/>
  </mergeCells>
  <phoneticPr fontId="4"/>
  <dataValidations count="15">
    <dataValidation type="list" allowBlank="1" showInputMessage="1" showErrorMessage="1" sqref="B15:B18" xr:uid="{00000000-0002-0000-0800-000000000000}">
      <formula1>batiments</formula1>
    </dataValidation>
    <dataValidation type="list" allowBlank="1" showInputMessage="1" showErrorMessage="1" sqref="B26:B28 B96:B98" xr:uid="{00000000-0002-0000-0800-000001000000}">
      <formula1>combustibles</formula1>
    </dataValidation>
    <dataValidation type="list" allowBlank="1" showInputMessage="1" showErrorMessage="1" sqref="B56:B58 B136:B138 B186:B188" xr:uid="{00000000-0002-0000-0800-000002000000}">
      <formula1>metaux</formula1>
    </dataValidation>
    <dataValidation type="list" allowBlank="1" showInputMessage="1" showErrorMessage="1" sqref="B66:B68 B146:B148 B196:B198" xr:uid="{00000000-0002-0000-0800-000003000000}">
      <formula1>plastiques</formula1>
    </dataValidation>
    <dataValidation type="list" allowBlank="1" showInputMessage="1" showErrorMessage="1" sqref="B76:B78 B156:B158 B206:B208" xr:uid="{00000000-0002-0000-0800-000004000000}">
      <formula1>verres</formula1>
    </dataValidation>
    <dataValidation type="list" allowBlank="1" showInputMessage="1" showErrorMessage="1" sqref="B36:B38" xr:uid="{00000000-0002-0000-0800-000005000000}">
      <formula1>materiaux</formula1>
    </dataValidation>
    <dataValidation type="list" allowBlank="1" showInputMessage="1" showErrorMessage="1" sqref="B106:B108" xr:uid="{00000000-0002-0000-0800-000006000000}">
      <formula1>routes</formula1>
    </dataValidation>
    <dataValidation type="list" allowBlank="1" showInputMessage="1" showErrorMessage="1" sqref="B116:B118" xr:uid="{00000000-0002-0000-0800-000007000000}">
      <formula1>grosse_route</formula1>
    </dataValidation>
    <dataValidation type="list" allowBlank="1" showInputMessage="1" showErrorMessage="1" sqref="B46:B48 B126:B128" xr:uid="{00000000-0002-0000-0800-000008000000}">
      <formula1>route</formula1>
    </dataValidation>
    <dataValidation type="list" allowBlank="1" showInputMessage="1" showErrorMessage="1" sqref="B176:B178" xr:uid="{00000000-0002-0000-0800-000009000000}">
      <formula1>machines</formula1>
    </dataValidation>
    <dataValidation type="list" allowBlank="1" showInputMessage="1" showErrorMessage="1" sqref="B216:B218" xr:uid="{00000000-0002-0000-0800-00000A000000}">
      <formula1>monetaire</formula1>
    </dataValidation>
    <dataValidation type="list" allowBlank="1" showInputMessage="1" showErrorMessage="1" sqref="B236:B240" xr:uid="{00000000-0002-0000-0800-00000B000000}">
      <formula1>informatique</formula1>
    </dataValidation>
    <dataValidation allowBlank="1" showInputMessage="1" showErrorMessage="1" sqref="C15:C18 C26:C28 C36:C38 C46:C48 C56:C58 C66:C68 C76:C78 C236:C240 C106:C108 C116:C118 C126:C128 C136:C138 C146:C148 C156:C158 C176:C178 C186:C188 C196:C198 C206:C208 C216:C218 C96:C98" xr:uid="{00000000-0002-0000-0800-00000C000000}"/>
    <dataValidation type="list" allowBlank="1" showInputMessage="1" showErrorMessage="1" sqref="G26:G28 G96:G98" xr:uid="{00000000-0002-0000-0800-00000D000000}">
      <formula1>Liste_Immobilisations</formula1>
    </dataValidation>
    <dataValidation type="list" allowBlank="1" showInputMessage="1" showErrorMessage="1" sqref="F15:F18 F26:F28 F36:F38 F46:F48 F56:F58 F66:F68 F76:F78 F248 F96:F98 F106:F108 F116:F118 F126:F128 F136:F138 F146:F148 F156:F158 F236:F240 F176:F178 F186:F188 F196:F198 F206:F208 F216:F218 D7" xr:uid="{00000000-0002-0000-0800-00000E000000}">
      <formula1>Liste_Immobilisations2</formula1>
    </dataValidation>
  </dataValidations>
  <hyperlinks>
    <hyperlink ref="D4" location="A3" display="bâtiments" xr:uid="{00000000-0004-0000-0800-000000000000}"/>
    <hyperlink ref="F4" location="immos_voirie" display="Voirie" xr:uid="{00000000-0004-0000-0800-000001000000}"/>
    <hyperlink ref="J4" location="immos_informatique" display="Informatique" xr:uid="{00000000-0004-0000-0800-000002000000}"/>
    <hyperlink ref="H4" location="immos_machines" display="Machines et véhicules" xr:uid="{00000000-0004-0000-0800-000003000000}"/>
    <hyperlink ref="D5" location="immos_recap" display="Total" xr:uid="{00000000-0004-0000-0800-000004000000}"/>
    <hyperlink ref="D4:E4" location="immos_batiments" display="Bâtiments" xr:uid="{00000000-0004-0000-0800-000005000000}"/>
    <hyperlink ref="F5" location="immobilisations_GHGProtocol" display="GHG Protocol" xr:uid="{00000000-0004-0000-0800-000006000000}"/>
    <hyperlink ref="H5:I5" location="immobilisations_ISO14069" display="ISO 14069" xr:uid="{00000000-0004-0000-0800-000007000000}"/>
    <hyperlink ref="B340" r:id="rId1" xr:uid="{00000000-0004-0000-0800-000008000000}"/>
    <hyperlink ref="B339" r:id="rId2" xr:uid="{00000000-0004-0000-0800-000009000000}"/>
  </hyperlinks>
  <pageMargins left="0.78740157499999996" right="0.78740157499999996" top="0.984251969" bottom="0.984251969" header="0.4921259845" footer="0.4921259845"/>
  <pageSetup paperSize="9" orientation="portrait" horizontalDpi="4294967292" verticalDpi="4294967292"/>
  <headerFooter alignWithMargins="0">
    <oddFooter>&amp;LCalcul des émissions de gaz à effet de serre&amp;RRubrique &amp;A, page &amp;P, édité le &amp;D</oddFooter>
  </headerFooter>
  <rowBreaks count="1" manualBreakCount="1">
    <brk id="229" min="1" max="5" man="1"/>
  </rowBreaks>
  <ignoredErrors>
    <ignoredError sqref="D297:D299" twoDigitTextYear="1"/>
  </ignoredErrors>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17</vt:i4>
      </vt:variant>
      <vt:variant>
        <vt:lpstr>Intervalli denominati</vt:lpstr>
      </vt:variant>
      <vt:variant>
        <vt:i4>221</vt:i4>
      </vt:variant>
    </vt:vector>
  </HeadingPairs>
  <TitlesOfParts>
    <vt:vector size="238" baseType="lpstr">
      <vt:lpstr>Description</vt:lpstr>
      <vt:lpstr>Energia</vt:lpstr>
      <vt:lpstr>Non-energetici</vt:lpstr>
      <vt:lpstr>Input</vt:lpstr>
      <vt:lpstr>Imballaggi</vt:lpstr>
      <vt:lpstr>Trasporti merci</vt:lpstr>
      <vt:lpstr>Trasporto persone</vt:lpstr>
      <vt:lpstr>Rifiuti di processo</vt:lpstr>
      <vt:lpstr>Beni durevoli</vt:lpstr>
      <vt:lpstr>Fase d'uso</vt:lpstr>
      <vt:lpstr>Fine vita</vt:lpstr>
      <vt:lpstr>Emissions factors</vt:lpstr>
      <vt:lpstr>Info utili</vt:lpstr>
      <vt:lpstr>CO2e overview</vt:lpstr>
      <vt:lpstr>GHG Protocol</vt:lpstr>
      <vt:lpstr>ISO 14069</vt:lpstr>
      <vt:lpstr>Graphs</vt:lpstr>
      <vt:lpstr>agricole</vt:lpstr>
      <vt:lpstr>Agriculture</vt:lpstr>
      <vt:lpstr>AGRICULTURE_ET_PECHE</vt:lpstr>
      <vt:lpstr>animaux</vt:lpstr>
      <vt:lpstr>animaux_ferme</vt:lpstr>
      <vt:lpstr>Approche_retenue</vt:lpstr>
      <vt:lpstr>'Beni durevoli'!Area_stampa</vt:lpstr>
      <vt:lpstr>'CO2e overview'!Area_stampa</vt:lpstr>
      <vt:lpstr>Energia!Area_stampa</vt:lpstr>
      <vt:lpstr>Imballaggi!Area_stampa</vt:lpstr>
      <vt:lpstr>Input!Area_stampa</vt:lpstr>
      <vt:lpstr>'Non-energetici'!Area_stampa</vt:lpstr>
      <vt:lpstr>'Rifiuti di processo'!Area_stampa</vt:lpstr>
      <vt:lpstr>'Trasporti merci'!Area_stampa</vt:lpstr>
      <vt:lpstr>autres_achats</vt:lpstr>
      <vt:lpstr>avion</vt:lpstr>
      <vt:lpstr>avion_fret</vt:lpstr>
      <vt:lpstr>avion_passagers</vt:lpstr>
      <vt:lpstr>bassins</vt:lpstr>
      <vt:lpstr>bateau_passagers</vt:lpstr>
      <vt:lpstr>batiments</vt:lpstr>
      <vt:lpstr>biocombustibles</vt:lpstr>
      <vt:lpstr>biologique</vt:lpstr>
      <vt:lpstr>bus</vt:lpstr>
      <vt:lpstr>bus_domW</vt:lpstr>
      <vt:lpstr>calculette_UTFC</vt:lpstr>
      <vt:lpstr>cargos</vt:lpstr>
      <vt:lpstr>chimie</vt:lpstr>
      <vt:lpstr>combustibles</vt:lpstr>
      <vt:lpstr>Convertisseurs</vt:lpstr>
      <vt:lpstr>culture_vers</vt:lpstr>
      <vt:lpstr>CV_diesel</vt:lpstr>
      <vt:lpstr>CV_essence</vt:lpstr>
      <vt:lpstr>cycles</vt:lpstr>
      <vt:lpstr>decharge</vt:lpstr>
      <vt:lpstr>DECHETS</vt:lpstr>
      <vt:lpstr>Déchets</vt:lpstr>
      <vt:lpstr>dechets_eaux</vt:lpstr>
      <vt:lpstr>dechets_haut</vt:lpstr>
      <vt:lpstr>dechets_non_banals</vt:lpstr>
      <vt:lpstr>dechets_recap</vt:lpstr>
      <vt:lpstr>dechetsdirects_GHGProtocol</vt:lpstr>
      <vt:lpstr>dechetsdirects_ISO14069</vt:lpstr>
      <vt:lpstr>Déplacements</vt:lpstr>
      <vt:lpstr>DEPLACEMENTS_DE_PERSONNES</vt:lpstr>
      <vt:lpstr>deplacements_domicile_travail</vt:lpstr>
      <vt:lpstr>deplacements_GHGProtocol</vt:lpstr>
      <vt:lpstr>deplacements_ISO14069</vt:lpstr>
      <vt:lpstr>deplacements_recap</vt:lpstr>
      <vt:lpstr>deplacements_salaries_autre_route</vt:lpstr>
      <vt:lpstr>deplacements_salaries_avion</vt:lpstr>
      <vt:lpstr>deplacements_salaries_bateau</vt:lpstr>
      <vt:lpstr>deplacements_salaries_train</vt:lpstr>
      <vt:lpstr>deplacements_salaries_voiture</vt:lpstr>
      <vt:lpstr>deplacements_visiteurs</vt:lpstr>
      <vt:lpstr>DIS</vt:lpstr>
      <vt:lpstr>divers_mix</vt:lpstr>
      <vt:lpstr>Documents</vt:lpstr>
      <vt:lpstr>Données_statistiques</vt:lpstr>
      <vt:lpstr>Eau</vt:lpstr>
      <vt:lpstr>eaux_usees</vt:lpstr>
      <vt:lpstr>EDF_saison</vt:lpstr>
      <vt:lpstr>Electricite_France</vt:lpstr>
      <vt:lpstr>Electricité_France</vt:lpstr>
      <vt:lpstr>electricite_monde</vt:lpstr>
      <vt:lpstr>electricite_producteur</vt:lpstr>
      <vt:lpstr>electricite_usage_france</vt:lpstr>
      <vt:lpstr>emballage_Verre</vt:lpstr>
      <vt:lpstr>emballages_agromateriaux</vt:lpstr>
      <vt:lpstr>emballages_chimie</vt:lpstr>
      <vt:lpstr>emballages_metaux</vt:lpstr>
      <vt:lpstr>emballages_papiers</vt:lpstr>
      <vt:lpstr>emballages_plastiques</vt:lpstr>
      <vt:lpstr>emballages_recap</vt:lpstr>
      <vt:lpstr>Energie</vt:lpstr>
      <vt:lpstr>energie1_combustibles</vt:lpstr>
      <vt:lpstr>energie1_électricité</vt:lpstr>
      <vt:lpstr>energie1_GHGProtocol</vt:lpstr>
      <vt:lpstr>energie1_ISO14069</vt:lpstr>
      <vt:lpstr>energie1_total</vt:lpstr>
      <vt:lpstr>energie1_vapeur</vt:lpstr>
      <vt:lpstr>engrais</vt:lpstr>
      <vt:lpstr>evp</vt:lpstr>
      <vt:lpstr>Facteurs_d_émission_de_l_électricité</vt:lpstr>
      <vt:lpstr>facteurs_d_émission_des_combustibles</vt:lpstr>
      <vt:lpstr>FE</vt:lpstr>
      <vt:lpstr>fin_de_vie_banals</vt:lpstr>
      <vt:lpstr>fin_de_vie_dangereux</vt:lpstr>
      <vt:lpstr>fin_de_vie_haut</vt:lpstr>
      <vt:lpstr>fin_de_vie_recap</vt:lpstr>
      <vt:lpstr>findevie_GHGProtocol</vt:lpstr>
      <vt:lpstr>findevie_ISO14069</vt:lpstr>
      <vt:lpstr>foret_vers</vt:lpstr>
      <vt:lpstr>FRET</vt:lpstr>
      <vt:lpstr>fret_aerien_entrant</vt:lpstr>
      <vt:lpstr>fret_aerien_interne</vt:lpstr>
      <vt:lpstr>fret_aerien_sortant</vt:lpstr>
      <vt:lpstr>Fret_FE</vt:lpstr>
      <vt:lpstr>fret_ferroviaire</vt:lpstr>
      <vt:lpstr>fret_ferroviaire_entrant</vt:lpstr>
      <vt:lpstr>fret_ferroviaire_interne</vt:lpstr>
      <vt:lpstr>fret_ferroviaire_sortant</vt:lpstr>
      <vt:lpstr>fret_fluvial</vt:lpstr>
      <vt:lpstr>fret_GHGProtocol</vt:lpstr>
      <vt:lpstr>fret_ISO14069</vt:lpstr>
      <vt:lpstr>fret_maritime_entrant</vt:lpstr>
      <vt:lpstr>fret_maritime_interne</vt:lpstr>
      <vt:lpstr>fret_maritime_sortant</vt:lpstr>
      <vt:lpstr>fret_recap</vt:lpstr>
      <vt:lpstr>fret_route</vt:lpstr>
      <vt:lpstr>fret_route_basecarbone</vt:lpstr>
      <vt:lpstr>fret_route_sortant</vt:lpstr>
      <vt:lpstr>fret_routier_entrant</vt:lpstr>
      <vt:lpstr>fret_routier_interne</vt:lpstr>
      <vt:lpstr>froid</vt:lpstr>
      <vt:lpstr>fuites_DIS</vt:lpstr>
      <vt:lpstr>futursemballages_GHGProtocol</vt:lpstr>
      <vt:lpstr>futursemballages_ISO14069</vt:lpstr>
      <vt:lpstr>GHG_Protocol</vt:lpstr>
      <vt:lpstr>Graphiques</vt:lpstr>
      <vt:lpstr>graphiques_DechetsDirects</vt:lpstr>
      <vt:lpstr>graphiques_Déplacements</vt:lpstr>
      <vt:lpstr>graphiques_Energie1</vt:lpstr>
      <vt:lpstr>graphiques_FinDeVie</vt:lpstr>
      <vt:lpstr>graphiques_Fret</vt:lpstr>
      <vt:lpstr>graphiques_FutursEmballages</vt:lpstr>
      <vt:lpstr>graphiques_GHGProtocol</vt:lpstr>
      <vt:lpstr>graphiques_HorsEnergie1</vt:lpstr>
      <vt:lpstr>graphiques_Immobilisations</vt:lpstr>
      <vt:lpstr>graphiques_Intrants</vt:lpstr>
      <vt:lpstr>graphiques_RecapCO2e</vt:lpstr>
      <vt:lpstr>graphiques_Utilisation</vt:lpstr>
      <vt:lpstr>grosse_route</vt:lpstr>
      <vt:lpstr>halocarbure_hors_kyoto</vt:lpstr>
      <vt:lpstr>halocarbure_kyoto</vt:lpstr>
      <vt:lpstr>horsenergie1_GHGProtocol</vt:lpstr>
      <vt:lpstr>horsenergie1_ISO14069</vt:lpstr>
      <vt:lpstr>Immobilisations</vt:lpstr>
      <vt:lpstr>immobilisations_GHGProtocol</vt:lpstr>
      <vt:lpstr>immobilisations_ISO14069</vt:lpstr>
      <vt:lpstr>immos_batiments</vt:lpstr>
      <vt:lpstr>immos_informatique</vt:lpstr>
      <vt:lpstr>immos_machines</vt:lpstr>
      <vt:lpstr>immos_recap</vt:lpstr>
      <vt:lpstr>immos_voirie</vt:lpstr>
      <vt:lpstr>incineration</vt:lpstr>
      <vt:lpstr>informatique</vt:lpstr>
      <vt:lpstr>Intrants</vt:lpstr>
      <vt:lpstr>intrants_chimie</vt:lpstr>
      <vt:lpstr>intrants_GHGProtocol</vt:lpstr>
      <vt:lpstr>intrants_ISO14069</vt:lpstr>
      <vt:lpstr>intrants_Matériaux_de_construction</vt:lpstr>
      <vt:lpstr>intrants_metaux</vt:lpstr>
      <vt:lpstr>intrants_Papiers</vt:lpstr>
      <vt:lpstr>intrants_plastiques</vt:lpstr>
      <vt:lpstr>intrants_Produits_agricoles</vt:lpstr>
      <vt:lpstr>intrants_Puits</vt:lpstr>
      <vt:lpstr>intrants_ratios</vt:lpstr>
      <vt:lpstr>intrants_total</vt:lpstr>
      <vt:lpstr>intrants_Verre</vt:lpstr>
      <vt:lpstr>ISO_14069</vt:lpstr>
      <vt:lpstr>Liste_dechets</vt:lpstr>
      <vt:lpstr>Liste_dechets2</vt:lpstr>
      <vt:lpstr>Liste_Deplacements</vt:lpstr>
      <vt:lpstr>Liste_Deplacements_bis</vt:lpstr>
      <vt:lpstr>Liste_Deplacements_ter</vt:lpstr>
      <vt:lpstr>Liste_Energie</vt:lpstr>
      <vt:lpstr>Liste_Energie_bis</vt:lpstr>
      <vt:lpstr>Liste_Franchises</vt:lpstr>
      <vt:lpstr>Liste_Fret</vt:lpstr>
      <vt:lpstr>Liste_Fret_bis</vt:lpstr>
      <vt:lpstr>Liste_Fret_ter</vt:lpstr>
      <vt:lpstr>Liste_Horsenergie</vt:lpstr>
      <vt:lpstr>Liste_Immobilisations</vt:lpstr>
      <vt:lpstr>Liste_Immobilisations2</vt:lpstr>
      <vt:lpstr>Liste_Utilisation</vt:lpstr>
      <vt:lpstr>machines</vt:lpstr>
      <vt:lpstr>materiaux</vt:lpstr>
      <vt:lpstr>MATERIAUX_ENTRANTS</vt:lpstr>
      <vt:lpstr>menus_déroulants</vt:lpstr>
      <vt:lpstr>mer_ferme</vt:lpstr>
      <vt:lpstr>metaux</vt:lpstr>
      <vt:lpstr>mix_francais</vt:lpstr>
      <vt:lpstr>monetaire</vt:lpstr>
      <vt:lpstr>papier</vt:lpstr>
      <vt:lpstr>parcours</vt:lpstr>
      <vt:lpstr>plastiques</vt:lpstr>
      <vt:lpstr>poisson</vt:lpstr>
      <vt:lpstr>prairie_vers</vt:lpstr>
      <vt:lpstr>PRG</vt:lpstr>
      <vt:lpstr>procedes1_CH4</vt:lpstr>
      <vt:lpstr>procedes1_divers</vt:lpstr>
      <vt:lpstr>procedes1_halo</vt:lpstr>
      <vt:lpstr>procedes1_haut</vt:lpstr>
      <vt:lpstr>procedes1_N2O</vt:lpstr>
      <vt:lpstr>procedes1_recap</vt:lpstr>
      <vt:lpstr>Production_de_vapeur_froid</vt:lpstr>
      <vt:lpstr>produits_agro</vt:lpstr>
      <vt:lpstr>recap_C_haut</vt:lpstr>
      <vt:lpstr>renouvelables</vt:lpstr>
      <vt:lpstr>repas_moyen</vt:lpstr>
      <vt:lpstr>route</vt:lpstr>
      <vt:lpstr>routes</vt:lpstr>
      <vt:lpstr>sourcesFE</vt:lpstr>
      <vt:lpstr>tertiaire_electricite</vt:lpstr>
      <vt:lpstr>tertiaire_electricite2</vt:lpstr>
      <vt:lpstr>tissus_urbain_km</vt:lpstr>
      <vt:lpstr>train_personnes</vt:lpstr>
      <vt:lpstr>utilisation_electricite</vt:lpstr>
      <vt:lpstr>utilisation_GHGProtocol</vt:lpstr>
      <vt:lpstr>utilisation_haut</vt:lpstr>
      <vt:lpstr>utilisation_hors_nrj</vt:lpstr>
      <vt:lpstr>utilisation_ISO14069</vt:lpstr>
      <vt:lpstr>utilisation_recap</vt:lpstr>
      <vt:lpstr>utilisation_vapeur</vt:lpstr>
      <vt:lpstr>valo_CET</vt:lpstr>
      <vt:lpstr>valo_incineration</vt:lpstr>
      <vt:lpstr>vapeur</vt:lpstr>
      <vt:lpstr>végétaux_ferme</vt:lpstr>
      <vt:lpstr>verres</vt:lpstr>
      <vt:lpstr>vraquier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Bilan Carbone® V7.4</dc:title>
  <dc:subject/>
  <dc:creator>PCFK</dc:creator>
  <cp:keywords/>
  <dc:description/>
  <cp:lastModifiedBy>Simona Scalbi</cp:lastModifiedBy>
  <dcterms:created xsi:type="dcterms:W3CDTF">2012-04-13T07:00:33Z</dcterms:created>
  <dcterms:modified xsi:type="dcterms:W3CDTF">2021-03-29T07:43:26Z</dcterms:modified>
  <cp:category/>
</cp:coreProperties>
</file>